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consolws-my.sharepoint.com/personal/mhodgson_consol_org/Documents/Documents Cloud/CEC/CEC 2022 pre-rulemaking/"/>
    </mc:Choice>
  </mc:AlternateContent>
  <xr:revisionPtr revIDLastSave="26" documentId="8_{C7E90019-3825-445B-8AE3-DCAA1085625D}" xr6:coauthVersionLast="47" xr6:coauthVersionMax="47" xr10:uidLastSave="{14C58CF8-4176-4681-A524-78C1B8AA7EB0}"/>
  <bookViews>
    <workbookView xWindow="-120" yWindow="-16320" windowWidth="29040" windowHeight="15840" xr2:uid="{DA7983F6-70ED-4EC2-8A61-E909F6713C8D}"/>
  </bookViews>
  <sheets>
    <sheet name="SF-HPSD" sheetId="11" r:id="rId1"/>
    <sheet name="MF-HPSD" sheetId="12" r:id="rId2"/>
    <sheet name="NR-HPSD" sheetId="13" r:id="rId3"/>
    <sheet name="MF&amp;NR-PV&amp;Batt" sheetId="19" r:id="rId4"/>
    <sheet name="MF-EE" sheetId="22" r:id="rId5"/>
    <sheet name="EE-Alts" sheetId="24" r:id="rId6"/>
    <sheet name="GWP Impact By Building Type" sheetId="31" r:id="rId7"/>
    <sheet name="Combined All Buildings" sheetId="21" r:id="rId8"/>
    <sheet name="Combined All Buildings-Compact" sheetId="28" r:id="rId9"/>
    <sheet name="CO2 Emissions" sheetId="23" r:id="rId10"/>
    <sheet name="CO2 Dollar Benefit" sheetId="27" r:id="rId11"/>
    <sheet name="Criteria Pollutants" sheetId="26" r:id="rId12"/>
  </sheets>
  <externalReferences>
    <externalReference r:id="rId13"/>
  </externalReferences>
  <definedNames>
    <definedName name="Inflation" localSheetId="6">#REF!</definedName>
    <definedName name="Inflation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DV_Bldg_Type">'[1]Refrigerant TDV Calc'!$B$28:$B$30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0" i="11" l="1"/>
  <c r="M11" i="11"/>
  <c r="L52" i="11"/>
  <c r="M52" i="11"/>
  <c r="N52" i="11"/>
  <c r="L53" i="11"/>
  <c r="L68" i="11" s="1"/>
  <c r="M53" i="11"/>
  <c r="N53" i="11"/>
  <c r="L54" i="11"/>
  <c r="M54" i="11"/>
  <c r="M68" i="11" s="1"/>
  <c r="N54" i="11"/>
  <c r="L55" i="11"/>
  <c r="M55" i="11"/>
  <c r="N55" i="11"/>
  <c r="N68" i="11" s="1"/>
  <c r="L56" i="11"/>
  <c r="M56" i="11"/>
  <c r="N56" i="11"/>
  <c r="L57" i="11"/>
  <c r="M57" i="11"/>
  <c r="N57" i="11"/>
  <c r="L58" i="11"/>
  <c r="M58" i="11"/>
  <c r="N58" i="11"/>
  <c r="L59" i="11"/>
  <c r="M59" i="11"/>
  <c r="N59" i="11"/>
  <c r="L60" i="11"/>
  <c r="M60" i="11"/>
  <c r="N60" i="11"/>
  <c r="L61" i="11"/>
  <c r="M61" i="11"/>
  <c r="N61" i="11"/>
  <c r="L62" i="11"/>
  <c r="M62" i="11"/>
  <c r="N62" i="11"/>
  <c r="L63" i="11"/>
  <c r="M63" i="11"/>
  <c r="N63" i="11"/>
  <c r="L64" i="11"/>
  <c r="M64" i="11"/>
  <c r="N64" i="11"/>
  <c r="L65" i="11"/>
  <c r="M65" i="11"/>
  <c r="N65" i="11"/>
  <c r="L66" i="11"/>
  <c r="M66" i="11"/>
  <c r="N66" i="11"/>
  <c r="L67" i="11"/>
  <c r="M67" i="11"/>
  <c r="N67" i="11"/>
  <c r="AB26" i="23"/>
  <c r="AC26" i="23"/>
  <c r="AD26" i="23"/>
  <c r="AE26" i="23"/>
  <c r="AF26" i="23"/>
  <c r="AG26" i="23"/>
  <c r="AH26" i="23"/>
  <c r="AB25" i="23"/>
  <c r="AC25" i="23"/>
  <c r="AD25" i="23"/>
  <c r="AE25" i="23"/>
  <c r="AF25" i="23"/>
  <c r="AG25" i="23"/>
  <c r="AH25" i="23"/>
  <c r="AB14" i="23"/>
  <c r="AC14" i="23"/>
  <c r="AD14" i="23"/>
  <c r="AE14" i="23"/>
  <c r="AF14" i="23"/>
  <c r="AG14" i="23"/>
  <c r="AH14" i="23"/>
  <c r="AB43" i="26"/>
  <c r="AC43" i="26"/>
  <c r="AD43" i="26"/>
  <c r="AE43" i="26"/>
  <c r="AF43" i="26"/>
  <c r="AG43" i="26"/>
  <c r="AH43" i="26"/>
  <c r="AB42" i="26"/>
  <c r="AC42" i="26"/>
  <c r="AD42" i="26"/>
  <c r="AE42" i="26"/>
  <c r="AF42" i="26"/>
  <c r="AG42" i="26"/>
  <c r="AH42" i="26"/>
  <c r="AB41" i="26"/>
  <c r="AC41" i="26"/>
  <c r="AD41" i="26"/>
  <c r="AE41" i="26"/>
  <c r="AF41" i="26"/>
  <c r="AG41" i="26"/>
  <c r="AH41" i="26"/>
  <c r="AB40" i="26"/>
  <c r="AC40" i="26"/>
  <c r="AD40" i="26"/>
  <c r="AE40" i="26"/>
  <c r="AF40" i="26"/>
  <c r="AG40" i="26"/>
  <c r="AH40" i="26"/>
  <c r="AB34" i="26"/>
  <c r="AC34" i="26"/>
  <c r="AD34" i="26"/>
  <c r="AE34" i="26"/>
  <c r="AF34" i="26"/>
  <c r="AG34" i="26"/>
  <c r="AH34" i="26"/>
  <c r="AB33" i="26"/>
  <c r="AC33" i="26"/>
  <c r="AD33" i="26"/>
  <c r="AE33" i="26"/>
  <c r="AF33" i="26"/>
  <c r="AG33" i="26"/>
  <c r="AH33" i="26"/>
  <c r="AB27" i="26"/>
  <c r="AC27" i="26"/>
  <c r="AD27" i="26"/>
  <c r="AE27" i="26"/>
  <c r="AF27" i="26"/>
  <c r="AG27" i="26"/>
  <c r="AH27" i="26"/>
  <c r="AB26" i="26"/>
  <c r="AC26" i="26"/>
  <c r="AD26" i="26"/>
  <c r="AE26" i="26"/>
  <c r="AF26" i="26"/>
  <c r="AG26" i="26"/>
  <c r="AH26" i="26"/>
  <c r="C275" i="19" l="1"/>
  <c r="C253" i="19"/>
  <c r="K231" i="19"/>
  <c r="K253" i="19" s="1"/>
  <c r="K275" i="19" s="1"/>
  <c r="C231" i="19"/>
  <c r="K187" i="19"/>
  <c r="C187" i="19"/>
  <c r="K165" i="19"/>
  <c r="C165" i="19"/>
  <c r="K142" i="19"/>
  <c r="C142" i="19"/>
  <c r="K119" i="19"/>
  <c r="C119" i="19"/>
  <c r="K97" i="19"/>
  <c r="C97" i="19"/>
  <c r="K74" i="19"/>
  <c r="C74" i="19"/>
  <c r="K52" i="19"/>
  <c r="C52" i="19"/>
  <c r="X187" i="13"/>
  <c r="R187" i="13"/>
  <c r="X164" i="13"/>
  <c r="R164" i="13"/>
  <c r="X141" i="13"/>
  <c r="R141" i="13"/>
  <c r="X118" i="13"/>
  <c r="R118" i="13"/>
  <c r="X95" i="13"/>
  <c r="R95" i="13"/>
  <c r="X72" i="13"/>
  <c r="R72" i="13"/>
  <c r="X49" i="13"/>
  <c r="R49" i="13"/>
  <c r="X26" i="13"/>
  <c r="R26" i="13"/>
  <c r="G100" i="12"/>
  <c r="C100" i="12"/>
  <c r="G73" i="12"/>
  <c r="C73" i="12"/>
  <c r="G50" i="12"/>
  <c r="C50" i="12"/>
  <c r="S15" i="28" l="1"/>
  <c r="S14" i="28"/>
  <c r="S6" i="28"/>
  <c r="S5" i="28"/>
  <c r="S3" i="28"/>
  <c r="S19" i="21" l="1"/>
  <c r="S18" i="21"/>
  <c r="Z6" i="21"/>
  <c r="Z5" i="21"/>
  <c r="T6" i="21"/>
  <c r="T5" i="21"/>
  <c r="S6" i="21"/>
  <c r="S5" i="21"/>
  <c r="S4" i="21"/>
  <c r="E27" i="26" l="1"/>
  <c r="R6" i="21" l="1"/>
  <c r="R5" i="21"/>
  <c r="D29" i="23"/>
  <c r="C6" i="28" l="1"/>
  <c r="C5" i="28"/>
  <c r="G10" i="21" l="1"/>
  <c r="G5" i="21"/>
  <c r="G4" i="21"/>
  <c r="J351" i="31"/>
  <c r="J328" i="31"/>
  <c r="J305" i="31"/>
  <c r="J282" i="31"/>
  <c r="J259" i="31"/>
  <c r="J236" i="31"/>
  <c r="J213" i="31"/>
  <c r="J190" i="31"/>
  <c r="J167" i="31"/>
  <c r="J144" i="31"/>
  <c r="J121" i="31"/>
  <c r="J23" i="31"/>
  <c r="J24" i="31"/>
  <c r="A349" i="31"/>
  <c r="A348" i="31"/>
  <c r="A347" i="31"/>
  <c r="A346" i="31"/>
  <c r="A345" i="31"/>
  <c r="A344" i="31"/>
  <c r="A343" i="31"/>
  <c r="A342" i="31"/>
  <c r="A341" i="31"/>
  <c r="A340" i="31"/>
  <c r="A339" i="31"/>
  <c r="A338" i="31"/>
  <c r="A337" i="31"/>
  <c r="A336" i="31"/>
  <c r="A335" i="31"/>
  <c r="A334" i="31"/>
  <c r="T331" i="31"/>
  <c r="A327" i="31"/>
  <c r="T308" i="31"/>
  <c r="Q308" i="31"/>
  <c r="A304" i="31"/>
  <c r="T285" i="31"/>
  <c r="Q285" i="31"/>
  <c r="A281" i="31"/>
  <c r="T262" i="31"/>
  <c r="Q262" i="31"/>
  <c r="Q260" i="31"/>
  <c r="H260" i="31"/>
  <c r="A258" i="31"/>
  <c r="T239" i="31"/>
  <c r="Q239" i="31"/>
  <c r="T216" i="31"/>
  <c r="L211" i="31"/>
  <c r="M211" i="31" s="1"/>
  <c r="L210" i="31"/>
  <c r="M210" i="31" s="1"/>
  <c r="L209" i="31"/>
  <c r="M209" i="31" s="1"/>
  <c r="M208" i="31"/>
  <c r="L208" i="31"/>
  <c r="L207" i="31"/>
  <c r="M207" i="31" s="1"/>
  <c r="L206" i="31"/>
  <c r="M206" i="31" s="1"/>
  <c r="M205" i="31"/>
  <c r="L205" i="31"/>
  <c r="M204" i="31"/>
  <c r="L204" i="31"/>
  <c r="L203" i="31"/>
  <c r="M203" i="31" s="1"/>
  <c r="L202" i="31"/>
  <c r="M202" i="31" s="1"/>
  <c r="M201" i="31"/>
  <c r="L201" i="31"/>
  <c r="M200" i="31"/>
  <c r="L200" i="31"/>
  <c r="L199" i="31"/>
  <c r="M199" i="31" s="1"/>
  <c r="L198" i="31"/>
  <c r="M198" i="31" s="1"/>
  <c r="L197" i="31"/>
  <c r="M197" i="31" s="1"/>
  <c r="M196" i="31"/>
  <c r="L196" i="31"/>
  <c r="T193" i="31"/>
  <c r="T170" i="31"/>
  <c r="L153" i="31"/>
  <c r="M153" i="31" s="1"/>
  <c r="T147" i="31"/>
  <c r="T124" i="31"/>
  <c r="L115" i="31"/>
  <c r="M115" i="31" s="1"/>
  <c r="L107" i="31"/>
  <c r="M107" i="31" s="1"/>
  <c r="T101" i="31"/>
  <c r="L99" i="31"/>
  <c r="X96" i="31"/>
  <c r="L96" i="31"/>
  <c r="K96" i="31"/>
  <c r="F96" i="31"/>
  <c r="X95" i="31"/>
  <c r="K95" i="31"/>
  <c r="F95" i="31"/>
  <c r="AB94" i="31"/>
  <c r="X94" i="31"/>
  <c r="P94" i="31"/>
  <c r="F94" i="31"/>
  <c r="AB93" i="31"/>
  <c r="X93" i="31"/>
  <c r="P93" i="31"/>
  <c r="F93" i="31"/>
  <c r="X92" i="31"/>
  <c r="K92" i="31"/>
  <c r="F92" i="31"/>
  <c r="X91" i="31"/>
  <c r="K91" i="31"/>
  <c r="F91" i="31"/>
  <c r="AB90" i="31"/>
  <c r="X90" i="31"/>
  <c r="P90" i="31"/>
  <c r="F90" i="31"/>
  <c r="X89" i="31"/>
  <c r="K89" i="31"/>
  <c r="F89" i="31"/>
  <c r="X88" i="31"/>
  <c r="K88" i="31"/>
  <c r="F88" i="31"/>
  <c r="X87" i="31"/>
  <c r="K87" i="31"/>
  <c r="F87" i="31"/>
  <c r="X86" i="31"/>
  <c r="X97" i="31" s="1"/>
  <c r="K86" i="31"/>
  <c r="F86" i="31"/>
  <c r="X85" i="31"/>
  <c r="K85" i="31"/>
  <c r="F85" i="31"/>
  <c r="AB84" i="31"/>
  <c r="X84" i="31"/>
  <c r="P84" i="31"/>
  <c r="F84" i="31"/>
  <c r="AB83" i="31"/>
  <c r="X83" i="31"/>
  <c r="P83" i="31"/>
  <c r="F83" i="31"/>
  <c r="X82" i="31"/>
  <c r="K82" i="31"/>
  <c r="F82" i="31"/>
  <c r="X81" i="31"/>
  <c r="K81" i="31"/>
  <c r="F81" i="31"/>
  <c r="T78" i="31"/>
  <c r="X73" i="31"/>
  <c r="L73" i="31"/>
  <c r="M73" i="31" s="1"/>
  <c r="X72" i="31"/>
  <c r="L72" i="31"/>
  <c r="M72" i="31" s="1"/>
  <c r="AB71" i="31"/>
  <c r="X71" i="31"/>
  <c r="AB70" i="31"/>
  <c r="X70" i="31"/>
  <c r="Q70" i="31"/>
  <c r="R70" i="31" s="1"/>
  <c r="X69" i="31"/>
  <c r="M69" i="31"/>
  <c r="L69" i="31"/>
  <c r="X68" i="31"/>
  <c r="L68" i="31"/>
  <c r="M68" i="31" s="1"/>
  <c r="AB67" i="31"/>
  <c r="X67" i="31"/>
  <c r="X66" i="31"/>
  <c r="L66" i="31"/>
  <c r="M66" i="31" s="1"/>
  <c r="X65" i="31"/>
  <c r="L65" i="31"/>
  <c r="M65" i="31" s="1"/>
  <c r="X64" i="31"/>
  <c r="L64" i="31"/>
  <c r="M64" i="31" s="1"/>
  <c r="G64" i="31"/>
  <c r="H64" i="31" s="1"/>
  <c r="X63" i="31"/>
  <c r="M63" i="31"/>
  <c r="L63" i="31"/>
  <c r="X62" i="31"/>
  <c r="L62" i="31"/>
  <c r="M62" i="31" s="1"/>
  <c r="AB61" i="31"/>
  <c r="X61" i="31"/>
  <c r="AB60" i="31"/>
  <c r="X60" i="31"/>
  <c r="X59" i="31"/>
  <c r="L59" i="31"/>
  <c r="M59" i="31" s="1"/>
  <c r="X58" i="31"/>
  <c r="L58" i="31"/>
  <c r="M58" i="31" s="1"/>
  <c r="G58" i="31"/>
  <c r="H58" i="31" s="1"/>
  <c r="T55" i="31"/>
  <c r="X50" i="31"/>
  <c r="L50" i="31"/>
  <c r="M50" i="31" s="1"/>
  <c r="G50" i="31"/>
  <c r="X49" i="31"/>
  <c r="L49" i="31"/>
  <c r="L95" i="31" s="1"/>
  <c r="AB48" i="31"/>
  <c r="X48" i="31"/>
  <c r="Q48" i="31"/>
  <c r="G48" i="31"/>
  <c r="H48" i="31" s="1"/>
  <c r="AB47" i="31"/>
  <c r="X47" i="31"/>
  <c r="Q47" i="31"/>
  <c r="Q93" i="31" s="1"/>
  <c r="X46" i="31"/>
  <c r="M46" i="31"/>
  <c r="M92" i="31" s="1"/>
  <c r="L46" i="31"/>
  <c r="L92" i="31" s="1"/>
  <c r="X45" i="31"/>
  <c r="L45" i="31"/>
  <c r="G45" i="31"/>
  <c r="H45" i="31" s="1"/>
  <c r="AB44" i="31"/>
  <c r="X44" i="31"/>
  <c r="Q44" i="31"/>
  <c r="G44" i="31"/>
  <c r="X43" i="31"/>
  <c r="L43" i="31"/>
  <c r="L89" i="31" s="1"/>
  <c r="X42" i="31"/>
  <c r="M42" i="31"/>
  <c r="M88" i="31" s="1"/>
  <c r="L42" i="31"/>
  <c r="L88" i="31" s="1"/>
  <c r="X41" i="31"/>
  <c r="L41" i="31"/>
  <c r="L87" i="31" s="1"/>
  <c r="X40" i="31"/>
  <c r="L40" i="31"/>
  <c r="L86" i="31" s="1"/>
  <c r="X39" i="31"/>
  <c r="M39" i="31"/>
  <c r="M85" i="31" s="1"/>
  <c r="L39" i="31"/>
  <c r="L85" i="31" s="1"/>
  <c r="AB38" i="31"/>
  <c r="X38" i="31"/>
  <c r="Q38" i="31"/>
  <c r="G38" i="31"/>
  <c r="AB37" i="31"/>
  <c r="X37" i="31"/>
  <c r="Q37" i="31"/>
  <c r="R37" i="31" s="1"/>
  <c r="X36" i="31"/>
  <c r="M36" i="31"/>
  <c r="L36" i="31"/>
  <c r="L82" i="31" s="1"/>
  <c r="X35" i="31"/>
  <c r="L35" i="31"/>
  <c r="L81" i="31" s="1"/>
  <c r="T32" i="31"/>
  <c r="H15" i="31"/>
  <c r="F15" i="31"/>
  <c r="L109" i="31" s="1"/>
  <c r="M109" i="31" s="1"/>
  <c r="E15" i="31"/>
  <c r="G159" i="31" s="1"/>
  <c r="H159" i="31" s="1"/>
  <c r="W11" i="31"/>
  <c r="T11" i="31"/>
  <c r="S11" i="31"/>
  <c r="O11" i="31"/>
  <c r="N11" i="31"/>
  <c r="M11" i="31"/>
  <c r="L11" i="31"/>
  <c r="X10" i="31"/>
  <c r="T10" i="31"/>
  <c r="W9" i="31"/>
  <c r="X11" i="31" s="1"/>
  <c r="W8" i="31"/>
  <c r="X8" i="31" s="1"/>
  <c r="S7" i="31"/>
  <c r="S8" i="31" s="1"/>
  <c r="T8" i="31" s="1"/>
  <c r="T15" i="31" s="1"/>
  <c r="W6" i="31"/>
  <c r="X7" i="31" s="1"/>
  <c r="X14" i="31" s="1"/>
  <c r="J25" i="31" l="1"/>
  <c r="J26" i="31" s="1"/>
  <c r="N36" i="31"/>
  <c r="H14" i="31"/>
  <c r="N58" i="31"/>
  <c r="O58" i="31" s="1"/>
  <c r="X15" i="31"/>
  <c r="K325" i="31"/>
  <c r="L325" i="31" s="1"/>
  <c r="M325" i="31" s="1"/>
  <c r="K323" i="31"/>
  <c r="L323" i="31" s="1"/>
  <c r="M323" i="31" s="1"/>
  <c r="K321" i="31"/>
  <c r="L321" i="31" s="1"/>
  <c r="M321" i="31" s="1"/>
  <c r="K319" i="31"/>
  <c r="L319" i="31" s="1"/>
  <c r="M319" i="31" s="1"/>
  <c r="K317" i="31"/>
  <c r="L317" i="31" s="1"/>
  <c r="M317" i="31" s="1"/>
  <c r="K315" i="31"/>
  <c r="L315" i="31" s="1"/>
  <c r="M315" i="31" s="1"/>
  <c r="K313" i="31"/>
  <c r="L313" i="31" s="1"/>
  <c r="M313" i="31" s="1"/>
  <c r="K311" i="31"/>
  <c r="L311" i="31" s="1"/>
  <c r="M311" i="31" s="1"/>
  <c r="F321" i="31"/>
  <c r="G321" i="31" s="1"/>
  <c r="H321" i="31" s="1"/>
  <c r="F313" i="31"/>
  <c r="G313" i="31" s="1"/>
  <c r="H313" i="31" s="1"/>
  <c r="K324" i="31"/>
  <c r="L324" i="31" s="1"/>
  <c r="M324" i="31" s="1"/>
  <c r="F320" i="31"/>
  <c r="G320" i="31" s="1"/>
  <c r="H320" i="31" s="1"/>
  <c r="K316" i="31"/>
  <c r="L316" i="31" s="1"/>
  <c r="M316" i="31" s="1"/>
  <c r="F312" i="31"/>
  <c r="G312" i="31" s="1"/>
  <c r="H312" i="31" s="1"/>
  <c r="F319" i="31"/>
  <c r="G319" i="31" s="1"/>
  <c r="H319" i="31" s="1"/>
  <c r="F311" i="31"/>
  <c r="G311" i="31" s="1"/>
  <c r="H311" i="31" s="1"/>
  <c r="F325" i="31"/>
  <c r="G325" i="31" s="1"/>
  <c r="H325" i="31" s="1"/>
  <c r="F317" i="31"/>
  <c r="G317" i="31" s="1"/>
  <c r="H317" i="31" s="1"/>
  <c r="F324" i="31"/>
  <c r="G324" i="31" s="1"/>
  <c r="H324" i="31" s="1"/>
  <c r="K320" i="31"/>
  <c r="L320" i="31" s="1"/>
  <c r="M320" i="31" s="1"/>
  <c r="F316" i="31"/>
  <c r="G316" i="31" s="1"/>
  <c r="H316" i="31" s="1"/>
  <c r="K312" i="31"/>
  <c r="L312" i="31" s="1"/>
  <c r="M312" i="31" s="1"/>
  <c r="F322" i="31"/>
  <c r="G322" i="31" s="1"/>
  <c r="H322" i="31" s="1"/>
  <c r="K326" i="31"/>
  <c r="L326" i="31" s="1"/>
  <c r="M326" i="31" s="1"/>
  <c r="K314" i="31"/>
  <c r="L314" i="31" s="1"/>
  <c r="M314" i="31" s="1"/>
  <c r="F326" i="31"/>
  <c r="G326" i="31" s="1"/>
  <c r="H326" i="31" s="1"/>
  <c r="F323" i="31"/>
  <c r="G323" i="31" s="1"/>
  <c r="H323" i="31" s="1"/>
  <c r="K318" i="31"/>
  <c r="L318" i="31" s="1"/>
  <c r="M318" i="31" s="1"/>
  <c r="F318" i="31"/>
  <c r="G318" i="31" s="1"/>
  <c r="H318" i="31" s="1"/>
  <c r="K322" i="31"/>
  <c r="L322" i="31" s="1"/>
  <c r="M322" i="31" s="1"/>
  <c r="F314" i="31"/>
  <c r="G314" i="31" s="1"/>
  <c r="H314" i="31" s="1"/>
  <c r="F315" i="31"/>
  <c r="G315" i="31" s="1"/>
  <c r="H315" i="31" s="1"/>
  <c r="M35" i="31"/>
  <c r="M41" i="31"/>
  <c r="G37" i="31"/>
  <c r="M40" i="31"/>
  <c r="G43" i="31"/>
  <c r="H44" i="31"/>
  <c r="H50" i="31"/>
  <c r="N59" i="31"/>
  <c r="O59" i="31" s="1"/>
  <c r="G72" i="31"/>
  <c r="H72" i="31" s="1"/>
  <c r="N73" i="31"/>
  <c r="O73" i="31" s="1"/>
  <c r="M82" i="31"/>
  <c r="G91" i="31"/>
  <c r="L104" i="31"/>
  <c r="M104" i="31" s="1"/>
  <c r="G36" i="31"/>
  <c r="G42" i="31"/>
  <c r="G105" i="31"/>
  <c r="H105" i="31" s="1"/>
  <c r="G109" i="31"/>
  <c r="H109" i="31" s="1"/>
  <c r="N65" i="31"/>
  <c r="O65" i="31" s="1"/>
  <c r="G35" i="31"/>
  <c r="G41" i="31"/>
  <c r="L91" i="31"/>
  <c r="Q61" i="31"/>
  <c r="R61" i="31" s="1"/>
  <c r="G66" i="31"/>
  <c r="H66" i="31" s="1"/>
  <c r="N72" i="31"/>
  <c r="O72" i="31" s="1"/>
  <c r="F303" i="31"/>
  <c r="G303" i="31" s="1"/>
  <c r="H303" i="31" s="1"/>
  <c r="F301" i="31"/>
  <c r="G301" i="31" s="1"/>
  <c r="H301" i="31" s="1"/>
  <c r="F299" i="31"/>
  <c r="G299" i="31" s="1"/>
  <c r="H299" i="31" s="1"/>
  <c r="F297" i="31"/>
  <c r="G297" i="31" s="1"/>
  <c r="H297" i="31" s="1"/>
  <c r="F295" i="31"/>
  <c r="G295" i="31" s="1"/>
  <c r="H295" i="31" s="1"/>
  <c r="F293" i="31"/>
  <c r="G293" i="31" s="1"/>
  <c r="H293" i="31" s="1"/>
  <c r="F291" i="31"/>
  <c r="G291" i="31" s="1"/>
  <c r="H291" i="31" s="1"/>
  <c r="F289" i="31"/>
  <c r="G289" i="31" s="1"/>
  <c r="H289" i="31" s="1"/>
  <c r="K300" i="31"/>
  <c r="L300" i="31" s="1"/>
  <c r="M300" i="31" s="1"/>
  <c r="K299" i="31"/>
  <c r="L299" i="31" s="1"/>
  <c r="M299" i="31" s="1"/>
  <c r="K292" i="31"/>
  <c r="L292" i="31" s="1"/>
  <c r="M292" i="31" s="1"/>
  <c r="K291" i="31"/>
  <c r="L291" i="31" s="1"/>
  <c r="M291" i="31" s="1"/>
  <c r="F302" i="31"/>
  <c r="G302" i="31" s="1"/>
  <c r="H302" i="31" s="1"/>
  <c r="F294" i="31"/>
  <c r="G294" i="31" s="1"/>
  <c r="H294" i="31" s="1"/>
  <c r="K298" i="31"/>
  <c r="L298" i="31" s="1"/>
  <c r="M298" i="31" s="1"/>
  <c r="K297" i="31"/>
  <c r="L297" i="31" s="1"/>
  <c r="M297" i="31" s="1"/>
  <c r="K290" i="31"/>
  <c r="L290" i="31" s="1"/>
  <c r="M290" i="31" s="1"/>
  <c r="K289" i="31"/>
  <c r="L289" i="31" s="1"/>
  <c r="M289" i="31" s="1"/>
  <c r="K303" i="31"/>
  <c r="L303" i="31" s="1"/>
  <c r="M303" i="31" s="1"/>
  <c r="K296" i="31"/>
  <c r="L296" i="31" s="1"/>
  <c r="M296" i="31" s="1"/>
  <c r="K295" i="31"/>
  <c r="L295" i="31" s="1"/>
  <c r="M295" i="31" s="1"/>
  <c r="K288" i="31"/>
  <c r="L288" i="31" s="1"/>
  <c r="M288" i="31" s="1"/>
  <c r="F298" i="31"/>
  <c r="G298" i="31" s="1"/>
  <c r="H298" i="31" s="1"/>
  <c r="F290" i="31"/>
  <c r="G290" i="31" s="1"/>
  <c r="H290" i="31" s="1"/>
  <c r="K301" i="31"/>
  <c r="L301" i="31" s="1"/>
  <c r="M301" i="31" s="1"/>
  <c r="K294" i="31"/>
  <c r="L294" i="31" s="1"/>
  <c r="M294" i="31" s="1"/>
  <c r="F292" i="31"/>
  <c r="G292" i="31" s="1"/>
  <c r="H292" i="31" s="1"/>
  <c r="F288" i="31"/>
  <c r="G288" i="31" s="1"/>
  <c r="H288" i="31" s="1"/>
  <c r="F296" i="31"/>
  <c r="G296" i="31" s="1"/>
  <c r="H296" i="31" s="1"/>
  <c r="F300" i="31"/>
  <c r="G300" i="31" s="1"/>
  <c r="H300" i="31" s="1"/>
  <c r="K293" i="31"/>
  <c r="L293" i="31" s="1"/>
  <c r="M293" i="31" s="1"/>
  <c r="K302" i="31"/>
  <c r="L302" i="31" s="1"/>
  <c r="M302" i="31" s="1"/>
  <c r="G232" i="31"/>
  <c r="H232" i="31" s="1"/>
  <c r="G228" i="31"/>
  <c r="H228" i="31" s="1"/>
  <c r="G224" i="31"/>
  <c r="H224" i="31" s="1"/>
  <c r="G220" i="31"/>
  <c r="H220" i="31" s="1"/>
  <c r="G209" i="31"/>
  <c r="H209" i="31" s="1"/>
  <c r="G231" i="31"/>
  <c r="H231" i="31" s="1"/>
  <c r="G227" i="31"/>
  <c r="H227" i="31" s="1"/>
  <c r="G223" i="31"/>
  <c r="H223" i="31" s="1"/>
  <c r="G219" i="31"/>
  <c r="H219" i="31" s="1"/>
  <c r="G234" i="31"/>
  <c r="H234" i="31" s="1"/>
  <c r="G230" i="31"/>
  <c r="H230" i="31" s="1"/>
  <c r="G226" i="31"/>
  <c r="H226" i="31" s="1"/>
  <c r="G222" i="31"/>
  <c r="H222" i="31" s="1"/>
  <c r="G233" i="31"/>
  <c r="H233" i="31" s="1"/>
  <c r="G225" i="31"/>
  <c r="H225" i="31" s="1"/>
  <c r="G202" i="31"/>
  <c r="H202" i="31" s="1"/>
  <c r="G198" i="31"/>
  <c r="H198" i="31" s="1"/>
  <c r="G165" i="31"/>
  <c r="H165" i="31" s="1"/>
  <c r="G207" i="31"/>
  <c r="H207" i="31" s="1"/>
  <c r="G185" i="31"/>
  <c r="H185" i="31" s="1"/>
  <c r="G181" i="31"/>
  <c r="H181" i="31" s="1"/>
  <c r="G177" i="31"/>
  <c r="H177" i="31" s="1"/>
  <c r="G173" i="31"/>
  <c r="H173" i="31" s="1"/>
  <c r="G205" i="31"/>
  <c r="H205" i="31" s="1"/>
  <c r="G201" i="31"/>
  <c r="H201" i="31" s="1"/>
  <c r="G197" i="31"/>
  <c r="H197" i="31" s="1"/>
  <c r="G206" i="31"/>
  <c r="H206" i="31" s="1"/>
  <c r="G188" i="31"/>
  <c r="H188" i="31" s="1"/>
  <c r="G184" i="31"/>
  <c r="H184" i="31" s="1"/>
  <c r="G229" i="31"/>
  <c r="H229" i="31" s="1"/>
  <c r="G221" i="31"/>
  <c r="H221" i="31" s="1"/>
  <c r="G211" i="31"/>
  <c r="H211" i="31" s="1"/>
  <c r="G204" i="31"/>
  <c r="H204" i="31" s="1"/>
  <c r="G200" i="31"/>
  <c r="H200" i="31" s="1"/>
  <c r="G196" i="31"/>
  <c r="H196" i="31" s="1"/>
  <c r="G210" i="31"/>
  <c r="H210" i="31" s="1"/>
  <c r="G203" i="31"/>
  <c r="H203" i="31" s="1"/>
  <c r="G199" i="31"/>
  <c r="H199" i="31" s="1"/>
  <c r="G182" i="31"/>
  <c r="H182" i="31" s="1"/>
  <c r="G178" i="31"/>
  <c r="H178" i="31" s="1"/>
  <c r="G141" i="31"/>
  <c r="H141" i="31" s="1"/>
  <c r="G137" i="31"/>
  <c r="H137" i="31" s="1"/>
  <c r="G133" i="31"/>
  <c r="H133" i="31" s="1"/>
  <c r="G129" i="31"/>
  <c r="H129" i="31" s="1"/>
  <c r="G179" i="31"/>
  <c r="H179" i="31" s="1"/>
  <c r="G174" i="31"/>
  <c r="H174" i="31" s="1"/>
  <c r="G161" i="31"/>
  <c r="H161" i="31" s="1"/>
  <c r="G157" i="31"/>
  <c r="H157" i="31" s="1"/>
  <c r="G153" i="31"/>
  <c r="H153" i="31" s="1"/>
  <c r="G116" i="31"/>
  <c r="H116" i="31" s="1"/>
  <c r="G112" i="31"/>
  <c r="H112" i="31" s="1"/>
  <c r="G108" i="31"/>
  <c r="H108" i="31" s="1"/>
  <c r="G183" i="31"/>
  <c r="H183" i="31" s="1"/>
  <c r="G180" i="31"/>
  <c r="H180" i="31" s="1"/>
  <c r="G175" i="31"/>
  <c r="H175" i="31" s="1"/>
  <c r="G140" i="31"/>
  <c r="H140" i="31" s="1"/>
  <c r="G136" i="31"/>
  <c r="H136" i="31" s="1"/>
  <c r="G132" i="31"/>
  <c r="H132" i="31" s="1"/>
  <c r="G128" i="31"/>
  <c r="H128" i="31" s="1"/>
  <c r="G176" i="31"/>
  <c r="H176" i="31" s="1"/>
  <c r="G164" i="31"/>
  <c r="H164" i="31" s="1"/>
  <c r="G160" i="31"/>
  <c r="H160" i="31" s="1"/>
  <c r="G156" i="31"/>
  <c r="H156" i="31" s="1"/>
  <c r="G152" i="31"/>
  <c r="H152" i="31" s="1"/>
  <c r="G119" i="31"/>
  <c r="H119" i="31" s="1"/>
  <c r="G115" i="31"/>
  <c r="H115" i="31" s="1"/>
  <c r="G111" i="31"/>
  <c r="H111" i="31" s="1"/>
  <c r="G186" i="31"/>
  <c r="H186" i="31" s="1"/>
  <c r="G139" i="31"/>
  <c r="H139" i="31" s="1"/>
  <c r="G135" i="31"/>
  <c r="H135" i="31" s="1"/>
  <c r="G131" i="31"/>
  <c r="H131" i="31" s="1"/>
  <c r="G127" i="31"/>
  <c r="H127" i="31" s="1"/>
  <c r="G187" i="31"/>
  <c r="H187" i="31" s="1"/>
  <c r="G142" i="31"/>
  <c r="H142" i="31" s="1"/>
  <c r="G138" i="31"/>
  <c r="H138" i="31" s="1"/>
  <c r="G134" i="31"/>
  <c r="H134" i="31" s="1"/>
  <c r="G130" i="31"/>
  <c r="H130" i="31" s="1"/>
  <c r="G208" i="31"/>
  <c r="H208" i="31" s="1"/>
  <c r="G162" i="31"/>
  <c r="H162" i="31" s="1"/>
  <c r="G114" i="31"/>
  <c r="H114" i="31" s="1"/>
  <c r="G73" i="31"/>
  <c r="H73" i="31" s="1"/>
  <c r="G67" i="31"/>
  <c r="H67" i="31" s="1"/>
  <c r="G155" i="31"/>
  <c r="H155" i="31" s="1"/>
  <c r="G117" i="31"/>
  <c r="H117" i="31" s="1"/>
  <c r="G104" i="31"/>
  <c r="H104" i="31" s="1"/>
  <c r="G68" i="31"/>
  <c r="H68" i="31" s="1"/>
  <c r="G61" i="31"/>
  <c r="H61" i="31" s="1"/>
  <c r="G158" i="31"/>
  <c r="H158" i="31" s="1"/>
  <c r="G69" i="31"/>
  <c r="H69" i="31" s="1"/>
  <c r="G151" i="31"/>
  <c r="H151" i="31" s="1"/>
  <c r="G113" i="31"/>
  <c r="H113" i="31" s="1"/>
  <c r="G110" i="31"/>
  <c r="H110" i="31" s="1"/>
  <c r="G107" i="31"/>
  <c r="H107" i="31" s="1"/>
  <c r="G70" i="31"/>
  <c r="H70" i="31" s="1"/>
  <c r="G62" i="31"/>
  <c r="H62" i="31" s="1"/>
  <c r="G154" i="31"/>
  <c r="H154" i="31" s="1"/>
  <c r="G63" i="31"/>
  <c r="H63" i="31" s="1"/>
  <c r="G150" i="31"/>
  <c r="H150" i="31" s="1"/>
  <c r="G118" i="31"/>
  <c r="H118" i="31" s="1"/>
  <c r="G65" i="31"/>
  <c r="H65" i="31" s="1"/>
  <c r="G59" i="31"/>
  <c r="H59" i="31" s="1"/>
  <c r="L234" i="31"/>
  <c r="M234" i="31" s="1"/>
  <c r="L230" i="31"/>
  <c r="M230" i="31" s="1"/>
  <c r="L226" i="31"/>
  <c r="M226" i="31" s="1"/>
  <c r="L222" i="31"/>
  <c r="M222" i="31" s="1"/>
  <c r="Q209" i="31"/>
  <c r="R209" i="31" s="1"/>
  <c r="L233" i="31"/>
  <c r="M233" i="31" s="1"/>
  <c r="L229" i="31"/>
  <c r="M229" i="31" s="1"/>
  <c r="L225" i="31"/>
  <c r="M225" i="31" s="1"/>
  <c r="L221" i="31"/>
  <c r="M221" i="31" s="1"/>
  <c r="L232" i="31"/>
  <c r="M232" i="31" s="1"/>
  <c r="L228" i="31"/>
  <c r="M228" i="31" s="1"/>
  <c r="L224" i="31"/>
  <c r="M224" i="31" s="1"/>
  <c r="L220" i="31"/>
  <c r="M220" i="31" s="1"/>
  <c r="L231" i="31"/>
  <c r="M231" i="31" s="1"/>
  <c r="L223" i="31"/>
  <c r="M223" i="31" s="1"/>
  <c r="Q202" i="31"/>
  <c r="R202" i="31" s="1"/>
  <c r="Q198" i="31"/>
  <c r="R198" i="31" s="1"/>
  <c r="L187" i="31"/>
  <c r="M187" i="31" s="1"/>
  <c r="L183" i="31"/>
  <c r="M183" i="31" s="1"/>
  <c r="L179" i="31"/>
  <c r="M179" i="31" s="1"/>
  <c r="L175" i="31"/>
  <c r="M175" i="31" s="1"/>
  <c r="Q210" i="31"/>
  <c r="R210" i="31" s="1"/>
  <c r="Q205" i="31"/>
  <c r="R205" i="31" s="1"/>
  <c r="Q201" i="31"/>
  <c r="R201" i="31" s="1"/>
  <c r="Q197" i="31"/>
  <c r="R197" i="31" s="1"/>
  <c r="Q208" i="31"/>
  <c r="R208" i="31" s="1"/>
  <c r="L186" i="31"/>
  <c r="M186" i="31" s="1"/>
  <c r="L182" i="31"/>
  <c r="M182" i="31" s="1"/>
  <c r="L227" i="31"/>
  <c r="M227" i="31" s="1"/>
  <c r="L219" i="31"/>
  <c r="M219" i="31" s="1"/>
  <c r="Q207" i="31"/>
  <c r="R207" i="31" s="1"/>
  <c r="Q204" i="31"/>
  <c r="R204" i="31" s="1"/>
  <c r="Q200" i="31"/>
  <c r="R200" i="31" s="1"/>
  <c r="Q196" i="31"/>
  <c r="R196" i="31" s="1"/>
  <c r="Q203" i="31"/>
  <c r="R203" i="31" s="1"/>
  <c r="Q199" i="31"/>
  <c r="R199" i="31" s="1"/>
  <c r="L188" i="31"/>
  <c r="M188" i="31" s="1"/>
  <c r="L139" i="31"/>
  <c r="M139" i="31" s="1"/>
  <c r="L135" i="31"/>
  <c r="M135" i="31" s="1"/>
  <c r="L131" i="31"/>
  <c r="M131" i="31" s="1"/>
  <c r="L127" i="31"/>
  <c r="M127" i="31" s="1"/>
  <c r="Q211" i="31"/>
  <c r="R211" i="31" s="1"/>
  <c r="Q206" i="31"/>
  <c r="R206" i="31" s="1"/>
  <c r="L180" i="31"/>
  <c r="M180" i="31" s="1"/>
  <c r="L163" i="31"/>
  <c r="M163" i="31" s="1"/>
  <c r="L159" i="31"/>
  <c r="M159" i="31" s="1"/>
  <c r="L155" i="31"/>
  <c r="M155" i="31" s="1"/>
  <c r="L151" i="31"/>
  <c r="M151" i="31" s="1"/>
  <c r="L118" i="31"/>
  <c r="M118" i="31" s="1"/>
  <c r="L114" i="31"/>
  <c r="M114" i="31" s="1"/>
  <c r="L110" i="31"/>
  <c r="M110" i="31" s="1"/>
  <c r="L181" i="31"/>
  <c r="M181" i="31" s="1"/>
  <c r="L176" i="31"/>
  <c r="M176" i="31" s="1"/>
  <c r="L142" i="31"/>
  <c r="M142" i="31" s="1"/>
  <c r="L138" i="31"/>
  <c r="M138" i="31" s="1"/>
  <c r="L134" i="31"/>
  <c r="M134" i="31" s="1"/>
  <c r="L130" i="31"/>
  <c r="M130" i="31" s="1"/>
  <c r="L177" i="31"/>
  <c r="M177" i="31" s="1"/>
  <c r="L162" i="31"/>
  <c r="M162" i="31" s="1"/>
  <c r="L158" i="31"/>
  <c r="M158" i="31" s="1"/>
  <c r="L154" i="31"/>
  <c r="M154" i="31" s="1"/>
  <c r="L150" i="31"/>
  <c r="M150" i="31" s="1"/>
  <c r="L117" i="31"/>
  <c r="M117" i="31" s="1"/>
  <c r="L113" i="31"/>
  <c r="M113" i="31" s="1"/>
  <c r="L184" i="31"/>
  <c r="M184" i="31" s="1"/>
  <c r="L178" i="31"/>
  <c r="M178" i="31" s="1"/>
  <c r="L173" i="31"/>
  <c r="M173" i="31" s="1"/>
  <c r="L141" i="31"/>
  <c r="M141" i="31" s="1"/>
  <c r="L137" i="31"/>
  <c r="M137" i="31" s="1"/>
  <c r="L133" i="31"/>
  <c r="M133" i="31" s="1"/>
  <c r="L129" i="31"/>
  <c r="M129" i="31" s="1"/>
  <c r="L185" i="31"/>
  <c r="M185" i="31" s="1"/>
  <c r="L140" i="31"/>
  <c r="M140" i="31" s="1"/>
  <c r="L136" i="31"/>
  <c r="M136" i="31" s="1"/>
  <c r="L132" i="31"/>
  <c r="M132" i="31" s="1"/>
  <c r="L128" i="31"/>
  <c r="M128" i="31" s="1"/>
  <c r="L165" i="31"/>
  <c r="M165" i="31" s="1"/>
  <c r="L152" i="31"/>
  <c r="M152" i="31" s="1"/>
  <c r="L161" i="31"/>
  <c r="M161" i="31" s="1"/>
  <c r="L108" i="31"/>
  <c r="M108" i="31" s="1"/>
  <c r="L106" i="31"/>
  <c r="M106" i="31" s="1"/>
  <c r="Q71" i="31"/>
  <c r="R71" i="31" s="1"/>
  <c r="L164" i="31"/>
  <c r="M164" i="31" s="1"/>
  <c r="L116" i="31"/>
  <c r="M116" i="31" s="1"/>
  <c r="L174" i="31"/>
  <c r="M174" i="31" s="1"/>
  <c r="L157" i="31"/>
  <c r="M157" i="31" s="1"/>
  <c r="L119" i="31"/>
  <c r="M119" i="31" s="1"/>
  <c r="L105" i="31"/>
  <c r="M105" i="31" s="1"/>
  <c r="Q67" i="31"/>
  <c r="R67" i="31" s="1"/>
  <c r="Q60" i="31"/>
  <c r="L160" i="31"/>
  <c r="M160" i="31" s="1"/>
  <c r="L112" i="31"/>
  <c r="M112" i="31" s="1"/>
  <c r="L156" i="31"/>
  <c r="M156" i="31" s="1"/>
  <c r="T7" i="31"/>
  <c r="T14" i="31" s="1"/>
  <c r="R38" i="31"/>
  <c r="G40" i="31"/>
  <c r="M45" i="31"/>
  <c r="N46" i="31"/>
  <c r="G47" i="31"/>
  <c r="R48" i="31"/>
  <c r="G49" i="31"/>
  <c r="N50" i="31"/>
  <c r="M96" i="31"/>
  <c r="N63" i="31"/>
  <c r="O63" i="31" s="1"/>
  <c r="G71" i="31"/>
  <c r="L111" i="31"/>
  <c r="M111" i="31" s="1"/>
  <c r="N42" i="31"/>
  <c r="G39" i="31"/>
  <c r="Q90" i="31"/>
  <c r="G60" i="31"/>
  <c r="H60" i="31" s="1"/>
  <c r="N66" i="31"/>
  <c r="O66" i="31" s="1"/>
  <c r="N69" i="31"/>
  <c r="O69" i="31" s="1"/>
  <c r="G106" i="31"/>
  <c r="H106" i="31" s="1"/>
  <c r="N199" i="31"/>
  <c r="O199" i="31" s="1"/>
  <c r="AB199" i="31" s="1"/>
  <c r="N68" i="31"/>
  <c r="O68" i="31" s="1"/>
  <c r="H38" i="31"/>
  <c r="R47" i="31"/>
  <c r="K280" i="31"/>
  <c r="L280" i="31" s="1"/>
  <c r="M280" i="31" s="1"/>
  <c r="K278" i="31"/>
  <c r="L278" i="31" s="1"/>
  <c r="M278" i="31" s="1"/>
  <c r="K276" i="31"/>
  <c r="L276" i="31" s="1"/>
  <c r="M276" i="31" s="1"/>
  <c r="K274" i="31"/>
  <c r="L274" i="31" s="1"/>
  <c r="M274" i="31" s="1"/>
  <c r="F278" i="31"/>
  <c r="G278" i="31" s="1"/>
  <c r="H278" i="31" s="1"/>
  <c r="F277" i="31"/>
  <c r="G277" i="31" s="1"/>
  <c r="H277" i="31" s="1"/>
  <c r="F273" i="31"/>
  <c r="G273" i="31" s="1"/>
  <c r="H273" i="31" s="1"/>
  <c r="F271" i="31"/>
  <c r="G271" i="31" s="1"/>
  <c r="H271" i="31" s="1"/>
  <c r="F269" i="31"/>
  <c r="G269" i="31" s="1"/>
  <c r="H269" i="31" s="1"/>
  <c r="F267" i="31"/>
  <c r="G267" i="31" s="1"/>
  <c r="H267" i="31" s="1"/>
  <c r="F265" i="31"/>
  <c r="G265" i="31" s="1"/>
  <c r="H265" i="31" s="1"/>
  <c r="F276" i="31"/>
  <c r="G276" i="31" s="1"/>
  <c r="H276" i="31" s="1"/>
  <c r="F275" i="31"/>
  <c r="G275" i="31" s="1"/>
  <c r="H275" i="31" s="1"/>
  <c r="F274" i="31"/>
  <c r="G274" i="31" s="1"/>
  <c r="H274" i="31" s="1"/>
  <c r="F272" i="31"/>
  <c r="G272" i="31" s="1"/>
  <c r="H272" i="31" s="1"/>
  <c r="F270" i="31"/>
  <c r="G270" i="31" s="1"/>
  <c r="H270" i="31" s="1"/>
  <c r="F268" i="31"/>
  <c r="G268" i="31" s="1"/>
  <c r="H268" i="31" s="1"/>
  <c r="F266" i="31"/>
  <c r="G266" i="31" s="1"/>
  <c r="H266" i="31" s="1"/>
  <c r="K277" i="31"/>
  <c r="L277" i="31" s="1"/>
  <c r="M277" i="31" s="1"/>
  <c r="K279" i="31"/>
  <c r="L279" i="31" s="1"/>
  <c r="M279" i="31" s="1"/>
  <c r="K267" i="31"/>
  <c r="L267" i="31" s="1"/>
  <c r="M267" i="31" s="1"/>
  <c r="F279" i="31"/>
  <c r="G279" i="31" s="1"/>
  <c r="H279" i="31" s="1"/>
  <c r="K265" i="31"/>
  <c r="L265" i="31" s="1"/>
  <c r="M265" i="31" s="1"/>
  <c r="K272" i="31"/>
  <c r="L272" i="31" s="1"/>
  <c r="M272" i="31" s="1"/>
  <c r="K268" i="31"/>
  <c r="L268" i="31" s="1"/>
  <c r="M268" i="31" s="1"/>
  <c r="K270" i="31"/>
  <c r="L270" i="31" s="1"/>
  <c r="M270" i="31" s="1"/>
  <c r="K273" i="31"/>
  <c r="L273" i="31" s="1"/>
  <c r="M273" i="31" s="1"/>
  <c r="K266" i="31"/>
  <c r="L266" i="31" s="1"/>
  <c r="M266" i="31" s="1"/>
  <c r="K269" i="31"/>
  <c r="L269" i="31" s="1"/>
  <c r="M269" i="31" s="1"/>
  <c r="F280" i="31"/>
  <c r="G280" i="31" s="1"/>
  <c r="H280" i="31" s="1"/>
  <c r="K275" i="31"/>
  <c r="L275" i="31" s="1"/>
  <c r="M275" i="31" s="1"/>
  <c r="K271" i="31"/>
  <c r="L271" i="31" s="1"/>
  <c r="M271" i="31" s="1"/>
  <c r="K257" i="31"/>
  <c r="K255" i="31"/>
  <c r="K253" i="31"/>
  <c r="F256" i="31"/>
  <c r="K256" i="31"/>
  <c r="K254" i="31"/>
  <c r="F257" i="31"/>
  <c r="K252" i="31"/>
  <c r="F251" i="31"/>
  <c r="F249" i="31"/>
  <c r="F247" i="31"/>
  <c r="F245" i="31"/>
  <c r="F243" i="31"/>
  <c r="F255" i="31"/>
  <c r="F254" i="31"/>
  <c r="F252" i="31"/>
  <c r="F250" i="31"/>
  <c r="F248" i="31"/>
  <c r="F246" i="31"/>
  <c r="F244" i="31"/>
  <c r="F242" i="31"/>
  <c r="K250" i="31"/>
  <c r="K246" i="31"/>
  <c r="K242" i="31"/>
  <c r="F253" i="31"/>
  <c r="K251" i="31"/>
  <c r="K247" i="31"/>
  <c r="K243" i="31"/>
  <c r="K249" i="31"/>
  <c r="K245" i="31"/>
  <c r="K244" i="31"/>
  <c r="K248" i="31"/>
  <c r="X51" i="31"/>
  <c r="M43" i="31"/>
  <c r="R44" i="31"/>
  <c r="G46" i="31"/>
  <c r="X74" i="31"/>
  <c r="G163" i="31"/>
  <c r="H163" i="31" s="1"/>
  <c r="N196" i="31"/>
  <c r="O196" i="31" s="1"/>
  <c r="N205" i="31"/>
  <c r="O205" i="31" s="1"/>
  <c r="AB205" i="31" s="1"/>
  <c r="N197" i="31"/>
  <c r="O197" i="31" s="1"/>
  <c r="AB197" i="31" s="1"/>
  <c r="N207" i="31"/>
  <c r="O207" i="31" s="1"/>
  <c r="AB207" i="31" s="1"/>
  <c r="M49" i="31"/>
  <c r="N202" i="31"/>
  <c r="O202" i="31" s="1"/>
  <c r="AB202" i="31" s="1"/>
  <c r="N198" i="31"/>
  <c r="O198" i="31" s="1"/>
  <c r="AB198" i="31" s="1"/>
  <c r="N201" i="31"/>
  <c r="O201" i="31" s="1"/>
  <c r="AB201" i="31" s="1"/>
  <c r="N204" i="31"/>
  <c r="O204" i="31" s="1"/>
  <c r="AB204" i="31" s="1"/>
  <c r="N208" i="31"/>
  <c r="O208" i="31" s="1"/>
  <c r="AB208" i="31" s="1"/>
  <c r="N211" i="31"/>
  <c r="O211" i="31" s="1"/>
  <c r="AB211" i="31" s="1"/>
  <c r="N200" i="31"/>
  <c r="O200" i="31" s="1"/>
  <c r="AB200" i="31" s="1"/>
  <c r="N203" i="31"/>
  <c r="O203" i="31" s="1"/>
  <c r="AB203" i="31" s="1"/>
  <c r="N209" i="31"/>
  <c r="O209" i="31" s="1"/>
  <c r="AB209" i="31" s="1"/>
  <c r="N210" i="31"/>
  <c r="O210" i="31" s="1"/>
  <c r="AB210" i="31" s="1"/>
  <c r="N206" i="31"/>
  <c r="O206" i="31" s="1"/>
  <c r="AB206" i="31" s="1"/>
  <c r="A350" i="31"/>
  <c r="F347" i="31" l="1"/>
  <c r="G255" i="31"/>
  <c r="AB68" i="31"/>
  <c r="V68" i="31"/>
  <c r="Z68" i="31" s="1"/>
  <c r="I115" i="31"/>
  <c r="J115" i="31" s="1"/>
  <c r="N267" i="31"/>
  <c r="O267" i="31" s="1"/>
  <c r="R94" i="31"/>
  <c r="N180" i="31"/>
  <c r="O180" i="31" s="1"/>
  <c r="N222" i="31"/>
  <c r="O222" i="31" s="1"/>
  <c r="I219" i="31"/>
  <c r="J219" i="31" s="1"/>
  <c r="I292" i="31"/>
  <c r="J292" i="31" s="1"/>
  <c r="G87" i="31"/>
  <c r="H41" i="31"/>
  <c r="M86" i="31"/>
  <c r="N40" i="31"/>
  <c r="I316" i="31"/>
  <c r="J316" i="31" s="1"/>
  <c r="I197" i="31"/>
  <c r="J197" i="31" s="1"/>
  <c r="N315" i="31"/>
  <c r="O315" i="31" s="1"/>
  <c r="P315" i="31" s="1"/>
  <c r="T315" i="31" s="1"/>
  <c r="N88" i="31"/>
  <c r="O88" i="31" s="1"/>
  <c r="AB88" i="31" s="1"/>
  <c r="O42" i="31"/>
  <c r="N112" i="31"/>
  <c r="O112" i="31" s="1"/>
  <c r="P112" i="31" s="1"/>
  <c r="T112" i="31" s="1"/>
  <c r="N181" i="31"/>
  <c r="O181" i="31" s="1"/>
  <c r="I119" i="31"/>
  <c r="J119" i="31" s="1"/>
  <c r="I204" i="31"/>
  <c r="J204" i="31" s="1"/>
  <c r="G92" i="31"/>
  <c r="H46" i="31"/>
  <c r="K335" i="31"/>
  <c r="L243" i="31"/>
  <c r="F336" i="31"/>
  <c r="G244" i="31"/>
  <c r="F337" i="31"/>
  <c r="G245" i="31"/>
  <c r="F348" i="31"/>
  <c r="G256" i="31"/>
  <c r="N279" i="31"/>
  <c r="O279" i="31" s="1"/>
  <c r="N274" i="31"/>
  <c r="O274" i="31" s="1"/>
  <c r="G84" i="31"/>
  <c r="H47" i="31"/>
  <c r="G93" i="31"/>
  <c r="N164" i="31"/>
  <c r="O164" i="31" s="1"/>
  <c r="N173" i="31"/>
  <c r="O173" i="31" s="1"/>
  <c r="N183" i="31"/>
  <c r="O183" i="31" s="1"/>
  <c r="N226" i="31"/>
  <c r="O226" i="31" s="1"/>
  <c r="I140" i="31"/>
  <c r="J140" i="31" s="1"/>
  <c r="I178" i="31"/>
  <c r="J178" i="31" s="1"/>
  <c r="N289" i="31"/>
  <c r="O289" i="31" s="1"/>
  <c r="I301" i="31"/>
  <c r="J301" i="31" s="1"/>
  <c r="G81" i="31"/>
  <c r="H35" i="31"/>
  <c r="G83" i="31"/>
  <c r="H37" i="31"/>
  <c r="N320" i="31"/>
  <c r="O320" i="31" s="1"/>
  <c r="N319" i="31"/>
  <c r="O319" i="31" s="1"/>
  <c r="P319" i="31" s="1"/>
  <c r="T319" i="31" s="1"/>
  <c r="K337" i="31"/>
  <c r="L245" i="31"/>
  <c r="H49" i="31"/>
  <c r="G95" i="31"/>
  <c r="N154" i="31"/>
  <c r="O154" i="31" s="1"/>
  <c r="I132" i="31"/>
  <c r="J132" i="31" s="1"/>
  <c r="R90" i="31"/>
  <c r="V69" i="31"/>
  <c r="Z69" i="31" s="1"/>
  <c r="AB69" i="31"/>
  <c r="R60" i="31"/>
  <c r="Q83" i="31"/>
  <c r="I221" i="31"/>
  <c r="J221" i="31" s="1"/>
  <c r="AB73" i="31"/>
  <c r="V73" i="31"/>
  <c r="Z73" i="31" s="1"/>
  <c r="M89" i="31"/>
  <c r="N43" i="31"/>
  <c r="K343" i="31"/>
  <c r="L251" i="31"/>
  <c r="F340" i="31"/>
  <c r="G248" i="31"/>
  <c r="F341" i="31"/>
  <c r="G249" i="31"/>
  <c r="K347" i="31"/>
  <c r="L255" i="31"/>
  <c r="I266" i="31"/>
  <c r="J266" i="31" s="1"/>
  <c r="N278" i="31"/>
  <c r="O278" i="31" s="1"/>
  <c r="AB66" i="31"/>
  <c r="V66" i="31"/>
  <c r="Z66" i="31" s="1"/>
  <c r="H71" i="31"/>
  <c r="G94" i="31"/>
  <c r="M91" i="31"/>
  <c r="N45" i="31"/>
  <c r="N106" i="31"/>
  <c r="O106" i="31" s="1"/>
  <c r="S200" i="31"/>
  <c r="T200" i="31" s="1"/>
  <c r="S198" i="31"/>
  <c r="T198" i="31" s="1"/>
  <c r="I135" i="31"/>
  <c r="J135" i="31" s="1"/>
  <c r="I180" i="31"/>
  <c r="J180" i="31" s="1"/>
  <c r="I231" i="31"/>
  <c r="J231" i="31" s="1"/>
  <c r="I290" i="31"/>
  <c r="J290" i="31" s="1"/>
  <c r="AB72" i="31"/>
  <c r="V72" i="31"/>
  <c r="Z72" i="31" s="1"/>
  <c r="I72" i="31"/>
  <c r="J72" i="31" s="1"/>
  <c r="M87" i="31"/>
  <c r="N41" i="31"/>
  <c r="G90" i="31"/>
  <c r="N82" i="31"/>
  <c r="O82" i="31" s="1"/>
  <c r="AB82" i="31" s="1"/>
  <c r="O36" i="31"/>
  <c r="I274" i="31"/>
  <c r="J274" i="31" s="1"/>
  <c r="I228" i="31"/>
  <c r="J228" i="31" s="1"/>
  <c r="G89" i="31"/>
  <c r="H43" i="31"/>
  <c r="K341" i="31"/>
  <c r="L249" i="31"/>
  <c r="L256" i="31"/>
  <c r="K348" i="31"/>
  <c r="K339" i="31"/>
  <c r="L247" i="31"/>
  <c r="N273" i="31"/>
  <c r="O273" i="31" s="1"/>
  <c r="I161" i="31"/>
  <c r="J161" i="31" s="1"/>
  <c r="N300" i="31"/>
  <c r="O300" i="31" s="1"/>
  <c r="P300" i="31" s="1"/>
  <c r="T300" i="31" s="1"/>
  <c r="F345" i="31"/>
  <c r="G253" i="31"/>
  <c r="F342" i="31"/>
  <c r="G250" i="31"/>
  <c r="F343" i="31"/>
  <c r="G251" i="31"/>
  <c r="K349" i="31"/>
  <c r="L257" i="31"/>
  <c r="I60" i="31"/>
  <c r="J60" i="31" s="1"/>
  <c r="V63" i="31"/>
  <c r="Z63" i="31" s="1"/>
  <c r="AB63" i="31"/>
  <c r="G86" i="31"/>
  <c r="H40" i="31"/>
  <c r="N113" i="31"/>
  <c r="O113" i="31" s="1"/>
  <c r="N151" i="31"/>
  <c r="O151" i="31" s="1"/>
  <c r="I59" i="31"/>
  <c r="J59" i="31" s="1"/>
  <c r="I104" i="31"/>
  <c r="J104" i="31" s="1"/>
  <c r="I203" i="31"/>
  <c r="J203" i="31" s="1"/>
  <c r="I181" i="31"/>
  <c r="J181" i="31" s="1"/>
  <c r="I291" i="31"/>
  <c r="J291" i="31" s="1"/>
  <c r="I105" i="31"/>
  <c r="J105" i="31" s="1"/>
  <c r="AB59" i="31"/>
  <c r="V59" i="31"/>
  <c r="Z59" i="31" s="1"/>
  <c r="M81" i="31"/>
  <c r="N35" i="31"/>
  <c r="I325" i="31"/>
  <c r="J325" i="31" s="1"/>
  <c r="N325" i="31"/>
  <c r="O325" i="31" s="1"/>
  <c r="P325" i="31" s="1"/>
  <c r="T325" i="31" s="1"/>
  <c r="K342" i="31"/>
  <c r="L250" i="31"/>
  <c r="K346" i="31"/>
  <c r="L254" i="31"/>
  <c r="N137" i="31"/>
  <c r="O137" i="31" s="1"/>
  <c r="I67" i="31"/>
  <c r="J67" i="31" s="1"/>
  <c r="F338" i="31"/>
  <c r="G246" i="31"/>
  <c r="K345" i="31"/>
  <c r="L253" i="31"/>
  <c r="I265" i="31"/>
  <c r="J265" i="31" s="1"/>
  <c r="O46" i="31"/>
  <c r="N92" i="31"/>
  <c r="O92" i="31" s="1"/>
  <c r="AB92" i="31" s="1"/>
  <c r="I131" i="31"/>
  <c r="J131" i="31" s="1"/>
  <c r="I227" i="31"/>
  <c r="J227" i="31" s="1"/>
  <c r="K340" i="31"/>
  <c r="L248" i="31"/>
  <c r="K334" i="31"/>
  <c r="L242" i="31"/>
  <c r="G252" i="31"/>
  <c r="F344" i="31"/>
  <c r="K344" i="31"/>
  <c r="L252" i="31"/>
  <c r="I270" i="31"/>
  <c r="J270" i="31" s="1"/>
  <c r="R93" i="31"/>
  <c r="R84" i="31"/>
  <c r="N129" i="31"/>
  <c r="O129" i="31" s="1"/>
  <c r="N138" i="31"/>
  <c r="O138" i="31" s="1"/>
  <c r="P138" i="31" s="1"/>
  <c r="T138" i="31" s="1"/>
  <c r="N229" i="31"/>
  <c r="O229" i="31" s="1"/>
  <c r="I110" i="31"/>
  <c r="J110" i="31" s="1"/>
  <c r="I176" i="31"/>
  <c r="J176" i="31" s="1"/>
  <c r="I108" i="31"/>
  <c r="J108" i="31" s="1"/>
  <c r="I129" i="31"/>
  <c r="J129" i="31" s="1"/>
  <c r="I188" i="31"/>
  <c r="J188" i="31" s="1"/>
  <c r="I300" i="31"/>
  <c r="J300" i="31" s="1"/>
  <c r="I294" i="31"/>
  <c r="J294" i="31" s="1"/>
  <c r="S61" i="31"/>
  <c r="T61" i="31" s="1"/>
  <c r="G88" i="31"/>
  <c r="H42" i="31"/>
  <c r="H96" i="31"/>
  <c r="I50" i="31"/>
  <c r="I315" i="31"/>
  <c r="J315" i="31" s="1"/>
  <c r="N326" i="31"/>
  <c r="O326" i="31" s="1"/>
  <c r="N311" i="31"/>
  <c r="O311" i="31" s="1"/>
  <c r="Q84" i="31"/>
  <c r="N67" i="31"/>
  <c r="N44" i="31"/>
  <c r="N62" i="31"/>
  <c r="O62" i="31" s="1"/>
  <c r="N39" i="31"/>
  <c r="H91" i="31"/>
  <c r="N156" i="31"/>
  <c r="O156" i="31" s="1"/>
  <c r="I116" i="31"/>
  <c r="J116" i="31" s="1"/>
  <c r="I165" i="31"/>
  <c r="J165" i="31" s="1"/>
  <c r="N291" i="31"/>
  <c r="O291" i="31" s="1"/>
  <c r="P291" i="31" s="1"/>
  <c r="T291" i="31" s="1"/>
  <c r="F334" i="31"/>
  <c r="G242" i="31"/>
  <c r="F335" i="31"/>
  <c r="G243" i="31"/>
  <c r="M95" i="31"/>
  <c r="N49" i="31"/>
  <c r="F339" i="31"/>
  <c r="G247" i="31"/>
  <c r="N276" i="31"/>
  <c r="O276" i="31" s="1"/>
  <c r="I61" i="31"/>
  <c r="J61" i="31" s="1"/>
  <c r="I175" i="31"/>
  <c r="J175" i="31" s="1"/>
  <c r="I173" i="31"/>
  <c r="J173" i="31" s="1"/>
  <c r="AB65" i="31"/>
  <c r="V65" i="31"/>
  <c r="Z65" i="31" s="1"/>
  <c r="G96" i="31"/>
  <c r="AB58" i="31"/>
  <c r="V58" i="31"/>
  <c r="O212" i="31"/>
  <c r="AB196" i="31"/>
  <c r="AB212" i="31" s="1"/>
  <c r="E25" i="31" s="1"/>
  <c r="K336" i="31"/>
  <c r="L244" i="31"/>
  <c r="K338" i="31"/>
  <c r="L246" i="31"/>
  <c r="F346" i="31"/>
  <c r="G254" i="31"/>
  <c r="G257" i="31"/>
  <c r="F349" i="31"/>
  <c r="N275" i="31"/>
  <c r="O275" i="31" s="1"/>
  <c r="I272" i="31"/>
  <c r="J272" i="31" s="1"/>
  <c r="H84" i="31"/>
  <c r="I38" i="31"/>
  <c r="G85" i="31"/>
  <c r="H39" i="31"/>
  <c r="O50" i="31"/>
  <c r="N96" i="31"/>
  <c r="O96" i="31" s="1"/>
  <c r="AB96" i="31" s="1"/>
  <c r="F14" i="31"/>
  <c r="N116" i="31" s="1"/>
  <c r="O116" i="31" s="1"/>
  <c r="P116" i="31" s="1"/>
  <c r="T116" i="31" s="1"/>
  <c r="E14" i="31"/>
  <c r="I141" i="31" s="1"/>
  <c r="J141" i="31" s="1"/>
  <c r="N157" i="31"/>
  <c r="O157" i="31" s="1"/>
  <c r="N152" i="31"/>
  <c r="O152" i="31" s="1"/>
  <c r="N133" i="31"/>
  <c r="O133" i="31" s="1"/>
  <c r="P133" i="31" s="1"/>
  <c r="T133" i="31" s="1"/>
  <c r="N142" i="31"/>
  <c r="O142" i="31" s="1"/>
  <c r="N139" i="31"/>
  <c r="O139" i="31" s="1"/>
  <c r="S210" i="31"/>
  <c r="T210" i="31" s="1"/>
  <c r="N231" i="31"/>
  <c r="O231" i="31" s="1"/>
  <c r="N233" i="31"/>
  <c r="O233" i="31" s="1"/>
  <c r="I118" i="31"/>
  <c r="J118" i="31" s="1"/>
  <c r="I113" i="31"/>
  <c r="J113" i="31" s="1"/>
  <c r="I155" i="31"/>
  <c r="J155" i="31" s="1"/>
  <c r="I138" i="31"/>
  <c r="J138" i="31" s="1"/>
  <c r="I111" i="31"/>
  <c r="J111" i="31" s="1"/>
  <c r="I128" i="31"/>
  <c r="J128" i="31" s="1"/>
  <c r="I112" i="31"/>
  <c r="J112" i="31" s="1"/>
  <c r="I133" i="31"/>
  <c r="J133" i="31" s="1"/>
  <c r="I196" i="31"/>
  <c r="J196" i="31" s="1"/>
  <c r="I206" i="31"/>
  <c r="J206" i="31" s="1"/>
  <c r="I207" i="31"/>
  <c r="J207" i="31" s="1"/>
  <c r="I230" i="31"/>
  <c r="J230" i="31" s="1"/>
  <c r="I224" i="31"/>
  <c r="J224" i="31" s="1"/>
  <c r="I296" i="31"/>
  <c r="J296" i="31" s="1"/>
  <c r="N295" i="31"/>
  <c r="O295" i="31" s="1"/>
  <c r="P295" i="31" s="1"/>
  <c r="T295" i="31" s="1"/>
  <c r="I302" i="31"/>
  <c r="J302" i="31" s="1"/>
  <c r="I295" i="31"/>
  <c r="J295" i="31" s="1"/>
  <c r="Q94" i="31"/>
  <c r="H36" i="31"/>
  <c r="G82" i="31"/>
  <c r="H90" i="31"/>
  <c r="I44" i="31"/>
  <c r="I314" i="31"/>
  <c r="J314" i="31" s="1"/>
  <c r="I322" i="31"/>
  <c r="J322" i="31" s="1"/>
  <c r="I319" i="31"/>
  <c r="J319" i="31" s="1"/>
  <c r="N313" i="31"/>
  <c r="O313" i="31" s="1"/>
  <c r="N64" i="31"/>
  <c r="O64" i="31" s="1"/>
  <c r="G344" i="31" l="1"/>
  <c r="H252" i="31"/>
  <c r="N87" i="31"/>
  <c r="O87" i="31" s="1"/>
  <c r="AB87" i="31" s="1"/>
  <c r="O41" i="31"/>
  <c r="G340" i="31"/>
  <c r="H248" i="31"/>
  <c r="S60" i="31"/>
  <c r="T60" i="31" s="1"/>
  <c r="R83" i="31"/>
  <c r="P173" i="31"/>
  <c r="P274" i="31"/>
  <c r="T274" i="31" s="1"/>
  <c r="G336" i="31"/>
  <c r="H244" i="31"/>
  <c r="P181" i="31"/>
  <c r="T181" i="31" s="1"/>
  <c r="N150" i="31"/>
  <c r="O150" i="31" s="1"/>
  <c r="H85" i="31"/>
  <c r="I39" i="31"/>
  <c r="N290" i="31"/>
  <c r="O290" i="31" s="1"/>
  <c r="P290" i="31" s="1"/>
  <c r="T290" i="31" s="1"/>
  <c r="G339" i="31"/>
  <c r="H247" i="31"/>
  <c r="I312" i="31"/>
  <c r="J312" i="31" s="1"/>
  <c r="I280" i="31"/>
  <c r="J280" i="31" s="1"/>
  <c r="I311" i="31"/>
  <c r="J311" i="31" s="1"/>
  <c r="P311" i="31" s="1"/>
  <c r="I293" i="31"/>
  <c r="J293" i="31" s="1"/>
  <c r="I210" i="31"/>
  <c r="J210" i="31" s="1"/>
  <c r="I65" i="31"/>
  <c r="J65" i="31" s="1"/>
  <c r="N117" i="31"/>
  <c r="O117" i="31" s="1"/>
  <c r="I271" i="31"/>
  <c r="J271" i="31" s="1"/>
  <c r="L334" i="31"/>
  <c r="M242" i="31"/>
  <c r="I182" i="31"/>
  <c r="J182" i="31" s="1"/>
  <c r="L345" i="31"/>
  <c r="M253" i="31"/>
  <c r="N227" i="31"/>
  <c r="O227" i="31" s="1"/>
  <c r="P227" i="31" s="1"/>
  <c r="T227" i="31" s="1"/>
  <c r="I321" i="31"/>
  <c r="J321" i="31" s="1"/>
  <c r="I66" i="31"/>
  <c r="J66" i="31" s="1"/>
  <c r="I184" i="31"/>
  <c r="J184" i="31" s="1"/>
  <c r="I107" i="31"/>
  <c r="J107" i="31" s="1"/>
  <c r="N134" i="31"/>
  <c r="O134" i="31" s="1"/>
  <c r="G343" i="31"/>
  <c r="H251" i="31"/>
  <c r="I225" i="31"/>
  <c r="J225" i="31" s="1"/>
  <c r="L339" i="31"/>
  <c r="M247" i="31"/>
  <c r="I297" i="31"/>
  <c r="J297" i="31" s="1"/>
  <c r="V36" i="31"/>
  <c r="AB36" i="31"/>
  <c r="N302" i="31"/>
  <c r="O302" i="31" s="1"/>
  <c r="P302" i="31" s="1"/>
  <c r="T302" i="31" s="1"/>
  <c r="I160" i="31"/>
  <c r="J160" i="31" s="1"/>
  <c r="S197" i="31"/>
  <c r="T197" i="31" s="1"/>
  <c r="S67" i="31"/>
  <c r="T67" i="31" s="1"/>
  <c r="I267" i="31"/>
  <c r="J267" i="31" s="1"/>
  <c r="P267" i="31" s="1"/>
  <c r="T267" i="31" s="1"/>
  <c r="N301" i="31"/>
  <c r="O301" i="31" s="1"/>
  <c r="P301" i="31" s="1"/>
  <c r="T301" i="31" s="1"/>
  <c r="N175" i="31"/>
  <c r="O175" i="31" s="1"/>
  <c r="P175" i="31" s="1"/>
  <c r="T175" i="31" s="1"/>
  <c r="I320" i="31"/>
  <c r="J320" i="31" s="1"/>
  <c r="N299" i="31"/>
  <c r="O299" i="31" s="1"/>
  <c r="I157" i="31"/>
  <c r="J157" i="31" s="1"/>
  <c r="N228" i="31"/>
  <c r="O228" i="31" s="1"/>
  <c r="P228" i="31" s="1"/>
  <c r="T228" i="31" s="1"/>
  <c r="N132" i="31"/>
  <c r="O132" i="31" s="1"/>
  <c r="P132" i="31" s="1"/>
  <c r="T132" i="31" s="1"/>
  <c r="I276" i="31"/>
  <c r="J276" i="31" s="1"/>
  <c r="P276" i="31" s="1"/>
  <c r="T276" i="31" s="1"/>
  <c r="I153" i="31"/>
  <c r="J153" i="31" s="1"/>
  <c r="N141" i="31"/>
  <c r="O141" i="31" s="1"/>
  <c r="P141" i="31" s="1"/>
  <c r="T141" i="31" s="1"/>
  <c r="I288" i="31"/>
  <c r="J288" i="31" s="1"/>
  <c r="I318" i="31"/>
  <c r="J318" i="31" s="1"/>
  <c r="I232" i="31"/>
  <c r="J232" i="31" s="1"/>
  <c r="N179" i="31"/>
  <c r="O179" i="31" s="1"/>
  <c r="P179" i="31" s="1"/>
  <c r="T179" i="31" s="1"/>
  <c r="N322" i="31"/>
  <c r="O322" i="31" s="1"/>
  <c r="P322" i="31" s="1"/>
  <c r="T322" i="31" s="1"/>
  <c r="P142" i="31"/>
  <c r="T142" i="31" s="1"/>
  <c r="U198" i="31"/>
  <c r="N91" i="31"/>
  <c r="O91" i="31" s="1"/>
  <c r="AB91" i="31" s="1"/>
  <c r="O45" i="31"/>
  <c r="L343" i="31"/>
  <c r="M251" i="31"/>
  <c r="L335" i="31"/>
  <c r="M243" i="31"/>
  <c r="P231" i="31"/>
  <c r="T231" i="31" s="1"/>
  <c r="I84" i="31"/>
  <c r="J84" i="31" s="1"/>
  <c r="J38" i="31"/>
  <c r="G346" i="31"/>
  <c r="H254" i="31"/>
  <c r="Z58" i="31"/>
  <c r="N95" i="31"/>
  <c r="O95" i="31" s="1"/>
  <c r="AB95" i="31" s="1"/>
  <c r="O49" i="31"/>
  <c r="N85" i="31"/>
  <c r="O85" i="31" s="1"/>
  <c r="AB85" i="31" s="1"/>
  <c r="O39" i="31"/>
  <c r="N288" i="31"/>
  <c r="O288" i="31" s="1"/>
  <c r="N223" i="31"/>
  <c r="O223" i="31" s="1"/>
  <c r="N161" i="31"/>
  <c r="O161" i="31" s="1"/>
  <c r="P161" i="31" s="1"/>
  <c r="T161" i="31" s="1"/>
  <c r="N272" i="31"/>
  <c r="O272" i="31" s="1"/>
  <c r="P272" i="31" s="1"/>
  <c r="T272" i="31" s="1"/>
  <c r="L340" i="31"/>
  <c r="M248" i="31"/>
  <c r="N230" i="31"/>
  <c r="O230" i="31" s="1"/>
  <c r="P230" i="31" s="1"/>
  <c r="T230" i="31" s="1"/>
  <c r="G338" i="31"/>
  <c r="H246" i="31"/>
  <c r="M254" i="31"/>
  <c r="L346" i="31"/>
  <c r="N314" i="31"/>
  <c r="O314" i="31" s="1"/>
  <c r="P314" i="31" s="1"/>
  <c r="T314" i="31" s="1"/>
  <c r="N298" i="31"/>
  <c r="O298" i="31" s="1"/>
  <c r="P298" i="31" s="1"/>
  <c r="T298" i="31" s="1"/>
  <c r="I179" i="31"/>
  <c r="J179" i="31" s="1"/>
  <c r="N225" i="31"/>
  <c r="O225" i="31" s="1"/>
  <c r="P225" i="31" s="1"/>
  <c r="T225" i="31" s="1"/>
  <c r="N185" i="31"/>
  <c r="O185" i="31" s="1"/>
  <c r="N280" i="31"/>
  <c r="O280" i="31" s="1"/>
  <c r="H250" i="31"/>
  <c r="G342" i="31"/>
  <c r="I162" i="31"/>
  <c r="J162" i="31" s="1"/>
  <c r="I137" i="31"/>
  <c r="J137" i="31" s="1"/>
  <c r="I109" i="31"/>
  <c r="J109" i="31" s="1"/>
  <c r="I233" i="31"/>
  <c r="J233" i="31" s="1"/>
  <c r="I208" i="31"/>
  <c r="J208" i="31" s="1"/>
  <c r="N127" i="31"/>
  <c r="O127" i="31" s="1"/>
  <c r="N270" i="31"/>
  <c r="O270" i="31" s="1"/>
  <c r="P270" i="31" s="1"/>
  <c r="T270" i="31" s="1"/>
  <c r="I156" i="31"/>
  <c r="J156" i="31" s="1"/>
  <c r="P156" i="31" s="1"/>
  <c r="T156" i="31" s="1"/>
  <c r="N277" i="31"/>
  <c r="O277" i="31" s="1"/>
  <c r="N318" i="31"/>
  <c r="O318" i="31" s="1"/>
  <c r="P318" i="31" s="1"/>
  <c r="T318" i="31" s="1"/>
  <c r="N294" i="31"/>
  <c r="O294" i="31" s="1"/>
  <c r="P294" i="31" s="1"/>
  <c r="T294" i="31" s="1"/>
  <c r="I152" i="31"/>
  <c r="J152" i="31" s="1"/>
  <c r="P152" i="31" s="1"/>
  <c r="T152" i="31" s="1"/>
  <c r="N186" i="31"/>
  <c r="O186" i="31" s="1"/>
  <c r="P186" i="31" s="1"/>
  <c r="T186" i="31" s="1"/>
  <c r="N160" i="31"/>
  <c r="O160" i="31" s="1"/>
  <c r="P160" i="31" s="1"/>
  <c r="T160" i="31" s="1"/>
  <c r="N266" i="31"/>
  <c r="O266" i="31" s="1"/>
  <c r="P266" i="31" s="1"/>
  <c r="T266" i="31" s="1"/>
  <c r="I73" i="31"/>
  <c r="J73" i="31" s="1"/>
  <c r="AB42" i="31"/>
  <c r="V42" i="31"/>
  <c r="I142" i="31"/>
  <c r="J142" i="31" s="1"/>
  <c r="I201" i="31"/>
  <c r="J201" i="31" s="1"/>
  <c r="N158" i="31"/>
  <c r="O158" i="31" s="1"/>
  <c r="N176" i="31"/>
  <c r="O176" i="31" s="1"/>
  <c r="P176" i="31" s="1"/>
  <c r="T176" i="31" s="1"/>
  <c r="P151" i="31"/>
  <c r="T151" i="31" s="1"/>
  <c r="G349" i="31"/>
  <c r="H257" i="31"/>
  <c r="P129" i="31"/>
  <c r="T129" i="31" s="1"/>
  <c r="P137" i="31"/>
  <c r="T137" i="31" s="1"/>
  <c r="T59" i="31"/>
  <c r="AC59" i="31" s="1"/>
  <c r="U59" i="31"/>
  <c r="P320" i="31"/>
  <c r="T320" i="31" s="1"/>
  <c r="V62" i="31"/>
  <c r="Z62" i="31" s="1"/>
  <c r="AB62" i="31"/>
  <c r="AB74" i="31" s="1"/>
  <c r="S205" i="31"/>
  <c r="T205" i="31" s="1"/>
  <c r="N119" i="31"/>
  <c r="O119" i="31" s="1"/>
  <c r="P119" i="31" s="1"/>
  <c r="T119" i="31" s="1"/>
  <c r="N271" i="31"/>
  <c r="O271" i="31" s="1"/>
  <c r="P271" i="31" s="1"/>
  <c r="T271" i="31" s="1"/>
  <c r="S196" i="31"/>
  <c r="T196" i="31" s="1"/>
  <c r="N81" i="31"/>
  <c r="O81" i="31" s="1"/>
  <c r="O35" i="31"/>
  <c r="I298" i="31"/>
  <c r="J298" i="31" s="1"/>
  <c r="I183" i="31"/>
  <c r="J183" i="31" s="1"/>
  <c r="S202" i="31"/>
  <c r="T202" i="31" s="1"/>
  <c r="N108" i="31"/>
  <c r="O108" i="31" s="1"/>
  <c r="P108" i="31" s="1"/>
  <c r="T108" i="31" s="1"/>
  <c r="I269" i="31"/>
  <c r="J269" i="31" s="1"/>
  <c r="N232" i="31"/>
  <c r="O232" i="31" s="1"/>
  <c r="P232" i="31" s="1"/>
  <c r="T232" i="31" s="1"/>
  <c r="L348" i="31"/>
  <c r="M256" i="31"/>
  <c r="I151" i="31"/>
  <c r="J151" i="31" s="1"/>
  <c r="N323" i="31"/>
  <c r="O323" i="31" s="1"/>
  <c r="I177" i="31"/>
  <c r="J177" i="31" s="1"/>
  <c r="I68" i="31"/>
  <c r="J68" i="31" s="1"/>
  <c r="N118" i="31"/>
  <c r="O118" i="31" s="1"/>
  <c r="P118" i="31" s="1"/>
  <c r="T118" i="31" s="1"/>
  <c r="L347" i="31"/>
  <c r="M255" i="31"/>
  <c r="N89" i="31"/>
  <c r="O89" i="31" s="1"/>
  <c r="AB89" i="31" s="1"/>
  <c r="O43" i="31"/>
  <c r="I62" i="31"/>
  <c r="J62" i="31" s="1"/>
  <c r="S44" i="31"/>
  <c r="H95" i="31"/>
  <c r="I49" i="31"/>
  <c r="H83" i="31"/>
  <c r="I37" i="31"/>
  <c r="I223" i="31"/>
  <c r="J223" i="31" s="1"/>
  <c r="I127" i="31"/>
  <c r="J127" i="31" s="1"/>
  <c r="S203" i="31"/>
  <c r="T203" i="31" s="1"/>
  <c r="G348" i="31"/>
  <c r="H256" i="31"/>
  <c r="H92" i="31"/>
  <c r="I46" i="31"/>
  <c r="I63" i="31"/>
  <c r="J63" i="31" s="1"/>
  <c r="N165" i="31"/>
  <c r="O165" i="31" s="1"/>
  <c r="P165" i="31" s="1"/>
  <c r="T165" i="31" s="1"/>
  <c r="H87" i="31"/>
  <c r="I41" i="31"/>
  <c r="N128" i="31"/>
  <c r="O128" i="31" s="1"/>
  <c r="P128" i="31" s="1"/>
  <c r="T128" i="31" s="1"/>
  <c r="V61" i="31"/>
  <c r="Z61" i="31" s="1"/>
  <c r="U61" i="31"/>
  <c r="AC61" i="31"/>
  <c r="P233" i="31"/>
  <c r="T233" i="31" s="1"/>
  <c r="U200" i="31"/>
  <c r="AC200" i="31"/>
  <c r="P157" i="31"/>
  <c r="T157" i="31" s="1"/>
  <c r="J50" i="31"/>
  <c r="N219" i="31"/>
  <c r="O219" i="31" s="1"/>
  <c r="I159" i="31"/>
  <c r="J159" i="31" s="1"/>
  <c r="I45" i="31"/>
  <c r="I58" i="31"/>
  <c r="J58" i="31" s="1"/>
  <c r="I48" i="31"/>
  <c r="I64" i="31"/>
  <c r="J64" i="31" s="1"/>
  <c r="I273" i="31"/>
  <c r="J273" i="31" s="1"/>
  <c r="P273" i="31" s="1"/>
  <c r="T273" i="31" s="1"/>
  <c r="L338" i="31"/>
  <c r="M246" i="31"/>
  <c r="O74" i="31"/>
  <c r="N187" i="31"/>
  <c r="O187" i="31" s="1"/>
  <c r="G335" i="31"/>
  <c r="H243" i="31"/>
  <c r="I150" i="31"/>
  <c r="J150" i="31" s="1"/>
  <c r="I220" i="31"/>
  <c r="J220" i="31" s="1"/>
  <c r="J235" i="31" s="1"/>
  <c r="I186" i="31"/>
  <c r="J186" i="31" s="1"/>
  <c r="S207" i="31"/>
  <c r="T207" i="31" s="1"/>
  <c r="S38" i="31"/>
  <c r="M252" i="31"/>
  <c r="L344" i="31"/>
  <c r="N324" i="31"/>
  <c r="O324" i="31" s="1"/>
  <c r="P324" i="31" s="1"/>
  <c r="T324" i="31" s="1"/>
  <c r="N178" i="31"/>
  <c r="O178" i="31" s="1"/>
  <c r="P178" i="31" s="1"/>
  <c r="T178" i="31" s="1"/>
  <c r="N104" i="31"/>
  <c r="O104" i="31" s="1"/>
  <c r="L342" i="31"/>
  <c r="M250" i="31"/>
  <c r="N293" i="31"/>
  <c r="O293" i="31" s="1"/>
  <c r="P293" i="31" s="1"/>
  <c r="T293" i="31" s="1"/>
  <c r="I164" i="31"/>
  <c r="J164" i="31" s="1"/>
  <c r="P164" i="31" s="1"/>
  <c r="T164" i="31" s="1"/>
  <c r="S201" i="31"/>
  <c r="T201" i="31" s="1"/>
  <c r="N105" i="31"/>
  <c r="O105" i="31" s="1"/>
  <c r="P105" i="31" s="1"/>
  <c r="T105" i="31" s="1"/>
  <c r="I268" i="31"/>
  <c r="J268" i="31" s="1"/>
  <c r="G345" i="31"/>
  <c r="H253" i="31"/>
  <c r="N114" i="31"/>
  <c r="O114" i="31" s="1"/>
  <c r="P114" i="31" s="1"/>
  <c r="T114" i="31" s="1"/>
  <c r="L341" i="31"/>
  <c r="M249" i="31"/>
  <c r="N220" i="31"/>
  <c r="O220" i="31" s="1"/>
  <c r="P220" i="31" s="1"/>
  <c r="T220" i="31" s="1"/>
  <c r="I313" i="31"/>
  <c r="J313" i="31" s="1"/>
  <c r="P313" i="31" s="1"/>
  <c r="T313" i="31" s="1"/>
  <c r="I229" i="31"/>
  <c r="J229" i="31" s="1"/>
  <c r="I70" i="31"/>
  <c r="J70" i="31" s="1"/>
  <c r="N130" i="31"/>
  <c r="O130" i="31" s="1"/>
  <c r="I71" i="31"/>
  <c r="J71" i="31" s="1"/>
  <c r="H94" i="31"/>
  <c r="S208" i="31"/>
  <c r="T208" i="31" s="1"/>
  <c r="I277" i="31"/>
  <c r="J277" i="31" s="1"/>
  <c r="J281" i="31" s="1"/>
  <c r="I202" i="31"/>
  <c r="J202" i="31" s="1"/>
  <c r="I114" i="31"/>
  <c r="J114" i="31" s="1"/>
  <c r="S206" i="31"/>
  <c r="T206" i="31" s="1"/>
  <c r="H93" i="31"/>
  <c r="I47" i="31"/>
  <c r="N224" i="31"/>
  <c r="O224" i="31" s="1"/>
  <c r="P224" i="31" s="1"/>
  <c r="T224" i="31" s="1"/>
  <c r="I278" i="31"/>
  <c r="J278" i="31" s="1"/>
  <c r="P278" i="31" s="1"/>
  <c r="T278" i="31" s="1"/>
  <c r="I279" i="31"/>
  <c r="J279" i="31" s="1"/>
  <c r="P279" i="31" s="1"/>
  <c r="T279" i="31" s="1"/>
  <c r="I136" i="31"/>
  <c r="J136" i="31" s="1"/>
  <c r="P229" i="31"/>
  <c r="T229" i="31" s="1"/>
  <c r="P113" i="31"/>
  <c r="T113" i="31" s="1"/>
  <c r="P183" i="31"/>
  <c r="T183" i="31" s="1"/>
  <c r="N86" i="31"/>
  <c r="O86" i="31" s="1"/>
  <c r="AB86" i="31" s="1"/>
  <c r="O40" i="31"/>
  <c r="J44" i="31"/>
  <c r="I90" i="31"/>
  <c r="J90" i="31" s="1"/>
  <c r="AC210" i="31"/>
  <c r="AE210" i="31"/>
  <c r="U210" i="31"/>
  <c r="V210" i="31" s="1"/>
  <c r="Z210" i="31" s="1"/>
  <c r="P139" i="31"/>
  <c r="T139" i="31" s="1"/>
  <c r="N115" i="31"/>
  <c r="O115" i="31" s="1"/>
  <c r="P115" i="31" s="1"/>
  <c r="T115" i="31" s="1"/>
  <c r="N109" i="31"/>
  <c r="O109" i="31" s="1"/>
  <c r="P109" i="31" s="1"/>
  <c r="T109" i="31" s="1"/>
  <c r="N153" i="31"/>
  <c r="O153" i="31" s="1"/>
  <c r="P153" i="31" s="1"/>
  <c r="T153" i="31" s="1"/>
  <c r="S37" i="31"/>
  <c r="S70" i="31"/>
  <c r="T70" i="31" s="1"/>
  <c r="N107" i="31"/>
  <c r="O107" i="31" s="1"/>
  <c r="S211" i="31"/>
  <c r="T211" i="31" s="1"/>
  <c r="S209" i="31"/>
  <c r="T209" i="31" s="1"/>
  <c r="H88" i="31"/>
  <c r="I42" i="31"/>
  <c r="I226" i="31"/>
  <c r="J226" i="31" s="1"/>
  <c r="P226" i="31" s="1"/>
  <c r="T226" i="31" s="1"/>
  <c r="I134" i="31"/>
  <c r="J134" i="31" s="1"/>
  <c r="N135" i="31"/>
  <c r="O135" i="31" s="1"/>
  <c r="P135" i="31" s="1"/>
  <c r="T135" i="31" s="1"/>
  <c r="I324" i="31"/>
  <c r="J324" i="31" s="1"/>
  <c r="N296" i="31"/>
  <c r="O296" i="31" s="1"/>
  <c r="P296" i="31" s="1"/>
  <c r="T296" i="31" s="1"/>
  <c r="I209" i="31"/>
  <c r="J209" i="31" s="1"/>
  <c r="I139" i="31"/>
  <c r="J139" i="31" s="1"/>
  <c r="S204" i="31"/>
  <c r="T204" i="31" s="1"/>
  <c r="H86" i="31"/>
  <c r="I40" i="31"/>
  <c r="N268" i="31"/>
  <c r="O268" i="31" s="1"/>
  <c r="P268" i="31" s="1"/>
  <c r="T268" i="31" s="1"/>
  <c r="N136" i="31"/>
  <c r="O136" i="31" s="1"/>
  <c r="N188" i="31"/>
  <c r="O188" i="31" s="1"/>
  <c r="P188" i="31" s="1"/>
  <c r="T188" i="31" s="1"/>
  <c r="I317" i="31"/>
  <c r="J317" i="31" s="1"/>
  <c r="I289" i="31"/>
  <c r="J289" i="31" s="1"/>
  <c r="P289" i="31" s="1"/>
  <c r="T289" i="31" s="1"/>
  <c r="I199" i="31"/>
  <c r="J199" i="31" s="1"/>
  <c r="N234" i="31"/>
  <c r="O234" i="31" s="1"/>
  <c r="N184" i="31"/>
  <c r="O184" i="31" s="1"/>
  <c r="P184" i="31" s="1"/>
  <c r="T184" i="31" s="1"/>
  <c r="G341" i="31"/>
  <c r="H249" i="31"/>
  <c r="N321" i="31"/>
  <c r="O321" i="31" s="1"/>
  <c r="P321" i="31" s="1"/>
  <c r="T321" i="31" s="1"/>
  <c r="N177" i="31"/>
  <c r="O177" i="31" s="1"/>
  <c r="P177" i="31" s="1"/>
  <c r="T177" i="31" s="1"/>
  <c r="N312" i="31"/>
  <c r="O312" i="31" s="1"/>
  <c r="P312" i="31" s="1"/>
  <c r="T312" i="31" s="1"/>
  <c r="L337" i="31"/>
  <c r="M245" i="31"/>
  <c r="H81" i="31"/>
  <c r="I35" i="31"/>
  <c r="I205" i="31"/>
  <c r="J205" i="31" s="1"/>
  <c r="I158" i="31"/>
  <c r="J158" i="31" s="1"/>
  <c r="N110" i="31"/>
  <c r="O110" i="31" s="1"/>
  <c r="P110" i="31" s="1"/>
  <c r="T110" i="31" s="1"/>
  <c r="G337" i="31"/>
  <c r="H245" i="31"/>
  <c r="N303" i="31"/>
  <c r="O303" i="31" s="1"/>
  <c r="N182" i="31"/>
  <c r="O182" i="31" s="1"/>
  <c r="P182" i="31" s="1"/>
  <c r="T182" i="31" s="1"/>
  <c r="I275" i="31"/>
  <c r="J275" i="31" s="1"/>
  <c r="P275" i="31" s="1"/>
  <c r="T275" i="31" s="1"/>
  <c r="N317" i="31"/>
  <c r="O317" i="31" s="1"/>
  <c r="I299" i="31"/>
  <c r="J299" i="31" s="1"/>
  <c r="I187" i="31"/>
  <c r="J187" i="31" s="1"/>
  <c r="G347" i="31"/>
  <c r="H255" i="31"/>
  <c r="AB50" i="31"/>
  <c r="V50" i="31"/>
  <c r="U72" i="31"/>
  <c r="T72" i="31"/>
  <c r="AC72" i="31" s="1"/>
  <c r="P180" i="31"/>
  <c r="T180" i="31" s="1"/>
  <c r="AB64" i="31"/>
  <c r="V64" i="31"/>
  <c r="Z64" i="31" s="1"/>
  <c r="H82" i="31"/>
  <c r="I36" i="31"/>
  <c r="N159" i="31"/>
  <c r="O159" i="31" s="1"/>
  <c r="N265" i="31"/>
  <c r="O265" i="31" s="1"/>
  <c r="M244" i="31"/>
  <c r="L336" i="31"/>
  <c r="S71" i="31"/>
  <c r="T71" i="31" s="1"/>
  <c r="G334" i="31"/>
  <c r="H242" i="31"/>
  <c r="N163" i="31"/>
  <c r="O163" i="31" s="1"/>
  <c r="P163" i="31" s="1"/>
  <c r="T163" i="31" s="1"/>
  <c r="I185" i="31"/>
  <c r="J185" i="31" s="1"/>
  <c r="I117" i="31"/>
  <c r="J117" i="31" s="1"/>
  <c r="N155" i="31"/>
  <c r="O155" i="31" s="1"/>
  <c r="P155" i="31" s="1"/>
  <c r="T155" i="31" s="1"/>
  <c r="S47" i="31"/>
  <c r="I303" i="31"/>
  <c r="J303" i="31" s="1"/>
  <c r="AB46" i="31"/>
  <c r="V46" i="31"/>
  <c r="I200" i="31"/>
  <c r="J200" i="31" s="1"/>
  <c r="AE200" i="31" s="1"/>
  <c r="I163" i="31"/>
  <c r="J163" i="31" s="1"/>
  <c r="I222" i="31"/>
  <c r="J222" i="31" s="1"/>
  <c r="P222" i="31" s="1"/>
  <c r="T222" i="31" s="1"/>
  <c r="I130" i="31"/>
  <c r="J130" i="31" s="1"/>
  <c r="N131" i="31"/>
  <c r="O131" i="31" s="1"/>
  <c r="P131" i="31" s="1"/>
  <c r="T131" i="31" s="1"/>
  <c r="L349" i="31"/>
  <c r="M257" i="31"/>
  <c r="I323" i="31"/>
  <c r="J323" i="31" s="1"/>
  <c r="N111" i="31"/>
  <c r="O111" i="31" s="1"/>
  <c r="P111" i="31" s="1"/>
  <c r="T111" i="31" s="1"/>
  <c r="I43" i="31"/>
  <c r="H89" i="31"/>
  <c r="N174" i="31"/>
  <c r="O174" i="31" s="1"/>
  <c r="O189" i="31" s="1"/>
  <c r="I326" i="31"/>
  <c r="J326" i="31" s="1"/>
  <c r="P326" i="31" s="1"/>
  <c r="T326" i="31" s="1"/>
  <c r="N297" i="31"/>
  <c r="O297" i="31" s="1"/>
  <c r="P297" i="31" s="1"/>
  <c r="T297" i="31" s="1"/>
  <c r="I174" i="31"/>
  <c r="J174" i="31" s="1"/>
  <c r="J189" i="31" s="1"/>
  <c r="N221" i="31"/>
  <c r="O221" i="31" s="1"/>
  <c r="P221" i="31" s="1"/>
  <c r="T221" i="31" s="1"/>
  <c r="N140" i="31"/>
  <c r="O140" i="31" s="1"/>
  <c r="P140" i="31" s="1"/>
  <c r="T140" i="31" s="1"/>
  <c r="I234" i="31"/>
  <c r="J234" i="31" s="1"/>
  <c r="I211" i="31"/>
  <c r="J211" i="31" s="1"/>
  <c r="I154" i="31"/>
  <c r="J154" i="31" s="1"/>
  <c r="P154" i="31" s="1"/>
  <c r="T154" i="31" s="1"/>
  <c r="N162" i="31"/>
  <c r="O162" i="31" s="1"/>
  <c r="P162" i="31" s="1"/>
  <c r="T162" i="31" s="1"/>
  <c r="I106" i="31"/>
  <c r="J106" i="31" s="1"/>
  <c r="P106" i="31" s="1"/>
  <c r="T106" i="31" s="1"/>
  <c r="I198" i="31"/>
  <c r="J198" i="31" s="1"/>
  <c r="AE198" i="31" s="1"/>
  <c r="S199" i="31"/>
  <c r="T199" i="31" s="1"/>
  <c r="N269" i="31"/>
  <c r="O269" i="31" s="1"/>
  <c r="P269" i="31" s="1"/>
  <c r="T269" i="31" s="1"/>
  <c r="N316" i="31"/>
  <c r="O316" i="31" s="1"/>
  <c r="P316" i="31" s="1"/>
  <c r="T316" i="31" s="1"/>
  <c r="N292" i="31"/>
  <c r="O292" i="31" s="1"/>
  <c r="P292" i="31" s="1"/>
  <c r="T292" i="31" s="1"/>
  <c r="I69" i="31"/>
  <c r="J69" i="31" s="1"/>
  <c r="S48" i="31"/>
  <c r="T311" i="31" l="1"/>
  <c r="U204" i="31"/>
  <c r="V204" i="31" s="1"/>
  <c r="Z204" i="31" s="1"/>
  <c r="AE204" i="31"/>
  <c r="AC204" i="31"/>
  <c r="V41" i="31"/>
  <c r="AB41" i="31"/>
  <c r="AC71" i="31"/>
  <c r="V71" i="31"/>
  <c r="Z71" i="31" s="1"/>
  <c r="U71" i="31"/>
  <c r="AE201" i="31"/>
  <c r="AC201" i="31"/>
  <c r="U201" i="31"/>
  <c r="V201" i="31" s="1"/>
  <c r="Z201" i="31" s="1"/>
  <c r="J74" i="31"/>
  <c r="U58" i="31"/>
  <c r="T58" i="31"/>
  <c r="I95" i="31"/>
  <c r="J95" i="31" s="1"/>
  <c r="U95" i="31" s="1"/>
  <c r="J49" i="31"/>
  <c r="H342" i="31"/>
  <c r="I250" i="31"/>
  <c r="M346" i="31"/>
  <c r="N254" i="31"/>
  <c r="P223" i="31"/>
  <c r="T223" i="31" s="1"/>
  <c r="H346" i="31"/>
  <c r="I254" i="31"/>
  <c r="AC198" i="31"/>
  <c r="J212" i="31"/>
  <c r="I88" i="31"/>
  <c r="J88" i="31" s="1"/>
  <c r="U88" i="31" s="1"/>
  <c r="J42" i="31"/>
  <c r="H335" i="31"/>
  <c r="I243" i="31"/>
  <c r="I92" i="31"/>
  <c r="J92" i="31" s="1"/>
  <c r="U92" i="31" s="1"/>
  <c r="J46" i="31"/>
  <c r="V82" i="31"/>
  <c r="Z82" i="31" s="1"/>
  <c r="Z36" i="31"/>
  <c r="AE209" i="31"/>
  <c r="AC209" i="31"/>
  <c r="U209" i="31"/>
  <c r="V209" i="31" s="1"/>
  <c r="Z209" i="31" s="1"/>
  <c r="AE208" i="31"/>
  <c r="U208" i="31"/>
  <c r="V208" i="31" s="1"/>
  <c r="Z208" i="31" s="1"/>
  <c r="AC208" i="31"/>
  <c r="M341" i="31"/>
  <c r="N249" i="31"/>
  <c r="M344" i="31"/>
  <c r="N252" i="31"/>
  <c r="P187" i="31"/>
  <c r="T187" i="31" s="1"/>
  <c r="I91" i="31"/>
  <c r="J91" i="31" s="1"/>
  <c r="U91" i="31" s="1"/>
  <c r="J45" i="31"/>
  <c r="I256" i="31"/>
  <c r="H348" i="31"/>
  <c r="U68" i="31"/>
  <c r="T68" i="31"/>
  <c r="AC68" i="31" s="1"/>
  <c r="O143" i="31"/>
  <c r="P127" i="31"/>
  <c r="P280" i="31"/>
  <c r="T280" i="31" s="1"/>
  <c r="H338" i="31"/>
  <c r="I246" i="31"/>
  <c r="O304" i="31"/>
  <c r="P288" i="31"/>
  <c r="M339" i="31"/>
  <c r="N247" i="31"/>
  <c r="U66" i="31"/>
  <c r="T66" i="31"/>
  <c r="AC66" i="31" s="1"/>
  <c r="H339" i="31"/>
  <c r="I247" i="31"/>
  <c r="M349" i="31"/>
  <c r="N257" i="31"/>
  <c r="V40" i="31"/>
  <c r="AB40" i="31"/>
  <c r="O166" i="31"/>
  <c r="P150" i="31"/>
  <c r="S93" i="31"/>
  <c r="T47" i="31"/>
  <c r="U69" i="31"/>
  <c r="T69" i="31"/>
  <c r="AC69" i="31" s="1"/>
  <c r="M336" i="31"/>
  <c r="N244" i="31"/>
  <c r="U211" i="31"/>
  <c r="V211" i="31" s="1"/>
  <c r="Z211" i="31" s="1"/>
  <c r="AE211" i="31"/>
  <c r="AC211" i="31"/>
  <c r="S84" i="31"/>
  <c r="T38" i="31"/>
  <c r="S90" i="31"/>
  <c r="T44" i="31"/>
  <c r="AC202" i="31"/>
  <c r="U202" i="31"/>
  <c r="V202" i="31" s="1"/>
  <c r="Z202" i="31" s="1"/>
  <c r="AE202" i="31"/>
  <c r="AE205" i="31"/>
  <c r="AC205" i="31"/>
  <c r="U205" i="31"/>
  <c r="V205" i="31" s="1"/>
  <c r="Z205" i="31" s="1"/>
  <c r="P158" i="31"/>
  <c r="T158" i="31" s="1"/>
  <c r="P185" i="31"/>
  <c r="T185" i="31" s="1"/>
  <c r="V39" i="31"/>
  <c r="AB39" i="31"/>
  <c r="M343" i="31"/>
  <c r="N251" i="31"/>
  <c r="AC67" i="31"/>
  <c r="V67" i="31"/>
  <c r="Z67" i="31" s="1"/>
  <c r="U67" i="31"/>
  <c r="P117" i="31"/>
  <c r="T117" i="31" s="1"/>
  <c r="J120" i="31"/>
  <c r="T73" i="31"/>
  <c r="AC73" i="31" s="1"/>
  <c r="U73" i="31"/>
  <c r="P317" i="31"/>
  <c r="T317" i="31" s="1"/>
  <c r="P136" i="31"/>
  <c r="T136" i="31" s="1"/>
  <c r="P107" i="31"/>
  <c r="T107" i="31" s="1"/>
  <c r="I93" i="31"/>
  <c r="J93" i="31" s="1"/>
  <c r="J47" i="31"/>
  <c r="N250" i="31"/>
  <c r="M342" i="31"/>
  <c r="U207" i="31"/>
  <c r="V207" i="31" s="1"/>
  <c r="Z207" i="31" s="1"/>
  <c r="AE207" i="31"/>
  <c r="AC207" i="31"/>
  <c r="M338" i="31"/>
  <c r="N246" i="31"/>
  <c r="O235" i="31"/>
  <c r="P219" i="31"/>
  <c r="V200" i="31"/>
  <c r="Z200" i="31" s="1"/>
  <c r="I87" i="31"/>
  <c r="J87" i="31" s="1"/>
  <c r="U87" i="31" s="1"/>
  <c r="J41" i="31"/>
  <c r="U203" i="31"/>
  <c r="V203" i="31" s="1"/>
  <c r="Z203" i="31" s="1"/>
  <c r="AC203" i="31"/>
  <c r="AE203" i="31"/>
  <c r="U62" i="31"/>
  <c r="T62" i="31"/>
  <c r="AC62" i="31" s="1"/>
  <c r="P323" i="31"/>
  <c r="T323" i="31" s="1"/>
  <c r="AE197" i="31"/>
  <c r="AC197" i="31"/>
  <c r="U197" i="31"/>
  <c r="V197" i="31" s="1"/>
  <c r="Z197" i="31" s="1"/>
  <c r="T65" i="31"/>
  <c r="AC65" i="31" s="1"/>
  <c r="U65" i="31"/>
  <c r="AC60" i="31"/>
  <c r="V60" i="31"/>
  <c r="U60" i="31"/>
  <c r="H344" i="31"/>
  <c r="I252" i="31"/>
  <c r="H337" i="31"/>
  <c r="I245" i="31"/>
  <c r="O281" i="31"/>
  <c r="P265" i="31"/>
  <c r="H341" i="31"/>
  <c r="I249" i="31"/>
  <c r="I89" i="31"/>
  <c r="J89" i="31" s="1"/>
  <c r="U89" i="31" s="1"/>
  <c r="J43" i="31"/>
  <c r="P159" i="31"/>
  <c r="T159" i="31" s="1"/>
  <c r="I81" i="31"/>
  <c r="J81" i="31" s="1"/>
  <c r="J35" i="31"/>
  <c r="V70" i="31"/>
  <c r="Z70" i="31" s="1"/>
  <c r="U70" i="31"/>
  <c r="AC70" i="31"/>
  <c r="P130" i="31"/>
  <c r="T130" i="31" s="1"/>
  <c r="I253" i="31"/>
  <c r="H345" i="31"/>
  <c r="T50" i="31"/>
  <c r="U50" i="31"/>
  <c r="J143" i="31"/>
  <c r="AB43" i="31"/>
  <c r="V43" i="31"/>
  <c r="I257" i="31"/>
  <c r="H349" i="31"/>
  <c r="M340" i="31"/>
  <c r="N248" i="31"/>
  <c r="AB49" i="31"/>
  <c r="V49" i="31"/>
  <c r="AB45" i="31"/>
  <c r="V45" i="31"/>
  <c r="H343" i="31"/>
  <c r="I251" i="31"/>
  <c r="M345" i="31"/>
  <c r="N253" i="31"/>
  <c r="H336" i="31"/>
  <c r="I244" i="31"/>
  <c r="I248" i="31"/>
  <c r="H340" i="31"/>
  <c r="J48" i="31"/>
  <c r="I94" i="31"/>
  <c r="J94" i="31" s="1"/>
  <c r="T212" i="31"/>
  <c r="U196" i="31"/>
  <c r="AE196" i="31"/>
  <c r="AC196" i="31"/>
  <c r="T173" i="31"/>
  <c r="P174" i="31"/>
  <c r="T174" i="31" s="1"/>
  <c r="I82" i="31"/>
  <c r="J82" i="31" s="1"/>
  <c r="U82" i="31" s="1"/>
  <c r="J36" i="31"/>
  <c r="V96" i="31"/>
  <c r="Z96" i="31" s="1"/>
  <c r="Z50" i="31"/>
  <c r="S83" i="31"/>
  <c r="T37" i="31"/>
  <c r="AE206" i="31"/>
  <c r="AC206" i="31"/>
  <c r="U206" i="31"/>
  <c r="V206" i="31" s="1"/>
  <c r="Z206" i="31" s="1"/>
  <c r="O120" i="31"/>
  <c r="P104" i="31"/>
  <c r="I96" i="31"/>
  <c r="J96" i="31" s="1"/>
  <c r="U96" i="31" s="1"/>
  <c r="N256" i="31"/>
  <c r="M348" i="31"/>
  <c r="V35" i="31"/>
  <c r="AB35" i="31"/>
  <c r="AB51" i="31" s="1"/>
  <c r="O51" i="31"/>
  <c r="V88" i="31"/>
  <c r="Z88" i="31" s="1"/>
  <c r="Z42" i="31"/>
  <c r="P299" i="31"/>
  <c r="T299" i="31" s="1"/>
  <c r="I85" i="31"/>
  <c r="J85" i="31" s="1"/>
  <c r="U85" i="31" s="1"/>
  <c r="J39" i="31"/>
  <c r="I255" i="31"/>
  <c r="H347" i="31"/>
  <c r="V198" i="31"/>
  <c r="Z198" i="31" s="1"/>
  <c r="M334" i="31"/>
  <c r="N242" i="31"/>
  <c r="S94" i="31"/>
  <c r="T48" i="31"/>
  <c r="I86" i="31"/>
  <c r="J86" i="31" s="1"/>
  <c r="U86" i="31" s="1"/>
  <c r="J40" i="31"/>
  <c r="U199" i="31"/>
  <c r="V199" i="31" s="1"/>
  <c r="Z199" i="31" s="1"/>
  <c r="AC199" i="31"/>
  <c r="AE199" i="31"/>
  <c r="V92" i="31"/>
  <c r="Z92" i="31" s="1"/>
  <c r="Z46" i="31"/>
  <c r="H334" i="31"/>
  <c r="I242" i="31"/>
  <c r="P303" i="31"/>
  <c r="T303" i="31" s="1"/>
  <c r="M337" i="31"/>
  <c r="N245" i="31"/>
  <c r="P234" i="31"/>
  <c r="T234" i="31" s="1"/>
  <c r="J166" i="31"/>
  <c r="U64" i="31"/>
  <c r="T64" i="31"/>
  <c r="AC64" i="31" s="1"/>
  <c r="U63" i="31"/>
  <c r="T63" i="31"/>
  <c r="AC63" i="31" s="1"/>
  <c r="I83" i="31"/>
  <c r="J83" i="31" s="1"/>
  <c r="J37" i="31"/>
  <c r="M347" i="31"/>
  <c r="N255" i="31"/>
  <c r="AB81" i="31"/>
  <c r="AB97" i="31" s="1"/>
  <c r="E23" i="31" s="1"/>
  <c r="O97" i="31"/>
  <c r="P277" i="31"/>
  <c r="T277" i="31" s="1"/>
  <c r="M335" i="31"/>
  <c r="N243" i="31"/>
  <c r="J304" i="31"/>
  <c r="P134" i="31"/>
  <c r="T134" i="31" s="1"/>
  <c r="J327" i="31"/>
  <c r="O327" i="31"/>
  <c r="U40" i="31" l="1"/>
  <c r="T40" i="31"/>
  <c r="I347" i="31"/>
  <c r="J347" i="31" s="1"/>
  <c r="J255" i="31"/>
  <c r="V81" i="31"/>
  <c r="Z35" i="31"/>
  <c r="P189" i="31"/>
  <c r="I349" i="31"/>
  <c r="J349" i="31" s="1"/>
  <c r="J257" i="31"/>
  <c r="P166" i="31"/>
  <c r="T150" i="31"/>
  <c r="T166" i="31" s="1"/>
  <c r="J243" i="31"/>
  <c r="I335" i="31"/>
  <c r="J335" i="31" s="1"/>
  <c r="U74" i="31"/>
  <c r="U41" i="31"/>
  <c r="T41" i="31"/>
  <c r="AC58" i="31"/>
  <c r="AC74" i="31" s="1"/>
  <c r="T74" i="31"/>
  <c r="U39" i="31"/>
  <c r="T39" i="31"/>
  <c r="T83" i="31"/>
  <c r="AC37" i="31"/>
  <c r="V37" i="31"/>
  <c r="U37" i="31"/>
  <c r="T189" i="31"/>
  <c r="V91" i="31"/>
  <c r="Z91" i="31" s="1"/>
  <c r="Z45" i="31"/>
  <c r="V89" i="31"/>
  <c r="Z89" i="31" s="1"/>
  <c r="Z43" i="31"/>
  <c r="I341" i="31"/>
  <c r="J341" i="31" s="1"/>
  <c r="J249" i="31"/>
  <c r="P143" i="31"/>
  <c r="T127" i="31"/>
  <c r="T143" i="31" s="1"/>
  <c r="N346" i="31"/>
  <c r="O346" i="31" s="1"/>
  <c r="O254" i="31"/>
  <c r="Z41" i="31"/>
  <c r="V87" i="31"/>
  <c r="Z87" i="31" s="1"/>
  <c r="N335" i="31"/>
  <c r="O335" i="31" s="1"/>
  <c r="P335" i="31" s="1"/>
  <c r="T335" i="31" s="1"/>
  <c r="O243" i="31"/>
  <c r="P243" i="31" s="1"/>
  <c r="T243" i="31" s="1"/>
  <c r="U43" i="31"/>
  <c r="T43" i="31"/>
  <c r="N343" i="31"/>
  <c r="O343" i="31" s="1"/>
  <c r="P343" i="31" s="1"/>
  <c r="T343" i="31" s="1"/>
  <c r="O251" i="31"/>
  <c r="U45" i="31"/>
  <c r="T45" i="31"/>
  <c r="N348" i="31"/>
  <c r="O348" i="31" s="1"/>
  <c r="O256" i="31"/>
  <c r="P256" i="31" s="1"/>
  <c r="T256" i="31" s="1"/>
  <c r="I340" i="31"/>
  <c r="J340" i="31" s="1"/>
  <c r="J248" i="31"/>
  <c r="Z60" i="31"/>
  <c r="Z74" i="31" s="1"/>
  <c r="V74" i="31"/>
  <c r="P235" i="31"/>
  <c r="T219" i="31"/>
  <c r="T235" i="31" s="1"/>
  <c r="N342" i="31"/>
  <c r="O342" i="31" s="1"/>
  <c r="O250" i="31"/>
  <c r="P250" i="31" s="1"/>
  <c r="T250" i="31" s="1"/>
  <c r="V85" i="31"/>
  <c r="Z85" i="31" s="1"/>
  <c r="Z39" i="31"/>
  <c r="N336" i="31"/>
  <c r="O336" i="31" s="1"/>
  <c r="O244" i="31"/>
  <c r="N339" i="31"/>
  <c r="O339" i="31" s="1"/>
  <c r="O247" i="31"/>
  <c r="O252" i="31"/>
  <c r="P252" i="31" s="1"/>
  <c r="T252" i="31" s="1"/>
  <c r="N344" i="31"/>
  <c r="O344" i="31" s="1"/>
  <c r="P344" i="31" s="1"/>
  <c r="T344" i="31" s="1"/>
  <c r="U42" i="31"/>
  <c r="T42" i="31"/>
  <c r="AC212" i="31"/>
  <c r="I336" i="31"/>
  <c r="J336" i="31" s="1"/>
  <c r="J244" i="31"/>
  <c r="Z49" i="31"/>
  <c r="V95" i="31"/>
  <c r="Z95" i="31" s="1"/>
  <c r="P281" i="31"/>
  <c r="T265" i="31"/>
  <c r="T281" i="31" s="1"/>
  <c r="AC44" i="31"/>
  <c r="T90" i="31"/>
  <c r="V44" i="31"/>
  <c r="U44" i="31"/>
  <c r="V86" i="31"/>
  <c r="Z86" i="31" s="1"/>
  <c r="Z40" i="31"/>
  <c r="I342" i="31"/>
  <c r="J342" i="31" s="1"/>
  <c r="J250" i="31"/>
  <c r="I343" i="31"/>
  <c r="J343" i="31" s="1"/>
  <c r="J251" i="31"/>
  <c r="I334" i="31"/>
  <c r="J334" i="31" s="1"/>
  <c r="J242" i="31"/>
  <c r="E26" i="31"/>
  <c r="O255" i="31"/>
  <c r="P255" i="31" s="1"/>
  <c r="T255" i="31" s="1"/>
  <c r="N347" i="31"/>
  <c r="O347" i="31" s="1"/>
  <c r="P347" i="31" s="1"/>
  <c r="T347" i="31" s="1"/>
  <c r="N334" i="31"/>
  <c r="O334" i="31" s="1"/>
  <c r="O242" i="31"/>
  <c r="T104" i="31"/>
  <c r="T120" i="31" s="1"/>
  <c r="F25" i="31" s="1"/>
  <c r="G25" i="31" s="1"/>
  <c r="P120" i="31"/>
  <c r="T35" i="31"/>
  <c r="U35" i="31"/>
  <c r="J51" i="31"/>
  <c r="N338" i="31"/>
  <c r="O338" i="31" s="1"/>
  <c r="O246" i="31"/>
  <c r="O257" i="31"/>
  <c r="P257" i="31" s="1"/>
  <c r="T257" i="31" s="1"/>
  <c r="N349" i="31"/>
  <c r="O349" i="31" s="1"/>
  <c r="P349" i="31" s="1"/>
  <c r="T349" i="31" s="1"/>
  <c r="P304" i="31"/>
  <c r="T288" i="31"/>
  <c r="T304" i="31" s="1"/>
  <c r="N341" i="31"/>
  <c r="O341" i="31" s="1"/>
  <c r="P341" i="31" s="1"/>
  <c r="T341" i="31" s="1"/>
  <c r="O249" i="31"/>
  <c r="P249" i="31" s="1"/>
  <c r="T249" i="31" s="1"/>
  <c r="I344" i="31"/>
  <c r="J344" i="31" s="1"/>
  <c r="J252" i="31"/>
  <c r="U48" i="31"/>
  <c r="AC48" i="31"/>
  <c r="V48" i="31"/>
  <c r="T94" i="31"/>
  <c r="U36" i="31"/>
  <c r="T36" i="31"/>
  <c r="U212" i="31"/>
  <c r="V196" i="31"/>
  <c r="N345" i="31"/>
  <c r="O345" i="31" s="1"/>
  <c r="O253" i="31"/>
  <c r="N340" i="31"/>
  <c r="O340" i="31" s="1"/>
  <c r="P340" i="31" s="1"/>
  <c r="T340" i="31" s="1"/>
  <c r="O248" i="31"/>
  <c r="P248" i="31" s="1"/>
  <c r="T248" i="31" s="1"/>
  <c r="AC50" i="31"/>
  <c r="T96" i="31"/>
  <c r="AC96" i="31" s="1"/>
  <c r="J97" i="31"/>
  <c r="U81" i="31"/>
  <c r="I337" i="31"/>
  <c r="J337" i="31" s="1"/>
  <c r="J245" i="31"/>
  <c r="T84" i="31"/>
  <c r="AC38" i="31"/>
  <c r="V38" i="31"/>
  <c r="U38" i="31"/>
  <c r="U49" i="31"/>
  <c r="T49" i="31"/>
  <c r="T327" i="31"/>
  <c r="I345" i="31"/>
  <c r="J345" i="31" s="1"/>
  <c r="J253" i="31"/>
  <c r="N337" i="31"/>
  <c r="O337" i="31" s="1"/>
  <c r="P337" i="31" s="1"/>
  <c r="T337" i="31" s="1"/>
  <c r="O245" i="31"/>
  <c r="P245" i="31" s="1"/>
  <c r="T245" i="31" s="1"/>
  <c r="V47" i="31"/>
  <c r="U47" i="31"/>
  <c r="T93" i="31"/>
  <c r="AC47" i="31"/>
  <c r="I339" i="31"/>
  <c r="J339" i="31" s="1"/>
  <c r="J247" i="31"/>
  <c r="I338" i="31"/>
  <c r="J338" i="31" s="1"/>
  <c r="J246" i="31"/>
  <c r="I348" i="31"/>
  <c r="J348" i="31" s="1"/>
  <c r="J256" i="31"/>
  <c r="T46" i="31"/>
  <c r="U46" i="31"/>
  <c r="I346" i="31"/>
  <c r="J346" i="31" s="1"/>
  <c r="J254" i="31"/>
  <c r="P327" i="31"/>
  <c r="U51" i="31" l="1"/>
  <c r="P342" i="31"/>
  <c r="T342" i="31" s="1"/>
  <c r="P348" i="31"/>
  <c r="T348" i="31" s="1"/>
  <c r="V83" i="31"/>
  <c r="Z83" i="31" s="1"/>
  <c r="Z37" i="31"/>
  <c r="Z51" i="31" s="1"/>
  <c r="U94" i="31"/>
  <c r="AC94" i="31"/>
  <c r="T51" i="31"/>
  <c r="T81" i="31"/>
  <c r="AC35" i="31"/>
  <c r="P247" i="31"/>
  <c r="T247" i="31" s="1"/>
  <c r="T91" i="31"/>
  <c r="AC91" i="31" s="1"/>
  <c r="AC45" i="31"/>
  <c r="U83" i="31"/>
  <c r="U97" i="31" s="1"/>
  <c r="AC83" i="31"/>
  <c r="V51" i="31"/>
  <c r="U84" i="31"/>
  <c r="AC84" i="31"/>
  <c r="Z48" i="31"/>
  <c r="V94" i="31"/>
  <c r="Z94" i="31" s="1"/>
  <c r="J258" i="31"/>
  <c r="P339" i="31"/>
  <c r="T339" i="31" s="1"/>
  <c r="T85" i="31"/>
  <c r="AC85" i="31" s="1"/>
  <c r="AC39" i="31"/>
  <c r="Z81" i="31"/>
  <c r="T82" i="31"/>
  <c r="AC82" i="31" s="1"/>
  <c r="AC36" i="31"/>
  <c r="J350" i="31"/>
  <c r="V90" i="31"/>
  <c r="Z90" i="31" s="1"/>
  <c r="Z44" i="31"/>
  <c r="P244" i="31"/>
  <c r="T244" i="31" s="1"/>
  <c r="P251" i="31"/>
  <c r="T251" i="31" s="1"/>
  <c r="P254" i="31"/>
  <c r="T254" i="31" s="1"/>
  <c r="V93" i="31"/>
  <c r="Z93" i="31" s="1"/>
  <c r="Z47" i="31"/>
  <c r="P253" i="31"/>
  <c r="T253" i="31" s="1"/>
  <c r="O258" i="31"/>
  <c r="P242" i="31"/>
  <c r="AC90" i="31"/>
  <c r="U90" i="31"/>
  <c r="P336" i="31"/>
  <c r="T336" i="31" s="1"/>
  <c r="P346" i="31"/>
  <c r="T346" i="31" s="1"/>
  <c r="V84" i="31"/>
  <c r="Z84" i="31" s="1"/>
  <c r="Z38" i="31"/>
  <c r="P345" i="31"/>
  <c r="T345" i="31" s="1"/>
  <c r="T92" i="31"/>
  <c r="AC92" i="31" s="1"/>
  <c r="AC46" i="31"/>
  <c r="U93" i="31"/>
  <c r="AC93" i="31"/>
  <c r="T95" i="31"/>
  <c r="AC95" i="31" s="1"/>
  <c r="AC49" i="31"/>
  <c r="V212" i="31"/>
  <c r="Z196" i="31"/>
  <c r="Z212" i="31" s="1"/>
  <c r="P246" i="31"/>
  <c r="T246" i="31" s="1"/>
  <c r="O350" i="31"/>
  <c r="P334" i="31"/>
  <c r="T88" i="31"/>
  <c r="AC88" i="31" s="1"/>
  <c r="AC42" i="31"/>
  <c r="T89" i="31"/>
  <c r="AC89" i="31" s="1"/>
  <c r="AC43" i="31"/>
  <c r="T86" i="31"/>
  <c r="AC86" i="31" s="1"/>
  <c r="AC40" i="31"/>
  <c r="P338" i="31"/>
  <c r="T338" i="31" s="1"/>
  <c r="T87" i="31"/>
  <c r="AC87" i="31" s="1"/>
  <c r="AC41" i="31"/>
  <c r="Z97" i="31" l="1"/>
  <c r="P350" i="31"/>
  <c r="T334" i="31"/>
  <c r="T350" i="31" s="1"/>
  <c r="F24" i="31" s="1"/>
  <c r="G24" i="31" s="1"/>
  <c r="V97" i="31"/>
  <c r="AC51" i="31"/>
  <c r="T97" i="31"/>
  <c r="AC81" i="31"/>
  <c r="AC97" i="31" s="1"/>
  <c r="F23" i="31" s="1"/>
  <c r="P258" i="31"/>
  <c r="T242" i="31"/>
  <c r="T258" i="31" s="1"/>
  <c r="F26" i="31" l="1"/>
  <c r="G26" i="31" s="1"/>
  <c r="G23" i="31"/>
  <c r="X114" i="19" l="1"/>
  <c r="X21" i="19" s="1"/>
  <c r="W114" i="19"/>
  <c r="W21" i="19" s="1"/>
  <c r="V114" i="19"/>
  <c r="V21" i="19" s="1"/>
  <c r="X113" i="19"/>
  <c r="X20" i="19" s="1"/>
  <c r="W113" i="19"/>
  <c r="W20" i="19" s="1"/>
  <c r="V113" i="19"/>
  <c r="V20" i="19" s="1"/>
  <c r="X112" i="19"/>
  <c r="X19" i="19" s="1"/>
  <c r="W112" i="19"/>
  <c r="W19" i="19" s="1"/>
  <c r="V112" i="19"/>
  <c r="V19" i="19" s="1"/>
  <c r="X111" i="19"/>
  <c r="X18" i="19" s="1"/>
  <c r="W111" i="19"/>
  <c r="W18" i="19" s="1"/>
  <c r="V111" i="19"/>
  <c r="V18" i="19" s="1"/>
  <c r="X110" i="19"/>
  <c r="X17" i="19" s="1"/>
  <c r="W110" i="19"/>
  <c r="W17" i="19" s="1"/>
  <c r="V110" i="19"/>
  <c r="V17" i="19" s="1"/>
  <c r="X109" i="19"/>
  <c r="X16" i="19" s="1"/>
  <c r="W109" i="19"/>
  <c r="W16" i="19" s="1"/>
  <c r="V109" i="19"/>
  <c r="V16" i="19" s="1"/>
  <c r="X108" i="19"/>
  <c r="X15" i="19" s="1"/>
  <c r="W108" i="19"/>
  <c r="W15" i="19" s="1"/>
  <c r="V108" i="19"/>
  <c r="V15" i="19" s="1"/>
  <c r="X107" i="19"/>
  <c r="X14" i="19" s="1"/>
  <c r="W107" i="19"/>
  <c r="W14" i="19" s="1"/>
  <c r="V107" i="19"/>
  <c r="V14" i="19" s="1"/>
  <c r="X106" i="19"/>
  <c r="X13" i="19" s="1"/>
  <c r="W106" i="19"/>
  <c r="W13" i="19" s="1"/>
  <c r="V106" i="19"/>
  <c r="V13" i="19" s="1"/>
  <c r="X105" i="19"/>
  <c r="X12" i="19" s="1"/>
  <c r="W105" i="19"/>
  <c r="W12" i="19" s="1"/>
  <c r="V105" i="19"/>
  <c r="V12" i="19" s="1"/>
  <c r="X104" i="19"/>
  <c r="X11" i="19" s="1"/>
  <c r="W104" i="19"/>
  <c r="W11" i="19" s="1"/>
  <c r="V104" i="19"/>
  <c r="V11" i="19" s="1"/>
  <c r="X103" i="19"/>
  <c r="X10" i="19" s="1"/>
  <c r="W103" i="19"/>
  <c r="W10" i="19" s="1"/>
  <c r="V103" i="19"/>
  <c r="V10" i="19" s="1"/>
  <c r="X102" i="19"/>
  <c r="X9" i="19" s="1"/>
  <c r="W102" i="19"/>
  <c r="W9" i="19" s="1"/>
  <c r="V102" i="19"/>
  <c r="V9" i="19" s="1"/>
  <c r="X101" i="19"/>
  <c r="X8" i="19" s="1"/>
  <c r="W101" i="19"/>
  <c r="W8" i="19" s="1"/>
  <c r="V101" i="19"/>
  <c r="V8" i="19" s="1"/>
  <c r="X100" i="19"/>
  <c r="X7" i="19" s="1"/>
  <c r="W100" i="19"/>
  <c r="W7" i="19" s="1"/>
  <c r="V100" i="19"/>
  <c r="V7" i="19" s="1"/>
  <c r="X99" i="19"/>
  <c r="X6" i="19" s="1"/>
  <c r="W99" i="19"/>
  <c r="W6" i="19" s="1"/>
  <c r="V99" i="19"/>
  <c r="V6" i="19" s="1"/>
  <c r="X69" i="19"/>
  <c r="X43" i="19" s="1"/>
  <c r="X68" i="19"/>
  <c r="X42" i="19" s="1"/>
  <c r="X67" i="19"/>
  <c r="X41" i="19" s="1"/>
  <c r="X66" i="19"/>
  <c r="X40" i="19" s="1"/>
  <c r="X65" i="19"/>
  <c r="X39" i="19" s="1"/>
  <c r="X64" i="19"/>
  <c r="X38" i="19" s="1"/>
  <c r="X63" i="19"/>
  <c r="X37" i="19" s="1"/>
  <c r="X62" i="19"/>
  <c r="X36" i="19" s="1"/>
  <c r="X61" i="19"/>
  <c r="X35" i="19" s="1"/>
  <c r="X60" i="19"/>
  <c r="X34" i="19" s="1"/>
  <c r="X59" i="19"/>
  <c r="X33" i="19" s="1"/>
  <c r="X58" i="19"/>
  <c r="X32" i="19" s="1"/>
  <c r="X57" i="19"/>
  <c r="X31" i="19" s="1"/>
  <c r="X56" i="19"/>
  <c r="X30" i="19" s="1"/>
  <c r="X55" i="19"/>
  <c r="X29" i="19" s="1"/>
  <c r="X54" i="19"/>
  <c r="X28" i="19" s="1"/>
  <c r="W69" i="19"/>
  <c r="W43" i="19" s="1"/>
  <c r="W68" i="19"/>
  <c r="W42" i="19" s="1"/>
  <c r="W67" i="19"/>
  <c r="W41" i="19" s="1"/>
  <c r="W66" i="19"/>
  <c r="W40" i="19" s="1"/>
  <c r="W65" i="19"/>
  <c r="W39" i="19" s="1"/>
  <c r="W64" i="19"/>
  <c r="W38" i="19" s="1"/>
  <c r="W63" i="19"/>
  <c r="W37" i="19" s="1"/>
  <c r="W62" i="19"/>
  <c r="W36" i="19" s="1"/>
  <c r="W61" i="19"/>
  <c r="W35" i="19" s="1"/>
  <c r="W60" i="19"/>
  <c r="W34" i="19" s="1"/>
  <c r="W59" i="19"/>
  <c r="W33" i="19" s="1"/>
  <c r="W58" i="19"/>
  <c r="W32" i="19" s="1"/>
  <c r="W57" i="19"/>
  <c r="W31" i="19" s="1"/>
  <c r="W56" i="19"/>
  <c r="W30" i="19" s="1"/>
  <c r="W55" i="19"/>
  <c r="W29" i="19" s="1"/>
  <c r="W54" i="19"/>
  <c r="W28" i="19" s="1"/>
  <c r="V69" i="19"/>
  <c r="V43" i="19" s="1"/>
  <c r="V68" i="19"/>
  <c r="V42" i="19" s="1"/>
  <c r="V67" i="19"/>
  <c r="V41" i="19" s="1"/>
  <c r="V66" i="19"/>
  <c r="V40" i="19" s="1"/>
  <c r="V65" i="19"/>
  <c r="V39" i="19" s="1"/>
  <c r="V64" i="19"/>
  <c r="V38" i="19" s="1"/>
  <c r="V63" i="19"/>
  <c r="V37" i="19" s="1"/>
  <c r="V62" i="19"/>
  <c r="V36" i="19" s="1"/>
  <c r="V61" i="19"/>
  <c r="V35" i="19" s="1"/>
  <c r="V60" i="19"/>
  <c r="V34" i="19" s="1"/>
  <c r="V59" i="19"/>
  <c r="V33" i="19" s="1"/>
  <c r="V58" i="19"/>
  <c r="V32" i="19" s="1"/>
  <c r="V57" i="19"/>
  <c r="V31" i="19" s="1"/>
  <c r="V56" i="19"/>
  <c r="V30" i="19" s="1"/>
  <c r="V55" i="19"/>
  <c r="V29" i="19" s="1"/>
  <c r="V54" i="19"/>
  <c r="V28" i="19" s="1"/>
  <c r="V44" i="19" l="1"/>
  <c r="W44" i="19"/>
  <c r="X44" i="19"/>
  <c r="V22" i="19"/>
  <c r="W22" i="19"/>
  <c r="X22" i="19"/>
  <c r="AB59" i="26" l="1"/>
  <c r="AC59" i="26" s="1"/>
  <c r="AD59" i="26" s="1"/>
  <c r="AE59" i="26" s="1"/>
  <c r="AF59" i="26" s="1"/>
  <c r="AG59" i="26" s="1"/>
  <c r="AH59" i="26" s="1"/>
  <c r="AB50" i="26"/>
  <c r="AH45" i="26"/>
  <c r="AG45" i="26"/>
  <c r="AF45" i="26"/>
  <c r="AG44" i="26"/>
  <c r="AF44" i="26"/>
  <c r="AE44" i="26"/>
  <c r="AB39" i="26"/>
  <c r="AC39" i="26" s="1"/>
  <c r="AD39" i="26" s="1"/>
  <c r="AE39" i="26" s="1"/>
  <c r="AF39" i="26" s="1"/>
  <c r="AG39" i="26" s="1"/>
  <c r="AH39" i="26" s="1"/>
  <c r="AH24" i="26"/>
  <c r="AG24" i="26"/>
  <c r="AF24" i="26"/>
  <c r="AE24" i="26"/>
  <c r="AD24" i="26"/>
  <c r="AC24" i="26"/>
  <c r="AB24" i="26"/>
  <c r="AH23" i="26"/>
  <c r="AG23" i="26"/>
  <c r="AF23" i="26"/>
  <c r="AE23" i="26"/>
  <c r="AD23" i="26"/>
  <c r="AC23" i="26"/>
  <c r="AB23" i="26"/>
  <c r="AH22" i="26"/>
  <c r="AG22" i="26"/>
  <c r="AF22" i="26"/>
  <c r="AE22" i="26"/>
  <c r="AD22" i="26"/>
  <c r="AC22" i="26"/>
  <c r="AB22" i="26"/>
  <c r="AH20" i="26"/>
  <c r="AG20" i="26"/>
  <c r="AF20" i="26"/>
  <c r="AE20" i="26"/>
  <c r="AD20" i="26"/>
  <c r="AC20" i="26"/>
  <c r="AB20" i="26"/>
  <c r="AH19" i="26"/>
  <c r="AG19" i="26"/>
  <c r="AF19" i="26"/>
  <c r="AE19" i="26"/>
  <c r="AD19" i="26"/>
  <c r="AC19" i="26"/>
  <c r="AB19" i="26"/>
  <c r="AH18" i="26"/>
  <c r="AG18" i="26"/>
  <c r="AF18" i="26"/>
  <c r="AE18" i="26"/>
  <c r="AD18" i="26"/>
  <c r="AC18" i="26"/>
  <c r="AB18" i="26"/>
  <c r="AH17" i="26"/>
  <c r="AG17" i="26"/>
  <c r="AF17" i="26"/>
  <c r="AE17" i="26"/>
  <c r="AD17" i="26"/>
  <c r="AC17" i="26"/>
  <c r="AB17" i="26"/>
  <c r="AB15" i="26"/>
  <c r="AC15" i="26" s="1"/>
  <c r="AD15" i="26" s="1"/>
  <c r="AE15" i="26" s="1"/>
  <c r="AF15" i="26" s="1"/>
  <c r="AG15" i="26" s="1"/>
  <c r="AH15" i="26" s="1"/>
  <c r="AH8" i="23"/>
  <c r="AG8" i="23"/>
  <c r="AF8" i="23"/>
  <c r="AE8" i="23"/>
  <c r="AD8" i="23"/>
  <c r="AC8" i="23"/>
  <c r="AB8" i="23"/>
  <c r="AH6" i="23"/>
  <c r="AG6" i="23"/>
  <c r="AF6" i="23"/>
  <c r="AE6" i="23"/>
  <c r="AD6" i="23"/>
  <c r="AC6" i="23"/>
  <c r="AB6" i="23"/>
  <c r="AH5" i="23"/>
  <c r="AG5" i="23"/>
  <c r="AF5" i="23"/>
  <c r="AE5" i="23"/>
  <c r="AD5" i="23"/>
  <c r="AC5" i="23"/>
  <c r="AB5" i="23"/>
  <c r="AD44" i="26" l="1"/>
  <c r="AD27" i="23"/>
  <c r="AH44" i="26"/>
  <c r="AH27" i="23"/>
  <c r="AE45" i="26"/>
  <c r="AG27" i="23"/>
  <c r="AB27" i="23"/>
  <c r="AF27" i="23"/>
  <c r="AE27" i="23"/>
  <c r="AC27" i="23"/>
  <c r="AB44" i="26"/>
  <c r="AC45" i="26"/>
  <c r="AB45" i="26"/>
  <c r="AC44" i="26"/>
  <c r="AD45" i="26"/>
  <c r="AC50" i="26"/>
  <c r="AD50" i="26" l="1"/>
  <c r="AE50" i="26" l="1"/>
  <c r="E29" i="23" l="1"/>
  <c r="E47" i="23" s="1"/>
  <c r="E48" i="23" s="1"/>
  <c r="AF50" i="26"/>
  <c r="G17" i="21"/>
  <c r="G15" i="21"/>
  <c r="G14" i="21"/>
  <c r="M10" i="21"/>
  <c r="M11" i="21"/>
  <c r="M12" i="21"/>
  <c r="M13" i="21"/>
  <c r="M14" i="21"/>
  <c r="M15" i="21"/>
  <c r="M16" i="21"/>
  <c r="M17" i="21"/>
  <c r="F29" i="23" l="1"/>
  <c r="AG50" i="26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E42" i="23"/>
  <c r="F59" i="26"/>
  <c r="G59" i="26"/>
  <c r="H59" i="26"/>
  <c r="I59" i="26"/>
  <c r="J59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E59" i="26"/>
  <c r="G29" i="23" l="1"/>
  <c r="AH50" i="26"/>
  <c r="D47" i="21"/>
  <c r="G16" i="21"/>
  <c r="G13" i="21"/>
  <c r="G12" i="21"/>
  <c r="G11" i="21"/>
  <c r="G18" i="21" s="1"/>
  <c r="H29" i="23" l="1"/>
  <c r="D43" i="21"/>
  <c r="D46" i="21"/>
  <c r="D42" i="21"/>
  <c r="D48" i="21"/>
  <c r="N16" i="21"/>
  <c r="N17" i="21"/>
  <c r="P16" i="21"/>
  <c r="O17" i="21"/>
  <c r="P17" i="21"/>
  <c r="N4" i="21"/>
  <c r="P6" i="21"/>
  <c r="O6" i="21"/>
  <c r="N6" i="21"/>
  <c r="I29" i="23" l="1"/>
  <c r="D45" i="21"/>
  <c r="D10" i="21"/>
  <c r="J29" i="23" l="1"/>
  <c r="W8" i="21"/>
  <c r="W6" i="21"/>
  <c r="K29" i="23" l="1"/>
  <c r="Q25" i="21"/>
  <c r="Q24" i="21"/>
  <c r="N21" i="19"/>
  <c r="M21" i="19"/>
  <c r="L21" i="19"/>
  <c r="K21" i="19"/>
  <c r="J21" i="19"/>
  <c r="I21" i="19"/>
  <c r="H21" i="19"/>
  <c r="G21" i="19"/>
  <c r="F21" i="19"/>
  <c r="E21" i="19"/>
  <c r="D21" i="19"/>
  <c r="C21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N9" i="19"/>
  <c r="M9" i="19"/>
  <c r="L9" i="19"/>
  <c r="K9" i="19"/>
  <c r="J9" i="19"/>
  <c r="I9" i="19"/>
  <c r="H9" i="19"/>
  <c r="G9" i="19"/>
  <c r="F9" i="19"/>
  <c r="E9" i="19"/>
  <c r="D9" i="19"/>
  <c r="C9" i="19"/>
  <c r="N8" i="19"/>
  <c r="M8" i="19"/>
  <c r="L8" i="19"/>
  <c r="K8" i="19"/>
  <c r="J8" i="19"/>
  <c r="I8" i="19"/>
  <c r="H8" i="19"/>
  <c r="G8" i="19"/>
  <c r="F8" i="19"/>
  <c r="E8" i="19"/>
  <c r="D8" i="19"/>
  <c r="C8" i="19"/>
  <c r="N7" i="19"/>
  <c r="M7" i="19"/>
  <c r="L7" i="19"/>
  <c r="K7" i="19"/>
  <c r="J7" i="19"/>
  <c r="I7" i="19"/>
  <c r="H7" i="19"/>
  <c r="G7" i="19"/>
  <c r="F7" i="19"/>
  <c r="E7" i="19"/>
  <c r="D7" i="19"/>
  <c r="C7" i="19"/>
  <c r="N6" i="19"/>
  <c r="N22" i="19" s="1"/>
  <c r="M6" i="19"/>
  <c r="M22" i="19" s="1"/>
  <c r="L6" i="19"/>
  <c r="L22" i="19" s="1"/>
  <c r="K6" i="19"/>
  <c r="K22" i="19" s="1"/>
  <c r="J6" i="19"/>
  <c r="J22" i="19" s="1"/>
  <c r="I6" i="19"/>
  <c r="I22" i="19" s="1"/>
  <c r="H6" i="19"/>
  <c r="H22" i="19" s="1"/>
  <c r="G6" i="19"/>
  <c r="G22" i="19" s="1"/>
  <c r="F6" i="19"/>
  <c r="F22" i="19" s="1"/>
  <c r="E6" i="19"/>
  <c r="E22" i="19" s="1"/>
  <c r="D6" i="19"/>
  <c r="D22" i="19" s="1"/>
  <c r="C6" i="19"/>
  <c r="C22" i="19" s="1"/>
  <c r="F249" i="19"/>
  <c r="J248" i="19"/>
  <c r="H248" i="19"/>
  <c r="D248" i="19"/>
  <c r="J247" i="19"/>
  <c r="H247" i="19"/>
  <c r="D247" i="19"/>
  <c r="J246" i="19"/>
  <c r="H246" i="19"/>
  <c r="D246" i="19"/>
  <c r="J245" i="19"/>
  <c r="H245" i="19"/>
  <c r="D245" i="19"/>
  <c r="J244" i="19"/>
  <c r="H244" i="19"/>
  <c r="D244" i="19"/>
  <c r="J243" i="19"/>
  <c r="H243" i="19"/>
  <c r="D243" i="19"/>
  <c r="J242" i="19"/>
  <c r="H242" i="19"/>
  <c r="D242" i="19"/>
  <c r="J241" i="19"/>
  <c r="H241" i="19"/>
  <c r="D241" i="19"/>
  <c r="J240" i="19"/>
  <c r="H240" i="19"/>
  <c r="D240" i="19"/>
  <c r="J239" i="19"/>
  <c r="H239" i="19"/>
  <c r="D239" i="19"/>
  <c r="J238" i="19"/>
  <c r="H238" i="19"/>
  <c r="D238" i="19"/>
  <c r="J237" i="19"/>
  <c r="H237" i="19"/>
  <c r="D237" i="19"/>
  <c r="J236" i="19"/>
  <c r="H236" i="19"/>
  <c r="D236" i="19"/>
  <c r="J235" i="19"/>
  <c r="H235" i="19"/>
  <c r="D235" i="19"/>
  <c r="J234" i="19"/>
  <c r="H234" i="19"/>
  <c r="D234" i="19"/>
  <c r="J233" i="19"/>
  <c r="J249" i="19" s="1"/>
  <c r="H233" i="19"/>
  <c r="H249" i="19" s="1"/>
  <c r="D233" i="19"/>
  <c r="D249" i="19" s="1"/>
  <c r="L29" i="23" l="1"/>
  <c r="C15" i="21"/>
  <c r="R15" i="21"/>
  <c r="R14" i="21"/>
  <c r="T14" i="21" s="1"/>
  <c r="L15" i="21"/>
  <c r="K15" i="21"/>
  <c r="L14" i="21"/>
  <c r="K14" i="21"/>
  <c r="J15" i="21"/>
  <c r="J14" i="21"/>
  <c r="Z15" i="21"/>
  <c r="F15" i="21"/>
  <c r="E15" i="21"/>
  <c r="Z14" i="21"/>
  <c r="F14" i="21"/>
  <c r="P14" i="21" s="1"/>
  <c r="E14" i="21"/>
  <c r="D15" i="21"/>
  <c r="N15" i="21" s="1"/>
  <c r="D14" i="21"/>
  <c r="N14" i="21" s="1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N12" i="24"/>
  <c r="M12" i="24"/>
  <c r="L12" i="24"/>
  <c r="K13" i="24"/>
  <c r="K12" i="24"/>
  <c r="F47" i="21" l="1"/>
  <c r="E47" i="21" s="1"/>
  <c r="T15" i="21"/>
  <c r="P15" i="21"/>
  <c r="Y15" i="21" s="1"/>
  <c r="X15" i="28" s="1"/>
  <c r="M29" i="23"/>
  <c r="O15" i="21"/>
  <c r="X15" i="21" s="1"/>
  <c r="W15" i="28" s="1"/>
  <c r="O14" i="21"/>
  <c r="X14" i="21" s="1"/>
  <c r="W14" i="28" s="1"/>
  <c r="I14" i="21"/>
  <c r="L47" i="21" s="1"/>
  <c r="W15" i="21"/>
  <c r="V15" i="28" s="1"/>
  <c r="H15" i="21"/>
  <c r="H15" i="28" s="1"/>
  <c r="W14" i="21"/>
  <c r="V14" i="28" s="1"/>
  <c r="Y14" i="21"/>
  <c r="X14" i="28" s="1"/>
  <c r="I15" i="21"/>
  <c r="H14" i="21"/>
  <c r="AA3" i="28"/>
  <c r="Z3" i="28"/>
  <c r="Y3" i="28"/>
  <c r="X3" i="28"/>
  <c r="W3" i="28"/>
  <c r="V3" i="28"/>
  <c r="U3" i="28"/>
  <c r="T3" i="28"/>
  <c r="R3" i="28"/>
  <c r="Q3" i="28"/>
  <c r="P3" i="28"/>
  <c r="O3" i="28"/>
  <c r="N3" i="28"/>
  <c r="M3" i="28"/>
  <c r="L3" i="28"/>
  <c r="K3" i="28"/>
  <c r="J3" i="28"/>
  <c r="I3" i="28"/>
  <c r="H3" i="28"/>
  <c r="G3" i="28"/>
  <c r="F3" i="28"/>
  <c r="E3" i="28"/>
  <c r="D3" i="28"/>
  <c r="Y15" i="28"/>
  <c r="R15" i="28"/>
  <c r="Q15" i="28"/>
  <c r="P15" i="28"/>
  <c r="N15" i="28"/>
  <c r="M15" i="28"/>
  <c r="L15" i="28"/>
  <c r="K15" i="28"/>
  <c r="J15" i="28"/>
  <c r="I15" i="28"/>
  <c r="G15" i="28"/>
  <c r="F15" i="28"/>
  <c r="E15" i="28"/>
  <c r="Y14" i="28"/>
  <c r="R14" i="28"/>
  <c r="Q14" i="28"/>
  <c r="P14" i="28"/>
  <c r="N14" i="28"/>
  <c r="M14" i="28"/>
  <c r="L14" i="28"/>
  <c r="K14" i="28"/>
  <c r="J14" i="28"/>
  <c r="G14" i="28"/>
  <c r="F14" i="28"/>
  <c r="E14" i="28"/>
  <c r="Q8" i="28"/>
  <c r="N8" i="28"/>
  <c r="Q7" i="28"/>
  <c r="N7" i="28"/>
  <c r="Q6" i="28"/>
  <c r="Q5" i="28"/>
  <c r="O5" i="28"/>
  <c r="Q4" i="28"/>
  <c r="D15" i="28"/>
  <c r="D14" i="28"/>
  <c r="C4" i="28"/>
  <c r="Q21" i="28"/>
  <c r="I14" i="28" l="1"/>
  <c r="N29" i="23"/>
  <c r="O15" i="28"/>
  <c r="U15" i="21"/>
  <c r="J47" i="21" s="1"/>
  <c r="V15" i="21"/>
  <c r="U15" i="28" s="1"/>
  <c r="H14" i="28"/>
  <c r="H47" i="21"/>
  <c r="V14" i="21"/>
  <c r="AB14" i="21" s="1"/>
  <c r="AA14" i="28" s="1"/>
  <c r="U14" i="21"/>
  <c r="T14" i="28" s="1"/>
  <c r="O14" i="28"/>
  <c r="D8" i="27"/>
  <c r="D7" i="27"/>
  <c r="D6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4" i="27"/>
  <c r="AB15" i="21" l="1"/>
  <c r="AA15" i="28" s="1"/>
  <c r="O29" i="23"/>
  <c r="N47" i="21"/>
  <c r="M47" i="21" s="1"/>
  <c r="T15" i="28"/>
  <c r="I47" i="21"/>
  <c r="AA15" i="21"/>
  <c r="Z15" i="28" s="1"/>
  <c r="U14" i="28"/>
  <c r="AA14" i="21"/>
  <c r="Z14" i="28" s="1"/>
  <c r="Z40" i="24"/>
  <c r="Y40" i="24"/>
  <c r="X40" i="24"/>
  <c r="W40" i="24"/>
  <c r="V40" i="24"/>
  <c r="P29" i="23" l="1"/>
  <c r="Q55" i="21"/>
  <c r="Q29" i="23" l="1"/>
  <c r="Q13" i="21"/>
  <c r="Q13" i="28" s="1"/>
  <c r="M13" i="28"/>
  <c r="L13" i="21"/>
  <c r="L13" i="28" s="1"/>
  <c r="K13" i="21"/>
  <c r="K13" i="28" s="1"/>
  <c r="J13" i="21"/>
  <c r="J13" i="28" s="1"/>
  <c r="G13" i="28"/>
  <c r="F13" i="21"/>
  <c r="E13" i="21"/>
  <c r="D13" i="21"/>
  <c r="Q17" i="21"/>
  <c r="Q17" i="28" s="1"/>
  <c r="P17" i="28"/>
  <c r="O17" i="28"/>
  <c r="M17" i="28"/>
  <c r="L17" i="21"/>
  <c r="L17" i="28" s="1"/>
  <c r="K17" i="21"/>
  <c r="K17" i="28" s="1"/>
  <c r="J17" i="21"/>
  <c r="J17" i="28" s="1"/>
  <c r="G17" i="28"/>
  <c r="F17" i="21"/>
  <c r="F17" i="28" s="1"/>
  <c r="E17" i="21"/>
  <c r="E17" i="28" s="1"/>
  <c r="D17" i="21"/>
  <c r="D17" i="28" s="1"/>
  <c r="N11" i="24"/>
  <c r="L11" i="24"/>
  <c r="K11" i="24"/>
  <c r="N8" i="24"/>
  <c r="M8" i="24"/>
  <c r="L8" i="24"/>
  <c r="K8" i="24"/>
  <c r="K7" i="24"/>
  <c r="R29" i="23" l="1"/>
  <c r="E13" i="28"/>
  <c r="O13" i="21"/>
  <c r="O13" i="28" s="1"/>
  <c r="D13" i="28"/>
  <c r="N13" i="21"/>
  <c r="N13" i="28" s="1"/>
  <c r="F13" i="28"/>
  <c r="P13" i="21"/>
  <c r="P13" i="28" s="1"/>
  <c r="D20" i="27"/>
  <c r="E20" i="27" s="1"/>
  <c r="N17" i="28"/>
  <c r="Y17" i="21"/>
  <c r="X17" i="28" s="1"/>
  <c r="X17" i="21"/>
  <c r="W17" i="28" s="1"/>
  <c r="V17" i="21"/>
  <c r="I17" i="21"/>
  <c r="I17" i="28" s="1"/>
  <c r="H17" i="21"/>
  <c r="H17" i="28" s="1"/>
  <c r="U17" i="21"/>
  <c r="I13" i="21"/>
  <c r="H13" i="21"/>
  <c r="H13" i="28" s="1"/>
  <c r="Z17" i="21"/>
  <c r="Y17" i="28" s="1"/>
  <c r="Z13" i="21"/>
  <c r="Y13" i="28" s="1"/>
  <c r="W17" i="21"/>
  <c r="V17" i="28" s="1"/>
  <c r="G16" i="28"/>
  <c r="D16" i="21"/>
  <c r="D16" i="28" s="1"/>
  <c r="Q16" i="21"/>
  <c r="Q16" i="28" s="1"/>
  <c r="W13" i="21" l="1"/>
  <c r="V13" i="28" s="1"/>
  <c r="X13" i="21"/>
  <c r="W13" i="28" s="1"/>
  <c r="S29" i="23"/>
  <c r="T17" i="28"/>
  <c r="J48" i="21"/>
  <c r="U17" i="28"/>
  <c r="N48" i="21"/>
  <c r="V13" i="21"/>
  <c r="D22" i="27"/>
  <c r="E22" i="27" s="1"/>
  <c r="Y13" i="21"/>
  <c r="X13" i="28" s="1"/>
  <c r="U13" i="21"/>
  <c r="I13" i="28"/>
  <c r="AA17" i="21"/>
  <c r="Z17" i="28" s="1"/>
  <c r="AB17" i="21"/>
  <c r="AA17" i="28" s="1"/>
  <c r="P16" i="28"/>
  <c r="M12" i="28"/>
  <c r="L12" i="21"/>
  <c r="L12" i="28" s="1"/>
  <c r="K12" i="21"/>
  <c r="K12" i="28" s="1"/>
  <c r="J12" i="21"/>
  <c r="J12" i="28" s="1"/>
  <c r="G12" i="28"/>
  <c r="F12" i="21"/>
  <c r="E12" i="21"/>
  <c r="D12" i="21"/>
  <c r="L11" i="21"/>
  <c r="K11" i="21"/>
  <c r="J11" i="21"/>
  <c r="F11" i="21"/>
  <c r="E11" i="21"/>
  <c r="D11" i="21"/>
  <c r="M16" i="28"/>
  <c r="L16" i="21"/>
  <c r="L16" i="28" s="1"/>
  <c r="J16" i="21"/>
  <c r="J16" i="28" s="1"/>
  <c r="F16" i="21"/>
  <c r="F16" i="28" s="1"/>
  <c r="E16" i="21"/>
  <c r="N10" i="24"/>
  <c r="Q12" i="21" s="1"/>
  <c r="Q12" i="28" s="1"/>
  <c r="N9" i="24"/>
  <c r="N6" i="24"/>
  <c r="L10" i="24"/>
  <c r="L9" i="24"/>
  <c r="L7" i="24"/>
  <c r="L6" i="24"/>
  <c r="K10" i="24"/>
  <c r="K9" i="24"/>
  <c r="N16" i="28"/>
  <c r="K6" i="24"/>
  <c r="T29" i="23" l="1"/>
  <c r="T13" i="28"/>
  <c r="J46" i="21"/>
  <c r="J45" i="21" s="1"/>
  <c r="U13" i="28"/>
  <c r="N46" i="21"/>
  <c r="N45" i="21" s="1"/>
  <c r="AA13" i="21"/>
  <c r="Z13" i="28" s="1"/>
  <c r="P11" i="21"/>
  <c r="P11" i="28" s="1"/>
  <c r="AB13" i="21"/>
  <c r="AA13" i="28" s="1"/>
  <c r="D12" i="28"/>
  <c r="N12" i="21"/>
  <c r="N11" i="21"/>
  <c r="N11" i="28" s="1"/>
  <c r="E12" i="28"/>
  <c r="O12" i="21"/>
  <c r="X12" i="21" s="1"/>
  <c r="W12" i="28" s="1"/>
  <c r="O11" i="21"/>
  <c r="O11" i="28" s="1"/>
  <c r="P12" i="21"/>
  <c r="P12" i="28" s="1"/>
  <c r="M11" i="28"/>
  <c r="D11" i="28"/>
  <c r="L11" i="28"/>
  <c r="G11" i="28"/>
  <c r="J11" i="28"/>
  <c r="E11" i="28"/>
  <c r="K11" i="28"/>
  <c r="F11" i="28"/>
  <c r="E16" i="28"/>
  <c r="F12" i="28"/>
  <c r="Z12" i="21"/>
  <c r="Y12" i="28" s="1"/>
  <c r="I16" i="21"/>
  <c r="I12" i="21"/>
  <c r="H12" i="21"/>
  <c r="H16" i="21"/>
  <c r="Q11" i="21"/>
  <c r="Q11" i="28" s="1"/>
  <c r="I11" i="21"/>
  <c r="L43" i="21" s="1"/>
  <c r="H11" i="21"/>
  <c r="H43" i="21" s="1"/>
  <c r="C10" i="26"/>
  <c r="C9" i="26"/>
  <c r="D19" i="26"/>
  <c r="Y11" i="21" l="1"/>
  <c r="X11" i="28" s="1"/>
  <c r="U29" i="23"/>
  <c r="H12" i="28"/>
  <c r="H46" i="21"/>
  <c r="I12" i="28"/>
  <c r="L46" i="21"/>
  <c r="I16" i="28"/>
  <c r="L48" i="21"/>
  <c r="M48" i="21" s="1"/>
  <c r="H16" i="28"/>
  <c r="H48" i="21"/>
  <c r="I48" i="21" s="1"/>
  <c r="Y12" i="21"/>
  <c r="X12" i="28" s="1"/>
  <c r="V12" i="21"/>
  <c r="U12" i="28" s="1"/>
  <c r="R12" i="21"/>
  <c r="O12" i="28"/>
  <c r="D21" i="27"/>
  <c r="E21" i="27" s="1"/>
  <c r="W12" i="21"/>
  <c r="V12" i="28" s="1"/>
  <c r="N12" i="28"/>
  <c r="U12" i="21"/>
  <c r="T12" i="28" s="1"/>
  <c r="I11" i="28"/>
  <c r="H11" i="28"/>
  <c r="U11" i="21"/>
  <c r="J43" i="21" s="1"/>
  <c r="I43" i="21" s="1"/>
  <c r="D23" i="27"/>
  <c r="E23" i="27" s="1"/>
  <c r="V11" i="21"/>
  <c r="N43" i="21" s="1"/>
  <c r="M43" i="21" s="1"/>
  <c r="W11" i="21"/>
  <c r="V11" i="28" s="1"/>
  <c r="X11" i="21"/>
  <c r="W11" i="28" s="1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D24" i="26"/>
  <c r="D23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D20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F50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R11" i="21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E8" i="23"/>
  <c r="D22" i="23"/>
  <c r="D20" i="23"/>
  <c r="F43" i="21" l="1"/>
  <c r="E43" i="21" s="1"/>
  <c r="T11" i="21"/>
  <c r="S11" i="28" s="1"/>
  <c r="R12" i="28"/>
  <c r="T12" i="21"/>
  <c r="S12" i="28" s="1"/>
  <c r="F21" i="27"/>
  <c r="G21" i="27" s="1"/>
  <c r="V29" i="23"/>
  <c r="AA12" i="21"/>
  <c r="Z12" i="28" s="1"/>
  <c r="F21" i="23"/>
  <c r="AG21" i="23"/>
  <c r="AF21" i="23"/>
  <c r="AD21" i="23"/>
  <c r="AE21" i="23"/>
  <c r="AB21" i="23"/>
  <c r="AH21" i="23"/>
  <c r="AC21" i="23"/>
  <c r="G23" i="23"/>
  <c r="AB23" i="23"/>
  <c r="AH23" i="23"/>
  <c r="AG23" i="23"/>
  <c r="AF23" i="23"/>
  <c r="AE23" i="23"/>
  <c r="AC23" i="23"/>
  <c r="AD23" i="23"/>
  <c r="M46" i="21"/>
  <c r="M45" i="21" s="1"/>
  <c r="L45" i="21"/>
  <c r="I46" i="21"/>
  <c r="I45" i="21" s="1"/>
  <c r="H45" i="21"/>
  <c r="AB12" i="21"/>
  <c r="AA12" i="28" s="1"/>
  <c r="F23" i="27"/>
  <c r="H23" i="27" s="1"/>
  <c r="I23" i="27" s="1"/>
  <c r="R11" i="28"/>
  <c r="Q23" i="28" s="1"/>
  <c r="AA11" i="21"/>
  <c r="Z11" i="28" s="1"/>
  <c r="T11" i="28"/>
  <c r="AB11" i="21"/>
  <c r="AA11" i="28" s="1"/>
  <c r="U11" i="28"/>
  <c r="U23" i="23"/>
  <c r="X23" i="23"/>
  <c r="Q23" i="23"/>
  <c r="H23" i="23"/>
  <c r="E23" i="23"/>
  <c r="Q57" i="21"/>
  <c r="G50" i="26"/>
  <c r="P23" i="23"/>
  <c r="N23" i="23"/>
  <c r="M23" i="23"/>
  <c r="Y23" i="23"/>
  <c r="I23" i="23"/>
  <c r="V23" i="23"/>
  <c r="F23" i="23"/>
  <c r="D23" i="23"/>
  <c r="T23" i="23"/>
  <c r="L23" i="23"/>
  <c r="AA23" i="23"/>
  <c r="S23" i="23"/>
  <c r="K23" i="23"/>
  <c r="Z23" i="23"/>
  <c r="R23" i="23"/>
  <c r="J23" i="23"/>
  <c r="W23" i="23"/>
  <c r="O23" i="23"/>
  <c r="W21" i="23"/>
  <c r="O21" i="23"/>
  <c r="G21" i="23"/>
  <c r="U21" i="23"/>
  <c r="E21" i="23"/>
  <c r="T21" i="23"/>
  <c r="AA21" i="23"/>
  <c r="S21" i="23"/>
  <c r="K21" i="23"/>
  <c r="Z21" i="23"/>
  <c r="R21" i="23"/>
  <c r="J21" i="23"/>
  <c r="M21" i="23"/>
  <c r="D21" i="23"/>
  <c r="L21" i="23"/>
  <c r="Y21" i="23"/>
  <c r="Q21" i="23"/>
  <c r="I21" i="23"/>
  <c r="X21" i="23"/>
  <c r="P21" i="23"/>
  <c r="H21" i="23"/>
  <c r="V21" i="23"/>
  <c r="N21" i="23"/>
  <c r="H21" i="27" l="1"/>
  <c r="I21" i="27" s="1"/>
  <c r="W29" i="23"/>
  <c r="G23" i="27"/>
  <c r="H50" i="26"/>
  <c r="AA6" i="23"/>
  <c r="Y6" i="23"/>
  <c r="Z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X29" i="23" l="1"/>
  <c r="I50" i="26"/>
  <c r="Q10" i="21"/>
  <c r="Q10" i="28" s="1"/>
  <c r="L10" i="21"/>
  <c r="K10" i="21"/>
  <c r="J10" i="21"/>
  <c r="N10" i="21" s="1"/>
  <c r="F10" i="21"/>
  <c r="E10" i="21"/>
  <c r="D9" i="28"/>
  <c r="E9" i="28"/>
  <c r="F9" i="28"/>
  <c r="G9" i="28"/>
  <c r="P6" i="24"/>
  <c r="R6" i="24"/>
  <c r="Q6" i="24"/>
  <c r="B19" i="24"/>
  <c r="Y29" i="23" l="1"/>
  <c r="O10" i="21"/>
  <c r="O10" i="28" s="1"/>
  <c r="X6" i="21"/>
  <c r="I10" i="21"/>
  <c r="L42" i="21" s="1"/>
  <c r="P10" i="21"/>
  <c r="P10" i="28" s="1"/>
  <c r="Y6" i="21"/>
  <c r="L10" i="28"/>
  <c r="L24" i="21"/>
  <c r="E10" i="28"/>
  <c r="E24" i="21"/>
  <c r="J10" i="28"/>
  <c r="J24" i="21"/>
  <c r="K10" i="28"/>
  <c r="K24" i="21"/>
  <c r="M10" i="28"/>
  <c r="M24" i="21"/>
  <c r="D10" i="28"/>
  <c r="D24" i="21"/>
  <c r="F10" i="28"/>
  <c r="F24" i="21"/>
  <c r="G10" i="28"/>
  <c r="G24" i="21"/>
  <c r="I9" i="28"/>
  <c r="H9" i="28"/>
  <c r="H10" i="21"/>
  <c r="H42" i="21" s="1"/>
  <c r="J50" i="26"/>
  <c r="AA5" i="23"/>
  <c r="Z5" i="23"/>
  <c r="Y5" i="23"/>
  <c r="X5" i="23"/>
  <c r="W5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Z29" i="23" l="1"/>
  <c r="H10" i="28"/>
  <c r="H24" i="21"/>
  <c r="I10" i="28"/>
  <c r="I24" i="21"/>
  <c r="D18" i="27"/>
  <c r="E18" i="27" s="1"/>
  <c r="N10" i="28"/>
  <c r="R10" i="21"/>
  <c r="T10" i="21" s="1"/>
  <c r="S10" i="28" s="1"/>
  <c r="V10" i="21"/>
  <c r="U10" i="21"/>
  <c r="K50" i="26"/>
  <c r="O6" i="24"/>
  <c r="F33" i="23"/>
  <c r="F47" i="23" s="1"/>
  <c r="F48" i="23" s="1"/>
  <c r="AA29" i="23" l="1"/>
  <c r="R10" i="28"/>
  <c r="Q22" i="28" s="1"/>
  <c r="AB10" i="21"/>
  <c r="AA10" i="28" s="1"/>
  <c r="U10" i="28"/>
  <c r="AA10" i="21"/>
  <c r="Z10" i="28" s="1"/>
  <c r="T10" i="28"/>
  <c r="Q56" i="21"/>
  <c r="R13" i="21" s="1"/>
  <c r="F18" i="27"/>
  <c r="L50" i="26"/>
  <c r="G33" i="23"/>
  <c r="G47" i="23" s="1"/>
  <c r="G48" i="23" s="1"/>
  <c r="Z11" i="21"/>
  <c r="Y11" i="28" s="1"/>
  <c r="Z16" i="21"/>
  <c r="Y16" i="28" s="1"/>
  <c r="Y16" i="21"/>
  <c r="X16" i="28" s="1"/>
  <c r="W16" i="21"/>
  <c r="V16" i="28" s="1"/>
  <c r="Z10" i="21"/>
  <c r="Y10" i="28" s="1"/>
  <c r="Y10" i="21"/>
  <c r="X10" i="28" s="1"/>
  <c r="X10" i="21"/>
  <c r="W10" i="28" s="1"/>
  <c r="W10" i="21"/>
  <c r="V10" i="28" s="1"/>
  <c r="X118" i="22"/>
  <c r="O9" i="21"/>
  <c r="Q9" i="21"/>
  <c r="Q18" i="21" s="1"/>
  <c r="P9" i="21"/>
  <c r="N9" i="21"/>
  <c r="AS484" i="22"/>
  <c r="X484" i="22"/>
  <c r="AP484" i="22" s="1"/>
  <c r="W484" i="22"/>
  <c r="AO484" i="22" s="1"/>
  <c r="V484" i="22"/>
  <c r="AN484" i="22" s="1"/>
  <c r="U484" i="22"/>
  <c r="AM484" i="22" s="1"/>
  <c r="S484" i="22"/>
  <c r="AK484" i="22" s="1"/>
  <c r="R484" i="22"/>
  <c r="AJ484" i="22" s="1"/>
  <c r="Q484" i="22"/>
  <c r="AI484" i="22" s="1"/>
  <c r="P484" i="22"/>
  <c r="AH484" i="22" s="1"/>
  <c r="O484" i="22"/>
  <c r="Y484" i="22" s="1"/>
  <c r="AQ484" i="22" s="1"/>
  <c r="J484" i="22"/>
  <c r="T484" i="22" s="1"/>
  <c r="AS483" i="22"/>
  <c r="AP483" i="22"/>
  <c r="AO483" i="22"/>
  <c r="AN483" i="22"/>
  <c r="AM483" i="22"/>
  <c r="AK483" i="22"/>
  <c r="AH483" i="22"/>
  <c r="Z483" i="22"/>
  <c r="AD483" i="22" s="1"/>
  <c r="Y483" i="22"/>
  <c r="AQ483" i="22" s="1"/>
  <c r="X483" i="22"/>
  <c r="W483" i="22"/>
  <c r="V483" i="22"/>
  <c r="U483" i="22"/>
  <c r="S483" i="22"/>
  <c r="R483" i="22"/>
  <c r="Q483" i="22"/>
  <c r="P483" i="22"/>
  <c r="O483" i="22"/>
  <c r="J483" i="22"/>
  <c r="T483" i="22" s="1"/>
  <c r="AS482" i="22"/>
  <c r="AO482" i="22"/>
  <c r="AM482" i="22"/>
  <c r="AK482" i="22"/>
  <c r="AJ482" i="22"/>
  <c r="AF482" i="22"/>
  <c r="Y482" i="22"/>
  <c r="AQ482" i="22" s="1"/>
  <c r="X482" i="22"/>
  <c r="AP482" i="22" s="1"/>
  <c r="W482" i="22"/>
  <c r="AB482" i="22" s="1"/>
  <c r="V482" i="22"/>
  <c r="AN482" i="22" s="1"/>
  <c r="U482" i="22"/>
  <c r="S482" i="22"/>
  <c r="R482" i="22"/>
  <c r="Q482" i="22"/>
  <c r="P482" i="22"/>
  <c r="O482" i="22"/>
  <c r="J482" i="22"/>
  <c r="T482" i="22" s="1"/>
  <c r="AS481" i="22"/>
  <c r="AN481" i="22"/>
  <c r="AK481" i="22"/>
  <c r="AJ481" i="22"/>
  <c r="X481" i="22"/>
  <c r="AP481" i="22" s="1"/>
  <c r="W481" i="22"/>
  <c r="V481" i="22"/>
  <c r="U481" i="22"/>
  <c r="AM481" i="22" s="1"/>
  <c r="S481" i="22"/>
  <c r="R481" i="22"/>
  <c r="Q481" i="22"/>
  <c r="AI481" i="22" s="1"/>
  <c r="P481" i="22"/>
  <c r="O481" i="22"/>
  <c r="Y481" i="22" s="1"/>
  <c r="AQ481" i="22" s="1"/>
  <c r="J481" i="22"/>
  <c r="T481" i="22" s="1"/>
  <c r="AL481" i="22" s="1"/>
  <c r="AS480" i="22"/>
  <c r="AM480" i="22"/>
  <c r="AL480" i="22"/>
  <c r="AK480" i="22"/>
  <c r="AJ480" i="22"/>
  <c r="AI480" i="22"/>
  <c r="X480" i="22"/>
  <c r="AP480" i="22" s="1"/>
  <c r="W480" i="22"/>
  <c r="V480" i="22"/>
  <c r="U480" i="22"/>
  <c r="T480" i="22"/>
  <c r="S480" i="22"/>
  <c r="R480" i="22"/>
  <c r="Q480" i="22"/>
  <c r="P480" i="22"/>
  <c r="AH480" i="22" s="1"/>
  <c r="O480" i="22"/>
  <c r="Y480" i="22" s="1"/>
  <c r="AQ480" i="22" s="1"/>
  <c r="J480" i="22"/>
  <c r="AS479" i="22"/>
  <c r="AQ479" i="22"/>
  <c r="AP479" i="22"/>
  <c r="AO479" i="22"/>
  <c r="AK479" i="22"/>
  <c r="AJ479" i="22"/>
  <c r="AI479" i="22"/>
  <c r="AH479" i="22"/>
  <c r="X479" i="22"/>
  <c r="W479" i="22"/>
  <c r="V479" i="22"/>
  <c r="U479" i="22"/>
  <c r="S479" i="22"/>
  <c r="AB479" i="22" s="1"/>
  <c r="AF479" i="22" s="1"/>
  <c r="R479" i="22"/>
  <c r="Q479" i="22"/>
  <c r="P479" i="22"/>
  <c r="O479" i="22"/>
  <c r="Y479" i="22" s="1"/>
  <c r="J479" i="22"/>
  <c r="T479" i="22" s="1"/>
  <c r="AS478" i="22"/>
  <c r="AQ478" i="22"/>
  <c r="AP478" i="22"/>
  <c r="AO478" i="22"/>
  <c r="AN478" i="22"/>
  <c r="AK478" i="22"/>
  <c r="AI478" i="22"/>
  <c r="AH478" i="22"/>
  <c r="AA478" i="22"/>
  <c r="AE478" i="22" s="1"/>
  <c r="Z478" i="22"/>
  <c r="AD478" i="22" s="1"/>
  <c r="Y478" i="22"/>
  <c r="X478" i="22"/>
  <c r="W478" i="22"/>
  <c r="V478" i="22"/>
  <c r="U478" i="22"/>
  <c r="AM478" i="22" s="1"/>
  <c r="T478" i="22"/>
  <c r="AL478" i="22" s="1"/>
  <c r="S478" i="22"/>
  <c r="R478" i="22"/>
  <c r="AB478" i="22" s="1"/>
  <c r="AF478" i="22" s="1"/>
  <c r="Q478" i="22"/>
  <c r="P478" i="22"/>
  <c r="O478" i="22"/>
  <c r="J478" i="22"/>
  <c r="AS477" i="22"/>
  <c r="AQ477" i="22"/>
  <c r="AP477" i="22"/>
  <c r="AO477" i="22"/>
  <c r="AN477" i="22"/>
  <c r="AM477" i="22"/>
  <c r="AJ477" i="22"/>
  <c r="AI477" i="22"/>
  <c r="AH477" i="22"/>
  <c r="AA477" i="22"/>
  <c r="AE477" i="22" s="1"/>
  <c r="Z477" i="22"/>
  <c r="AD477" i="22" s="1"/>
  <c r="Y477" i="22"/>
  <c r="X477" i="22"/>
  <c r="W477" i="22"/>
  <c r="V477" i="22"/>
  <c r="U477" i="22"/>
  <c r="T477" i="22"/>
  <c r="S477" i="22"/>
  <c r="AK477" i="22" s="1"/>
  <c r="R477" i="22"/>
  <c r="Q477" i="22"/>
  <c r="P477" i="22"/>
  <c r="O477" i="22"/>
  <c r="J477" i="22"/>
  <c r="AS476" i="22"/>
  <c r="AQ476" i="22"/>
  <c r="AP476" i="22"/>
  <c r="AO476" i="22"/>
  <c r="AN476" i="22"/>
  <c r="AM476" i="22"/>
  <c r="AI476" i="22"/>
  <c r="AA476" i="22"/>
  <c r="AE476" i="22" s="1"/>
  <c r="Z476" i="22"/>
  <c r="AD476" i="22" s="1"/>
  <c r="Y476" i="22"/>
  <c r="X476" i="22"/>
  <c r="W476" i="22"/>
  <c r="V476" i="22"/>
  <c r="U476" i="22"/>
  <c r="S476" i="22"/>
  <c r="AK476" i="22" s="1"/>
  <c r="R476" i="22"/>
  <c r="Q476" i="22"/>
  <c r="P476" i="22"/>
  <c r="AH476" i="22" s="1"/>
  <c r="O476" i="22"/>
  <c r="J476" i="22"/>
  <c r="T476" i="22" s="1"/>
  <c r="AS475" i="22"/>
  <c r="AP475" i="22"/>
  <c r="AN475" i="22"/>
  <c r="AM475" i="22"/>
  <c r="AK475" i="22"/>
  <c r="AH475" i="22"/>
  <c r="Z475" i="22"/>
  <c r="AD475" i="22" s="1"/>
  <c r="X475" i="22"/>
  <c r="W475" i="22"/>
  <c r="AO475" i="22" s="1"/>
  <c r="V475" i="22"/>
  <c r="U475" i="22"/>
  <c r="S475" i="22"/>
  <c r="R475" i="22"/>
  <c r="Q475" i="22"/>
  <c r="P475" i="22"/>
  <c r="O475" i="22"/>
  <c r="Y475" i="22" s="1"/>
  <c r="AQ475" i="22" s="1"/>
  <c r="J475" i="22"/>
  <c r="T475" i="22" s="1"/>
  <c r="AS474" i="22"/>
  <c r="AO474" i="22"/>
  <c r="AN474" i="22"/>
  <c r="AM474" i="22"/>
  <c r="AK474" i="22"/>
  <c r="AJ474" i="22"/>
  <c r="Y474" i="22"/>
  <c r="AQ474" i="22" s="1"/>
  <c r="X474" i="22"/>
  <c r="AP474" i="22" s="1"/>
  <c r="W474" i="22"/>
  <c r="V474" i="22"/>
  <c r="U474" i="22"/>
  <c r="S474" i="22"/>
  <c r="R474" i="22"/>
  <c r="Q474" i="22"/>
  <c r="P474" i="22"/>
  <c r="O474" i="22"/>
  <c r="J474" i="22"/>
  <c r="T474" i="22" s="1"/>
  <c r="AS473" i="22"/>
  <c r="AN473" i="22"/>
  <c r="AM473" i="22"/>
  <c r="AK473" i="22"/>
  <c r="AJ473" i="22"/>
  <c r="AI473" i="22"/>
  <c r="X473" i="22"/>
  <c r="AP473" i="22" s="1"/>
  <c r="W473" i="22"/>
  <c r="V473" i="22"/>
  <c r="AA473" i="22" s="1"/>
  <c r="AE473" i="22" s="1"/>
  <c r="U473" i="22"/>
  <c r="S473" i="22"/>
  <c r="R473" i="22"/>
  <c r="Q473" i="22"/>
  <c r="P473" i="22"/>
  <c r="O473" i="22"/>
  <c r="Y473" i="22" s="1"/>
  <c r="AQ473" i="22" s="1"/>
  <c r="J473" i="22"/>
  <c r="T473" i="22" s="1"/>
  <c r="AS472" i="22"/>
  <c r="AP472" i="22"/>
  <c r="AM472" i="22"/>
  <c r="AL472" i="22"/>
  <c r="AK472" i="22"/>
  <c r="AJ472" i="22"/>
  <c r="AI472" i="22"/>
  <c r="AH472" i="22"/>
  <c r="AC472" i="22"/>
  <c r="AG472" i="22" s="1"/>
  <c r="AB472" i="22"/>
  <c r="AF472" i="22" s="1"/>
  <c r="X472" i="22"/>
  <c r="W472" i="22"/>
  <c r="AO472" i="22" s="1"/>
  <c r="V472" i="22"/>
  <c r="U472" i="22"/>
  <c r="Z472" i="22" s="1"/>
  <c r="AD472" i="22" s="1"/>
  <c r="T472" i="22"/>
  <c r="S472" i="22"/>
  <c r="R472" i="22"/>
  <c r="Q472" i="22"/>
  <c r="P472" i="22"/>
  <c r="O472" i="22"/>
  <c r="Y472" i="22" s="1"/>
  <c r="AQ472" i="22" s="1"/>
  <c r="J472" i="22"/>
  <c r="AS471" i="22"/>
  <c r="AQ471" i="22"/>
  <c r="AP471" i="22"/>
  <c r="AO471" i="22"/>
  <c r="AJ471" i="22"/>
  <c r="AI471" i="22"/>
  <c r="AH471" i="22"/>
  <c r="Y471" i="22"/>
  <c r="X471" i="22"/>
  <c r="W471" i="22"/>
  <c r="V471" i="22"/>
  <c r="AN471" i="22" s="1"/>
  <c r="U471" i="22"/>
  <c r="S471" i="22"/>
  <c r="AK471" i="22" s="1"/>
  <c r="R471" i="22"/>
  <c r="Q471" i="22"/>
  <c r="P471" i="22"/>
  <c r="O471" i="22"/>
  <c r="J471" i="22"/>
  <c r="T471" i="22" s="1"/>
  <c r="AC471" i="22" s="1"/>
  <c r="AG471" i="22" s="1"/>
  <c r="AS470" i="22"/>
  <c r="AQ470" i="22"/>
  <c r="AP470" i="22"/>
  <c r="AO470" i="22"/>
  <c r="AN470" i="22"/>
  <c r="AJ470" i="22"/>
  <c r="AI470" i="22"/>
  <c r="AH470" i="22"/>
  <c r="AA470" i="22"/>
  <c r="AE470" i="22" s="1"/>
  <c r="Y470" i="22"/>
  <c r="X470" i="22"/>
  <c r="W470" i="22"/>
  <c r="V470" i="22"/>
  <c r="U470" i="22"/>
  <c r="AM470" i="22" s="1"/>
  <c r="T470" i="22"/>
  <c r="S470" i="22"/>
  <c r="AK470" i="22" s="1"/>
  <c r="R470" i="22"/>
  <c r="Q470" i="22"/>
  <c r="P470" i="22"/>
  <c r="O470" i="22"/>
  <c r="J470" i="22"/>
  <c r="AS469" i="22"/>
  <c r="AQ469" i="22"/>
  <c r="AP469" i="22"/>
  <c r="AO469" i="22"/>
  <c r="AN469" i="22"/>
  <c r="AM469" i="22"/>
  <c r="AJ469" i="22"/>
  <c r="AI469" i="22"/>
  <c r="AH469" i="22"/>
  <c r="AB469" i="22"/>
  <c r="AF469" i="22" s="1"/>
  <c r="Z469" i="22"/>
  <c r="AD469" i="22" s="1"/>
  <c r="Y469" i="22"/>
  <c r="X469" i="22"/>
  <c r="W469" i="22"/>
  <c r="V469" i="22"/>
  <c r="U469" i="22"/>
  <c r="T469" i="22"/>
  <c r="S469" i="22"/>
  <c r="AK469" i="22" s="1"/>
  <c r="R469" i="22"/>
  <c r="Q469" i="22"/>
  <c r="AA469" i="22" s="1"/>
  <c r="AE469" i="22" s="1"/>
  <c r="P469" i="22"/>
  <c r="O469" i="22"/>
  <c r="J469" i="22"/>
  <c r="AS468" i="22"/>
  <c r="AQ468" i="22"/>
  <c r="AO468" i="22"/>
  <c r="AN468" i="22"/>
  <c r="AM468" i="22"/>
  <c r="AI468" i="22"/>
  <c r="Y468" i="22"/>
  <c r="X468" i="22"/>
  <c r="AP468" i="22" s="1"/>
  <c r="W468" i="22"/>
  <c r="V468" i="22"/>
  <c r="U468" i="22"/>
  <c r="S468" i="22"/>
  <c r="AK468" i="22" s="1"/>
  <c r="R468" i="22"/>
  <c r="Q468" i="22"/>
  <c r="AA468" i="22" s="1"/>
  <c r="AE468" i="22" s="1"/>
  <c r="P468" i="22"/>
  <c r="Z468" i="22" s="1"/>
  <c r="AD468" i="22" s="1"/>
  <c r="O468" i="22"/>
  <c r="J468" i="22"/>
  <c r="T468" i="22" s="1"/>
  <c r="AS467" i="22"/>
  <c r="AP467" i="22"/>
  <c r="AO467" i="22"/>
  <c r="AN467" i="22"/>
  <c r="AM467" i="22"/>
  <c r="AK467" i="22"/>
  <c r="AH467" i="22"/>
  <c r="Z467" i="22"/>
  <c r="AD467" i="22" s="1"/>
  <c r="X467" i="22"/>
  <c r="W467" i="22"/>
  <c r="V467" i="22"/>
  <c r="U467" i="22"/>
  <c r="S467" i="22"/>
  <c r="R467" i="22"/>
  <c r="Q467" i="22"/>
  <c r="P467" i="22"/>
  <c r="O467" i="22"/>
  <c r="Y467" i="22" s="1"/>
  <c r="AQ467" i="22" s="1"/>
  <c r="J467" i="22"/>
  <c r="T467" i="22" s="1"/>
  <c r="AS466" i="22"/>
  <c r="AO466" i="22"/>
  <c r="AM466" i="22"/>
  <c r="AL466" i="22"/>
  <c r="AK466" i="22"/>
  <c r="AJ466" i="22"/>
  <c r="Y466" i="22"/>
  <c r="AQ466" i="22" s="1"/>
  <c r="X466" i="22"/>
  <c r="AP466" i="22" s="1"/>
  <c r="W466" i="22"/>
  <c r="V466" i="22"/>
  <c r="AN466" i="22" s="1"/>
  <c r="U466" i="22"/>
  <c r="S466" i="22"/>
  <c r="R466" i="22"/>
  <c r="Q466" i="22"/>
  <c r="P466" i="22"/>
  <c r="O466" i="22"/>
  <c r="J466" i="22"/>
  <c r="T466" i="22" s="1"/>
  <c r="AS465" i="22"/>
  <c r="AN465" i="22"/>
  <c r="AM465" i="22"/>
  <c r="AK465" i="22"/>
  <c r="AJ465" i="22"/>
  <c r="AI465" i="22"/>
  <c r="AE465" i="22"/>
  <c r="X465" i="22"/>
  <c r="AP465" i="22" s="1"/>
  <c r="W465" i="22"/>
  <c r="V465" i="22"/>
  <c r="AA465" i="22" s="1"/>
  <c r="U465" i="22"/>
  <c r="T465" i="22"/>
  <c r="AL465" i="22" s="1"/>
  <c r="S465" i="22"/>
  <c r="R465" i="22"/>
  <c r="Q465" i="22"/>
  <c r="P465" i="22"/>
  <c r="O465" i="22"/>
  <c r="Y465" i="22" s="1"/>
  <c r="J465" i="22"/>
  <c r="AS464" i="22"/>
  <c r="AP464" i="22"/>
  <c r="AM464" i="22"/>
  <c r="AK464" i="22"/>
  <c r="AJ464" i="22"/>
  <c r="AI464" i="22"/>
  <c r="AH464" i="22"/>
  <c r="AD464" i="22"/>
  <c r="AA464" i="22"/>
  <c r="AE464" i="22" s="1"/>
  <c r="X464" i="22"/>
  <c r="W464" i="22"/>
  <c r="AO464" i="22" s="1"/>
  <c r="V464" i="22"/>
  <c r="AN464" i="22" s="1"/>
  <c r="U464" i="22"/>
  <c r="Z464" i="22" s="1"/>
  <c r="T464" i="22"/>
  <c r="S464" i="22"/>
  <c r="AB464" i="22" s="1"/>
  <c r="AF464" i="22" s="1"/>
  <c r="R464" i="22"/>
  <c r="Q464" i="22"/>
  <c r="P464" i="22"/>
  <c r="O464" i="22"/>
  <c r="Y464" i="22" s="1"/>
  <c r="AQ464" i="22" s="1"/>
  <c r="J464" i="22"/>
  <c r="AS463" i="22"/>
  <c r="AQ463" i="22"/>
  <c r="AP463" i="22"/>
  <c r="AO463" i="22"/>
  <c r="AL463" i="22"/>
  <c r="AI463" i="22"/>
  <c r="AH463" i="22"/>
  <c r="AD463" i="22"/>
  <c r="AA463" i="22"/>
  <c r="AE463" i="22" s="1"/>
  <c r="Z463" i="22"/>
  <c r="Y463" i="22"/>
  <c r="X463" i="22"/>
  <c r="W463" i="22"/>
  <c r="V463" i="22"/>
  <c r="AN463" i="22" s="1"/>
  <c r="U463" i="22"/>
  <c r="AM463" i="22" s="1"/>
  <c r="S463" i="22"/>
  <c r="AK463" i="22" s="1"/>
  <c r="R463" i="22"/>
  <c r="Q463" i="22"/>
  <c r="P463" i="22"/>
  <c r="O463" i="22"/>
  <c r="J463" i="22"/>
  <c r="T463" i="22" s="1"/>
  <c r="AC463" i="22" s="1"/>
  <c r="AG463" i="22" s="1"/>
  <c r="AS462" i="22"/>
  <c r="AP462" i="22"/>
  <c r="AO462" i="22"/>
  <c r="AN462" i="22"/>
  <c r="AJ462" i="22"/>
  <c r="AI462" i="22"/>
  <c r="AC462" i="22"/>
  <c r="AG462" i="22" s="1"/>
  <c r="AB462" i="22"/>
  <c r="AF462" i="22" s="1"/>
  <c r="Y462" i="22"/>
  <c r="AQ462" i="22" s="1"/>
  <c r="X462" i="22"/>
  <c r="W462" i="22"/>
  <c r="V462" i="22"/>
  <c r="U462" i="22"/>
  <c r="AM462" i="22" s="1"/>
  <c r="T462" i="22"/>
  <c r="AL462" i="22" s="1"/>
  <c r="S462" i="22"/>
  <c r="AK462" i="22" s="1"/>
  <c r="R462" i="22"/>
  <c r="Q462" i="22"/>
  <c r="AA462" i="22" s="1"/>
  <c r="AE462" i="22" s="1"/>
  <c r="P462" i="22"/>
  <c r="O462" i="22"/>
  <c r="J462" i="22"/>
  <c r="AS461" i="22"/>
  <c r="AN461" i="22"/>
  <c r="AM461" i="22"/>
  <c r="AA461" i="22"/>
  <c r="AE461" i="22" s="1"/>
  <c r="X461" i="22"/>
  <c r="AP461" i="22" s="1"/>
  <c r="W461" i="22"/>
  <c r="AO461" i="22" s="1"/>
  <c r="V461" i="22"/>
  <c r="U461" i="22"/>
  <c r="T461" i="22"/>
  <c r="S461" i="22"/>
  <c r="AK461" i="22" s="1"/>
  <c r="R461" i="22"/>
  <c r="Q461" i="22"/>
  <c r="AI461" i="22" s="1"/>
  <c r="P461" i="22"/>
  <c r="Z461" i="22" s="1"/>
  <c r="AD461" i="22" s="1"/>
  <c r="O461" i="22"/>
  <c r="Y461" i="22" s="1"/>
  <c r="AQ461" i="22" s="1"/>
  <c r="J461" i="22"/>
  <c r="AS460" i="22"/>
  <c r="AQ460" i="22"/>
  <c r="AP460" i="22"/>
  <c r="AO460" i="22"/>
  <c r="AM460" i="22"/>
  <c r="AL460" i="22"/>
  <c r="Z460" i="22"/>
  <c r="AD460" i="22" s="1"/>
  <c r="Y460" i="22"/>
  <c r="X460" i="22"/>
  <c r="W460" i="22"/>
  <c r="V460" i="22"/>
  <c r="AN460" i="22" s="1"/>
  <c r="U460" i="22"/>
  <c r="S460" i="22"/>
  <c r="AK460" i="22" s="1"/>
  <c r="R460" i="22"/>
  <c r="Q460" i="22"/>
  <c r="AI460" i="22" s="1"/>
  <c r="P460" i="22"/>
  <c r="AH460" i="22" s="1"/>
  <c r="O460" i="22"/>
  <c r="J460" i="22"/>
  <c r="T460" i="22" s="1"/>
  <c r="AC460" i="22" s="1"/>
  <c r="AG460" i="22" s="1"/>
  <c r="AS459" i="22"/>
  <c r="AN459" i="22"/>
  <c r="AM459" i="22"/>
  <c r="AK459" i="22"/>
  <c r="AH459" i="22"/>
  <c r="AD459" i="22"/>
  <c r="Z459" i="22"/>
  <c r="X459" i="22"/>
  <c r="AP459" i="22" s="1"/>
  <c r="W459" i="22"/>
  <c r="AO459" i="22" s="1"/>
  <c r="V459" i="22"/>
  <c r="U459" i="22"/>
  <c r="S459" i="22"/>
  <c r="R459" i="22"/>
  <c r="Q459" i="22"/>
  <c r="P459" i="22"/>
  <c r="O459" i="22"/>
  <c r="Y459" i="22" s="1"/>
  <c r="AQ459" i="22" s="1"/>
  <c r="J459" i="22"/>
  <c r="T459" i="22" s="1"/>
  <c r="AL459" i="22" s="1"/>
  <c r="AS458" i="22"/>
  <c r="AO458" i="22"/>
  <c r="AK458" i="22"/>
  <c r="AH458" i="22"/>
  <c r="Z458" i="22"/>
  <c r="AD458" i="22" s="1"/>
  <c r="X458" i="22"/>
  <c r="AP458" i="22" s="1"/>
  <c r="W458" i="22"/>
  <c r="V458" i="22"/>
  <c r="AN458" i="22" s="1"/>
  <c r="U458" i="22"/>
  <c r="AM458" i="22" s="1"/>
  <c r="S458" i="22"/>
  <c r="R458" i="22"/>
  <c r="AB458" i="22" s="1"/>
  <c r="AF458" i="22" s="1"/>
  <c r="Q458" i="22"/>
  <c r="P458" i="22"/>
  <c r="O458" i="22"/>
  <c r="Y458" i="22" s="1"/>
  <c r="AQ458" i="22" s="1"/>
  <c r="J458" i="22"/>
  <c r="T458" i="22" s="1"/>
  <c r="AS457" i="22"/>
  <c r="AK457" i="22"/>
  <c r="AJ457" i="22"/>
  <c r="AE457" i="22"/>
  <c r="AA457" i="22"/>
  <c r="X457" i="22"/>
  <c r="AP457" i="22" s="1"/>
  <c r="W457" i="22"/>
  <c r="AO457" i="22" s="1"/>
  <c r="V457" i="22"/>
  <c r="AN457" i="22" s="1"/>
  <c r="U457" i="22"/>
  <c r="AM457" i="22" s="1"/>
  <c r="S457" i="22"/>
  <c r="AB457" i="22" s="1"/>
  <c r="AF457" i="22" s="1"/>
  <c r="R457" i="22"/>
  <c r="Q457" i="22"/>
  <c r="AI457" i="22" s="1"/>
  <c r="P457" i="22"/>
  <c r="O457" i="22"/>
  <c r="Y457" i="22" s="1"/>
  <c r="AQ457" i="22" s="1"/>
  <c r="J457" i="22"/>
  <c r="T457" i="22" s="1"/>
  <c r="AS456" i="22"/>
  <c r="AP456" i="22"/>
  <c r="AJ456" i="22"/>
  <c r="AI456" i="22"/>
  <c r="Z456" i="22"/>
  <c r="AD456" i="22" s="1"/>
  <c r="X456" i="22"/>
  <c r="W456" i="22"/>
  <c r="AO456" i="22" s="1"/>
  <c r="V456" i="22"/>
  <c r="AN456" i="22" s="1"/>
  <c r="U456" i="22"/>
  <c r="AM456" i="22" s="1"/>
  <c r="S456" i="22"/>
  <c r="AK456" i="22" s="1"/>
  <c r="R456" i="22"/>
  <c r="Q456" i="22"/>
  <c r="P456" i="22"/>
  <c r="AH456" i="22" s="1"/>
  <c r="O456" i="22"/>
  <c r="Y456" i="22" s="1"/>
  <c r="AQ456" i="22" s="1"/>
  <c r="J456" i="22"/>
  <c r="T456" i="22" s="1"/>
  <c r="AS455" i="22"/>
  <c r="AP455" i="22"/>
  <c r="AM455" i="22"/>
  <c r="AJ455" i="22"/>
  <c r="AI455" i="22"/>
  <c r="AH455" i="22"/>
  <c r="AE455" i="22"/>
  <c r="AD455" i="22"/>
  <c r="AA455" i="22"/>
  <c r="Z455" i="22"/>
  <c r="X455" i="22"/>
  <c r="W455" i="22"/>
  <c r="AO455" i="22" s="1"/>
  <c r="V455" i="22"/>
  <c r="AN455" i="22" s="1"/>
  <c r="U455" i="22"/>
  <c r="T455" i="22"/>
  <c r="S455" i="22"/>
  <c r="R455" i="22"/>
  <c r="Q455" i="22"/>
  <c r="P455" i="22"/>
  <c r="O455" i="22"/>
  <c r="Y455" i="22" s="1"/>
  <c r="AQ455" i="22" s="1"/>
  <c r="J455" i="22"/>
  <c r="AS454" i="22"/>
  <c r="AO454" i="22"/>
  <c r="AK454" i="22"/>
  <c r="AJ454" i="22"/>
  <c r="AH454" i="22"/>
  <c r="AB454" i="22"/>
  <c r="AF454" i="22" s="1"/>
  <c r="Y454" i="22"/>
  <c r="AQ454" i="22" s="1"/>
  <c r="X454" i="22"/>
  <c r="AP454" i="22" s="1"/>
  <c r="W454" i="22"/>
  <c r="V454" i="22"/>
  <c r="AN454" i="22" s="1"/>
  <c r="U454" i="22"/>
  <c r="AM454" i="22" s="1"/>
  <c r="T454" i="22"/>
  <c r="S454" i="22"/>
  <c r="R454" i="22"/>
  <c r="Q454" i="22"/>
  <c r="P454" i="22"/>
  <c r="Z454" i="22" s="1"/>
  <c r="AD454" i="22" s="1"/>
  <c r="O454" i="22"/>
  <c r="J454" i="22"/>
  <c r="AS453" i="22"/>
  <c r="AQ453" i="22"/>
  <c r="AN453" i="22"/>
  <c r="AM453" i="22"/>
  <c r="AK453" i="22"/>
  <c r="AH453" i="22"/>
  <c r="AC453" i="22"/>
  <c r="AG453" i="22" s="1"/>
  <c r="Y453" i="22"/>
  <c r="X453" i="22"/>
  <c r="AP453" i="22" s="1"/>
  <c r="W453" i="22"/>
  <c r="AO453" i="22" s="1"/>
  <c r="V453" i="22"/>
  <c r="U453" i="22"/>
  <c r="T453" i="22"/>
  <c r="AL453" i="22" s="1"/>
  <c r="S453" i="22"/>
  <c r="R453" i="22"/>
  <c r="AB453" i="22" s="1"/>
  <c r="AF453" i="22" s="1"/>
  <c r="Q453" i="22"/>
  <c r="P453" i="22"/>
  <c r="Z453" i="22" s="1"/>
  <c r="AD453" i="22" s="1"/>
  <c r="O453" i="22"/>
  <c r="J453" i="22"/>
  <c r="AS452" i="22"/>
  <c r="AN452" i="22"/>
  <c r="AM452" i="22"/>
  <c r="AI452" i="22"/>
  <c r="AE452" i="22"/>
  <c r="AA452" i="22"/>
  <c r="Z452" i="22"/>
  <c r="AD452" i="22" s="1"/>
  <c r="X452" i="22"/>
  <c r="AP452" i="22" s="1"/>
  <c r="W452" i="22"/>
  <c r="AO452" i="22" s="1"/>
  <c r="V452" i="22"/>
  <c r="U452" i="22"/>
  <c r="S452" i="22"/>
  <c r="AK452" i="22" s="1"/>
  <c r="R452" i="22"/>
  <c r="Q452" i="22"/>
  <c r="P452" i="22"/>
  <c r="AH452" i="22" s="1"/>
  <c r="O452" i="22"/>
  <c r="Y452" i="22" s="1"/>
  <c r="AQ452" i="22" s="1"/>
  <c r="J452" i="22"/>
  <c r="T452" i="22" s="1"/>
  <c r="AS451" i="22"/>
  <c r="AP451" i="22"/>
  <c r="AK451" i="22"/>
  <c r="AA451" i="22"/>
  <c r="AE451" i="22" s="1"/>
  <c r="Z451" i="22"/>
  <c r="AD451" i="22" s="1"/>
  <c r="X451" i="22"/>
  <c r="W451" i="22"/>
  <c r="AO451" i="22" s="1"/>
  <c r="V451" i="22"/>
  <c r="AN451" i="22" s="1"/>
  <c r="U451" i="22"/>
  <c r="AM451" i="22" s="1"/>
  <c r="S451" i="22"/>
  <c r="R451" i="22"/>
  <c r="Q451" i="22"/>
  <c r="AI451" i="22" s="1"/>
  <c r="P451" i="22"/>
  <c r="AH451" i="22" s="1"/>
  <c r="O451" i="22"/>
  <c r="Y451" i="22" s="1"/>
  <c r="AQ451" i="22" s="1"/>
  <c r="J451" i="22"/>
  <c r="T451" i="22" s="1"/>
  <c r="AS450" i="22"/>
  <c r="AO450" i="22"/>
  <c r="AK450" i="22"/>
  <c r="Y450" i="22"/>
  <c r="AQ450" i="22" s="1"/>
  <c r="X450" i="22"/>
  <c r="AP450" i="22" s="1"/>
  <c r="W450" i="22"/>
  <c r="V450" i="22"/>
  <c r="AN450" i="22" s="1"/>
  <c r="U450" i="22"/>
  <c r="AM450" i="22" s="1"/>
  <c r="S450" i="22"/>
  <c r="R450" i="22"/>
  <c r="AJ450" i="22" s="1"/>
  <c r="Q450" i="22"/>
  <c r="P450" i="22"/>
  <c r="AH450" i="22" s="1"/>
  <c r="O450" i="22"/>
  <c r="J450" i="22"/>
  <c r="T450" i="22" s="1"/>
  <c r="AS449" i="22"/>
  <c r="AO449" i="22"/>
  <c r="AN449" i="22"/>
  <c r="AK449" i="22"/>
  <c r="AJ449" i="22"/>
  <c r="AC449" i="22"/>
  <c r="AG449" i="22" s="1"/>
  <c r="AB449" i="22"/>
  <c r="AF449" i="22" s="1"/>
  <c r="Y449" i="22"/>
  <c r="AQ449" i="22" s="1"/>
  <c r="X449" i="22"/>
  <c r="AP449" i="22" s="1"/>
  <c r="W449" i="22"/>
  <c r="V449" i="22"/>
  <c r="U449" i="22"/>
  <c r="AM449" i="22" s="1"/>
  <c r="T449" i="22"/>
  <c r="AL449" i="22" s="1"/>
  <c r="S449" i="22"/>
  <c r="R449" i="22"/>
  <c r="Q449" i="22"/>
  <c r="P449" i="22"/>
  <c r="O449" i="22"/>
  <c r="J449" i="22"/>
  <c r="AS448" i="22"/>
  <c r="AN448" i="22"/>
  <c r="AM448" i="22"/>
  <c r="AJ448" i="22"/>
  <c r="AI448" i="22"/>
  <c r="AB448" i="22"/>
  <c r="AF448" i="22" s="1"/>
  <c r="AA448" i="22"/>
  <c r="AE448" i="22" s="1"/>
  <c r="X448" i="22"/>
  <c r="AP448" i="22" s="1"/>
  <c r="W448" i="22"/>
  <c r="AO448" i="22" s="1"/>
  <c r="V448" i="22"/>
  <c r="U448" i="22"/>
  <c r="S448" i="22"/>
  <c r="AK448" i="22" s="1"/>
  <c r="R448" i="22"/>
  <c r="Q448" i="22"/>
  <c r="P448" i="22"/>
  <c r="O448" i="22"/>
  <c r="Y448" i="22" s="1"/>
  <c r="AQ448" i="22" s="1"/>
  <c r="J448" i="22"/>
  <c r="T448" i="22" s="1"/>
  <c r="AS447" i="22"/>
  <c r="AP447" i="22"/>
  <c r="AM447" i="22"/>
  <c r="AL447" i="22"/>
  <c r="AK447" i="22"/>
  <c r="AI447" i="22"/>
  <c r="AH447" i="22"/>
  <c r="AA447" i="22"/>
  <c r="AE447" i="22" s="1"/>
  <c r="Z447" i="22"/>
  <c r="AD447" i="22" s="1"/>
  <c r="X447" i="22"/>
  <c r="W447" i="22"/>
  <c r="AO447" i="22" s="1"/>
  <c r="V447" i="22"/>
  <c r="AN447" i="22" s="1"/>
  <c r="U447" i="22"/>
  <c r="S447" i="22"/>
  <c r="R447" i="22"/>
  <c r="Q447" i="22"/>
  <c r="P447" i="22"/>
  <c r="O447" i="22"/>
  <c r="Y447" i="22" s="1"/>
  <c r="AQ447" i="22" s="1"/>
  <c r="J447" i="22"/>
  <c r="T447" i="22" s="1"/>
  <c r="AC447" i="22" s="1"/>
  <c r="AG447" i="22" s="1"/>
  <c r="AS446" i="22"/>
  <c r="AP446" i="22"/>
  <c r="AO446" i="22"/>
  <c r="AK446" i="22"/>
  <c r="AJ446" i="22"/>
  <c r="AH446" i="22"/>
  <c r="AB446" i="22"/>
  <c r="AF446" i="22" s="1"/>
  <c r="Y446" i="22"/>
  <c r="AQ446" i="22" s="1"/>
  <c r="X446" i="22"/>
  <c r="W446" i="22"/>
  <c r="V446" i="22"/>
  <c r="AN446" i="22" s="1"/>
  <c r="U446" i="22"/>
  <c r="AM446" i="22" s="1"/>
  <c r="T446" i="22"/>
  <c r="S446" i="22"/>
  <c r="R446" i="22"/>
  <c r="Q446" i="22"/>
  <c r="P446" i="22"/>
  <c r="O446" i="22"/>
  <c r="J446" i="22"/>
  <c r="AS445" i="22"/>
  <c r="AO445" i="22"/>
  <c r="AL445" i="22"/>
  <c r="AJ445" i="22"/>
  <c r="AB445" i="22"/>
  <c r="AF445" i="22" s="1"/>
  <c r="Y445" i="22"/>
  <c r="AQ445" i="22" s="1"/>
  <c r="X445" i="22"/>
  <c r="AP445" i="22" s="1"/>
  <c r="W445" i="22"/>
  <c r="V445" i="22"/>
  <c r="AN445" i="22" s="1"/>
  <c r="U445" i="22"/>
  <c r="AM445" i="22" s="1"/>
  <c r="S445" i="22"/>
  <c r="AK445" i="22" s="1"/>
  <c r="R445" i="22"/>
  <c r="Q445" i="22"/>
  <c r="AA445" i="22" s="1"/>
  <c r="AE445" i="22" s="1"/>
  <c r="P445" i="22"/>
  <c r="O445" i="22"/>
  <c r="J445" i="22"/>
  <c r="T445" i="22" s="1"/>
  <c r="AC445" i="22" s="1"/>
  <c r="AG445" i="22" s="1"/>
  <c r="AS444" i="22"/>
  <c r="AP444" i="22"/>
  <c r="AI444" i="22"/>
  <c r="X444" i="22"/>
  <c r="W444" i="22"/>
  <c r="AO444" i="22" s="1"/>
  <c r="V444" i="22"/>
  <c r="AN444" i="22" s="1"/>
  <c r="U444" i="22"/>
  <c r="AM444" i="22" s="1"/>
  <c r="S444" i="22"/>
  <c r="AK444" i="22" s="1"/>
  <c r="R444" i="22"/>
  <c r="AJ444" i="22" s="1"/>
  <c r="Q444" i="22"/>
  <c r="P444" i="22"/>
  <c r="AH444" i="22" s="1"/>
  <c r="O444" i="22"/>
  <c r="Y444" i="22" s="1"/>
  <c r="AQ444" i="22" s="1"/>
  <c r="J444" i="22"/>
  <c r="T444" i="22" s="1"/>
  <c r="AS443" i="22"/>
  <c r="AP443" i="22"/>
  <c r="AM443" i="22"/>
  <c r="AK443" i="22"/>
  <c r="AI443" i="22"/>
  <c r="AH443" i="22"/>
  <c r="AB443" i="22"/>
  <c r="AF443" i="22" s="1"/>
  <c r="AA443" i="22"/>
  <c r="AE443" i="22" s="1"/>
  <c r="Z443" i="22"/>
  <c r="AD443" i="22" s="1"/>
  <c r="X443" i="22"/>
  <c r="W443" i="22"/>
  <c r="AO443" i="22" s="1"/>
  <c r="V443" i="22"/>
  <c r="AN443" i="22" s="1"/>
  <c r="U443" i="22"/>
  <c r="T443" i="22"/>
  <c r="S443" i="22"/>
  <c r="R443" i="22"/>
  <c r="AJ443" i="22" s="1"/>
  <c r="Q443" i="22"/>
  <c r="P443" i="22"/>
  <c r="O443" i="22"/>
  <c r="Y443" i="22" s="1"/>
  <c r="AQ443" i="22" s="1"/>
  <c r="J443" i="22"/>
  <c r="AS442" i="22"/>
  <c r="AO442" i="22"/>
  <c r="AL442" i="22"/>
  <c r="AJ442" i="22"/>
  <c r="AH442" i="22"/>
  <c r="Y442" i="22"/>
  <c r="AC442" i="22" s="1"/>
  <c r="AG442" i="22" s="1"/>
  <c r="X442" i="22"/>
  <c r="AP442" i="22" s="1"/>
  <c r="W442" i="22"/>
  <c r="V442" i="22"/>
  <c r="AN442" i="22" s="1"/>
  <c r="U442" i="22"/>
  <c r="AM442" i="22" s="1"/>
  <c r="T442" i="22"/>
  <c r="S442" i="22"/>
  <c r="AK442" i="22" s="1"/>
  <c r="R442" i="22"/>
  <c r="Q442" i="22"/>
  <c r="P442" i="22"/>
  <c r="Z442" i="22" s="1"/>
  <c r="AD442" i="22" s="1"/>
  <c r="O442" i="22"/>
  <c r="J442" i="22"/>
  <c r="AS441" i="22"/>
  <c r="AN441" i="22"/>
  <c r="AK441" i="22"/>
  <c r="AI441" i="22"/>
  <c r="AE441" i="22"/>
  <c r="AB441" i="22"/>
  <c r="AF441" i="22" s="1"/>
  <c r="Y441" i="22"/>
  <c r="AQ441" i="22" s="1"/>
  <c r="X441" i="22"/>
  <c r="AP441" i="22" s="1"/>
  <c r="W441" i="22"/>
  <c r="AO441" i="22" s="1"/>
  <c r="V441" i="22"/>
  <c r="U441" i="22"/>
  <c r="AM441" i="22" s="1"/>
  <c r="T441" i="22"/>
  <c r="S441" i="22"/>
  <c r="R441" i="22"/>
  <c r="AJ441" i="22" s="1"/>
  <c r="Q441" i="22"/>
  <c r="AA441" i="22" s="1"/>
  <c r="P441" i="22"/>
  <c r="AH441" i="22" s="1"/>
  <c r="O441" i="22"/>
  <c r="J441" i="22"/>
  <c r="AS440" i="22"/>
  <c r="AM440" i="22"/>
  <c r="AJ440" i="22"/>
  <c r="AH440" i="22"/>
  <c r="Z440" i="22"/>
  <c r="AD440" i="22" s="1"/>
  <c r="Y440" i="22"/>
  <c r="AQ440" i="22" s="1"/>
  <c r="X440" i="22"/>
  <c r="AP440" i="22" s="1"/>
  <c r="W440" i="22"/>
  <c r="AO440" i="22" s="1"/>
  <c r="V440" i="22"/>
  <c r="AN440" i="22" s="1"/>
  <c r="U440" i="22"/>
  <c r="S440" i="22"/>
  <c r="AK440" i="22" s="1"/>
  <c r="R440" i="22"/>
  <c r="Q440" i="22"/>
  <c r="P440" i="22"/>
  <c r="O440" i="22"/>
  <c r="J440" i="22"/>
  <c r="T440" i="22" s="1"/>
  <c r="AS439" i="22"/>
  <c r="Z439" i="22"/>
  <c r="AD439" i="22" s="1"/>
  <c r="X439" i="22"/>
  <c r="AP439" i="22" s="1"/>
  <c r="W439" i="22"/>
  <c r="AO439" i="22" s="1"/>
  <c r="V439" i="22"/>
  <c r="AN439" i="22" s="1"/>
  <c r="U439" i="22"/>
  <c r="AM439" i="22" s="1"/>
  <c r="S439" i="22"/>
  <c r="AK439" i="22" s="1"/>
  <c r="R439" i="22"/>
  <c r="Q439" i="22"/>
  <c r="AA439" i="22" s="1"/>
  <c r="AE439" i="22" s="1"/>
  <c r="P439" i="22"/>
  <c r="AH439" i="22" s="1"/>
  <c r="O439" i="22"/>
  <c r="Y439" i="22" s="1"/>
  <c r="AQ439" i="22" s="1"/>
  <c r="J439" i="22"/>
  <c r="T439" i="22" s="1"/>
  <c r="AL439" i="22" s="1"/>
  <c r="AS438" i="22"/>
  <c r="AK438" i="22"/>
  <c r="AH438" i="22"/>
  <c r="AB438" i="22"/>
  <c r="AF438" i="22" s="1"/>
  <c r="Z438" i="22"/>
  <c r="AD438" i="22" s="1"/>
  <c r="Y438" i="22"/>
  <c r="AQ438" i="22" s="1"/>
  <c r="X438" i="22"/>
  <c r="AP438" i="22" s="1"/>
  <c r="W438" i="22"/>
  <c r="AO438" i="22" s="1"/>
  <c r="V438" i="22"/>
  <c r="AN438" i="22" s="1"/>
  <c r="U438" i="22"/>
  <c r="AM438" i="22" s="1"/>
  <c r="S438" i="22"/>
  <c r="R438" i="22"/>
  <c r="AJ438" i="22" s="1"/>
  <c r="Q438" i="22"/>
  <c r="P438" i="22"/>
  <c r="O438" i="22"/>
  <c r="J438" i="22"/>
  <c r="T438" i="22" s="1"/>
  <c r="AS437" i="22"/>
  <c r="AJ437" i="22"/>
  <c r="X437" i="22"/>
  <c r="AP437" i="22" s="1"/>
  <c r="W437" i="22"/>
  <c r="AO437" i="22" s="1"/>
  <c r="V437" i="22"/>
  <c r="AN437" i="22" s="1"/>
  <c r="U437" i="22"/>
  <c r="AM437" i="22" s="1"/>
  <c r="S437" i="22"/>
  <c r="AK437" i="22" s="1"/>
  <c r="R437" i="22"/>
  <c r="Q437" i="22"/>
  <c r="AA437" i="22" s="1"/>
  <c r="AE437" i="22" s="1"/>
  <c r="P437" i="22"/>
  <c r="O437" i="22"/>
  <c r="Y437" i="22" s="1"/>
  <c r="AQ437" i="22" s="1"/>
  <c r="J437" i="22"/>
  <c r="T437" i="22" s="1"/>
  <c r="AS436" i="22"/>
  <c r="AP436" i="22"/>
  <c r="AK436" i="22"/>
  <c r="AI436" i="22"/>
  <c r="Z436" i="22"/>
  <c r="AD436" i="22" s="1"/>
  <c r="X436" i="22"/>
  <c r="W436" i="22"/>
  <c r="AO436" i="22" s="1"/>
  <c r="V436" i="22"/>
  <c r="AN436" i="22" s="1"/>
  <c r="U436" i="22"/>
  <c r="AM436" i="22" s="1"/>
  <c r="S436" i="22"/>
  <c r="R436" i="22"/>
  <c r="AJ436" i="22" s="1"/>
  <c r="Q436" i="22"/>
  <c r="AA436" i="22" s="1"/>
  <c r="AE436" i="22" s="1"/>
  <c r="P436" i="22"/>
  <c r="AH436" i="22" s="1"/>
  <c r="O436" i="22"/>
  <c r="Y436" i="22" s="1"/>
  <c r="AQ436" i="22" s="1"/>
  <c r="J436" i="22"/>
  <c r="T436" i="22" s="1"/>
  <c r="AS435" i="22"/>
  <c r="AP435" i="22"/>
  <c r="AO435" i="22"/>
  <c r="AN435" i="22"/>
  <c r="AL435" i="22"/>
  <c r="AK435" i="22"/>
  <c r="Y435" i="22"/>
  <c r="AQ435" i="22" s="1"/>
  <c r="X435" i="22"/>
  <c r="W435" i="22"/>
  <c r="V435" i="22"/>
  <c r="U435" i="22"/>
  <c r="AM435" i="22" s="1"/>
  <c r="S435" i="22"/>
  <c r="R435" i="22"/>
  <c r="Q435" i="22"/>
  <c r="P435" i="22"/>
  <c r="Z435" i="22" s="1"/>
  <c r="AD435" i="22" s="1"/>
  <c r="O435" i="22"/>
  <c r="J435" i="22"/>
  <c r="T435" i="22" s="1"/>
  <c r="AS434" i="22"/>
  <c r="AO434" i="22"/>
  <c r="AN434" i="22"/>
  <c r="AM434" i="22"/>
  <c r="AK434" i="22"/>
  <c r="AJ434" i="22"/>
  <c r="X434" i="22"/>
  <c r="AP434" i="22" s="1"/>
  <c r="W434" i="22"/>
  <c r="V434" i="22"/>
  <c r="U434" i="22"/>
  <c r="S434" i="22"/>
  <c r="R434" i="22"/>
  <c r="Q434" i="22"/>
  <c r="P434" i="22"/>
  <c r="O434" i="22"/>
  <c r="Y434" i="22" s="1"/>
  <c r="J434" i="22"/>
  <c r="T434" i="22" s="1"/>
  <c r="AL434" i="22" s="1"/>
  <c r="AS433" i="22"/>
  <c r="AM433" i="22"/>
  <c r="AJ433" i="22"/>
  <c r="AI433" i="22"/>
  <c r="AF433" i="22"/>
  <c r="AB433" i="22"/>
  <c r="X433" i="22"/>
  <c r="AP433" i="22" s="1"/>
  <c r="W433" i="22"/>
  <c r="AO433" i="22" s="1"/>
  <c r="V433" i="22"/>
  <c r="U433" i="22"/>
  <c r="S433" i="22"/>
  <c r="AK433" i="22" s="1"/>
  <c r="R433" i="22"/>
  <c r="Q433" i="22"/>
  <c r="P433" i="22"/>
  <c r="O433" i="22"/>
  <c r="Y433" i="22" s="1"/>
  <c r="AQ433" i="22" s="1"/>
  <c r="J433" i="22"/>
  <c r="T433" i="22" s="1"/>
  <c r="AS432" i="22"/>
  <c r="AQ432" i="22"/>
  <c r="AP432" i="22"/>
  <c r="AL432" i="22"/>
  <c r="AK432" i="22"/>
  <c r="AI432" i="22"/>
  <c r="AH432" i="22"/>
  <c r="AA432" i="22"/>
  <c r="AE432" i="22" s="1"/>
  <c r="X432" i="22"/>
  <c r="W432" i="22"/>
  <c r="AO432" i="22" s="1"/>
  <c r="V432" i="22"/>
  <c r="AN432" i="22" s="1"/>
  <c r="U432" i="22"/>
  <c r="S432" i="22"/>
  <c r="R432" i="22"/>
  <c r="AJ432" i="22" s="1"/>
  <c r="Q432" i="22"/>
  <c r="P432" i="22"/>
  <c r="O432" i="22"/>
  <c r="Y432" i="22" s="1"/>
  <c r="J432" i="22"/>
  <c r="T432" i="22" s="1"/>
  <c r="AC432" i="22" s="1"/>
  <c r="AG432" i="22" s="1"/>
  <c r="AS431" i="22"/>
  <c r="AP431" i="22"/>
  <c r="AO431" i="22"/>
  <c r="AK431" i="22"/>
  <c r="AJ431" i="22"/>
  <c r="AH431" i="22"/>
  <c r="AB431" i="22"/>
  <c r="AF431" i="22" s="1"/>
  <c r="Y431" i="22"/>
  <c r="AQ431" i="22" s="1"/>
  <c r="X431" i="22"/>
  <c r="W431" i="22"/>
  <c r="V431" i="22"/>
  <c r="AN431" i="22" s="1"/>
  <c r="U431" i="22"/>
  <c r="AM431" i="22" s="1"/>
  <c r="S431" i="22"/>
  <c r="R431" i="22"/>
  <c r="Q431" i="22"/>
  <c r="AI431" i="22" s="1"/>
  <c r="P431" i="22"/>
  <c r="O431" i="22"/>
  <c r="J431" i="22"/>
  <c r="T431" i="22" s="1"/>
  <c r="AS430" i="22"/>
  <c r="AO430" i="22"/>
  <c r="AN430" i="22"/>
  <c r="AM430" i="22"/>
  <c r="AJ430" i="22"/>
  <c r="AI430" i="22"/>
  <c r="AA430" i="22"/>
  <c r="AE430" i="22" s="1"/>
  <c r="X430" i="22"/>
  <c r="AP430" i="22" s="1"/>
  <c r="W430" i="22"/>
  <c r="V430" i="22"/>
  <c r="U430" i="22"/>
  <c r="T430" i="22"/>
  <c r="AL430" i="22" s="1"/>
  <c r="S430" i="22"/>
  <c r="AB430" i="22" s="1"/>
  <c r="AF430" i="22" s="1"/>
  <c r="R430" i="22"/>
  <c r="Q430" i="22"/>
  <c r="P430" i="22"/>
  <c r="AH430" i="22" s="1"/>
  <c r="O430" i="22"/>
  <c r="Y430" i="22" s="1"/>
  <c r="AQ430" i="22" s="1"/>
  <c r="J430" i="22"/>
  <c r="AS429" i="22"/>
  <c r="AQ429" i="22"/>
  <c r="AN429" i="22"/>
  <c r="AM429" i="22"/>
  <c r="AJ429" i="22"/>
  <c r="AI429" i="22"/>
  <c r="Z429" i="22"/>
  <c r="AD429" i="22" s="1"/>
  <c r="X429" i="22"/>
  <c r="AP429" i="22" s="1"/>
  <c r="W429" i="22"/>
  <c r="AO429" i="22" s="1"/>
  <c r="V429" i="22"/>
  <c r="AA429" i="22" s="1"/>
  <c r="AE429" i="22" s="1"/>
  <c r="U429" i="22"/>
  <c r="S429" i="22"/>
  <c r="AK429" i="22" s="1"/>
  <c r="R429" i="22"/>
  <c r="Q429" i="22"/>
  <c r="P429" i="22"/>
  <c r="AH429" i="22" s="1"/>
  <c r="O429" i="22"/>
  <c r="Y429" i="22" s="1"/>
  <c r="J429" i="22"/>
  <c r="T429" i="22" s="1"/>
  <c r="AS428" i="22"/>
  <c r="AP428" i="22"/>
  <c r="AM428" i="22"/>
  <c r="AH428" i="22"/>
  <c r="AG428" i="22"/>
  <c r="AC428" i="22"/>
  <c r="Z428" i="22"/>
  <c r="AD428" i="22" s="1"/>
  <c r="Y428" i="22"/>
  <c r="AQ428" i="22" s="1"/>
  <c r="X428" i="22"/>
  <c r="W428" i="22"/>
  <c r="AO428" i="22" s="1"/>
  <c r="V428" i="22"/>
  <c r="AN428" i="22" s="1"/>
  <c r="U428" i="22"/>
  <c r="S428" i="22"/>
  <c r="AK428" i="22" s="1"/>
  <c r="R428" i="22"/>
  <c r="Q428" i="22"/>
  <c r="AA428" i="22" s="1"/>
  <c r="AE428" i="22" s="1"/>
  <c r="P428" i="22"/>
  <c r="O428" i="22"/>
  <c r="J428" i="22"/>
  <c r="T428" i="22" s="1"/>
  <c r="AL428" i="22" s="1"/>
  <c r="AS427" i="22"/>
  <c r="AO427" i="22"/>
  <c r="AK427" i="22"/>
  <c r="AD427" i="22"/>
  <c r="Z427" i="22"/>
  <c r="Y427" i="22"/>
  <c r="AQ427" i="22" s="1"/>
  <c r="X427" i="22"/>
  <c r="AP427" i="22" s="1"/>
  <c r="W427" i="22"/>
  <c r="V427" i="22"/>
  <c r="AN427" i="22" s="1"/>
  <c r="U427" i="22"/>
  <c r="AM427" i="22" s="1"/>
  <c r="S427" i="22"/>
  <c r="R427" i="22"/>
  <c r="AB427" i="22" s="1"/>
  <c r="AF427" i="22" s="1"/>
  <c r="Q427" i="22"/>
  <c r="P427" i="22"/>
  <c r="AH427" i="22" s="1"/>
  <c r="O427" i="22"/>
  <c r="J427" i="22"/>
  <c r="T427" i="22" s="1"/>
  <c r="AS426" i="22"/>
  <c r="AN426" i="22"/>
  <c r="AJ426" i="22"/>
  <c r="AI426" i="22"/>
  <c r="AA426" i="22"/>
  <c r="AE426" i="22" s="1"/>
  <c r="X426" i="22"/>
  <c r="AP426" i="22" s="1"/>
  <c r="W426" i="22"/>
  <c r="AO426" i="22" s="1"/>
  <c r="V426" i="22"/>
  <c r="U426" i="22"/>
  <c r="AM426" i="22" s="1"/>
  <c r="T426" i="22"/>
  <c r="AL426" i="22" s="1"/>
  <c r="S426" i="22"/>
  <c r="AK426" i="22" s="1"/>
  <c r="R426" i="22"/>
  <c r="Q426" i="22"/>
  <c r="P426" i="22"/>
  <c r="O426" i="22"/>
  <c r="Y426" i="22" s="1"/>
  <c r="J426" i="22"/>
  <c r="AS425" i="22"/>
  <c r="AN425" i="22"/>
  <c r="AM425" i="22"/>
  <c r="AI425" i="22"/>
  <c r="AE425" i="22"/>
  <c r="X425" i="22"/>
  <c r="AP425" i="22" s="1"/>
  <c r="W425" i="22"/>
  <c r="AO425" i="22" s="1"/>
  <c r="V425" i="22"/>
  <c r="AA425" i="22" s="1"/>
  <c r="U425" i="22"/>
  <c r="S425" i="22"/>
  <c r="AK425" i="22" s="1"/>
  <c r="R425" i="22"/>
  <c r="AB425" i="22" s="1"/>
  <c r="AF425" i="22" s="1"/>
  <c r="Q425" i="22"/>
  <c r="P425" i="22"/>
  <c r="AH425" i="22" s="1"/>
  <c r="O425" i="22"/>
  <c r="Y425" i="22" s="1"/>
  <c r="AQ425" i="22" s="1"/>
  <c r="J425" i="22"/>
  <c r="T425" i="22" s="1"/>
  <c r="AS424" i="22"/>
  <c r="AP424" i="22"/>
  <c r="AO424" i="22"/>
  <c r="AL424" i="22"/>
  <c r="AK424" i="22"/>
  <c r="AH424" i="22"/>
  <c r="Z424" i="22"/>
  <c r="AD424" i="22" s="1"/>
  <c r="X424" i="22"/>
  <c r="W424" i="22"/>
  <c r="V424" i="22"/>
  <c r="AN424" i="22" s="1"/>
  <c r="U424" i="22"/>
  <c r="AM424" i="22" s="1"/>
  <c r="S424" i="22"/>
  <c r="R424" i="22"/>
  <c r="Q424" i="22"/>
  <c r="P424" i="22"/>
  <c r="O424" i="22"/>
  <c r="Y424" i="22" s="1"/>
  <c r="J424" i="22"/>
  <c r="T424" i="22" s="1"/>
  <c r="AS423" i="22"/>
  <c r="AP423" i="22"/>
  <c r="AO423" i="22"/>
  <c r="AK423" i="22"/>
  <c r="AJ423" i="22"/>
  <c r="AB423" i="22"/>
  <c r="AF423" i="22" s="1"/>
  <c r="Y423" i="22"/>
  <c r="AQ423" i="22" s="1"/>
  <c r="X423" i="22"/>
  <c r="W423" i="22"/>
  <c r="V423" i="22"/>
  <c r="AN423" i="22" s="1"/>
  <c r="U423" i="22"/>
  <c r="AM423" i="22" s="1"/>
  <c r="S423" i="22"/>
  <c r="R423" i="22"/>
  <c r="Q423" i="22"/>
  <c r="P423" i="22"/>
  <c r="Z423" i="22" s="1"/>
  <c r="AD423" i="22" s="1"/>
  <c r="O423" i="22"/>
  <c r="J423" i="22"/>
  <c r="T423" i="22" s="1"/>
  <c r="AC423" i="22" s="1"/>
  <c r="AG423" i="22" s="1"/>
  <c r="AS422" i="22"/>
  <c r="AN422" i="22"/>
  <c r="AK422" i="22"/>
  <c r="AJ422" i="22"/>
  <c r="AE422" i="22"/>
  <c r="AA422" i="22"/>
  <c r="Y422" i="22"/>
  <c r="AQ422" i="22" s="1"/>
  <c r="X422" i="22"/>
  <c r="AB422" i="22" s="1"/>
  <c r="AF422" i="22" s="1"/>
  <c r="W422" i="22"/>
  <c r="AO422" i="22" s="1"/>
  <c r="V422" i="22"/>
  <c r="U422" i="22"/>
  <c r="AM422" i="22" s="1"/>
  <c r="T422" i="22"/>
  <c r="AL422" i="22" s="1"/>
  <c r="S422" i="22"/>
  <c r="R422" i="22"/>
  <c r="Q422" i="22"/>
  <c r="AI422" i="22" s="1"/>
  <c r="P422" i="22"/>
  <c r="O422" i="22"/>
  <c r="J422" i="22"/>
  <c r="AS421" i="22"/>
  <c r="AM421" i="22"/>
  <c r="AJ421" i="22"/>
  <c r="AH421" i="22"/>
  <c r="AD421" i="22"/>
  <c r="Y421" i="22"/>
  <c r="AQ421" i="22" s="1"/>
  <c r="X421" i="22"/>
  <c r="AP421" i="22" s="1"/>
  <c r="W421" i="22"/>
  <c r="AO421" i="22" s="1"/>
  <c r="V421" i="22"/>
  <c r="AN421" i="22" s="1"/>
  <c r="U421" i="22"/>
  <c r="S421" i="22"/>
  <c r="AK421" i="22" s="1"/>
  <c r="R421" i="22"/>
  <c r="AB421" i="22" s="1"/>
  <c r="AF421" i="22" s="1"/>
  <c r="Q421" i="22"/>
  <c r="AA421" i="22" s="1"/>
  <c r="AE421" i="22" s="1"/>
  <c r="P421" i="22"/>
  <c r="Z421" i="22" s="1"/>
  <c r="O421" i="22"/>
  <c r="J421" i="22"/>
  <c r="T421" i="22" s="1"/>
  <c r="AS420" i="22"/>
  <c r="AL420" i="22"/>
  <c r="Z420" i="22"/>
  <c r="AD420" i="22" s="1"/>
  <c r="X420" i="22"/>
  <c r="AP420" i="22" s="1"/>
  <c r="W420" i="22"/>
  <c r="AO420" i="22" s="1"/>
  <c r="V420" i="22"/>
  <c r="AN420" i="22" s="1"/>
  <c r="U420" i="22"/>
  <c r="AM420" i="22" s="1"/>
  <c r="S420" i="22"/>
  <c r="AK420" i="22" s="1"/>
  <c r="R420" i="22"/>
  <c r="Q420" i="22"/>
  <c r="AA420" i="22" s="1"/>
  <c r="AE420" i="22" s="1"/>
  <c r="P420" i="22"/>
  <c r="AH420" i="22" s="1"/>
  <c r="O420" i="22"/>
  <c r="Y420" i="22" s="1"/>
  <c r="J420" i="22"/>
  <c r="T420" i="22" s="1"/>
  <c r="AS419" i="22"/>
  <c r="AK419" i="22"/>
  <c r="Y419" i="22"/>
  <c r="AQ419" i="22" s="1"/>
  <c r="X419" i="22"/>
  <c r="AB419" i="22" s="1"/>
  <c r="AF419" i="22" s="1"/>
  <c r="W419" i="22"/>
  <c r="AO419" i="22" s="1"/>
  <c r="V419" i="22"/>
  <c r="AN419" i="22" s="1"/>
  <c r="U419" i="22"/>
  <c r="AM419" i="22" s="1"/>
  <c r="S419" i="22"/>
  <c r="R419" i="22"/>
  <c r="AJ419" i="22" s="1"/>
  <c r="Q419" i="22"/>
  <c r="P419" i="22"/>
  <c r="O419" i="22"/>
  <c r="J419" i="22"/>
  <c r="T419" i="22" s="1"/>
  <c r="AS418" i="22"/>
  <c r="AO418" i="22"/>
  <c r="AI418" i="22"/>
  <c r="Z418" i="22"/>
  <c r="AD418" i="22" s="1"/>
  <c r="X418" i="22"/>
  <c r="AP418" i="22" s="1"/>
  <c r="W418" i="22"/>
  <c r="V418" i="22"/>
  <c r="AN418" i="22" s="1"/>
  <c r="U418" i="22"/>
  <c r="AM418" i="22" s="1"/>
  <c r="S418" i="22"/>
  <c r="AK418" i="22" s="1"/>
  <c r="R418" i="22"/>
  <c r="Q418" i="22"/>
  <c r="P418" i="22"/>
  <c r="AH418" i="22" s="1"/>
  <c r="O418" i="22"/>
  <c r="Y418" i="22" s="1"/>
  <c r="AQ418" i="22" s="1"/>
  <c r="J418" i="22"/>
  <c r="T418" i="22" s="1"/>
  <c r="AS417" i="22"/>
  <c r="AP417" i="22"/>
  <c r="AO417" i="22"/>
  <c r="AK417" i="22"/>
  <c r="AJ417" i="22"/>
  <c r="AH417" i="22"/>
  <c r="AB417" i="22"/>
  <c r="AF417" i="22" s="1"/>
  <c r="Y417" i="22"/>
  <c r="AQ417" i="22" s="1"/>
  <c r="X417" i="22"/>
  <c r="W417" i="22"/>
  <c r="V417" i="22"/>
  <c r="AN417" i="22" s="1"/>
  <c r="U417" i="22"/>
  <c r="AM417" i="22" s="1"/>
  <c r="T417" i="22"/>
  <c r="S417" i="22"/>
  <c r="R417" i="22"/>
  <c r="Q417" i="22"/>
  <c r="P417" i="22"/>
  <c r="O417" i="22"/>
  <c r="J417" i="22"/>
  <c r="AS416" i="22"/>
  <c r="AQ416" i="22"/>
  <c r="AO416" i="22"/>
  <c r="AN416" i="22"/>
  <c r="AJ416" i="22"/>
  <c r="AI416" i="22"/>
  <c r="AA416" i="22"/>
  <c r="AE416" i="22" s="1"/>
  <c r="Y416" i="22"/>
  <c r="X416" i="22"/>
  <c r="AP416" i="22" s="1"/>
  <c r="W416" i="22"/>
  <c r="V416" i="22"/>
  <c r="U416" i="22"/>
  <c r="AM416" i="22" s="1"/>
  <c r="S416" i="22"/>
  <c r="R416" i="22"/>
  <c r="Q416" i="22"/>
  <c r="P416" i="22"/>
  <c r="O416" i="22"/>
  <c r="J416" i="22"/>
  <c r="T416" i="22" s="1"/>
  <c r="AS415" i="22"/>
  <c r="AP415" i="22"/>
  <c r="AN415" i="22"/>
  <c r="AM415" i="22"/>
  <c r="AK415" i="22"/>
  <c r="AI415" i="22"/>
  <c r="AH415" i="22"/>
  <c r="AE415" i="22"/>
  <c r="AA415" i="22"/>
  <c r="Z415" i="22"/>
  <c r="AD415" i="22" s="1"/>
  <c r="X415" i="22"/>
  <c r="W415" i="22"/>
  <c r="AO415" i="22" s="1"/>
  <c r="V415" i="22"/>
  <c r="U415" i="22"/>
  <c r="T415" i="22"/>
  <c r="AL415" i="22" s="1"/>
  <c r="S415" i="22"/>
  <c r="R415" i="22"/>
  <c r="Q415" i="22"/>
  <c r="P415" i="22"/>
  <c r="O415" i="22"/>
  <c r="Y415" i="22" s="1"/>
  <c r="J415" i="22"/>
  <c r="AS414" i="22"/>
  <c r="AP414" i="22"/>
  <c r="AO414" i="22"/>
  <c r="AM414" i="22"/>
  <c r="AH414" i="22"/>
  <c r="AD414" i="22"/>
  <c r="AB414" i="22"/>
  <c r="AF414" i="22" s="1"/>
  <c r="Z414" i="22"/>
  <c r="Y414" i="22"/>
  <c r="AQ414" i="22" s="1"/>
  <c r="X414" i="22"/>
  <c r="W414" i="22"/>
  <c r="V414" i="22"/>
  <c r="AN414" i="22" s="1"/>
  <c r="U414" i="22"/>
  <c r="S414" i="22"/>
  <c r="AK414" i="22" s="1"/>
  <c r="R414" i="22"/>
  <c r="AJ414" i="22" s="1"/>
  <c r="Q414" i="22"/>
  <c r="P414" i="22"/>
  <c r="O414" i="22"/>
  <c r="J414" i="22"/>
  <c r="T414" i="22" s="1"/>
  <c r="AS413" i="22"/>
  <c r="AO413" i="22"/>
  <c r="AN413" i="22"/>
  <c r="AK413" i="22"/>
  <c r="AC413" i="22"/>
  <c r="AG413" i="22" s="1"/>
  <c r="Y413" i="22"/>
  <c r="AQ413" i="22" s="1"/>
  <c r="X413" i="22"/>
  <c r="AP413" i="22" s="1"/>
  <c r="W413" i="22"/>
  <c r="V413" i="22"/>
  <c r="U413" i="22"/>
  <c r="AM413" i="22" s="1"/>
  <c r="S413" i="22"/>
  <c r="R413" i="22"/>
  <c r="AJ413" i="22" s="1"/>
  <c r="Q413" i="22"/>
  <c r="AI413" i="22" s="1"/>
  <c r="P413" i="22"/>
  <c r="O413" i="22"/>
  <c r="J413" i="22"/>
  <c r="T413" i="22" s="1"/>
  <c r="AL413" i="22" s="1"/>
  <c r="AS412" i="22"/>
  <c r="AN412" i="22"/>
  <c r="AM412" i="22"/>
  <c r="AK412" i="22"/>
  <c r="AJ412" i="22"/>
  <c r="AB412" i="22"/>
  <c r="AF412" i="22" s="1"/>
  <c r="X412" i="22"/>
  <c r="AP412" i="22" s="1"/>
  <c r="W412" i="22"/>
  <c r="AO412" i="22" s="1"/>
  <c r="V412" i="22"/>
  <c r="U412" i="22"/>
  <c r="T412" i="22"/>
  <c r="S412" i="22"/>
  <c r="R412" i="22"/>
  <c r="Q412" i="22"/>
  <c r="AI412" i="22" s="1"/>
  <c r="P412" i="22"/>
  <c r="AH412" i="22" s="1"/>
  <c r="O412" i="22"/>
  <c r="Y412" i="22" s="1"/>
  <c r="AQ412" i="22" s="1"/>
  <c r="J412" i="22"/>
  <c r="AS411" i="22"/>
  <c r="AQ411" i="22"/>
  <c r="AM411" i="22"/>
  <c r="AL411" i="22"/>
  <c r="AJ411" i="22"/>
  <c r="AI411" i="22"/>
  <c r="X411" i="22"/>
  <c r="AP411" i="22" s="1"/>
  <c r="W411" i="22"/>
  <c r="AO411" i="22" s="1"/>
  <c r="V411" i="22"/>
  <c r="AN411" i="22" s="1"/>
  <c r="U411" i="22"/>
  <c r="S411" i="22"/>
  <c r="R411" i="22"/>
  <c r="Q411" i="22"/>
  <c r="P411" i="22"/>
  <c r="AH411" i="22" s="1"/>
  <c r="O411" i="22"/>
  <c r="Y411" i="22" s="1"/>
  <c r="J411" i="22"/>
  <c r="T411" i="22" s="1"/>
  <c r="AC411" i="22" s="1"/>
  <c r="AG411" i="22" s="1"/>
  <c r="AS410" i="22"/>
  <c r="AP410" i="22"/>
  <c r="AK410" i="22"/>
  <c r="AI410" i="22"/>
  <c r="AH410" i="22"/>
  <c r="X410" i="22"/>
  <c r="W410" i="22"/>
  <c r="AO410" i="22" s="1"/>
  <c r="V410" i="22"/>
  <c r="AN410" i="22" s="1"/>
  <c r="U410" i="22"/>
  <c r="AM410" i="22" s="1"/>
  <c r="S410" i="22"/>
  <c r="R410" i="22"/>
  <c r="Q410" i="22"/>
  <c r="P410" i="22"/>
  <c r="O410" i="22"/>
  <c r="Y410" i="22" s="1"/>
  <c r="AQ410" i="22" s="1"/>
  <c r="J410" i="22"/>
  <c r="T410" i="22" s="1"/>
  <c r="AL410" i="22" s="1"/>
  <c r="AS409" i="22"/>
  <c r="AP409" i="22"/>
  <c r="AO409" i="22"/>
  <c r="AK409" i="22"/>
  <c r="AJ409" i="22"/>
  <c r="AH409" i="22"/>
  <c r="AB409" i="22"/>
  <c r="AF409" i="22" s="1"/>
  <c r="Y409" i="22"/>
  <c r="AQ409" i="22" s="1"/>
  <c r="X409" i="22"/>
  <c r="W409" i="22"/>
  <c r="V409" i="22"/>
  <c r="AN409" i="22" s="1"/>
  <c r="U409" i="22"/>
  <c r="AM409" i="22" s="1"/>
  <c r="T409" i="22"/>
  <c r="S409" i="22"/>
  <c r="R409" i="22"/>
  <c r="Q409" i="22"/>
  <c r="P409" i="22"/>
  <c r="O409" i="22"/>
  <c r="J409" i="22"/>
  <c r="AS408" i="22"/>
  <c r="AQ408" i="22"/>
  <c r="AO408" i="22"/>
  <c r="AN408" i="22"/>
  <c r="AJ408" i="22"/>
  <c r="AI408" i="22"/>
  <c r="AA408" i="22"/>
  <c r="AE408" i="22" s="1"/>
  <c r="Y408" i="22"/>
  <c r="X408" i="22"/>
  <c r="AP408" i="22" s="1"/>
  <c r="W408" i="22"/>
  <c r="V408" i="22"/>
  <c r="U408" i="22"/>
  <c r="AM408" i="22" s="1"/>
  <c r="S408" i="22"/>
  <c r="R408" i="22"/>
  <c r="Q408" i="22"/>
  <c r="P408" i="22"/>
  <c r="O408" i="22"/>
  <c r="J408" i="22"/>
  <c r="T408" i="22" s="1"/>
  <c r="AS407" i="22"/>
  <c r="AP407" i="22"/>
  <c r="AN407" i="22"/>
  <c r="AM407" i="22"/>
  <c r="AI407" i="22"/>
  <c r="AH407" i="22"/>
  <c r="AE407" i="22"/>
  <c r="AA407" i="22"/>
  <c r="Z407" i="22"/>
  <c r="AD407" i="22" s="1"/>
  <c r="X407" i="22"/>
  <c r="W407" i="22"/>
  <c r="AO407" i="22" s="1"/>
  <c r="V407" i="22"/>
  <c r="U407" i="22"/>
  <c r="T407" i="22"/>
  <c r="AL407" i="22" s="1"/>
  <c r="S407" i="22"/>
  <c r="AK407" i="22" s="1"/>
  <c r="R407" i="22"/>
  <c r="Q407" i="22"/>
  <c r="P407" i="22"/>
  <c r="O407" i="22"/>
  <c r="Y407" i="22" s="1"/>
  <c r="J407" i="22"/>
  <c r="AS406" i="22"/>
  <c r="AP406" i="22"/>
  <c r="AO406" i="22"/>
  <c r="AM406" i="22"/>
  <c r="AH406" i="22"/>
  <c r="AD406" i="22"/>
  <c r="Z406" i="22"/>
  <c r="Y406" i="22"/>
  <c r="AQ406" i="22" s="1"/>
  <c r="X406" i="22"/>
  <c r="W406" i="22"/>
  <c r="V406" i="22"/>
  <c r="AN406" i="22" s="1"/>
  <c r="U406" i="22"/>
  <c r="S406" i="22"/>
  <c r="AK406" i="22" s="1"/>
  <c r="R406" i="22"/>
  <c r="AJ406" i="22" s="1"/>
  <c r="Q406" i="22"/>
  <c r="P406" i="22"/>
  <c r="O406" i="22"/>
  <c r="J406" i="22"/>
  <c r="T406" i="22" s="1"/>
  <c r="AC406" i="22" s="1"/>
  <c r="AG406" i="22" s="1"/>
  <c r="AS405" i="22"/>
  <c r="AO405" i="22"/>
  <c r="AN405" i="22"/>
  <c r="AK405" i="22"/>
  <c r="Y405" i="22"/>
  <c r="AQ405" i="22" s="1"/>
  <c r="X405" i="22"/>
  <c r="AP405" i="22" s="1"/>
  <c r="W405" i="22"/>
  <c r="V405" i="22"/>
  <c r="U405" i="22"/>
  <c r="AM405" i="22" s="1"/>
  <c r="S405" i="22"/>
  <c r="R405" i="22"/>
  <c r="AJ405" i="22" s="1"/>
  <c r="Q405" i="22"/>
  <c r="P405" i="22"/>
  <c r="O405" i="22"/>
  <c r="J405" i="22"/>
  <c r="T405" i="22" s="1"/>
  <c r="AL405" i="22" s="1"/>
  <c r="AS404" i="22"/>
  <c r="AP404" i="22"/>
  <c r="AN404" i="22"/>
  <c r="AM404" i="22"/>
  <c r="AK404" i="22"/>
  <c r="AH404" i="22"/>
  <c r="X404" i="22"/>
  <c r="W404" i="22"/>
  <c r="AO404" i="22" s="1"/>
  <c r="V404" i="22"/>
  <c r="U404" i="22"/>
  <c r="T404" i="22"/>
  <c r="S404" i="22"/>
  <c r="R404" i="22"/>
  <c r="AB404" i="22" s="1"/>
  <c r="AF404" i="22" s="1"/>
  <c r="Q404" i="22"/>
  <c r="AI404" i="22" s="1"/>
  <c r="P404" i="22"/>
  <c r="Z404" i="22" s="1"/>
  <c r="AD404" i="22" s="1"/>
  <c r="O404" i="22"/>
  <c r="Y404" i="22" s="1"/>
  <c r="AQ404" i="22" s="1"/>
  <c r="J404" i="22"/>
  <c r="AS403" i="22"/>
  <c r="AQ403" i="22"/>
  <c r="AO403" i="22"/>
  <c r="AM403" i="22"/>
  <c r="AJ403" i="22"/>
  <c r="Y403" i="22"/>
  <c r="X403" i="22"/>
  <c r="AP403" i="22" s="1"/>
  <c r="W403" i="22"/>
  <c r="V403" i="22"/>
  <c r="AN403" i="22" s="1"/>
  <c r="U403" i="22"/>
  <c r="S403" i="22"/>
  <c r="R403" i="22"/>
  <c r="Q403" i="22"/>
  <c r="AI403" i="22" s="1"/>
  <c r="P403" i="22"/>
  <c r="AH403" i="22" s="1"/>
  <c r="O403" i="22"/>
  <c r="J403" i="22"/>
  <c r="T403" i="22" s="1"/>
  <c r="AS402" i="22"/>
  <c r="AN402" i="22"/>
  <c r="AK402" i="22"/>
  <c r="AI402" i="22"/>
  <c r="X402" i="22"/>
  <c r="AP402" i="22" s="1"/>
  <c r="W402" i="22"/>
  <c r="AO402" i="22" s="1"/>
  <c r="V402" i="22"/>
  <c r="AA402" i="22" s="1"/>
  <c r="AE402" i="22" s="1"/>
  <c r="U402" i="22"/>
  <c r="AM402" i="22" s="1"/>
  <c r="S402" i="22"/>
  <c r="R402" i="22"/>
  <c r="Q402" i="22"/>
  <c r="P402" i="22"/>
  <c r="AH402" i="22" s="1"/>
  <c r="O402" i="22"/>
  <c r="Y402" i="22" s="1"/>
  <c r="AQ402" i="22" s="1"/>
  <c r="J402" i="22"/>
  <c r="T402" i="22" s="1"/>
  <c r="AS401" i="22"/>
  <c r="AP401" i="22"/>
  <c r="AK401" i="22"/>
  <c r="AJ401" i="22"/>
  <c r="AH401" i="22"/>
  <c r="X401" i="22"/>
  <c r="W401" i="22"/>
  <c r="AO401" i="22" s="1"/>
  <c r="V401" i="22"/>
  <c r="AN401" i="22" s="1"/>
  <c r="U401" i="22"/>
  <c r="T401" i="22"/>
  <c r="AL401" i="22" s="1"/>
  <c r="S401" i="22"/>
  <c r="R401" i="22"/>
  <c r="Q401" i="22"/>
  <c r="P401" i="22"/>
  <c r="O401" i="22"/>
  <c r="Y401" i="22" s="1"/>
  <c r="AQ401" i="22" s="1"/>
  <c r="J401" i="22"/>
  <c r="AS400" i="22"/>
  <c r="AQ400" i="22"/>
  <c r="AO400" i="22"/>
  <c r="AJ400" i="22"/>
  <c r="AI400" i="22"/>
  <c r="Y400" i="22"/>
  <c r="X400" i="22"/>
  <c r="AP400" i="22" s="1"/>
  <c r="W400" i="22"/>
  <c r="V400" i="22"/>
  <c r="AN400" i="22" s="1"/>
  <c r="U400" i="22"/>
  <c r="AM400" i="22" s="1"/>
  <c r="S400" i="22"/>
  <c r="AK400" i="22" s="1"/>
  <c r="R400" i="22"/>
  <c r="Q400" i="22"/>
  <c r="P400" i="22"/>
  <c r="O400" i="22"/>
  <c r="J400" i="22"/>
  <c r="T400" i="22" s="1"/>
  <c r="AS399" i="22"/>
  <c r="AQ399" i="22"/>
  <c r="AP399" i="22"/>
  <c r="AN399" i="22"/>
  <c r="AI399" i="22"/>
  <c r="AH399" i="22"/>
  <c r="AE399" i="22"/>
  <c r="AC399" i="22"/>
  <c r="AG399" i="22" s="1"/>
  <c r="AA399" i="22"/>
  <c r="X399" i="22"/>
  <c r="W399" i="22"/>
  <c r="AO399" i="22" s="1"/>
  <c r="V399" i="22"/>
  <c r="U399" i="22"/>
  <c r="AM399" i="22" s="1"/>
  <c r="T399" i="22"/>
  <c r="AL399" i="22" s="1"/>
  <c r="S399" i="22"/>
  <c r="AK399" i="22" s="1"/>
  <c r="R399" i="22"/>
  <c r="Q399" i="22"/>
  <c r="P399" i="22"/>
  <c r="Z399" i="22" s="1"/>
  <c r="AD399" i="22" s="1"/>
  <c r="O399" i="22"/>
  <c r="Y399" i="22" s="1"/>
  <c r="J399" i="22"/>
  <c r="AS398" i="22"/>
  <c r="AP398" i="22"/>
  <c r="AO398" i="22"/>
  <c r="AM398" i="22"/>
  <c r="AJ398" i="22"/>
  <c r="AH398" i="22"/>
  <c r="AD398" i="22"/>
  <c r="AB398" i="22"/>
  <c r="AF398" i="22" s="1"/>
  <c r="Z398" i="22"/>
  <c r="X398" i="22"/>
  <c r="W398" i="22"/>
  <c r="V398" i="22"/>
  <c r="AN398" i="22" s="1"/>
  <c r="U398" i="22"/>
  <c r="S398" i="22"/>
  <c r="AK398" i="22" s="1"/>
  <c r="R398" i="22"/>
  <c r="Q398" i="22"/>
  <c r="P398" i="22"/>
  <c r="O398" i="22"/>
  <c r="Y398" i="22" s="1"/>
  <c r="AQ398" i="22" s="1"/>
  <c r="J398" i="22"/>
  <c r="T398" i="22" s="1"/>
  <c r="AS397" i="22"/>
  <c r="AH397" i="22"/>
  <c r="AA397" i="22"/>
  <c r="AE397" i="22" s="1"/>
  <c r="Z397" i="22"/>
  <c r="AD397" i="22" s="1"/>
  <c r="Y397" i="22"/>
  <c r="AQ397" i="22" s="1"/>
  <c r="X397" i="22"/>
  <c r="AP397" i="22" s="1"/>
  <c r="W397" i="22"/>
  <c r="AO397" i="22" s="1"/>
  <c r="V397" i="22"/>
  <c r="AN397" i="22" s="1"/>
  <c r="U397" i="22"/>
  <c r="AM397" i="22" s="1"/>
  <c r="T397" i="22"/>
  <c r="AL397" i="22" s="1"/>
  <c r="S397" i="22"/>
  <c r="AK397" i="22" s="1"/>
  <c r="R397" i="22"/>
  <c r="Q397" i="22"/>
  <c r="AI397" i="22" s="1"/>
  <c r="P397" i="22"/>
  <c r="O397" i="22"/>
  <c r="J397" i="22"/>
  <c r="AS396" i="22"/>
  <c r="AO396" i="22"/>
  <c r="AN396" i="22"/>
  <c r="AM396" i="22"/>
  <c r="Y396" i="22"/>
  <c r="AQ396" i="22" s="1"/>
  <c r="X396" i="22"/>
  <c r="AP396" i="22" s="1"/>
  <c r="W396" i="22"/>
  <c r="V396" i="22"/>
  <c r="U396" i="22"/>
  <c r="T396" i="22"/>
  <c r="AL396" i="22" s="1"/>
  <c r="S396" i="22"/>
  <c r="AK396" i="22" s="1"/>
  <c r="R396" i="22"/>
  <c r="Q396" i="22"/>
  <c r="P396" i="22"/>
  <c r="O396" i="22"/>
  <c r="J396" i="22"/>
  <c r="AS395" i="22"/>
  <c r="AN395" i="22"/>
  <c r="AM395" i="22"/>
  <c r="Y395" i="22"/>
  <c r="AQ395" i="22" s="1"/>
  <c r="X395" i="22"/>
  <c r="AP395" i="22" s="1"/>
  <c r="W395" i="22"/>
  <c r="AO395" i="22" s="1"/>
  <c r="V395" i="22"/>
  <c r="U395" i="22"/>
  <c r="S395" i="22"/>
  <c r="AK395" i="22" s="1"/>
  <c r="R395" i="22"/>
  <c r="AJ395" i="22" s="1"/>
  <c r="Q395" i="22"/>
  <c r="P395" i="22"/>
  <c r="O395" i="22"/>
  <c r="J395" i="22"/>
  <c r="T395" i="22" s="1"/>
  <c r="AS394" i="22"/>
  <c r="AM394" i="22"/>
  <c r="AL394" i="22"/>
  <c r="AK394" i="22"/>
  <c r="X394" i="22"/>
  <c r="AP394" i="22" s="1"/>
  <c r="W394" i="22"/>
  <c r="AO394" i="22" s="1"/>
  <c r="V394" i="22"/>
  <c r="AN394" i="22" s="1"/>
  <c r="U394" i="22"/>
  <c r="S394" i="22"/>
  <c r="R394" i="22"/>
  <c r="AJ394" i="22" s="1"/>
  <c r="Q394" i="22"/>
  <c r="AI394" i="22" s="1"/>
  <c r="P394" i="22"/>
  <c r="O394" i="22"/>
  <c r="Y394" i="22" s="1"/>
  <c r="AQ394" i="22" s="1"/>
  <c r="J394" i="22"/>
  <c r="T394" i="22" s="1"/>
  <c r="AS393" i="22"/>
  <c r="AM393" i="22"/>
  <c r="AK393" i="22"/>
  <c r="AJ393" i="22"/>
  <c r="X393" i="22"/>
  <c r="AP393" i="22" s="1"/>
  <c r="W393" i="22"/>
  <c r="V393" i="22"/>
  <c r="AN393" i="22" s="1"/>
  <c r="U393" i="22"/>
  <c r="S393" i="22"/>
  <c r="R393" i="22"/>
  <c r="Q393" i="22"/>
  <c r="AI393" i="22" s="1"/>
  <c r="P393" i="22"/>
  <c r="AH393" i="22" s="1"/>
  <c r="O393" i="22"/>
  <c r="Y393" i="22" s="1"/>
  <c r="AQ393" i="22" s="1"/>
  <c r="J393" i="22"/>
  <c r="T393" i="22" s="1"/>
  <c r="AS392" i="22"/>
  <c r="AL392" i="22"/>
  <c r="AK392" i="22"/>
  <c r="AJ392" i="22"/>
  <c r="AI392" i="22"/>
  <c r="AB392" i="22"/>
  <c r="AF392" i="22" s="1"/>
  <c r="X392" i="22"/>
  <c r="AP392" i="22" s="1"/>
  <c r="W392" i="22"/>
  <c r="AO392" i="22" s="1"/>
  <c r="V392" i="22"/>
  <c r="U392" i="22"/>
  <c r="AM392" i="22" s="1"/>
  <c r="T392" i="22"/>
  <c r="AC392" i="22" s="1"/>
  <c r="AG392" i="22" s="1"/>
  <c r="S392" i="22"/>
  <c r="R392" i="22"/>
  <c r="Q392" i="22"/>
  <c r="P392" i="22"/>
  <c r="AH392" i="22" s="1"/>
  <c r="O392" i="22"/>
  <c r="Y392" i="22" s="1"/>
  <c r="AQ392" i="22" s="1"/>
  <c r="J392" i="22"/>
  <c r="AS391" i="22"/>
  <c r="AQ391" i="22"/>
  <c r="AP391" i="22"/>
  <c r="AK391" i="22"/>
  <c r="AJ391" i="22"/>
  <c r="AI391" i="22"/>
  <c r="AH391" i="22"/>
  <c r="AB391" i="22"/>
  <c r="AF391" i="22" s="1"/>
  <c r="AA391" i="22"/>
  <c r="AE391" i="22" s="1"/>
  <c r="X391" i="22"/>
  <c r="W391" i="22"/>
  <c r="AO391" i="22" s="1"/>
  <c r="V391" i="22"/>
  <c r="AN391" i="22" s="1"/>
  <c r="U391" i="22"/>
  <c r="T391" i="22"/>
  <c r="AL391" i="22" s="1"/>
  <c r="S391" i="22"/>
  <c r="R391" i="22"/>
  <c r="Q391" i="22"/>
  <c r="P391" i="22"/>
  <c r="O391" i="22"/>
  <c r="Y391" i="22" s="1"/>
  <c r="J391" i="22"/>
  <c r="AS390" i="22"/>
  <c r="AQ390" i="22"/>
  <c r="AP390" i="22"/>
  <c r="AO390" i="22"/>
  <c r="AI390" i="22"/>
  <c r="AH390" i="22"/>
  <c r="AB390" i="22"/>
  <c r="AF390" i="22" s="1"/>
  <c r="AA390" i="22"/>
  <c r="AE390" i="22" s="1"/>
  <c r="Z390" i="22"/>
  <c r="AD390" i="22" s="1"/>
  <c r="Y390" i="22"/>
  <c r="X390" i="22"/>
  <c r="W390" i="22"/>
  <c r="V390" i="22"/>
  <c r="AN390" i="22" s="1"/>
  <c r="U390" i="22"/>
  <c r="AM390" i="22" s="1"/>
  <c r="T390" i="22"/>
  <c r="S390" i="22"/>
  <c r="AK390" i="22" s="1"/>
  <c r="R390" i="22"/>
  <c r="AJ390" i="22" s="1"/>
  <c r="Q390" i="22"/>
  <c r="P390" i="22"/>
  <c r="O390" i="22"/>
  <c r="J390" i="22"/>
  <c r="AS389" i="22"/>
  <c r="AQ389" i="22"/>
  <c r="AP389" i="22"/>
  <c r="AO389" i="22"/>
  <c r="AN389" i="22"/>
  <c r="AI389" i="22"/>
  <c r="AH389" i="22"/>
  <c r="AG389" i="22"/>
  <c r="AA389" i="22"/>
  <c r="AE389" i="22" s="1"/>
  <c r="Z389" i="22"/>
  <c r="AD389" i="22" s="1"/>
  <c r="Y389" i="22"/>
  <c r="AC389" i="22" s="1"/>
  <c r="X389" i="22"/>
  <c r="W389" i="22"/>
  <c r="V389" i="22"/>
  <c r="U389" i="22"/>
  <c r="AM389" i="22" s="1"/>
  <c r="T389" i="22"/>
  <c r="AL389" i="22" s="1"/>
  <c r="S389" i="22"/>
  <c r="AK389" i="22" s="1"/>
  <c r="R389" i="22"/>
  <c r="Q389" i="22"/>
  <c r="P389" i="22"/>
  <c r="O389" i="22"/>
  <c r="J389" i="22"/>
  <c r="AS388" i="22"/>
  <c r="AO388" i="22"/>
  <c r="AN388" i="22"/>
  <c r="AM388" i="22"/>
  <c r="AH388" i="22"/>
  <c r="Z388" i="22"/>
  <c r="AD388" i="22" s="1"/>
  <c r="Y388" i="22"/>
  <c r="AQ388" i="22" s="1"/>
  <c r="X388" i="22"/>
  <c r="AP388" i="22" s="1"/>
  <c r="W388" i="22"/>
  <c r="V388" i="22"/>
  <c r="U388" i="22"/>
  <c r="T388" i="22"/>
  <c r="AL388" i="22" s="1"/>
  <c r="S388" i="22"/>
  <c r="AK388" i="22" s="1"/>
  <c r="R388" i="22"/>
  <c r="Q388" i="22"/>
  <c r="P388" i="22"/>
  <c r="O388" i="22"/>
  <c r="J388" i="22"/>
  <c r="AS387" i="22"/>
  <c r="AN387" i="22"/>
  <c r="AM387" i="22"/>
  <c r="X387" i="22"/>
  <c r="AP387" i="22" s="1"/>
  <c r="W387" i="22"/>
  <c r="AO387" i="22" s="1"/>
  <c r="V387" i="22"/>
  <c r="U387" i="22"/>
  <c r="S387" i="22"/>
  <c r="AK387" i="22" s="1"/>
  <c r="R387" i="22"/>
  <c r="AJ387" i="22" s="1"/>
  <c r="Q387" i="22"/>
  <c r="P387" i="22"/>
  <c r="O387" i="22"/>
  <c r="Y387" i="22" s="1"/>
  <c r="AQ387" i="22" s="1"/>
  <c r="J387" i="22"/>
  <c r="T387" i="22" s="1"/>
  <c r="AS386" i="22"/>
  <c r="AN386" i="22"/>
  <c r="AM386" i="22"/>
  <c r="AK386" i="22"/>
  <c r="X386" i="22"/>
  <c r="AP386" i="22" s="1"/>
  <c r="W386" i="22"/>
  <c r="AO386" i="22" s="1"/>
  <c r="V386" i="22"/>
  <c r="U386" i="22"/>
  <c r="S386" i="22"/>
  <c r="R386" i="22"/>
  <c r="AJ386" i="22" s="1"/>
  <c r="Q386" i="22"/>
  <c r="AI386" i="22" s="1"/>
  <c r="P386" i="22"/>
  <c r="O386" i="22"/>
  <c r="Y386" i="22" s="1"/>
  <c r="AQ386" i="22" s="1"/>
  <c r="J386" i="22"/>
  <c r="T386" i="22" s="1"/>
  <c r="AC386" i="22" s="1"/>
  <c r="AG386" i="22" s="1"/>
  <c r="AS385" i="22"/>
  <c r="AM385" i="22"/>
  <c r="AL385" i="22"/>
  <c r="AK385" i="22"/>
  <c r="AJ385" i="22"/>
  <c r="AC385" i="22"/>
  <c r="AG385" i="22" s="1"/>
  <c r="X385" i="22"/>
  <c r="AP385" i="22" s="1"/>
  <c r="W385" i="22"/>
  <c r="V385" i="22"/>
  <c r="AN385" i="22" s="1"/>
  <c r="U385" i="22"/>
  <c r="S385" i="22"/>
  <c r="R385" i="22"/>
  <c r="Q385" i="22"/>
  <c r="AI385" i="22" s="1"/>
  <c r="P385" i="22"/>
  <c r="AH385" i="22" s="1"/>
  <c r="O385" i="22"/>
  <c r="Y385" i="22" s="1"/>
  <c r="AQ385" i="22" s="1"/>
  <c r="J385" i="22"/>
  <c r="T385" i="22" s="1"/>
  <c r="AS384" i="22"/>
  <c r="AK384" i="22"/>
  <c r="AJ384" i="22"/>
  <c r="AI384" i="22"/>
  <c r="AB384" i="22"/>
  <c r="AF384" i="22" s="1"/>
  <c r="X384" i="22"/>
  <c r="AP384" i="22" s="1"/>
  <c r="W384" i="22"/>
  <c r="AO384" i="22" s="1"/>
  <c r="V384" i="22"/>
  <c r="U384" i="22"/>
  <c r="AM384" i="22" s="1"/>
  <c r="S384" i="22"/>
  <c r="R384" i="22"/>
  <c r="Q384" i="22"/>
  <c r="P384" i="22"/>
  <c r="AH384" i="22" s="1"/>
  <c r="O384" i="22"/>
  <c r="Y384" i="22" s="1"/>
  <c r="AQ384" i="22" s="1"/>
  <c r="J384" i="22"/>
  <c r="T384" i="22" s="1"/>
  <c r="AS383" i="22"/>
  <c r="AP383" i="22"/>
  <c r="AK383" i="22"/>
  <c r="AJ383" i="22"/>
  <c r="AI383" i="22"/>
  <c r="AH383" i="22"/>
  <c r="AC383" i="22"/>
  <c r="AG383" i="22" s="1"/>
  <c r="AA383" i="22"/>
  <c r="AE383" i="22" s="1"/>
  <c r="Z383" i="22"/>
  <c r="AD383" i="22" s="1"/>
  <c r="X383" i="22"/>
  <c r="W383" i="22"/>
  <c r="AO383" i="22" s="1"/>
  <c r="V383" i="22"/>
  <c r="AN383" i="22" s="1"/>
  <c r="U383" i="22"/>
  <c r="AM383" i="22" s="1"/>
  <c r="T383" i="22"/>
  <c r="AL383" i="22" s="1"/>
  <c r="S383" i="22"/>
  <c r="R383" i="22"/>
  <c r="AB383" i="22" s="1"/>
  <c r="AF383" i="22" s="1"/>
  <c r="Q383" i="22"/>
  <c r="P383" i="22"/>
  <c r="O383" i="22"/>
  <c r="Y383" i="22" s="1"/>
  <c r="AQ383" i="22" s="1"/>
  <c r="J383" i="22"/>
  <c r="AS382" i="22"/>
  <c r="AQ382" i="22"/>
  <c r="AP382" i="22"/>
  <c r="AO382" i="22"/>
  <c r="AL382" i="22"/>
  <c r="AI382" i="22"/>
  <c r="AH382" i="22"/>
  <c r="AD382" i="22"/>
  <c r="Z382" i="22"/>
  <c r="Y382" i="22"/>
  <c r="X382" i="22"/>
  <c r="W382" i="22"/>
  <c r="V382" i="22"/>
  <c r="AN382" i="22" s="1"/>
  <c r="U382" i="22"/>
  <c r="AM382" i="22" s="1"/>
  <c r="T382" i="22"/>
  <c r="S382" i="22"/>
  <c r="AK382" i="22" s="1"/>
  <c r="R382" i="22"/>
  <c r="Q382" i="22"/>
  <c r="AA382" i="22" s="1"/>
  <c r="AE382" i="22" s="1"/>
  <c r="P382" i="22"/>
  <c r="O382" i="22"/>
  <c r="J382" i="22"/>
  <c r="AS381" i="22"/>
  <c r="AO381" i="22"/>
  <c r="AN381" i="22"/>
  <c r="AI381" i="22"/>
  <c r="AA381" i="22"/>
  <c r="AE381" i="22" s="1"/>
  <c r="Y381" i="22"/>
  <c r="AQ381" i="22" s="1"/>
  <c r="X381" i="22"/>
  <c r="AP381" i="22" s="1"/>
  <c r="W381" i="22"/>
  <c r="V381" i="22"/>
  <c r="U381" i="22"/>
  <c r="AM381" i="22" s="1"/>
  <c r="T381" i="22"/>
  <c r="AL381" i="22" s="1"/>
  <c r="S381" i="22"/>
  <c r="AK381" i="22" s="1"/>
  <c r="R381" i="22"/>
  <c r="Q381" i="22"/>
  <c r="P381" i="22"/>
  <c r="O381" i="22"/>
  <c r="J381" i="22"/>
  <c r="AS380" i="22"/>
  <c r="AO380" i="22"/>
  <c r="AN380" i="22"/>
  <c r="AM380" i="22"/>
  <c r="AJ380" i="22"/>
  <c r="AB380" i="22"/>
  <c r="AF380" i="22" s="1"/>
  <c r="Y380" i="22"/>
  <c r="AQ380" i="22" s="1"/>
  <c r="X380" i="22"/>
  <c r="AP380" i="22" s="1"/>
  <c r="W380" i="22"/>
  <c r="V380" i="22"/>
  <c r="U380" i="22"/>
  <c r="T380" i="22"/>
  <c r="S380" i="22"/>
  <c r="AK380" i="22" s="1"/>
  <c r="R380" i="22"/>
  <c r="Q380" i="22"/>
  <c r="P380" i="22"/>
  <c r="O380" i="22"/>
  <c r="J380" i="22"/>
  <c r="AS379" i="22"/>
  <c r="AO379" i="22"/>
  <c r="AM379" i="22"/>
  <c r="AL379" i="22"/>
  <c r="X379" i="22"/>
  <c r="AP379" i="22" s="1"/>
  <c r="W379" i="22"/>
  <c r="V379" i="22"/>
  <c r="AN379" i="22" s="1"/>
  <c r="U379" i="22"/>
  <c r="S379" i="22"/>
  <c r="AK379" i="22" s="1"/>
  <c r="R379" i="22"/>
  <c r="AJ379" i="22" s="1"/>
  <c r="Q379" i="22"/>
  <c r="AI379" i="22" s="1"/>
  <c r="P379" i="22"/>
  <c r="O379" i="22"/>
  <c r="Y379" i="22" s="1"/>
  <c r="AQ379" i="22" s="1"/>
  <c r="J379" i="22"/>
  <c r="T379" i="22" s="1"/>
  <c r="AS378" i="22"/>
  <c r="AM378" i="22"/>
  <c r="AK378" i="22"/>
  <c r="AH378" i="22"/>
  <c r="X378" i="22"/>
  <c r="AP378" i="22" s="1"/>
  <c r="W378" i="22"/>
  <c r="AO378" i="22" s="1"/>
  <c r="V378" i="22"/>
  <c r="AN378" i="22" s="1"/>
  <c r="U378" i="22"/>
  <c r="S378" i="22"/>
  <c r="R378" i="22"/>
  <c r="Q378" i="22"/>
  <c r="AI378" i="22" s="1"/>
  <c r="P378" i="22"/>
  <c r="Z378" i="22" s="1"/>
  <c r="AD378" i="22" s="1"/>
  <c r="O378" i="22"/>
  <c r="Y378" i="22" s="1"/>
  <c r="AQ378" i="22" s="1"/>
  <c r="J378" i="22"/>
  <c r="T378" i="22" s="1"/>
  <c r="AC378" i="22" s="1"/>
  <c r="AG378" i="22" s="1"/>
  <c r="AS377" i="22"/>
  <c r="AM377" i="22"/>
  <c r="AK377" i="22"/>
  <c r="AJ377" i="22"/>
  <c r="AB377" i="22"/>
  <c r="AF377" i="22" s="1"/>
  <c r="X377" i="22"/>
  <c r="AP377" i="22" s="1"/>
  <c r="W377" i="22"/>
  <c r="AO377" i="22" s="1"/>
  <c r="V377" i="22"/>
  <c r="AN377" i="22" s="1"/>
  <c r="U377" i="22"/>
  <c r="T377" i="22"/>
  <c r="S377" i="22"/>
  <c r="R377" i="22"/>
  <c r="Q377" i="22"/>
  <c r="P377" i="22"/>
  <c r="AH377" i="22" s="1"/>
  <c r="O377" i="22"/>
  <c r="Y377" i="22" s="1"/>
  <c r="AQ377" i="22" s="1"/>
  <c r="J377" i="22"/>
  <c r="AS376" i="22"/>
  <c r="AQ376" i="22"/>
  <c r="AJ376" i="22"/>
  <c r="AI376" i="22"/>
  <c r="X376" i="22"/>
  <c r="AP376" i="22" s="1"/>
  <c r="W376" i="22"/>
  <c r="AO376" i="22" s="1"/>
  <c r="V376" i="22"/>
  <c r="AN376" i="22" s="1"/>
  <c r="U376" i="22"/>
  <c r="AM376" i="22" s="1"/>
  <c r="S376" i="22"/>
  <c r="R376" i="22"/>
  <c r="Q376" i="22"/>
  <c r="P376" i="22"/>
  <c r="O376" i="22"/>
  <c r="Y376" i="22" s="1"/>
  <c r="J376" i="22"/>
  <c r="T376" i="22" s="1"/>
  <c r="AS375" i="22"/>
  <c r="AP375" i="22"/>
  <c r="AJ375" i="22"/>
  <c r="AI375" i="22"/>
  <c r="AH375" i="22"/>
  <c r="AB375" i="22"/>
  <c r="AF375" i="22" s="1"/>
  <c r="X375" i="22"/>
  <c r="W375" i="22"/>
  <c r="AO375" i="22" s="1"/>
  <c r="V375" i="22"/>
  <c r="AN375" i="22" s="1"/>
  <c r="U375" i="22"/>
  <c r="S375" i="22"/>
  <c r="AK375" i="22" s="1"/>
  <c r="R375" i="22"/>
  <c r="Q375" i="22"/>
  <c r="P375" i="22"/>
  <c r="O375" i="22"/>
  <c r="Y375" i="22" s="1"/>
  <c r="AQ375" i="22" s="1"/>
  <c r="J375" i="22"/>
  <c r="T375" i="22" s="1"/>
  <c r="AC375" i="22" s="1"/>
  <c r="AG375" i="22" s="1"/>
  <c r="AS374" i="22"/>
  <c r="AP374" i="22"/>
  <c r="AO374" i="22"/>
  <c r="AH374" i="22"/>
  <c r="AD374" i="22"/>
  <c r="AA374" i="22"/>
  <c r="AE374" i="22" s="1"/>
  <c r="Z374" i="22"/>
  <c r="Y374" i="22"/>
  <c r="AQ374" i="22" s="1"/>
  <c r="X374" i="22"/>
  <c r="W374" i="22"/>
  <c r="V374" i="22"/>
  <c r="AN374" i="22" s="1"/>
  <c r="U374" i="22"/>
  <c r="AM374" i="22" s="1"/>
  <c r="S374" i="22"/>
  <c r="AK374" i="22" s="1"/>
  <c r="R374" i="22"/>
  <c r="Q374" i="22"/>
  <c r="AI374" i="22" s="1"/>
  <c r="P374" i="22"/>
  <c r="O374" i="22"/>
  <c r="J374" i="22"/>
  <c r="T374" i="22" s="1"/>
  <c r="AS373" i="22"/>
  <c r="AP373" i="22"/>
  <c r="AO373" i="22"/>
  <c r="AN373" i="22"/>
  <c r="AA373" i="22"/>
  <c r="AE373" i="22" s="1"/>
  <c r="Y373" i="22"/>
  <c r="AQ373" i="22" s="1"/>
  <c r="X373" i="22"/>
  <c r="W373" i="22"/>
  <c r="V373" i="22"/>
  <c r="U373" i="22"/>
  <c r="AM373" i="22" s="1"/>
  <c r="T373" i="22"/>
  <c r="AL373" i="22" s="1"/>
  <c r="S373" i="22"/>
  <c r="AB373" i="22" s="1"/>
  <c r="AF373" i="22" s="1"/>
  <c r="R373" i="22"/>
  <c r="AJ373" i="22" s="1"/>
  <c r="Q373" i="22"/>
  <c r="AI373" i="22" s="1"/>
  <c r="P373" i="22"/>
  <c r="Z373" i="22" s="1"/>
  <c r="AD373" i="22" s="1"/>
  <c r="O373" i="22"/>
  <c r="J373" i="22"/>
  <c r="AS372" i="22"/>
  <c r="AP372" i="22"/>
  <c r="AN372" i="22"/>
  <c r="AM372" i="22"/>
  <c r="AB372" i="22"/>
  <c r="AF372" i="22" s="1"/>
  <c r="Y372" i="22"/>
  <c r="AQ372" i="22" s="1"/>
  <c r="X372" i="22"/>
  <c r="W372" i="22"/>
  <c r="AO372" i="22" s="1"/>
  <c r="V372" i="22"/>
  <c r="U372" i="22"/>
  <c r="T372" i="22"/>
  <c r="S372" i="22"/>
  <c r="AK372" i="22" s="1"/>
  <c r="R372" i="22"/>
  <c r="AJ372" i="22" s="1"/>
  <c r="Q372" i="22"/>
  <c r="AA372" i="22" s="1"/>
  <c r="AE372" i="22" s="1"/>
  <c r="P372" i="22"/>
  <c r="Z372" i="22" s="1"/>
  <c r="AD372" i="22" s="1"/>
  <c r="O372" i="22"/>
  <c r="J372" i="22"/>
  <c r="AS371" i="22"/>
  <c r="AP371" i="22"/>
  <c r="AN371" i="22"/>
  <c r="AM371" i="22"/>
  <c r="AI371" i="22"/>
  <c r="Y371" i="22"/>
  <c r="AQ371" i="22" s="1"/>
  <c r="X371" i="22"/>
  <c r="W371" i="22"/>
  <c r="AO371" i="22" s="1"/>
  <c r="V371" i="22"/>
  <c r="U371" i="22"/>
  <c r="S371" i="22"/>
  <c r="AK371" i="22" s="1"/>
  <c r="R371" i="22"/>
  <c r="Q371" i="22"/>
  <c r="AA371" i="22" s="1"/>
  <c r="AE371" i="22" s="1"/>
  <c r="P371" i="22"/>
  <c r="O371" i="22"/>
  <c r="J371" i="22"/>
  <c r="T371" i="22" s="1"/>
  <c r="AS370" i="22"/>
  <c r="AO370" i="22"/>
  <c r="AM370" i="22"/>
  <c r="AJ370" i="22"/>
  <c r="AB370" i="22"/>
  <c r="AF370" i="22" s="1"/>
  <c r="Y370" i="22"/>
  <c r="AQ370" i="22" s="1"/>
  <c r="X370" i="22"/>
  <c r="AP370" i="22" s="1"/>
  <c r="W370" i="22"/>
  <c r="V370" i="22"/>
  <c r="AN370" i="22" s="1"/>
  <c r="U370" i="22"/>
  <c r="T370" i="22"/>
  <c r="S370" i="22"/>
  <c r="AK370" i="22" s="1"/>
  <c r="R370" i="22"/>
  <c r="Q370" i="22"/>
  <c r="P370" i="22"/>
  <c r="AH370" i="22" s="1"/>
  <c r="O370" i="22"/>
  <c r="J370" i="22"/>
  <c r="AS369" i="22"/>
  <c r="AN369" i="22"/>
  <c r="AI369" i="22"/>
  <c r="AA369" i="22"/>
  <c r="AE369" i="22" s="1"/>
  <c r="X369" i="22"/>
  <c r="AP369" i="22" s="1"/>
  <c r="W369" i="22"/>
  <c r="AO369" i="22" s="1"/>
  <c r="V369" i="22"/>
  <c r="U369" i="22"/>
  <c r="AM369" i="22" s="1"/>
  <c r="S369" i="22"/>
  <c r="AK369" i="22" s="1"/>
  <c r="R369" i="22"/>
  <c r="AJ369" i="22" s="1"/>
  <c r="Q369" i="22"/>
  <c r="P369" i="22"/>
  <c r="O369" i="22"/>
  <c r="Y369" i="22" s="1"/>
  <c r="AC369" i="22" s="1"/>
  <c r="AG369" i="22" s="1"/>
  <c r="J369" i="22"/>
  <c r="T369" i="22" s="1"/>
  <c r="AL369" i="22" s="1"/>
  <c r="AS368" i="22"/>
  <c r="AP368" i="22"/>
  <c r="AM368" i="22"/>
  <c r="AK368" i="22"/>
  <c r="AJ368" i="22"/>
  <c r="AH368" i="22"/>
  <c r="Z368" i="22"/>
  <c r="AD368" i="22" s="1"/>
  <c r="X368" i="22"/>
  <c r="W368" i="22"/>
  <c r="AO368" i="22" s="1"/>
  <c r="V368" i="22"/>
  <c r="AN368" i="22" s="1"/>
  <c r="U368" i="22"/>
  <c r="T368" i="22"/>
  <c r="S368" i="22"/>
  <c r="R368" i="22"/>
  <c r="Q368" i="22"/>
  <c r="AI368" i="22" s="1"/>
  <c r="P368" i="22"/>
  <c r="O368" i="22"/>
  <c r="Y368" i="22" s="1"/>
  <c r="AQ368" i="22" s="1"/>
  <c r="J368" i="22"/>
  <c r="AS367" i="22"/>
  <c r="AO367" i="22"/>
  <c r="AJ367" i="22"/>
  <c r="AG367" i="22"/>
  <c r="Y367" i="22"/>
  <c r="AQ367" i="22" s="1"/>
  <c r="X367" i="22"/>
  <c r="AP367" i="22" s="1"/>
  <c r="W367" i="22"/>
  <c r="V367" i="22"/>
  <c r="AN367" i="22" s="1"/>
  <c r="U367" i="22"/>
  <c r="AM367" i="22" s="1"/>
  <c r="S367" i="22"/>
  <c r="R367" i="22"/>
  <c r="Q367" i="22"/>
  <c r="AA367" i="22" s="1"/>
  <c r="AE367" i="22" s="1"/>
  <c r="P367" i="22"/>
  <c r="AH367" i="22" s="1"/>
  <c r="O367" i="22"/>
  <c r="J367" i="22"/>
  <c r="T367" i="22" s="1"/>
  <c r="AC367" i="22" s="1"/>
  <c r="AS366" i="22"/>
  <c r="AN366" i="22"/>
  <c r="AK366" i="22"/>
  <c r="AI366" i="22"/>
  <c r="AC366" i="22"/>
  <c r="AG366" i="22" s="1"/>
  <c r="AA366" i="22"/>
  <c r="AE366" i="22" s="1"/>
  <c r="X366" i="22"/>
  <c r="AP366" i="22" s="1"/>
  <c r="W366" i="22"/>
  <c r="AO366" i="22" s="1"/>
  <c r="V366" i="22"/>
  <c r="U366" i="22"/>
  <c r="AM366" i="22" s="1"/>
  <c r="T366" i="22"/>
  <c r="AL366" i="22" s="1"/>
  <c r="S366" i="22"/>
  <c r="R366" i="22"/>
  <c r="Q366" i="22"/>
  <c r="P366" i="22"/>
  <c r="O366" i="22"/>
  <c r="Y366" i="22" s="1"/>
  <c r="AQ366" i="22" s="1"/>
  <c r="J366" i="22"/>
  <c r="AS365" i="22"/>
  <c r="AP365" i="22"/>
  <c r="AO365" i="22"/>
  <c r="AM365" i="22"/>
  <c r="AJ365" i="22"/>
  <c r="AH365" i="22"/>
  <c r="Z365" i="22"/>
  <c r="AD365" i="22" s="1"/>
  <c r="Y365" i="22"/>
  <c r="AQ365" i="22" s="1"/>
  <c r="X365" i="22"/>
  <c r="W365" i="22"/>
  <c r="AB365" i="22" s="1"/>
  <c r="AF365" i="22" s="1"/>
  <c r="V365" i="22"/>
  <c r="AN365" i="22" s="1"/>
  <c r="U365" i="22"/>
  <c r="T365" i="22"/>
  <c r="S365" i="22"/>
  <c r="AK365" i="22" s="1"/>
  <c r="R365" i="22"/>
  <c r="Q365" i="22"/>
  <c r="P365" i="22"/>
  <c r="O365" i="22"/>
  <c r="J365" i="22"/>
  <c r="AS364" i="22"/>
  <c r="AQ364" i="22"/>
  <c r="AO364" i="22"/>
  <c r="AN364" i="22"/>
  <c r="AI364" i="22"/>
  <c r="Y364" i="22"/>
  <c r="X364" i="22"/>
  <c r="AP364" i="22" s="1"/>
  <c r="W364" i="22"/>
  <c r="V364" i="22"/>
  <c r="AA364" i="22" s="1"/>
  <c r="AE364" i="22" s="1"/>
  <c r="U364" i="22"/>
  <c r="AM364" i="22" s="1"/>
  <c r="S364" i="22"/>
  <c r="AK364" i="22" s="1"/>
  <c r="R364" i="22"/>
  <c r="AJ364" i="22" s="1"/>
  <c r="Q364" i="22"/>
  <c r="P364" i="22"/>
  <c r="O364" i="22"/>
  <c r="J364" i="22"/>
  <c r="T364" i="22" s="1"/>
  <c r="AC364" i="22" s="1"/>
  <c r="AG364" i="22" s="1"/>
  <c r="AS363" i="22"/>
  <c r="AP363" i="22"/>
  <c r="AN363" i="22"/>
  <c r="AM363" i="22"/>
  <c r="AK363" i="22"/>
  <c r="AH363" i="22"/>
  <c r="AC363" i="22"/>
  <c r="AG363" i="22" s="1"/>
  <c r="Z363" i="22"/>
  <c r="AD363" i="22" s="1"/>
  <c r="X363" i="22"/>
  <c r="W363" i="22"/>
  <c r="AO363" i="22" s="1"/>
  <c r="V363" i="22"/>
  <c r="U363" i="22"/>
  <c r="T363" i="22"/>
  <c r="AL363" i="22" s="1"/>
  <c r="S363" i="22"/>
  <c r="R363" i="22"/>
  <c r="Q363" i="22"/>
  <c r="AI363" i="22" s="1"/>
  <c r="P363" i="22"/>
  <c r="O363" i="22"/>
  <c r="Y363" i="22" s="1"/>
  <c r="AQ363" i="22" s="1"/>
  <c r="J363" i="22"/>
  <c r="AS362" i="22"/>
  <c r="AO362" i="22"/>
  <c r="AM362" i="22"/>
  <c r="AJ362" i="22"/>
  <c r="AB362" i="22"/>
  <c r="AF362" i="22" s="1"/>
  <c r="Y362" i="22"/>
  <c r="AQ362" i="22" s="1"/>
  <c r="X362" i="22"/>
  <c r="AP362" i="22" s="1"/>
  <c r="W362" i="22"/>
  <c r="V362" i="22"/>
  <c r="AN362" i="22" s="1"/>
  <c r="U362" i="22"/>
  <c r="S362" i="22"/>
  <c r="AK362" i="22" s="1"/>
  <c r="R362" i="22"/>
  <c r="Q362" i="22"/>
  <c r="P362" i="22"/>
  <c r="AH362" i="22" s="1"/>
  <c r="O362" i="22"/>
  <c r="J362" i="22"/>
  <c r="T362" i="22" s="1"/>
  <c r="AS361" i="22"/>
  <c r="AN361" i="22"/>
  <c r="AK361" i="22"/>
  <c r="AI361" i="22"/>
  <c r="AA361" i="22"/>
  <c r="AE361" i="22" s="1"/>
  <c r="X361" i="22"/>
  <c r="AP361" i="22" s="1"/>
  <c r="W361" i="22"/>
  <c r="AO361" i="22" s="1"/>
  <c r="V361" i="22"/>
  <c r="U361" i="22"/>
  <c r="AM361" i="22" s="1"/>
  <c r="S361" i="22"/>
  <c r="R361" i="22"/>
  <c r="AJ361" i="22" s="1"/>
  <c r="Q361" i="22"/>
  <c r="P361" i="22"/>
  <c r="O361" i="22"/>
  <c r="Y361" i="22" s="1"/>
  <c r="AQ361" i="22" s="1"/>
  <c r="J361" i="22"/>
  <c r="T361" i="22" s="1"/>
  <c r="AL361" i="22" s="1"/>
  <c r="AS360" i="22"/>
  <c r="AP360" i="22"/>
  <c r="AK360" i="22"/>
  <c r="AH360" i="22"/>
  <c r="Z360" i="22"/>
  <c r="AD360" i="22" s="1"/>
  <c r="X360" i="22"/>
  <c r="W360" i="22"/>
  <c r="AO360" i="22" s="1"/>
  <c r="V360" i="22"/>
  <c r="AN360" i="22" s="1"/>
  <c r="U360" i="22"/>
  <c r="AM360" i="22" s="1"/>
  <c r="T360" i="22"/>
  <c r="AL360" i="22" s="1"/>
  <c r="S360" i="22"/>
  <c r="R360" i="22"/>
  <c r="AJ360" i="22" s="1"/>
  <c r="Q360" i="22"/>
  <c r="AI360" i="22" s="1"/>
  <c r="P360" i="22"/>
  <c r="O360" i="22"/>
  <c r="Y360" i="22" s="1"/>
  <c r="AQ360" i="22" s="1"/>
  <c r="J360" i="22"/>
  <c r="AS359" i="22"/>
  <c r="AO359" i="22"/>
  <c r="AK359" i="22"/>
  <c r="AJ359" i="22"/>
  <c r="Y359" i="22"/>
  <c r="AQ359" i="22" s="1"/>
  <c r="X359" i="22"/>
  <c r="AP359" i="22" s="1"/>
  <c r="W359" i="22"/>
  <c r="V359" i="22"/>
  <c r="AN359" i="22" s="1"/>
  <c r="U359" i="22"/>
  <c r="AM359" i="22" s="1"/>
  <c r="T359" i="22"/>
  <c r="S359" i="22"/>
  <c r="AB359" i="22" s="1"/>
  <c r="AF359" i="22" s="1"/>
  <c r="R359" i="22"/>
  <c r="Q359" i="22"/>
  <c r="P359" i="22"/>
  <c r="AH359" i="22" s="1"/>
  <c r="O359" i="22"/>
  <c r="J359" i="22"/>
  <c r="AS358" i="22"/>
  <c r="AN358" i="22"/>
  <c r="AK358" i="22"/>
  <c r="AJ358" i="22"/>
  <c r="AI358" i="22"/>
  <c r="AA358" i="22"/>
  <c r="AE358" i="22" s="1"/>
  <c r="Z358" i="22"/>
  <c r="AD358" i="22" s="1"/>
  <c r="X358" i="22"/>
  <c r="AP358" i="22" s="1"/>
  <c r="W358" i="22"/>
  <c r="AO358" i="22" s="1"/>
  <c r="V358" i="22"/>
  <c r="U358" i="22"/>
  <c r="AM358" i="22" s="1"/>
  <c r="T358" i="22"/>
  <c r="AL358" i="22" s="1"/>
  <c r="S358" i="22"/>
  <c r="R358" i="22"/>
  <c r="AB358" i="22" s="1"/>
  <c r="AF358" i="22" s="1"/>
  <c r="Q358" i="22"/>
  <c r="P358" i="22"/>
  <c r="AH358" i="22" s="1"/>
  <c r="O358" i="22"/>
  <c r="Y358" i="22" s="1"/>
  <c r="AQ358" i="22" s="1"/>
  <c r="J358" i="22"/>
  <c r="AS357" i="22"/>
  <c r="AQ357" i="22"/>
  <c r="AP357" i="22"/>
  <c r="AO357" i="22"/>
  <c r="AM357" i="22"/>
  <c r="AI357" i="22"/>
  <c r="AH357" i="22"/>
  <c r="Z357" i="22"/>
  <c r="AD357" i="22" s="1"/>
  <c r="Y357" i="22"/>
  <c r="X357" i="22"/>
  <c r="W357" i="22"/>
  <c r="V357" i="22"/>
  <c r="AN357" i="22" s="1"/>
  <c r="U357" i="22"/>
  <c r="T357" i="22"/>
  <c r="S357" i="22"/>
  <c r="AK357" i="22" s="1"/>
  <c r="R357" i="22"/>
  <c r="Q357" i="22"/>
  <c r="AA357" i="22" s="1"/>
  <c r="AE357" i="22" s="1"/>
  <c r="P357" i="22"/>
  <c r="O357" i="22"/>
  <c r="J357" i="22"/>
  <c r="AS356" i="22"/>
  <c r="AP356" i="22"/>
  <c r="AO356" i="22"/>
  <c r="AH356" i="22"/>
  <c r="AA356" i="22"/>
  <c r="AE356" i="22" s="1"/>
  <c r="Y356" i="22"/>
  <c r="AQ356" i="22" s="1"/>
  <c r="X356" i="22"/>
  <c r="W356" i="22"/>
  <c r="V356" i="22"/>
  <c r="AN356" i="22" s="1"/>
  <c r="U356" i="22"/>
  <c r="AM356" i="22" s="1"/>
  <c r="S356" i="22"/>
  <c r="AK356" i="22" s="1"/>
  <c r="R356" i="22"/>
  <c r="Q356" i="22"/>
  <c r="AI356" i="22" s="1"/>
  <c r="P356" i="22"/>
  <c r="Z356" i="22" s="1"/>
  <c r="AD356" i="22" s="1"/>
  <c r="O356" i="22"/>
  <c r="J356" i="22"/>
  <c r="T356" i="22" s="1"/>
  <c r="AC356" i="22" s="1"/>
  <c r="AG356" i="22" s="1"/>
  <c r="AS355" i="22"/>
  <c r="AO355" i="22"/>
  <c r="AN355" i="22"/>
  <c r="AK355" i="22"/>
  <c r="Z355" i="22"/>
  <c r="AD355" i="22" s="1"/>
  <c r="Y355" i="22"/>
  <c r="AQ355" i="22" s="1"/>
  <c r="X355" i="22"/>
  <c r="AP355" i="22" s="1"/>
  <c r="W355" i="22"/>
  <c r="V355" i="22"/>
  <c r="U355" i="22"/>
  <c r="AM355" i="22" s="1"/>
  <c r="T355" i="22"/>
  <c r="AL355" i="22" s="1"/>
  <c r="S355" i="22"/>
  <c r="R355" i="22"/>
  <c r="Q355" i="22"/>
  <c r="P355" i="22"/>
  <c r="AH355" i="22" s="1"/>
  <c r="O355" i="22"/>
  <c r="J355" i="22"/>
  <c r="AS354" i="22"/>
  <c r="AN354" i="22"/>
  <c r="AM354" i="22"/>
  <c r="AJ354" i="22"/>
  <c r="Y354" i="22"/>
  <c r="AQ354" i="22" s="1"/>
  <c r="X354" i="22"/>
  <c r="AP354" i="22" s="1"/>
  <c r="W354" i="22"/>
  <c r="AO354" i="22" s="1"/>
  <c r="V354" i="22"/>
  <c r="U354" i="22"/>
  <c r="T354" i="22"/>
  <c r="S354" i="22"/>
  <c r="AK354" i="22" s="1"/>
  <c r="R354" i="22"/>
  <c r="Q354" i="22"/>
  <c r="P354" i="22"/>
  <c r="O354" i="22"/>
  <c r="J354" i="22"/>
  <c r="AS353" i="22"/>
  <c r="AM353" i="22"/>
  <c r="AL353" i="22"/>
  <c r="AI353" i="22"/>
  <c r="X353" i="22"/>
  <c r="AP353" i="22" s="1"/>
  <c r="W353" i="22"/>
  <c r="AO353" i="22" s="1"/>
  <c r="V353" i="22"/>
  <c r="AN353" i="22" s="1"/>
  <c r="U353" i="22"/>
  <c r="S353" i="22"/>
  <c r="AK353" i="22" s="1"/>
  <c r="R353" i="22"/>
  <c r="AJ353" i="22" s="1"/>
  <c r="Q353" i="22"/>
  <c r="P353" i="22"/>
  <c r="O353" i="22"/>
  <c r="Y353" i="22" s="1"/>
  <c r="AQ353" i="22" s="1"/>
  <c r="J353" i="22"/>
  <c r="T353" i="22" s="1"/>
  <c r="AC353" i="22" s="1"/>
  <c r="AG353" i="22" s="1"/>
  <c r="AS352" i="22"/>
  <c r="AP352" i="22"/>
  <c r="AM352" i="22"/>
  <c r="AK352" i="22"/>
  <c r="AH352" i="22"/>
  <c r="X352" i="22"/>
  <c r="W352" i="22"/>
  <c r="AO352" i="22" s="1"/>
  <c r="V352" i="22"/>
  <c r="AN352" i="22" s="1"/>
  <c r="U352" i="22"/>
  <c r="Z352" i="22" s="1"/>
  <c r="AD352" i="22" s="1"/>
  <c r="S352" i="22"/>
  <c r="R352" i="22"/>
  <c r="AB352" i="22" s="1"/>
  <c r="AF352" i="22" s="1"/>
  <c r="Q352" i="22"/>
  <c r="AI352" i="22" s="1"/>
  <c r="P352" i="22"/>
  <c r="O352" i="22"/>
  <c r="Y352" i="22" s="1"/>
  <c r="AQ352" i="22" s="1"/>
  <c r="J352" i="22"/>
  <c r="T352" i="22" s="1"/>
  <c r="AS351" i="22"/>
  <c r="AQ351" i="22"/>
  <c r="AO351" i="22"/>
  <c r="AK351" i="22"/>
  <c r="AJ351" i="22"/>
  <c r="Y351" i="22"/>
  <c r="X351" i="22"/>
  <c r="AP351" i="22" s="1"/>
  <c r="W351" i="22"/>
  <c r="V351" i="22"/>
  <c r="U351" i="22"/>
  <c r="AM351" i="22" s="1"/>
  <c r="S351" i="22"/>
  <c r="AB351" i="22" s="1"/>
  <c r="AF351" i="22" s="1"/>
  <c r="R351" i="22"/>
  <c r="Q351" i="22"/>
  <c r="AI351" i="22" s="1"/>
  <c r="P351" i="22"/>
  <c r="O351" i="22"/>
  <c r="J351" i="22"/>
  <c r="T351" i="22" s="1"/>
  <c r="AS350" i="22"/>
  <c r="AN350" i="22"/>
  <c r="AI350" i="22"/>
  <c r="AA350" i="22"/>
  <c r="AE350" i="22" s="1"/>
  <c r="Z350" i="22"/>
  <c r="AD350" i="22" s="1"/>
  <c r="X350" i="22"/>
  <c r="AP350" i="22" s="1"/>
  <c r="W350" i="22"/>
  <c r="AO350" i="22" s="1"/>
  <c r="V350" i="22"/>
  <c r="U350" i="22"/>
  <c r="AM350" i="22" s="1"/>
  <c r="T350" i="22"/>
  <c r="AL350" i="22" s="1"/>
  <c r="S350" i="22"/>
  <c r="AK350" i="22" s="1"/>
  <c r="R350" i="22"/>
  <c r="AB350" i="22" s="1"/>
  <c r="AF350" i="22" s="1"/>
  <c r="Q350" i="22"/>
  <c r="P350" i="22"/>
  <c r="AH350" i="22" s="1"/>
  <c r="O350" i="22"/>
  <c r="Y350" i="22" s="1"/>
  <c r="AQ350" i="22" s="1"/>
  <c r="J350" i="22"/>
  <c r="AS349" i="22"/>
  <c r="AP349" i="22"/>
  <c r="AM349" i="22"/>
  <c r="AK349" i="22"/>
  <c r="AI349" i="22"/>
  <c r="AH349" i="22"/>
  <c r="AD349" i="22"/>
  <c r="Z349" i="22"/>
  <c r="Y349" i="22"/>
  <c r="AQ349" i="22" s="1"/>
  <c r="X349" i="22"/>
  <c r="W349" i="22"/>
  <c r="AO349" i="22" s="1"/>
  <c r="V349" i="22"/>
  <c r="AN349" i="22" s="1"/>
  <c r="U349" i="22"/>
  <c r="S349" i="22"/>
  <c r="R349" i="22"/>
  <c r="AB349" i="22" s="1"/>
  <c r="AF349" i="22" s="1"/>
  <c r="Q349" i="22"/>
  <c r="P349" i="22"/>
  <c r="O349" i="22"/>
  <c r="J349" i="22"/>
  <c r="T349" i="22" s="1"/>
  <c r="AS348" i="22"/>
  <c r="AO348" i="22"/>
  <c r="AJ348" i="22"/>
  <c r="AH348" i="22"/>
  <c r="AA348" i="22"/>
  <c r="AE348" i="22" s="1"/>
  <c r="Z348" i="22"/>
  <c r="AD348" i="22" s="1"/>
  <c r="Y348" i="22"/>
  <c r="AQ348" i="22" s="1"/>
  <c r="X348" i="22"/>
  <c r="AP348" i="22" s="1"/>
  <c r="W348" i="22"/>
  <c r="V348" i="22"/>
  <c r="AN348" i="22" s="1"/>
  <c r="U348" i="22"/>
  <c r="AM348" i="22" s="1"/>
  <c r="S348" i="22"/>
  <c r="AK348" i="22" s="1"/>
  <c r="R348" i="22"/>
  <c r="AB348" i="22" s="1"/>
  <c r="AF348" i="22" s="1"/>
  <c r="Q348" i="22"/>
  <c r="AI348" i="22" s="1"/>
  <c r="P348" i="22"/>
  <c r="O348" i="22"/>
  <c r="J348" i="22"/>
  <c r="T348" i="22" s="1"/>
  <c r="AS347" i="22"/>
  <c r="AN347" i="22"/>
  <c r="AK347" i="22"/>
  <c r="AJ347" i="22"/>
  <c r="AE347" i="22"/>
  <c r="AA347" i="22"/>
  <c r="X347" i="22"/>
  <c r="AB347" i="22" s="1"/>
  <c r="AF347" i="22" s="1"/>
  <c r="W347" i="22"/>
  <c r="AO347" i="22" s="1"/>
  <c r="V347" i="22"/>
  <c r="U347" i="22"/>
  <c r="AM347" i="22" s="1"/>
  <c r="T347" i="22"/>
  <c r="AL347" i="22" s="1"/>
  <c r="S347" i="22"/>
  <c r="R347" i="22"/>
  <c r="Q347" i="22"/>
  <c r="AI347" i="22" s="1"/>
  <c r="P347" i="22"/>
  <c r="O347" i="22"/>
  <c r="Y347" i="22" s="1"/>
  <c r="AQ347" i="22" s="1"/>
  <c r="J347" i="22"/>
  <c r="AS346" i="22"/>
  <c r="AM346" i="22"/>
  <c r="AJ346" i="22"/>
  <c r="AH346" i="22"/>
  <c r="AD346" i="22"/>
  <c r="Y346" i="22"/>
  <c r="AQ346" i="22" s="1"/>
  <c r="X346" i="22"/>
  <c r="AP346" i="22" s="1"/>
  <c r="W346" i="22"/>
  <c r="AO346" i="22" s="1"/>
  <c r="V346" i="22"/>
  <c r="AN346" i="22" s="1"/>
  <c r="U346" i="22"/>
  <c r="T346" i="22"/>
  <c r="S346" i="22"/>
  <c r="AK346" i="22" s="1"/>
  <c r="R346" i="22"/>
  <c r="Q346" i="22"/>
  <c r="AA346" i="22" s="1"/>
  <c r="AE346" i="22" s="1"/>
  <c r="P346" i="22"/>
  <c r="Z346" i="22" s="1"/>
  <c r="O346" i="22"/>
  <c r="J346" i="22"/>
  <c r="AS345" i="22"/>
  <c r="AK345" i="22"/>
  <c r="Z345" i="22"/>
  <c r="AD345" i="22" s="1"/>
  <c r="X345" i="22"/>
  <c r="AP345" i="22" s="1"/>
  <c r="W345" i="22"/>
  <c r="AO345" i="22" s="1"/>
  <c r="V345" i="22"/>
  <c r="AN345" i="22" s="1"/>
  <c r="U345" i="22"/>
  <c r="AM345" i="22" s="1"/>
  <c r="S345" i="22"/>
  <c r="R345" i="22"/>
  <c r="Q345" i="22"/>
  <c r="AA345" i="22" s="1"/>
  <c r="AE345" i="22" s="1"/>
  <c r="P345" i="22"/>
  <c r="AH345" i="22" s="1"/>
  <c r="O345" i="22"/>
  <c r="Y345" i="22" s="1"/>
  <c r="AQ345" i="22" s="1"/>
  <c r="J345" i="22"/>
  <c r="T345" i="22" s="1"/>
  <c r="AL345" i="22" s="1"/>
  <c r="AS344" i="22"/>
  <c r="AN344" i="22"/>
  <c r="AM344" i="22"/>
  <c r="AJ344" i="22"/>
  <c r="AI344" i="22"/>
  <c r="X344" i="22"/>
  <c r="W344" i="22"/>
  <c r="AO344" i="22" s="1"/>
  <c r="V344" i="22"/>
  <c r="AA344" i="22" s="1"/>
  <c r="AE344" i="22" s="1"/>
  <c r="U344" i="22"/>
  <c r="S344" i="22"/>
  <c r="AK344" i="22" s="1"/>
  <c r="R344" i="22"/>
  <c r="Q344" i="22"/>
  <c r="P344" i="22"/>
  <c r="O344" i="22"/>
  <c r="Y344" i="22" s="1"/>
  <c r="AQ344" i="22" s="1"/>
  <c r="J344" i="22"/>
  <c r="T344" i="22" s="1"/>
  <c r="AS343" i="22"/>
  <c r="AP343" i="22"/>
  <c r="AM343" i="22"/>
  <c r="AK343" i="22"/>
  <c r="AI343" i="22"/>
  <c r="AH343" i="22"/>
  <c r="X343" i="22"/>
  <c r="W343" i="22"/>
  <c r="AO343" i="22" s="1"/>
  <c r="V343" i="22"/>
  <c r="AA343" i="22" s="1"/>
  <c r="AE343" i="22" s="1"/>
  <c r="U343" i="22"/>
  <c r="Z343" i="22" s="1"/>
  <c r="AD343" i="22" s="1"/>
  <c r="S343" i="22"/>
  <c r="R343" i="22"/>
  <c r="AJ343" i="22" s="1"/>
  <c r="Q343" i="22"/>
  <c r="P343" i="22"/>
  <c r="O343" i="22"/>
  <c r="Y343" i="22" s="1"/>
  <c r="AQ343" i="22" s="1"/>
  <c r="J343" i="22"/>
  <c r="T343" i="22" s="1"/>
  <c r="AS342" i="22"/>
  <c r="AP342" i="22"/>
  <c r="AO342" i="22"/>
  <c r="AL342" i="22"/>
  <c r="AK342" i="22"/>
  <c r="AH342" i="22"/>
  <c r="Y342" i="22"/>
  <c r="AQ342" i="22" s="1"/>
  <c r="X342" i="22"/>
  <c r="W342" i="22"/>
  <c r="V342" i="22"/>
  <c r="AN342" i="22" s="1"/>
  <c r="U342" i="22"/>
  <c r="Z342" i="22" s="1"/>
  <c r="AD342" i="22" s="1"/>
  <c r="S342" i="22"/>
  <c r="R342" i="22"/>
  <c r="AJ342" i="22" s="1"/>
  <c r="Q342" i="22"/>
  <c r="AI342" i="22" s="1"/>
  <c r="P342" i="22"/>
  <c r="O342" i="22"/>
  <c r="J342" i="22"/>
  <c r="T342" i="22" s="1"/>
  <c r="AC342" i="22" s="1"/>
  <c r="AG342" i="22" s="1"/>
  <c r="AS341" i="22"/>
  <c r="AO341" i="22"/>
  <c r="AN341" i="22"/>
  <c r="AK341" i="22"/>
  <c r="AJ341" i="22"/>
  <c r="AC341" i="22"/>
  <c r="AG341" i="22" s="1"/>
  <c r="Y341" i="22"/>
  <c r="AQ341" i="22" s="1"/>
  <c r="X341" i="22"/>
  <c r="AP341" i="22" s="1"/>
  <c r="W341" i="22"/>
  <c r="V341" i="22"/>
  <c r="U341" i="22"/>
  <c r="AM341" i="22" s="1"/>
  <c r="T341" i="22"/>
  <c r="AL341" i="22" s="1"/>
  <c r="S341" i="22"/>
  <c r="AB341" i="22" s="1"/>
  <c r="AF341" i="22" s="1"/>
  <c r="R341" i="22"/>
  <c r="Q341" i="22"/>
  <c r="AI341" i="22" s="1"/>
  <c r="P341" i="22"/>
  <c r="AH341" i="22" s="1"/>
  <c r="O341" i="22"/>
  <c r="J341" i="22"/>
  <c r="AS340" i="22"/>
  <c r="AN340" i="22"/>
  <c r="AM340" i="22"/>
  <c r="AJ340" i="22"/>
  <c r="AI340" i="22"/>
  <c r="AB340" i="22"/>
  <c r="AF340" i="22" s="1"/>
  <c r="AA340" i="22"/>
  <c r="AE340" i="22" s="1"/>
  <c r="X340" i="22"/>
  <c r="AP340" i="22" s="1"/>
  <c r="W340" i="22"/>
  <c r="AO340" i="22" s="1"/>
  <c r="V340" i="22"/>
  <c r="U340" i="22"/>
  <c r="T340" i="22"/>
  <c r="S340" i="22"/>
  <c r="AK340" i="22" s="1"/>
  <c r="R340" i="22"/>
  <c r="Q340" i="22"/>
  <c r="P340" i="22"/>
  <c r="AH340" i="22" s="1"/>
  <c r="O340" i="22"/>
  <c r="Y340" i="22" s="1"/>
  <c r="AQ340" i="22" s="1"/>
  <c r="J340" i="22"/>
  <c r="AS339" i="22"/>
  <c r="AQ339" i="22"/>
  <c r="AP339" i="22"/>
  <c r="AM339" i="22"/>
  <c r="AI339" i="22"/>
  <c r="AH339" i="22"/>
  <c r="AA339" i="22"/>
  <c r="AE339" i="22" s="1"/>
  <c r="Z339" i="22"/>
  <c r="AD339" i="22" s="1"/>
  <c r="X339" i="22"/>
  <c r="W339" i="22"/>
  <c r="AO339" i="22" s="1"/>
  <c r="V339" i="22"/>
  <c r="AN339" i="22" s="1"/>
  <c r="U339" i="22"/>
  <c r="S339" i="22"/>
  <c r="AK339" i="22" s="1"/>
  <c r="R339" i="22"/>
  <c r="AJ339" i="22" s="1"/>
  <c r="Q339" i="22"/>
  <c r="P339" i="22"/>
  <c r="O339" i="22"/>
  <c r="Y339" i="22" s="1"/>
  <c r="J339" i="22"/>
  <c r="T339" i="22" s="1"/>
  <c r="AS338" i="22"/>
  <c r="AP338" i="22"/>
  <c r="AO338" i="22"/>
  <c r="AK338" i="22"/>
  <c r="AH338" i="22"/>
  <c r="Z338" i="22"/>
  <c r="AD338" i="22" s="1"/>
  <c r="Y338" i="22"/>
  <c r="AQ338" i="22" s="1"/>
  <c r="X338" i="22"/>
  <c r="W338" i="22"/>
  <c r="V338" i="22"/>
  <c r="AN338" i="22" s="1"/>
  <c r="U338" i="22"/>
  <c r="AM338" i="22" s="1"/>
  <c r="S338" i="22"/>
  <c r="R338" i="22"/>
  <c r="Q338" i="22"/>
  <c r="AI338" i="22" s="1"/>
  <c r="P338" i="22"/>
  <c r="O338" i="22"/>
  <c r="J338" i="22"/>
  <c r="T338" i="22" s="1"/>
  <c r="AS337" i="22"/>
  <c r="AO337" i="22"/>
  <c r="AN337" i="22"/>
  <c r="AK337" i="22"/>
  <c r="AJ337" i="22"/>
  <c r="Y337" i="22"/>
  <c r="X337" i="22"/>
  <c r="AP337" i="22" s="1"/>
  <c r="W337" i="22"/>
  <c r="AB337" i="22" s="1"/>
  <c r="AF337" i="22" s="1"/>
  <c r="V337" i="22"/>
  <c r="U337" i="22"/>
  <c r="AM337" i="22" s="1"/>
  <c r="T337" i="22"/>
  <c r="AL337" i="22" s="1"/>
  <c r="S337" i="22"/>
  <c r="R337" i="22"/>
  <c r="Q337" i="22"/>
  <c r="P337" i="22"/>
  <c r="AH337" i="22" s="1"/>
  <c r="O337" i="22"/>
  <c r="J337" i="22"/>
  <c r="AS336" i="22"/>
  <c r="AN336" i="22"/>
  <c r="AM336" i="22"/>
  <c r="AJ336" i="22"/>
  <c r="AI336" i="22"/>
  <c r="X336" i="22"/>
  <c r="AP336" i="22" s="1"/>
  <c r="W336" i="22"/>
  <c r="AB336" i="22" s="1"/>
  <c r="AF336" i="22" s="1"/>
  <c r="V336" i="22"/>
  <c r="AA336" i="22" s="1"/>
  <c r="AE336" i="22" s="1"/>
  <c r="U336" i="22"/>
  <c r="S336" i="22"/>
  <c r="AK336" i="22" s="1"/>
  <c r="R336" i="22"/>
  <c r="Q336" i="22"/>
  <c r="P336" i="22"/>
  <c r="O336" i="22"/>
  <c r="Y336" i="22" s="1"/>
  <c r="AQ336" i="22" s="1"/>
  <c r="J336" i="22"/>
  <c r="T336" i="22" s="1"/>
  <c r="AS335" i="22"/>
  <c r="AP335" i="22"/>
  <c r="AM335" i="22"/>
  <c r="AI335" i="22"/>
  <c r="AH335" i="22"/>
  <c r="X335" i="22"/>
  <c r="W335" i="22"/>
  <c r="AO335" i="22" s="1"/>
  <c r="V335" i="22"/>
  <c r="AA335" i="22" s="1"/>
  <c r="AE335" i="22" s="1"/>
  <c r="U335" i="22"/>
  <c r="Z335" i="22" s="1"/>
  <c r="AD335" i="22" s="1"/>
  <c r="S335" i="22"/>
  <c r="AK335" i="22" s="1"/>
  <c r="R335" i="22"/>
  <c r="AJ335" i="22" s="1"/>
  <c r="Q335" i="22"/>
  <c r="P335" i="22"/>
  <c r="O335" i="22"/>
  <c r="Y335" i="22" s="1"/>
  <c r="AQ335" i="22" s="1"/>
  <c r="J335" i="22"/>
  <c r="T335" i="22" s="1"/>
  <c r="AS334" i="22"/>
  <c r="AP334" i="22"/>
  <c r="AO334" i="22"/>
  <c r="AK334" i="22"/>
  <c r="AH334" i="22"/>
  <c r="AD334" i="22"/>
  <c r="Y334" i="22"/>
  <c r="AQ334" i="22" s="1"/>
  <c r="X334" i="22"/>
  <c r="W334" i="22"/>
  <c r="V334" i="22"/>
  <c r="AN334" i="22" s="1"/>
  <c r="U334" i="22"/>
  <c r="Z334" i="22" s="1"/>
  <c r="S334" i="22"/>
  <c r="R334" i="22"/>
  <c r="AJ334" i="22" s="1"/>
  <c r="Q334" i="22"/>
  <c r="AI334" i="22" s="1"/>
  <c r="P334" i="22"/>
  <c r="O334" i="22"/>
  <c r="J334" i="22"/>
  <c r="T334" i="22" s="1"/>
  <c r="AS333" i="22"/>
  <c r="AO333" i="22"/>
  <c r="AN333" i="22"/>
  <c r="AK333" i="22"/>
  <c r="AJ333" i="22"/>
  <c r="AC333" i="22"/>
  <c r="AG333" i="22" s="1"/>
  <c r="Y333" i="22"/>
  <c r="AQ333" i="22" s="1"/>
  <c r="X333" i="22"/>
  <c r="AP333" i="22" s="1"/>
  <c r="W333" i="22"/>
  <c r="V333" i="22"/>
  <c r="U333" i="22"/>
  <c r="AM333" i="22" s="1"/>
  <c r="T333" i="22"/>
  <c r="AL333" i="22" s="1"/>
  <c r="S333" i="22"/>
  <c r="AB333" i="22" s="1"/>
  <c r="AF333" i="22" s="1"/>
  <c r="R333" i="22"/>
  <c r="Q333" i="22"/>
  <c r="AI333" i="22" s="1"/>
  <c r="P333" i="22"/>
  <c r="AH333" i="22" s="1"/>
  <c r="O333" i="22"/>
  <c r="J333" i="22"/>
  <c r="AS332" i="22"/>
  <c r="AN332" i="22"/>
  <c r="AM332" i="22"/>
  <c r="AJ332" i="22"/>
  <c r="AI332" i="22"/>
  <c r="AB332" i="22"/>
  <c r="AF332" i="22" s="1"/>
  <c r="AA332" i="22"/>
  <c r="AE332" i="22" s="1"/>
  <c r="X332" i="22"/>
  <c r="AP332" i="22" s="1"/>
  <c r="W332" i="22"/>
  <c r="AO332" i="22" s="1"/>
  <c r="V332" i="22"/>
  <c r="U332" i="22"/>
  <c r="T332" i="22"/>
  <c r="S332" i="22"/>
  <c r="AK332" i="22" s="1"/>
  <c r="R332" i="22"/>
  <c r="Q332" i="22"/>
  <c r="P332" i="22"/>
  <c r="AH332" i="22" s="1"/>
  <c r="O332" i="22"/>
  <c r="Y332" i="22" s="1"/>
  <c r="AQ332" i="22" s="1"/>
  <c r="J332" i="22"/>
  <c r="AS331" i="22"/>
  <c r="AQ331" i="22"/>
  <c r="AP331" i="22"/>
  <c r="AM331" i="22"/>
  <c r="AI331" i="22"/>
  <c r="AH331" i="22"/>
  <c r="AA331" i="22"/>
  <c r="AE331" i="22" s="1"/>
  <c r="Z331" i="22"/>
  <c r="AD331" i="22" s="1"/>
  <c r="X331" i="22"/>
  <c r="W331" i="22"/>
  <c r="AO331" i="22" s="1"/>
  <c r="V331" i="22"/>
  <c r="AN331" i="22" s="1"/>
  <c r="U331" i="22"/>
  <c r="S331" i="22"/>
  <c r="AK331" i="22" s="1"/>
  <c r="R331" i="22"/>
  <c r="AJ331" i="22" s="1"/>
  <c r="Q331" i="22"/>
  <c r="P331" i="22"/>
  <c r="O331" i="22"/>
  <c r="Y331" i="22" s="1"/>
  <c r="J331" i="22"/>
  <c r="T331" i="22" s="1"/>
  <c r="AS330" i="22"/>
  <c r="AP330" i="22"/>
  <c r="AO330" i="22"/>
  <c r="AK330" i="22"/>
  <c r="AH330" i="22"/>
  <c r="Z330" i="22"/>
  <c r="AD330" i="22" s="1"/>
  <c r="Y330" i="22"/>
  <c r="AQ330" i="22" s="1"/>
  <c r="X330" i="22"/>
  <c r="W330" i="22"/>
  <c r="V330" i="22"/>
  <c r="AN330" i="22" s="1"/>
  <c r="U330" i="22"/>
  <c r="AM330" i="22" s="1"/>
  <c r="S330" i="22"/>
  <c r="R330" i="22"/>
  <c r="Q330" i="22"/>
  <c r="AI330" i="22" s="1"/>
  <c r="P330" i="22"/>
  <c r="O330" i="22"/>
  <c r="J330" i="22"/>
  <c r="T330" i="22" s="1"/>
  <c r="AS329" i="22"/>
  <c r="AO329" i="22"/>
  <c r="AN329" i="22"/>
  <c r="AK329" i="22"/>
  <c r="AJ329" i="22"/>
  <c r="Y329" i="22"/>
  <c r="X329" i="22"/>
  <c r="AP329" i="22" s="1"/>
  <c r="W329" i="22"/>
  <c r="AB329" i="22" s="1"/>
  <c r="AF329" i="22" s="1"/>
  <c r="V329" i="22"/>
  <c r="U329" i="22"/>
  <c r="AM329" i="22" s="1"/>
  <c r="T329" i="22"/>
  <c r="AL329" i="22" s="1"/>
  <c r="S329" i="22"/>
  <c r="R329" i="22"/>
  <c r="Q329" i="22"/>
  <c r="P329" i="22"/>
  <c r="AH329" i="22" s="1"/>
  <c r="O329" i="22"/>
  <c r="J329" i="22"/>
  <c r="AS328" i="22"/>
  <c r="AN328" i="22"/>
  <c r="AM328" i="22"/>
  <c r="AJ328" i="22"/>
  <c r="AI328" i="22"/>
  <c r="X328" i="22"/>
  <c r="AP328" i="22" s="1"/>
  <c r="W328" i="22"/>
  <c r="V328" i="22"/>
  <c r="AA328" i="22" s="1"/>
  <c r="AE328" i="22" s="1"/>
  <c r="U328" i="22"/>
  <c r="S328" i="22"/>
  <c r="AK328" i="22" s="1"/>
  <c r="R328" i="22"/>
  <c r="Q328" i="22"/>
  <c r="P328" i="22"/>
  <c r="O328" i="22"/>
  <c r="Y328" i="22" s="1"/>
  <c r="AQ328" i="22" s="1"/>
  <c r="J328" i="22"/>
  <c r="T328" i="22" s="1"/>
  <c r="AS327" i="22"/>
  <c r="AP327" i="22"/>
  <c r="AM327" i="22"/>
  <c r="AI327" i="22"/>
  <c r="AH327" i="22"/>
  <c r="AE327" i="22"/>
  <c r="X327" i="22"/>
  <c r="W327" i="22"/>
  <c r="AO327" i="22" s="1"/>
  <c r="V327" i="22"/>
  <c r="AA327" i="22" s="1"/>
  <c r="U327" i="22"/>
  <c r="Z327" i="22" s="1"/>
  <c r="AD327" i="22" s="1"/>
  <c r="S327" i="22"/>
  <c r="AK327" i="22" s="1"/>
  <c r="R327" i="22"/>
  <c r="AJ327" i="22" s="1"/>
  <c r="Q327" i="22"/>
  <c r="P327" i="22"/>
  <c r="O327" i="22"/>
  <c r="Y327" i="22" s="1"/>
  <c r="AQ327" i="22" s="1"/>
  <c r="J327" i="22"/>
  <c r="T327" i="22" s="1"/>
  <c r="AS326" i="22"/>
  <c r="AP326" i="22"/>
  <c r="AO326" i="22"/>
  <c r="AK326" i="22"/>
  <c r="AH326" i="22"/>
  <c r="AD326" i="22"/>
  <c r="Y326" i="22"/>
  <c r="AQ326" i="22" s="1"/>
  <c r="X326" i="22"/>
  <c r="W326" i="22"/>
  <c r="V326" i="22"/>
  <c r="AN326" i="22" s="1"/>
  <c r="U326" i="22"/>
  <c r="Z326" i="22" s="1"/>
  <c r="S326" i="22"/>
  <c r="R326" i="22"/>
  <c r="AJ326" i="22" s="1"/>
  <c r="Q326" i="22"/>
  <c r="AI326" i="22" s="1"/>
  <c r="P326" i="22"/>
  <c r="O326" i="22"/>
  <c r="J326" i="22"/>
  <c r="T326" i="22" s="1"/>
  <c r="AC326" i="22" s="1"/>
  <c r="AG326" i="22" s="1"/>
  <c r="AS325" i="22"/>
  <c r="AO325" i="22"/>
  <c r="AN325" i="22"/>
  <c r="AK325" i="22"/>
  <c r="AJ325" i="22"/>
  <c r="AC325" i="22"/>
  <c r="AG325" i="22" s="1"/>
  <c r="AB325" i="22"/>
  <c r="AF325" i="22" s="1"/>
  <c r="Y325" i="22"/>
  <c r="AQ325" i="22" s="1"/>
  <c r="X325" i="22"/>
  <c r="AP325" i="22" s="1"/>
  <c r="W325" i="22"/>
  <c r="V325" i="22"/>
  <c r="U325" i="22"/>
  <c r="AM325" i="22" s="1"/>
  <c r="T325" i="22"/>
  <c r="AL325" i="22" s="1"/>
  <c r="S325" i="22"/>
  <c r="R325" i="22"/>
  <c r="Q325" i="22"/>
  <c r="AI325" i="22" s="1"/>
  <c r="P325" i="22"/>
  <c r="AH325" i="22" s="1"/>
  <c r="O325" i="22"/>
  <c r="J325" i="22"/>
  <c r="AS324" i="22"/>
  <c r="AN324" i="22"/>
  <c r="AM324" i="22"/>
  <c r="AJ324" i="22"/>
  <c r="AI324" i="22"/>
  <c r="AB324" i="22"/>
  <c r="AF324" i="22" s="1"/>
  <c r="AA324" i="22"/>
  <c r="AE324" i="22" s="1"/>
  <c r="X324" i="22"/>
  <c r="AP324" i="22" s="1"/>
  <c r="W324" i="22"/>
  <c r="AO324" i="22" s="1"/>
  <c r="V324" i="22"/>
  <c r="U324" i="22"/>
  <c r="T324" i="22"/>
  <c r="S324" i="22"/>
  <c r="AK324" i="22" s="1"/>
  <c r="R324" i="22"/>
  <c r="Q324" i="22"/>
  <c r="P324" i="22"/>
  <c r="AH324" i="22" s="1"/>
  <c r="O324" i="22"/>
  <c r="Y324" i="22" s="1"/>
  <c r="AQ324" i="22" s="1"/>
  <c r="J324" i="22"/>
  <c r="AS323" i="22"/>
  <c r="AP323" i="22"/>
  <c r="AM323" i="22"/>
  <c r="AI323" i="22"/>
  <c r="AH323" i="22"/>
  <c r="AA323" i="22"/>
  <c r="AE323" i="22" s="1"/>
  <c r="Z323" i="22"/>
  <c r="AD323" i="22" s="1"/>
  <c r="X323" i="22"/>
  <c r="W323" i="22"/>
  <c r="AO323" i="22" s="1"/>
  <c r="V323" i="22"/>
  <c r="AN323" i="22" s="1"/>
  <c r="U323" i="22"/>
  <c r="S323" i="22"/>
  <c r="AK323" i="22" s="1"/>
  <c r="R323" i="22"/>
  <c r="AJ323" i="22" s="1"/>
  <c r="Q323" i="22"/>
  <c r="P323" i="22"/>
  <c r="O323" i="22"/>
  <c r="Y323" i="22" s="1"/>
  <c r="AQ323" i="22" s="1"/>
  <c r="J323" i="22"/>
  <c r="T323" i="22" s="1"/>
  <c r="AS322" i="22"/>
  <c r="AP322" i="22"/>
  <c r="AO322" i="22"/>
  <c r="AK322" i="22"/>
  <c r="AH322" i="22"/>
  <c r="Z322" i="22"/>
  <c r="AD322" i="22" s="1"/>
  <c r="Y322" i="22"/>
  <c r="AQ322" i="22" s="1"/>
  <c r="X322" i="22"/>
  <c r="W322" i="22"/>
  <c r="V322" i="22"/>
  <c r="AN322" i="22" s="1"/>
  <c r="U322" i="22"/>
  <c r="AM322" i="22" s="1"/>
  <c r="S322" i="22"/>
  <c r="R322" i="22"/>
  <c r="Q322" i="22"/>
  <c r="AI322" i="22" s="1"/>
  <c r="P322" i="22"/>
  <c r="O322" i="22"/>
  <c r="J322" i="22"/>
  <c r="T322" i="22" s="1"/>
  <c r="AS321" i="22"/>
  <c r="AO321" i="22"/>
  <c r="AN321" i="22"/>
  <c r="AK321" i="22"/>
  <c r="AJ321" i="22"/>
  <c r="Y321" i="22"/>
  <c r="X321" i="22"/>
  <c r="AB321" i="22" s="1"/>
  <c r="AF321" i="22" s="1"/>
  <c r="W321" i="22"/>
  <c r="V321" i="22"/>
  <c r="U321" i="22"/>
  <c r="AM321" i="22" s="1"/>
  <c r="T321" i="22"/>
  <c r="AL321" i="22" s="1"/>
  <c r="S321" i="22"/>
  <c r="R321" i="22"/>
  <c r="Q321" i="22"/>
  <c r="P321" i="22"/>
  <c r="AH321" i="22" s="1"/>
  <c r="O321" i="22"/>
  <c r="J321" i="22"/>
  <c r="AS320" i="22"/>
  <c r="AN320" i="22"/>
  <c r="AM320" i="22"/>
  <c r="AJ320" i="22"/>
  <c r="AI320" i="22"/>
  <c r="AE320" i="22"/>
  <c r="AA320" i="22"/>
  <c r="X320" i="22"/>
  <c r="AP320" i="22" s="1"/>
  <c r="W320" i="22"/>
  <c r="AO320" i="22" s="1"/>
  <c r="V320" i="22"/>
  <c r="U320" i="22"/>
  <c r="T320" i="22"/>
  <c r="AL320" i="22" s="1"/>
  <c r="S320" i="22"/>
  <c r="AK320" i="22" s="1"/>
  <c r="R320" i="22"/>
  <c r="Q320" i="22"/>
  <c r="P320" i="22"/>
  <c r="O320" i="22"/>
  <c r="Y320" i="22" s="1"/>
  <c r="AQ320" i="22" s="1"/>
  <c r="J320" i="22"/>
  <c r="AS319" i="22"/>
  <c r="AP319" i="22"/>
  <c r="AM319" i="22"/>
  <c r="AI319" i="22"/>
  <c r="AH319" i="22"/>
  <c r="AD319" i="22"/>
  <c r="Z319" i="22"/>
  <c r="X319" i="22"/>
  <c r="W319" i="22"/>
  <c r="AO319" i="22" s="1"/>
  <c r="V319" i="22"/>
  <c r="AN319" i="22" s="1"/>
  <c r="U319" i="22"/>
  <c r="S319" i="22"/>
  <c r="AK319" i="22" s="1"/>
  <c r="R319" i="22"/>
  <c r="Q319" i="22"/>
  <c r="P319" i="22"/>
  <c r="O319" i="22"/>
  <c r="Y319" i="22" s="1"/>
  <c r="AQ319" i="22" s="1"/>
  <c r="J319" i="22"/>
  <c r="T319" i="22" s="1"/>
  <c r="AC319" i="22" s="1"/>
  <c r="AG319" i="22" s="1"/>
  <c r="AS318" i="22"/>
  <c r="AP318" i="22"/>
  <c r="AO318" i="22"/>
  <c r="AK318" i="22"/>
  <c r="AH318" i="22"/>
  <c r="Z318" i="22"/>
  <c r="AD318" i="22" s="1"/>
  <c r="Y318" i="22"/>
  <c r="AQ318" i="22" s="1"/>
  <c r="X318" i="22"/>
  <c r="W318" i="22"/>
  <c r="V318" i="22"/>
  <c r="AN318" i="22" s="1"/>
  <c r="U318" i="22"/>
  <c r="AM318" i="22" s="1"/>
  <c r="T318" i="22"/>
  <c r="AL318" i="22" s="1"/>
  <c r="S318" i="22"/>
  <c r="R318" i="22"/>
  <c r="Q318" i="22"/>
  <c r="P318" i="22"/>
  <c r="O318" i="22"/>
  <c r="J318" i="22"/>
  <c r="AS317" i="22"/>
  <c r="AQ317" i="22"/>
  <c r="AO317" i="22"/>
  <c r="AN317" i="22"/>
  <c r="AJ317" i="22"/>
  <c r="AA317" i="22"/>
  <c r="AE317" i="22" s="1"/>
  <c r="Y317" i="22"/>
  <c r="X317" i="22"/>
  <c r="AP317" i="22" s="1"/>
  <c r="W317" i="22"/>
  <c r="V317" i="22"/>
  <c r="U317" i="22"/>
  <c r="AM317" i="22" s="1"/>
  <c r="T317" i="22"/>
  <c r="AL317" i="22" s="1"/>
  <c r="S317" i="22"/>
  <c r="AK317" i="22" s="1"/>
  <c r="R317" i="22"/>
  <c r="Q317" i="22"/>
  <c r="AI317" i="22" s="1"/>
  <c r="P317" i="22"/>
  <c r="O317" i="22"/>
  <c r="J317" i="22"/>
  <c r="AS316" i="22"/>
  <c r="AQ316" i="22"/>
  <c r="AP316" i="22"/>
  <c r="AN316" i="22"/>
  <c r="AM316" i="22"/>
  <c r="AI316" i="22"/>
  <c r="AH316" i="22"/>
  <c r="AA316" i="22"/>
  <c r="AE316" i="22" s="1"/>
  <c r="Z316" i="22"/>
  <c r="AD316" i="22" s="1"/>
  <c r="X316" i="22"/>
  <c r="W316" i="22"/>
  <c r="AO316" i="22" s="1"/>
  <c r="V316" i="22"/>
  <c r="U316" i="22"/>
  <c r="T316" i="22"/>
  <c r="S316" i="22"/>
  <c r="AK316" i="22" s="1"/>
  <c r="R316" i="22"/>
  <c r="Q316" i="22"/>
  <c r="P316" i="22"/>
  <c r="O316" i="22"/>
  <c r="Y316" i="22" s="1"/>
  <c r="J316" i="22"/>
  <c r="AS315" i="22"/>
  <c r="AP315" i="22"/>
  <c r="AO315" i="22"/>
  <c r="AM315" i="22"/>
  <c r="AI315" i="22"/>
  <c r="AH315" i="22"/>
  <c r="AD315" i="22"/>
  <c r="AA315" i="22"/>
  <c r="AE315" i="22" s="1"/>
  <c r="Z315" i="22"/>
  <c r="X315" i="22"/>
  <c r="W315" i="22"/>
  <c r="V315" i="22"/>
  <c r="AN315" i="22" s="1"/>
  <c r="U315" i="22"/>
  <c r="S315" i="22"/>
  <c r="AK315" i="22" s="1"/>
  <c r="R315" i="22"/>
  <c r="Q315" i="22"/>
  <c r="P315" i="22"/>
  <c r="O315" i="22"/>
  <c r="Y315" i="22" s="1"/>
  <c r="AQ315" i="22" s="1"/>
  <c r="J315" i="22"/>
  <c r="T315" i="22" s="1"/>
  <c r="AS314" i="22"/>
  <c r="AP314" i="22"/>
  <c r="AO314" i="22"/>
  <c r="AN314" i="22"/>
  <c r="AK314" i="22"/>
  <c r="AC314" i="22"/>
  <c r="AG314" i="22" s="1"/>
  <c r="Z314" i="22"/>
  <c r="AD314" i="22" s="1"/>
  <c r="Y314" i="22"/>
  <c r="AQ314" i="22" s="1"/>
  <c r="X314" i="22"/>
  <c r="W314" i="22"/>
  <c r="V314" i="22"/>
  <c r="U314" i="22"/>
  <c r="AM314" i="22" s="1"/>
  <c r="S314" i="22"/>
  <c r="R314" i="22"/>
  <c r="Q314" i="22"/>
  <c r="P314" i="22"/>
  <c r="AH314" i="22" s="1"/>
  <c r="O314" i="22"/>
  <c r="J314" i="22"/>
  <c r="T314" i="22" s="1"/>
  <c r="AL314" i="22" s="1"/>
  <c r="AS313" i="22"/>
  <c r="AN313" i="22"/>
  <c r="AM313" i="22"/>
  <c r="AK313" i="22"/>
  <c r="AJ313" i="22"/>
  <c r="Y313" i="22"/>
  <c r="AQ313" i="22" s="1"/>
  <c r="X313" i="22"/>
  <c r="W313" i="22"/>
  <c r="AO313" i="22" s="1"/>
  <c r="V313" i="22"/>
  <c r="U313" i="22"/>
  <c r="T313" i="22"/>
  <c r="AL313" i="22" s="1"/>
  <c r="S313" i="22"/>
  <c r="R313" i="22"/>
  <c r="Q313" i="22"/>
  <c r="P313" i="22"/>
  <c r="O313" i="22"/>
  <c r="J313" i="22"/>
  <c r="AS312" i="22"/>
  <c r="AM312" i="22"/>
  <c r="AJ312" i="22"/>
  <c r="AI312" i="22"/>
  <c r="AA312" i="22"/>
  <c r="AE312" i="22" s="1"/>
  <c r="X312" i="22"/>
  <c r="AP312" i="22" s="1"/>
  <c r="W312" i="22"/>
  <c r="AO312" i="22" s="1"/>
  <c r="V312" i="22"/>
  <c r="AN312" i="22" s="1"/>
  <c r="U312" i="22"/>
  <c r="S312" i="22"/>
  <c r="AK312" i="22" s="1"/>
  <c r="R312" i="22"/>
  <c r="Q312" i="22"/>
  <c r="P312" i="22"/>
  <c r="O312" i="22"/>
  <c r="Y312" i="22" s="1"/>
  <c r="AQ312" i="22" s="1"/>
  <c r="J312" i="22"/>
  <c r="T312" i="22" s="1"/>
  <c r="AS311" i="22"/>
  <c r="AP311" i="22"/>
  <c r="AM311" i="22"/>
  <c r="AK311" i="22"/>
  <c r="AI311" i="22"/>
  <c r="AH311" i="22"/>
  <c r="Z311" i="22"/>
  <c r="AD311" i="22" s="1"/>
  <c r="X311" i="22"/>
  <c r="W311" i="22"/>
  <c r="AO311" i="22" s="1"/>
  <c r="V311" i="22"/>
  <c r="AN311" i="22" s="1"/>
  <c r="U311" i="22"/>
  <c r="S311" i="22"/>
  <c r="R311" i="22"/>
  <c r="Q311" i="22"/>
  <c r="P311" i="22"/>
  <c r="O311" i="22"/>
  <c r="Y311" i="22" s="1"/>
  <c r="AQ311" i="22" s="1"/>
  <c r="J311" i="22"/>
  <c r="T311" i="22" s="1"/>
  <c r="AS310" i="22"/>
  <c r="AP310" i="22"/>
  <c r="AO310" i="22"/>
  <c r="AK310" i="22"/>
  <c r="AJ310" i="22"/>
  <c r="AH310" i="22"/>
  <c r="X310" i="22"/>
  <c r="W310" i="22"/>
  <c r="V310" i="22"/>
  <c r="AN310" i="22" s="1"/>
  <c r="U310" i="22"/>
  <c r="AM310" i="22" s="1"/>
  <c r="S310" i="22"/>
  <c r="R310" i="22"/>
  <c r="AB310" i="22" s="1"/>
  <c r="AF310" i="22" s="1"/>
  <c r="Q310" i="22"/>
  <c r="P310" i="22"/>
  <c r="O310" i="22"/>
  <c r="Y310" i="22" s="1"/>
  <c r="AQ310" i="22" s="1"/>
  <c r="J310" i="22"/>
  <c r="T310" i="22" s="1"/>
  <c r="AS309" i="22"/>
  <c r="AO309" i="22"/>
  <c r="AN309" i="22"/>
  <c r="AK309" i="22"/>
  <c r="AJ309" i="22"/>
  <c r="AI309" i="22"/>
  <c r="Y309" i="22"/>
  <c r="AQ309" i="22" s="1"/>
  <c r="X309" i="22"/>
  <c r="AP309" i="22" s="1"/>
  <c r="W309" i="22"/>
  <c r="V309" i="22"/>
  <c r="U309" i="22"/>
  <c r="AM309" i="22" s="1"/>
  <c r="T309" i="22"/>
  <c r="AC309" i="22" s="1"/>
  <c r="AG309" i="22" s="1"/>
  <c r="S309" i="22"/>
  <c r="R309" i="22"/>
  <c r="Q309" i="22"/>
  <c r="AA309" i="22" s="1"/>
  <c r="AE309" i="22" s="1"/>
  <c r="P309" i="22"/>
  <c r="O309" i="22"/>
  <c r="J309" i="22"/>
  <c r="AS308" i="22"/>
  <c r="AQ308" i="22"/>
  <c r="AI308" i="22"/>
  <c r="X308" i="22"/>
  <c r="AP308" i="22" s="1"/>
  <c r="W308" i="22"/>
  <c r="AO308" i="22" s="1"/>
  <c r="V308" i="22"/>
  <c r="AA308" i="22" s="1"/>
  <c r="AE308" i="22" s="1"/>
  <c r="U308" i="22"/>
  <c r="AM308" i="22" s="1"/>
  <c r="T308" i="22"/>
  <c r="AL308" i="22" s="1"/>
  <c r="S308" i="22"/>
  <c r="AK308" i="22" s="1"/>
  <c r="R308" i="22"/>
  <c r="AJ308" i="22" s="1"/>
  <c r="Q308" i="22"/>
  <c r="P308" i="22"/>
  <c r="Z308" i="22" s="1"/>
  <c r="AD308" i="22" s="1"/>
  <c r="O308" i="22"/>
  <c r="Y308" i="22" s="1"/>
  <c r="J308" i="22"/>
  <c r="AS307" i="22"/>
  <c r="AP307" i="22"/>
  <c r="AH307" i="22"/>
  <c r="Z307" i="22"/>
  <c r="AD307" i="22" s="1"/>
  <c r="Y307" i="22"/>
  <c r="AQ307" i="22" s="1"/>
  <c r="X307" i="22"/>
  <c r="W307" i="22"/>
  <c r="AO307" i="22" s="1"/>
  <c r="V307" i="22"/>
  <c r="AN307" i="22" s="1"/>
  <c r="U307" i="22"/>
  <c r="AM307" i="22" s="1"/>
  <c r="S307" i="22"/>
  <c r="AK307" i="22" s="1"/>
  <c r="R307" i="22"/>
  <c r="AB307" i="22" s="1"/>
  <c r="AF307" i="22" s="1"/>
  <c r="Q307" i="22"/>
  <c r="P307" i="22"/>
  <c r="O307" i="22"/>
  <c r="J307" i="22"/>
  <c r="T307" i="22" s="1"/>
  <c r="AS306" i="22"/>
  <c r="AO306" i="22"/>
  <c r="AI306" i="22"/>
  <c r="X306" i="22"/>
  <c r="AP306" i="22" s="1"/>
  <c r="W306" i="22"/>
  <c r="V306" i="22"/>
  <c r="AN306" i="22" s="1"/>
  <c r="U306" i="22"/>
  <c r="AM306" i="22" s="1"/>
  <c r="S306" i="22"/>
  <c r="AK306" i="22" s="1"/>
  <c r="R306" i="22"/>
  <c r="AB306" i="22" s="1"/>
  <c r="AF306" i="22" s="1"/>
  <c r="Q306" i="22"/>
  <c r="P306" i="22"/>
  <c r="Z306" i="22" s="1"/>
  <c r="AD306" i="22" s="1"/>
  <c r="O306" i="22"/>
  <c r="Y306" i="22" s="1"/>
  <c r="AQ306" i="22" s="1"/>
  <c r="J306" i="22"/>
  <c r="T306" i="22" s="1"/>
  <c r="AS305" i="22"/>
  <c r="AK305" i="22"/>
  <c r="AJ305" i="22"/>
  <c r="AC305" i="22"/>
  <c r="AG305" i="22" s="1"/>
  <c r="X305" i="22"/>
  <c r="AP305" i="22" s="1"/>
  <c r="W305" i="22"/>
  <c r="AB305" i="22" s="1"/>
  <c r="AF305" i="22" s="1"/>
  <c r="V305" i="22"/>
  <c r="AN305" i="22" s="1"/>
  <c r="U305" i="22"/>
  <c r="AM305" i="22" s="1"/>
  <c r="S305" i="22"/>
  <c r="R305" i="22"/>
  <c r="Q305" i="22"/>
  <c r="AI305" i="22" s="1"/>
  <c r="P305" i="22"/>
  <c r="AH305" i="22" s="1"/>
  <c r="O305" i="22"/>
  <c r="Y305" i="22" s="1"/>
  <c r="AQ305" i="22" s="1"/>
  <c r="J305" i="22"/>
  <c r="T305" i="22" s="1"/>
  <c r="AL305" i="22" s="1"/>
  <c r="AS304" i="22"/>
  <c r="AK304" i="22"/>
  <c r="AJ304" i="22"/>
  <c r="AI304" i="22"/>
  <c r="AB304" i="22"/>
  <c r="AF304" i="22" s="1"/>
  <c r="X304" i="22"/>
  <c r="AP304" i="22" s="1"/>
  <c r="W304" i="22"/>
  <c r="AO304" i="22" s="1"/>
  <c r="V304" i="22"/>
  <c r="AA304" i="22" s="1"/>
  <c r="AE304" i="22" s="1"/>
  <c r="U304" i="22"/>
  <c r="AM304" i="22" s="1"/>
  <c r="T304" i="22"/>
  <c r="S304" i="22"/>
  <c r="R304" i="22"/>
  <c r="Q304" i="22"/>
  <c r="P304" i="22"/>
  <c r="AH304" i="22" s="1"/>
  <c r="O304" i="22"/>
  <c r="Y304" i="22" s="1"/>
  <c r="AQ304" i="22" s="1"/>
  <c r="J304" i="22"/>
  <c r="AS303" i="22"/>
  <c r="AP303" i="22"/>
  <c r="AJ303" i="22"/>
  <c r="AI303" i="22"/>
  <c r="AH303" i="22"/>
  <c r="AA303" i="22"/>
  <c r="AE303" i="22" s="1"/>
  <c r="X303" i="22"/>
  <c r="W303" i="22"/>
  <c r="AO303" i="22" s="1"/>
  <c r="V303" i="22"/>
  <c r="AN303" i="22" s="1"/>
  <c r="U303" i="22"/>
  <c r="Z303" i="22" s="1"/>
  <c r="AD303" i="22" s="1"/>
  <c r="T303" i="22"/>
  <c r="AL303" i="22" s="1"/>
  <c r="S303" i="22"/>
  <c r="R303" i="22"/>
  <c r="Q303" i="22"/>
  <c r="P303" i="22"/>
  <c r="O303" i="22"/>
  <c r="Y303" i="22" s="1"/>
  <c r="AQ303" i="22" s="1"/>
  <c r="J303" i="22"/>
  <c r="AS302" i="22"/>
  <c r="AQ302" i="22"/>
  <c r="AP302" i="22"/>
  <c r="AO302" i="22"/>
  <c r="AI302" i="22"/>
  <c r="AH302" i="22"/>
  <c r="AA302" i="22"/>
  <c r="AE302" i="22" s="1"/>
  <c r="Z302" i="22"/>
  <c r="AD302" i="22" s="1"/>
  <c r="Y302" i="22"/>
  <c r="X302" i="22"/>
  <c r="W302" i="22"/>
  <c r="V302" i="22"/>
  <c r="AN302" i="22" s="1"/>
  <c r="U302" i="22"/>
  <c r="AM302" i="22" s="1"/>
  <c r="T302" i="22"/>
  <c r="AL302" i="22" s="1"/>
  <c r="S302" i="22"/>
  <c r="AK302" i="22" s="1"/>
  <c r="R302" i="22"/>
  <c r="Q302" i="22"/>
  <c r="P302" i="22"/>
  <c r="O302" i="22"/>
  <c r="J302" i="22"/>
  <c r="AS301" i="22"/>
  <c r="AP301" i="22"/>
  <c r="AO301" i="22"/>
  <c r="AN301" i="22"/>
  <c r="AH301" i="22"/>
  <c r="Z301" i="22"/>
  <c r="AD301" i="22" s="1"/>
  <c r="Y301" i="22"/>
  <c r="AQ301" i="22" s="1"/>
  <c r="X301" i="22"/>
  <c r="W301" i="22"/>
  <c r="V301" i="22"/>
  <c r="U301" i="22"/>
  <c r="AM301" i="22" s="1"/>
  <c r="S301" i="22"/>
  <c r="AK301" i="22" s="1"/>
  <c r="R301" i="22"/>
  <c r="AJ301" i="22" s="1"/>
  <c r="Q301" i="22"/>
  <c r="P301" i="22"/>
  <c r="O301" i="22"/>
  <c r="J301" i="22"/>
  <c r="T301" i="22" s="1"/>
  <c r="AS300" i="22"/>
  <c r="AO300" i="22"/>
  <c r="AN300" i="22"/>
  <c r="AM300" i="22"/>
  <c r="AK300" i="22"/>
  <c r="Y300" i="22"/>
  <c r="AQ300" i="22" s="1"/>
  <c r="X300" i="22"/>
  <c r="AP300" i="22" s="1"/>
  <c r="W300" i="22"/>
  <c r="V300" i="22"/>
  <c r="U300" i="22"/>
  <c r="T300" i="22"/>
  <c r="AL300" i="22" s="1"/>
  <c r="S300" i="22"/>
  <c r="R300" i="22"/>
  <c r="AJ300" i="22" s="1"/>
  <c r="Q300" i="22"/>
  <c r="P300" i="22"/>
  <c r="O300" i="22"/>
  <c r="J300" i="22"/>
  <c r="AS299" i="22"/>
  <c r="AN299" i="22"/>
  <c r="AM299" i="22"/>
  <c r="X299" i="22"/>
  <c r="AP299" i="22" s="1"/>
  <c r="W299" i="22"/>
  <c r="AO299" i="22" s="1"/>
  <c r="V299" i="22"/>
  <c r="U299" i="22"/>
  <c r="S299" i="22"/>
  <c r="AK299" i="22" s="1"/>
  <c r="R299" i="22"/>
  <c r="AJ299" i="22" s="1"/>
  <c r="Q299" i="22"/>
  <c r="AI299" i="22" s="1"/>
  <c r="P299" i="22"/>
  <c r="O299" i="22"/>
  <c r="Y299" i="22" s="1"/>
  <c r="AQ299" i="22" s="1"/>
  <c r="J299" i="22"/>
  <c r="T299" i="22" s="1"/>
  <c r="AS298" i="22"/>
  <c r="AM298" i="22"/>
  <c r="AL298" i="22"/>
  <c r="AK298" i="22"/>
  <c r="X298" i="22"/>
  <c r="AP298" i="22" s="1"/>
  <c r="W298" i="22"/>
  <c r="AO298" i="22" s="1"/>
  <c r="V298" i="22"/>
  <c r="AN298" i="22" s="1"/>
  <c r="U298" i="22"/>
  <c r="S298" i="22"/>
  <c r="R298" i="22"/>
  <c r="AJ298" i="22" s="1"/>
  <c r="Q298" i="22"/>
  <c r="AI298" i="22" s="1"/>
  <c r="P298" i="22"/>
  <c r="AH298" i="22" s="1"/>
  <c r="O298" i="22"/>
  <c r="Y298" i="22" s="1"/>
  <c r="AQ298" i="22" s="1"/>
  <c r="J298" i="22"/>
  <c r="T298" i="22" s="1"/>
  <c r="AS297" i="22"/>
  <c r="AK297" i="22"/>
  <c r="AJ297" i="22"/>
  <c r="X297" i="22"/>
  <c r="AP297" i="22" s="1"/>
  <c r="W297" i="22"/>
  <c r="AB297" i="22" s="1"/>
  <c r="AF297" i="22" s="1"/>
  <c r="V297" i="22"/>
  <c r="AN297" i="22" s="1"/>
  <c r="U297" i="22"/>
  <c r="AM297" i="22" s="1"/>
  <c r="S297" i="22"/>
  <c r="R297" i="22"/>
  <c r="Q297" i="22"/>
  <c r="AI297" i="22" s="1"/>
  <c r="P297" i="22"/>
  <c r="AH297" i="22" s="1"/>
  <c r="O297" i="22"/>
  <c r="Y297" i="22" s="1"/>
  <c r="AQ297" i="22" s="1"/>
  <c r="J297" i="22"/>
  <c r="T297" i="22" s="1"/>
  <c r="AL297" i="22" s="1"/>
  <c r="AS296" i="22"/>
  <c r="AK296" i="22"/>
  <c r="AJ296" i="22"/>
  <c r="AI296" i="22"/>
  <c r="AB296" i="22"/>
  <c r="AF296" i="22" s="1"/>
  <c r="X296" i="22"/>
  <c r="AP296" i="22" s="1"/>
  <c r="W296" i="22"/>
  <c r="AO296" i="22" s="1"/>
  <c r="V296" i="22"/>
  <c r="AA296" i="22" s="1"/>
  <c r="AE296" i="22" s="1"/>
  <c r="U296" i="22"/>
  <c r="AM296" i="22" s="1"/>
  <c r="T296" i="22"/>
  <c r="AL296" i="22" s="1"/>
  <c r="S296" i="22"/>
  <c r="R296" i="22"/>
  <c r="Q296" i="22"/>
  <c r="P296" i="22"/>
  <c r="AH296" i="22" s="1"/>
  <c r="O296" i="22"/>
  <c r="Y296" i="22" s="1"/>
  <c r="AQ296" i="22" s="1"/>
  <c r="J296" i="22"/>
  <c r="AS295" i="22"/>
  <c r="AQ295" i="22"/>
  <c r="AP295" i="22"/>
  <c r="AJ295" i="22"/>
  <c r="AI295" i="22"/>
  <c r="AH295" i="22"/>
  <c r="AA295" i="22"/>
  <c r="AE295" i="22" s="1"/>
  <c r="X295" i="22"/>
  <c r="W295" i="22"/>
  <c r="AO295" i="22" s="1"/>
  <c r="V295" i="22"/>
  <c r="AN295" i="22" s="1"/>
  <c r="U295" i="22"/>
  <c r="T295" i="22"/>
  <c r="AL295" i="22" s="1"/>
  <c r="S295" i="22"/>
  <c r="AB295" i="22" s="1"/>
  <c r="AF295" i="22" s="1"/>
  <c r="R295" i="22"/>
  <c r="Q295" i="22"/>
  <c r="P295" i="22"/>
  <c r="O295" i="22"/>
  <c r="Y295" i="22" s="1"/>
  <c r="J295" i="22"/>
  <c r="AS294" i="22"/>
  <c r="AQ294" i="22"/>
  <c r="AP294" i="22"/>
  <c r="AO294" i="22"/>
  <c r="AI294" i="22"/>
  <c r="AH294" i="22"/>
  <c r="AA294" i="22"/>
  <c r="AE294" i="22" s="1"/>
  <c r="Z294" i="22"/>
  <c r="AD294" i="22" s="1"/>
  <c r="Y294" i="22"/>
  <c r="X294" i="22"/>
  <c r="W294" i="22"/>
  <c r="V294" i="22"/>
  <c r="AN294" i="22" s="1"/>
  <c r="U294" i="22"/>
  <c r="AM294" i="22" s="1"/>
  <c r="T294" i="22"/>
  <c r="S294" i="22"/>
  <c r="AK294" i="22" s="1"/>
  <c r="R294" i="22"/>
  <c r="AJ294" i="22" s="1"/>
  <c r="Q294" i="22"/>
  <c r="P294" i="22"/>
  <c r="O294" i="22"/>
  <c r="J294" i="22"/>
  <c r="AS293" i="22"/>
  <c r="AP293" i="22"/>
  <c r="AO293" i="22"/>
  <c r="AN293" i="22"/>
  <c r="AH293" i="22"/>
  <c r="Z293" i="22"/>
  <c r="AD293" i="22" s="1"/>
  <c r="Y293" i="22"/>
  <c r="AQ293" i="22" s="1"/>
  <c r="X293" i="22"/>
  <c r="W293" i="22"/>
  <c r="V293" i="22"/>
  <c r="U293" i="22"/>
  <c r="AM293" i="22" s="1"/>
  <c r="S293" i="22"/>
  <c r="AK293" i="22" s="1"/>
  <c r="R293" i="22"/>
  <c r="Q293" i="22"/>
  <c r="AI293" i="22" s="1"/>
  <c r="P293" i="22"/>
  <c r="O293" i="22"/>
  <c r="J293" i="22"/>
  <c r="T293" i="22" s="1"/>
  <c r="AS292" i="22"/>
  <c r="AP292" i="22"/>
  <c r="AO292" i="22"/>
  <c r="AN292" i="22"/>
  <c r="AM292" i="22"/>
  <c r="AK292" i="22"/>
  <c r="AH292" i="22"/>
  <c r="Z292" i="22"/>
  <c r="AD292" i="22" s="1"/>
  <c r="Y292" i="22"/>
  <c r="AQ292" i="22" s="1"/>
  <c r="X292" i="22"/>
  <c r="W292" i="22"/>
  <c r="V292" i="22"/>
  <c r="U292" i="22"/>
  <c r="T292" i="22"/>
  <c r="AL292" i="22" s="1"/>
  <c r="S292" i="22"/>
  <c r="R292" i="22"/>
  <c r="Q292" i="22"/>
  <c r="P292" i="22"/>
  <c r="O292" i="22"/>
  <c r="J292" i="22"/>
  <c r="AS291" i="22"/>
  <c r="AN291" i="22"/>
  <c r="AM291" i="22"/>
  <c r="Y291" i="22"/>
  <c r="AQ291" i="22" s="1"/>
  <c r="X291" i="22"/>
  <c r="AP291" i="22" s="1"/>
  <c r="W291" i="22"/>
  <c r="AO291" i="22" s="1"/>
  <c r="V291" i="22"/>
  <c r="U291" i="22"/>
  <c r="S291" i="22"/>
  <c r="AK291" i="22" s="1"/>
  <c r="R291" i="22"/>
  <c r="AJ291" i="22" s="1"/>
  <c r="Q291" i="22"/>
  <c r="P291" i="22"/>
  <c r="O291" i="22"/>
  <c r="J291" i="22"/>
  <c r="T291" i="22" s="1"/>
  <c r="AS290" i="22"/>
  <c r="AN290" i="22"/>
  <c r="AM290" i="22"/>
  <c r="AK290" i="22"/>
  <c r="X290" i="22"/>
  <c r="AP290" i="22" s="1"/>
  <c r="W290" i="22"/>
  <c r="AO290" i="22" s="1"/>
  <c r="V290" i="22"/>
  <c r="U290" i="22"/>
  <c r="S290" i="22"/>
  <c r="R290" i="22"/>
  <c r="AJ290" i="22" s="1"/>
  <c r="Q290" i="22"/>
  <c r="AI290" i="22" s="1"/>
  <c r="P290" i="22"/>
  <c r="O290" i="22"/>
  <c r="Y290" i="22" s="1"/>
  <c r="AQ290" i="22" s="1"/>
  <c r="J290" i="22"/>
  <c r="T290" i="22" s="1"/>
  <c r="AC290" i="22" s="1"/>
  <c r="AG290" i="22" s="1"/>
  <c r="AS289" i="22"/>
  <c r="AK289" i="22"/>
  <c r="AJ289" i="22"/>
  <c r="AB289" i="22"/>
  <c r="AF289" i="22" s="1"/>
  <c r="X289" i="22"/>
  <c r="AP289" i="22" s="1"/>
  <c r="W289" i="22"/>
  <c r="AO289" i="22" s="1"/>
  <c r="V289" i="22"/>
  <c r="AN289" i="22" s="1"/>
  <c r="U289" i="22"/>
  <c r="AM289" i="22" s="1"/>
  <c r="S289" i="22"/>
  <c r="R289" i="22"/>
  <c r="Q289" i="22"/>
  <c r="AI289" i="22" s="1"/>
  <c r="P289" i="22"/>
  <c r="AH289" i="22" s="1"/>
  <c r="O289" i="22"/>
  <c r="Y289" i="22" s="1"/>
  <c r="AQ289" i="22" s="1"/>
  <c r="J289" i="22"/>
  <c r="T289" i="22" s="1"/>
  <c r="AS288" i="22"/>
  <c r="AJ288" i="22"/>
  <c r="AI288" i="22"/>
  <c r="AC288" i="22"/>
  <c r="AG288" i="22" s="1"/>
  <c r="AA288" i="22"/>
  <c r="AE288" i="22" s="1"/>
  <c r="X288" i="22"/>
  <c r="AP288" i="22" s="1"/>
  <c r="W288" i="22"/>
  <c r="AO288" i="22" s="1"/>
  <c r="V288" i="22"/>
  <c r="AN288" i="22" s="1"/>
  <c r="U288" i="22"/>
  <c r="AM288" i="22" s="1"/>
  <c r="S288" i="22"/>
  <c r="R288" i="22"/>
  <c r="Q288" i="22"/>
  <c r="P288" i="22"/>
  <c r="AH288" i="22" s="1"/>
  <c r="O288" i="22"/>
  <c r="Y288" i="22" s="1"/>
  <c r="AQ288" i="22" s="1"/>
  <c r="J288" i="22"/>
  <c r="T288" i="22" s="1"/>
  <c r="AL288" i="22" s="1"/>
  <c r="AS287" i="22"/>
  <c r="AP287" i="22"/>
  <c r="AM287" i="22"/>
  <c r="AI287" i="22"/>
  <c r="AH287" i="22"/>
  <c r="AA287" i="22"/>
  <c r="AE287" i="22" s="1"/>
  <c r="Z287" i="22"/>
  <c r="AD287" i="22" s="1"/>
  <c r="X287" i="22"/>
  <c r="W287" i="22"/>
  <c r="AO287" i="22" s="1"/>
  <c r="V287" i="22"/>
  <c r="AN287" i="22" s="1"/>
  <c r="U287" i="22"/>
  <c r="T287" i="22"/>
  <c r="AL287" i="22" s="1"/>
  <c r="S287" i="22"/>
  <c r="AK287" i="22" s="1"/>
  <c r="R287" i="22"/>
  <c r="AJ287" i="22" s="1"/>
  <c r="Q287" i="22"/>
  <c r="P287" i="22"/>
  <c r="O287" i="22"/>
  <c r="Y287" i="22" s="1"/>
  <c r="AQ287" i="22" s="1"/>
  <c r="J287" i="22"/>
  <c r="AS286" i="22"/>
  <c r="AQ286" i="22"/>
  <c r="AP286" i="22"/>
  <c r="AO286" i="22"/>
  <c r="AI286" i="22"/>
  <c r="AH286" i="22"/>
  <c r="AB286" i="22"/>
  <c r="AF286" i="22" s="1"/>
  <c r="AA286" i="22"/>
  <c r="AE286" i="22" s="1"/>
  <c r="Z286" i="22"/>
  <c r="AD286" i="22" s="1"/>
  <c r="Y286" i="22"/>
  <c r="X286" i="22"/>
  <c r="W286" i="22"/>
  <c r="V286" i="22"/>
  <c r="AN286" i="22" s="1"/>
  <c r="U286" i="22"/>
  <c r="AM286" i="22" s="1"/>
  <c r="T286" i="22"/>
  <c r="S286" i="22"/>
  <c r="AK286" i="22" s="1"/>
  <c r="R286" i="22"/>
  <c r="AJ286" i="22" s="1"/>
  <c r="Q286" i="22"/>
  <c r="P286" i="22"/>
  <c r="O286" i="22"/>
  <c r="J286" i="22"/>
  <c r="AS285" i="22"/>
  <c r="AQ285" i="22"/>
  <c r="AP285" i="22"/>
  <c r="AO285" i="22"/>
  <c r="AN285" i="22"/>
  <c r="AK285" i="22"/>
  <c r="AI285" i="22"/>
  <c r="AA285" i="22"/>
  <c r="AE285" i="22" s="1"/>
  <c r="Y285" i="22"/>
  <c r="AC285" i="22" s="1"/>
  <c r="AG285" i="22" s="1"/>
  <c r="X285" i="22"/>
  <c r="W285" i="22"/>
  <c r="V285" i="22"/>
  <c r="U285" i="22"/>
  <c r="AM285" i="22" s="1"/>
  <c r="S285" i="22"/>
  <c r="R285" i="22"/>
  <c r="Q285" i="22"/>
  <c r="P285" i="22"/>
  <c r="Z285" i="22" s="1"/>
  <c r="AD285" i="22" s="1"/>
  <c r="O285" i="22"/>
  <c r="J285" i="22"/>
  <c r="T285" i="22" s="1"/>
  <c r="AL285" i="22" s="1"/>
  <c r="AS284" i="22"/>
  <c r="AP284" i="22"/>
  <c r="AO284" i="22"/>
  <c r="AN284" i="22"/>
  <c r="AM284" i="22"/>
  <c r="AK284" i="22"/>
  <c r="AJ284" i="22"/>
  <c r="AF284" i="22"/>
  <c r="AB284" i="22"/>
  <c r="Y284" i="22"/>
  <c r="AQ284" i="22" s="1"/>
  <c r="X284" i="22"/>
  <c r="W284" i="22"/>
  <c r="V284" i="22"/>
  <c r="U284" i="22"/>
  <c r="T284" i="22"/>
  <c r="S284" i="22"/>
  <c r="R284" i="22"/>
  <c r="Q284" i="22"/>
  <c r="P284" i="22"/>
  <c r="Z284" i="22" s="1"/>
  <c r="AD284" i="22" s="1"/>
  <c r="O284" i="22"/>
  <c r="J284" i="22"/>
  <c r="AS283" i="22"/>
  <c r="AM283" i="22"/>
  <c r="AJ283" i="22"/>
  <c r="X283" i="22"/>
  <c r="AP283" i="22" s="1"/>
  <c r="W283" i="22"/>
  <c r="AO283" i="22" s="1"/>
  <c r="V283" i="22"/>
  <c r="AN283" i="22" s="1"/>
  <c r="U283" i="22"/>
  <c r="S283" i="22"/>
  <c r="AK283" i="22" s="1"/>
  <c r="R283" i="22"/>
  <c r="Q283" i="22"/>
  <c r="AI283" i="22" s="1"/>
  <c r="P283" i="22"/>
  <c r="O283" i="22"/>
  <c r="Y283" i="22" s="1"/>
  <c r="AQ283" i="22" s="1"/>
  <c r="J283" i="22"/>
  <c r="T283" i="22" s="1"/>
  <c r="AS282" i="22"/>
  <c r="AP282" i="22"/>
  <c r="AI282" i="22"/>
  <c r="AH282" i="22"/>
  <c r="AA282" i="22"/>
  <c r="AE282" i="22" s="1"/>
  <c r="Z282" i="22"/>
  <c r="AD282" i="22" s="1"/>
  <c r="X282" i="22"/>
  <c r="W282" i="22"/>
  <c r="AO282" i="22" s="1"/>
  <c r="V282" i="22"/>
  <c r="AN282" i="22" s="1"/>
  <c r="U282" i="22"/>
  <c r="AM282" i="22" s="1"/>
  <c r="S282" i="22"/>
  <c r="AK282" i="22" s="1"/>
  <c r="R282" i="22"/>
  <c r="AJ282" i="22" s="1"/>
  <c r="Q282" i="22"/>
  <c r="P282" i="22"/>
  <c r="O282" i="22"/>
  <c r="Y282" i="22" s="1"/>
  <c r="AQ282" i="22" s="1"/>
  <c r="J282" i="22"/>
  <c r="T282" i="22" s="1"/>
  <c r="AS281" i="22"/>
  <c r="AP281" i="22"/>
  <c r="AO281" i="22"/>
  <c r="AK281" i="22"/>
  <c r="AH281" i="22"/>
  <c r="Z281" i="22"/>
  <c r="AD281" i="22" s="1"/>
  <c r="Y281" i="22"/>
  <c r="AQ281" i="22" s="1"/>
  <c r="X281" i="22"/>
  <c r="W281" i="22"/>
  <c r="V281" i="22"/>
  <c r="AN281" i="22" s="1"/>
  <c r="U281" i="22"/>
  <c r="AM281" i="22" s="1"/>
  <c r="S281" i="22"/>
  <c r="R281" i="22"/>
  <c r="Q281" i="22"/>
  <c r="AI281" i="22" s="1"/>
  <c r="P281" i="22"/>
  <c r="O281" i="22"/>
  <c r="J281" i="22"/>
  <c r="T281" i="22" s="1"/>
  <c r="AS280" i="22"/>
  <c r="AO280" i="22"/>
  <c r="AN280" i="22"/>
  <c r="AK280" i="22"/>
  <c r="AJ280" i="22"/>
  <c r="Y280" i="22"/>
  <c r="X280" i="22"/>
  <c r="AP280" i="22" s="1"/>
  <c r="W280" i="22"/>
  <c r="AB280" i="22" s="1"/>
  <c r="AF280" i="22" s="1"/>
  <c r="V280" i="22"/>
  <c r="U280" i="22"/>
  <c r="AM280" i="22" s="1"/>
  <c r="T280" i="22"/>
  <c r="AL280" i="22" s="1"/>
  <c r="S280" i="22"/>
  <c r="R280" i="22"/>
  <c r="Q280" i="22"/>
  <c r="P280" i="22"/>
  <c r="AH280" i="22" s="1"/>
  <c r="O280" i="22"/>
  <c r="J280" i="22"/>
  <c r="AS279" i="22"/>
  <c r="AN279" i="22"/>
  <c r="AM279" i="22"/>
  <c r="AJ279" i="22"/>
  <c r="AI279" i="22"/>
  <c r="X279" i="22"/>
  <c r="W279" i="22"/>
  <c r="AO279" i="22" s="1"/>
  <c r="V279" i="22"/>
  <c r="AA279" i="22" s="1"/>
  <c r="AE279" i="22" s="1"/>
  <c r="U279" i="22"/>
  <c r="T279" i="22"/>
  <c r="AL279" i="22" s="1"/>
  <c r="S279" i="22"/>
  <c r="AK279" i="22" s="1"/>
  <c r="R279" i="22"/>
  <c r="Q279" i="22"/>
  <c r="P279" i="22"/>
  <c r="O279" i="22"/>
  <c r="Y279" i="22" s="1"/>
  <c r="AQ279" i="22" s="1"/>
  <c r="J279" i="22"/>
  <c r="AS278" i="22"/>
  <c r="AP278" i="22"/>
  <c r="AM278" i="22"/>
  <c r="AI278" i="22"/>
  <c r="AH278" i="22"/>
  <c r="AE278" i="22"/>
  <c r="AA278" i="22"/>
  <c r="X278" i="22"/>
  <c r="W278" i="22"/>
  <c r="AO278" i="22" s="1"/>
  <c r="V278" i="22"/>
  <c r="AN278" i="22" s="1"/>
  <c r="U278" i="22"/>
  <c r="Z278" i="22" s="1"/>
  <c r="AD278" i="22" s="1"/>
  <c r="S278" i="22"/>
  <c r="AK278" i="22" s="1"/>
  <c r="R278" i="22"/>
  <c r="AJ278" i="22" s="1"/>
  <c r="Q278" i="22"/>
  <c r="P278" i="22"/>
  <c r="O278" i="22"/>
  <c r="Y278" i="22" s="1"/>
  <c r="AQ278" i="22" s="1"/>
  <c r="J278" i="22"/>
  <c r="T278" i="22" s="1"/>
  <c r="AS277" i="22"/>
  <c r="AP277" i="22"/>
  <c r="AO277" i="22"/>
  <c r="AL277" i="22"/>
  <c r="AK277" i="22"/>
  <c r="AH277" i="22"/>
  <c r="AD277" i="22"/>
  <c r="Z277" i="22"/>
  <c r="Y277" i="22"/>
  <c r="AQ277" i="22" s="1"/>
  <c r="X277" i="22"/>
  <c r="W277" i="22"/>
  <c r="V277" i="22"/>
  <c r="AN277" i="22" s="1"/>
  <c r="U277" i="22"/>
  <c r="AM277" i="22" s="1"/>
  <c r="S277" i="22"/>
  <c r="R277" i="22"/>
  <c r="AJ277" i="22" s="1"/>
  <c r="Q277" i="22"/>
  <c r="AI277" i="22" s="1"/>
  <c r="P277" i="22"/>
  <c r="O277" i="22"/>
  <c r="J277" i="22"/>
  <c r="T277" i="22" s="1"/>
  <c r="AC277" i="22" s="1"/>
  <c r="AG277" i="22" s="1"/>
  <c r="AS276" i="22"/>
  <c r="AO276" i="22"/>
  <c r="AN276" i="22"/>
  <c r="AK276" i="22"/>
  <c r="AJ276" i="22"/>
  <c r="AC276" i="22"/>
  <c r="AG276" i="22" s="1"/>
  <c r="AB276" i="22"/>
  <c r="AF276" i="22" s="1"/>
  <c r="Y276" i="22"/>
  <c r="AQ276" i="22" s="1"/>
  <c r="X276" i="22"/>
  <c r="AP276" i="22" s="1"/>
  <c r="W276" i="22"/>
  <c r="V276" i="22"/>
  <c r="U276" i="22"/>
  <c r="AM276" i="22" s="1"/>
  <c r="T276" i="22"/>
  <c r="AL276" i="22" s="1"/>
  <c r="S276" i="22"/>
  <c r="R276" i="22"/>
  <c r="Q276" i="22"/>
  <c r="AI276" i="22" s="1"/>
  <c r="P276" i="22"/>
  <c r="AH276" i="22" s="1"/>
  <c r="O276" i="22"/>
  <c r="J276" i="22"/>
  <c r="AS275" i="22"/>
  <c r="AM275" i="22"/>
  <c r="AJ275" i="22"/>
  <c r="AI275" i="22"/>
  <c r="AB275" i="22"/>
  <c r="AF275" i="22" s="1"/>
  <c r="X275" i="22"/>
  <c r="AP275" i="22" s="1"/>
  <c r="W275" i="22"/>
  <c r="AO275" i="22" s="1"/>
  <c r="V275" i="22"/>
  <c r="AA275" i="22" s="1"/>
  <c r="AE275" i="22" s="1"/>
  <c r="U275" i="22"/>
  <c r="T275" i="22"/>
  <c r="S275" i="22"/>
  <c r="AK275" i="22" s="1"/>
  <c r="R275" i="22"/>
  <c r="Q275" i="22"/>
  <c r="P275" i="22"/>
  <c r="AH275" i="22" s="1"/>
  <c r="O275" i="22"/>
  <c r="Y275" i="22" s="1"/>
  <c r="AQ275" i="22" s="1"/>
  <c r="J275" i="22"/>
  <c r="AS274" i="22"/>
  <c r="AQ274" i="22"/>
  <c r="AP274" i="22"/>
  <c r="AK274" i="22"/>
  <c r="AI274" i="22"/>
  <c r="AH274" i="22"/>
  <c r="AA274" i="22"/>
  <c r="AE274" i="22" s="1"/>
  <c r="X274" i="22"/>
  <c r="W274" i="22"/>
  <c r="AO274" i="22" s="1"/>
  <c r="V274" i="22"/>
  <c r="AN274" i="22" s="1"/>
  <c r="U274" i="22"/>
  <c r="S274" i="22"/>
  <c r="R274" i="22"/>
  <c r="AJ274" i="22" s="1"/>
  <c r="Q274" i="22"/>
  <c r="P274" i="22"/>
  <c r="O274" i="22"/>
  <c r="Y274" i="22" s="1"/>
  <c r="J274" i="22"/>
  <c r="T274" i="22" s="1"/>
  <c r="AS273" i="22"/>
  <c r="AP273" i="22"/>
  <c r="AO273" i="22"/>
  <c r="AK273" i="22"/>
  <c r="AH273" i="22"/>
  <c r="Z273" i="22"/>
  <c r="AD273" i="22" s="1"/>
  <c r="Y273" i="22"/>
  <c r="AQ273" i="22" s="1"/>
  <c r="X273" i="22"/>
  <c r="W273" i="22"/>
  <c r="V273" i="22"/>
  <c r="AN273" i="22" s="1"/>
  <c r="U273" i="22"/>
  <c r="AM273" i="22" s="1"/>
  <c r="T273" i="22"/>
  <c r="S273" i="22"/>
  <c r="R273" i="22"/>
  <c r="Q273" i="22"/>
  <c r="AI273" i="22" s="1"/>
  <c r="P273" i="22"/>
  <c r="O273" i="22"/>
  <c r="J273" i="22"/>
  <c r="AS272" i="22"/>
  <c r="AO272" i="22"/>
  <c r="AN272" i="22"/>
  <c r="AJ272" i="22"/>
  <c r="AI272" i="22"/>
  <c r="AA272" i="22"/>
  <c r="AE272" i="22" s="1"/>
  <c r="Y272" i="22"/>
  <c r="AC272" i="22" s="1"/>
  <c r="AG272" i="22" s="1"/>
  <c r="X272" i="22"/>
  <c r="AP272" i="22" s="1"/>
  <c r="W272" i="22"/>
  <c r="V272" i="22"/>
  <c r="U272" i="22"/>
  <c r="AM272" i="22" s="1"/>
  <c r="T272" i="22"/>
  <c r="AL272" i="22" s="1"/>
  <c r="S272" i="22"/>
  <c r="R272" i="22"/>
  <c r="Q272" i="22"/>
  <c r="P272" i="22"/>
  <c r="AH272" i="22" s="1"/>
  <c r="O272" i="22"/>
  <c r="J272" i="22"/>
  <c r="AS271" i="22"/>
  <c r="AP271" i="22"/>
  <c r="AN271" i="22"/>
  <c r="AM271" i="22"/>
  <c r="AI271" i="22"/>
  <c r="AH271" i="22"/>
  <c r="Z271" i="22"/>
  <c r="AD271" i="22" s="1"/>
  <c r="X271" i="22"/>
  <c r="W271" i="22"/>
  <c r="AO271" i="22" s="1"/>
  <c r="V271" i="22"/>
  <c r="AA271" i="22" s="1"/>
  <c r="AE271" i="22" s="1"/>
  <c r="U271" i="22"/>
  <c r="T271" i="22"/>
  <c r="AL271" i="22" s="1"/>
  <c r="S271" i="22"/>
  <c r="AK271" i="22" s="1"/>
  <c r="R271" i="22"/>
  <c r="Q271" i="22"/>
  <c r="P271" i="22"/>
  <c r="O271" i="22"/>
  <c r="Y271" i="22" s="1"/>
  <c r="AQ271" i="22" s="1"/>
  <c r="J271" i="22"/>
  <c r="AS270" i="22"/>
  <c r="AP270" i="22"/>
  <c r="AM270" i="22"/>
  <c r="AH270" i="22"/>
  <c r="X270" i="22"/>
  <c r="W270" i="22"/>
  <c r="AO270" i="22" s="1"/>
  <c r="V270" i="22"/>
  <c r="AN270" i="22" s="1"/>
  <c r="U270" i="22"/>
  <c r="Z270" i="22" s="1"/>
  <c r="AD270" i="22" s="1"/>
  <c r="S270" i="22"/>
  <c r="AK270" i="22" s="1"/>
  <c r="R270" i="22"/>
  <c r="AJ270" i="22" s="1"/>
  <c r="Q270" i="22"/>
  <c r="P270" i="22"/>
  <c r="O270" i="22"/>
  <c r="Y270" i="22" s="1"/>
  <c r="AQ270" i="22" s="1"/>
  <c r="J270" i="22"/>
  <c r="T270" i="22" s="1"/>
  <c r="AS269" i="22"/>
  <c r="AO269" i="22"/>
  <c r="AN269" i="22"/>
  <c r="AK269" i="22"/>
  <c r="Y269" i="22"/>
  <c r="AQ269" i="22" s="1"/>
  <c r="X269" i="22"/>
  <c r="AP269" i="22" s="1"/>
  <c r="W269" i="22"/>
  <c r="V269" i="22"/>
  <c r="U269" i="22"/>
  <c r="AM269" i="22" s="1"/>
  <c r="S269" i="22"/>
  <c r="R269" i="22"/>
  <c r="AJ269" i="22" s="1"/>
  <c r="Q269" i="22"/>
  <c r="AI269" i="22" s="1"/>
  <c r="P269" i="22"/>
  <c r="O269" i="22"/>
  <c r="J269" i="22"/>
  <c r="T269" i="22" s="1"/>
  <c r="AC269" i="22" s="1"/>
  <c r="AG269" i="22" s="1"/>
  <c r="AS268" i="22"/>
  <c r="AN268" i="22"/>
  <c r="AK268" i="22"/>
  <c r="AJ268" i="22"/>
  <c r="X268" i="22"/>
  <c r="AP268" i="22" s="1"/>
  <c r="W268" i="22"/>
  <c r="V268" i="22"/>
  <c r="U268" i="22"/>
  <c r="AM268" i="22" s="1"/>
  <c r="T268" i="22"/>
  <c r="AL268" i="22" s="1"/>
  <c r="S268" i="22"/>
  <c r="R268" i="22"/>
  <c r="Q268" i="22"/>
  <c r="AI268" i="22" s="1"/>
  <c r="P268" i="22"/>
  <c r="AH268" i="22" s="1"/>
  <c r="O268" i="22"/>
  <c r="Y268" i="22" s="1"/>
  <c r="J268" i="22"/>
  <c r="AS267" i="22"/>
  <c r="AM267" i="22"/>
  <c r="AL267" i="22"/>
  <c r="AJ267" i="22"/>
  <c r="AI267" i="22"/>
  <c r="AB267" i="22"/>
  <c r="AF267" i="22" s="1"/>
  <c r="X267" i="22"/>
  <c r="AP267" i="22" s="1"/>
  <c r="W267" i="22"/>
  <c r="AO267" i="22" s="1"/>
  <c r="V267" i="22"/>
  <c r="U267" i="22"/>
  <c r="T267" i="22"/>
  <c r="S267" i="22"/>
  <c r="AK267" i="22" s="1"/>
  <c r="R267" i="22"/>
  <c r="Q267" i="22"/>
  <c r="P267" i="22"/>
  <c r="AH267" i="22" s="1"/>
  <c r="O267" i="22"/>
  <c r="Y267" i="22" s="1"/>
  <c r="AQ267" i="22" s="1"/>
  <c r="J267" i="22"/>
  <c r="AS266" i="22"/>
  <c r="AP266" i="22"/>
  <c r="AI266" i="22"/>
  <c r="AH266" i="22"/>
  <c r="AC266" i="22"/>
  <c r="AG266" i="22" s="1"/>
  <c r="AA266" i="22"/>
  <c r="AE266" i="22" s="1"/>
  <c r="X266" i="22"/>
  <c r="W266" i="22"/>
  <c r="AO266" i="22" s="1"/>
  <c r="V266" i="22"/>
  <c r="AN266" i="22" s="1"/>
  <c r="U266" i="22"/>
  <c r="S266" i="22"/>
  <c r="AK266" i="22" s="1"/>
  <c r="R266" i="22"/>
  <c r="AJ266" i="22" s="1"/>
  <c r="Q266" i="22"/>
  <c r="P266" i="22"/>
  <c r="O266" i="22"/>
  <c r="Y266" i="22" s="1"/>
  <c r="AQ266" i="22" s="1"/>
  <c r="J266" i="22"/>
  <c r="T266" i="22" s="1"/>
  <c r="AL266" i="22" s="1"/>
  <c r="AS265" i="22"/>
  <c r="AP265" i="22"/>
  <c r="AO265" i="22"/>
  <c r="AK265" i="22"/>
  <c r="AJ265" i="22"/>
  <c r="AH265" i="22"/>
  <c r="AB265" i="22"/>
  <c r="AF265" i="22" s="1"/>
  <c r="Z265" i="22"/>
  <c r="AD265" i="22" s="1"/>
  <c r="Y265" i="22"/>
  <c r="AQ265" i="22" s="1"/>
  <c r="X265" i="22"/>
  <c r="W265" i="22"/>
  <c r="V265" i="22"/>
  <c r="AN265" i="22" s="1"/>
  <c r="U265" i="22"/>
  <c r="AM265" i="22" s="1"/>
  <c r="T265" i="22"/>
  <c r="S265" i="22"/>
  <c r="R265" i="22"/>
  <c r="Q265" i="22"/>
  <c r="AI265" i="22" s="1"/>
  <c r="P265" i="22"/>
  <c r="O265" i="22"/>
  <c r="J265" i="22"/>
  <c r="AS264" i="22"/>
  <c r="AO264" i="22"/>
  <c r="AN264" i="22"/>
  <c r="AJ264" i="22"/>
  <c r="AG264" i="22"/>
  <c r="Y264" i="22"/>
  <c r="AC264" i="22" s="1"/>
  <c r="X264" i="22"/>
  <c r="AP264" i="22" s="1"/>
  <c r="W264" i="22"/>
  <c r="V264" i="22"/>
  <c r="U264" i="22"/>
  <c r="AM264" i="22" s="1"/>
  <c r="T264" i="22"/>
  <c r="AL264" i="22" s="1"/>
  <c r="S264" i="22"/>
  <c r="R264" i="22"/>
  <c r="Q264" i="22"/>
  <c r="AA264" i="22" s="1"/>
  <c r="AE264" i="22" s="1"/>
  <c r="P264" i="22"/>
  <c r="AH264" i="22" s="1"/>
  <c r="O264" i="22"/>
  <c r="J264" i="22"/>
  <c r="AS263" i="22"/>
  <c r="AN263" i="22"/>
  <c r="AM263" i="22"/>
  <c r="AI263" i="22"/>
  <c r="Z263" i="22"/>
  <c r="AD263" i="22" s="1"/>
  <c r="X263" i="22"/>
  <c r="AP263" i="22" s="1"/>
  <c r="W263" i="22"/>
  <c r="AO263" i="22" s="1"/>
  <c r="V263" i="22"/>
  <c r="AA263" i="22" s="1"/>
  <c r="AE263" i="22" s="1"/>
  <c r="U263" i="22"/>
  <c r="T263" i="22"/>
  <c r="AL263" i="22" s="1"/>
  <c r="S263" i="22"/>
  <c r="AK263" i="22" s="1"/>
  <c r="R263" i="22"/>
  <c r="Q263" i="22"/>
  <c r="P263" i="22"/>
  <c r="AH263" i="22" s="1"/>
  <c r="O263" i="22"/>
  <c r="Y263" i="22" s="1"/>
  <c r="AQ263" i="22" s="1"/>
  <c r="J263" i="22"/>
  <c r="AS262" i="22"/>
  <c r="AP262" i="22"/>
  <c r="AM262" i="22"/>
  <c r="AH262" i="22"/>
  <c r="Y262" i="22"/>
  <c r="AQ262" i="22" s="1"/>
  <c r="X262" i="22"/>
  <c r="W262" i="22"/>
  <c r="AO262" i="22" s="1"/>
  <c r="V262" i="22"/>
  <c r="AN262" i="22" s="1"/>
  <c r="U262" i="22"/>
  <c r="Z262" i="22" s="1"/>
  <c r="AD262" i="22" s="1"/>
  <c r="S262" i="22"/>
  <c r="AK262" i="22" s="1"/>
  <c r="R262" i="22"/>
  <c r="AJ262" i="22" s="1"/>
  <c r="Q262" i="22"/>
  <c r="P262" i="22"/>
  <c r="O262" i="22"/>
  <c r="J262" i="22"/>
  <c r="T262" i="22" s="1"/>
  <c r="AS261" i="22"/>
  <c r="AO261" i="22"/>
  <c r="AK261" i="22"/>
  <c r="Y261" i="22"/>
  <c r="AQ261" i="22" s="1"/>
  <c r="X261" i="22"/>
  <c r="AP261" i="22" s="1"/>
  <c r="W261" i="22"/>
  <c r="V261" i="22"/>
  <c r="AN261" i="22" s="1"/>
  <c r="U261" i="22"/>
  <c r="AM261" i="22" s="1"/>
  <c r="S261" i="22"/>
  <c r="R261" i="22"/>
  <c r="AJ261" i="22" s="1"/>
  <c r="Q261" i="22"/>
  <c r="AI261" i="22" s="1"/>
  <c r="P261" i="22"/>
  <c r="O261" i="22"/>
  <c r="J261" i="22"/>
  <c r="T261" i="22" s="1"/>
  <c r="AC261" i="22" s="1"/>
  <c r="AG261" i="22" s="1"/>
  <c r="AS260" i="22"/>
  <c r="AN260" i="22"/>
  <c r="AK260" i="22"/>
  <c r="AJ260" i="22"/>
  <c r="X260" i="22"/>
  <c r="AP260" i="22" s="1"/>
  <c r="W260" i="22"/>
  <c r="V260" i="22"/>
  <c r="U260" i="22"/>
  <c r="AM260" i="22" s="1"/>
  <c r="T260" i="22"/>
  <c r="AL260" i="22" s="1"/>
  <c r="S260" i="22"/>
  <c r="R260" i="22"/>
  <c r="Q260" i="22"/>
  <c r="AI260" i="22" s="1"/>
  <c r="P260" i="22"/>
  <c r="AH260" i="22" s="1"/>
  <c r="O260" i="22"/>
  <c r="Y260" i="22" s="1"/>
  <c r="AQ260" i="22" s="1"/>
  <c r="J260" i="22"/>
  <c r="AS259" i="22"/>
  <c r="AM259" i="22"/>
  <c r="AJ259" i="22"/>
  <c r="AI259" i="22"/>
  <c r="AB259" i="22"/>
  <c r="AF259" i="22" s="1"/>
  <c r="X259" i="22"/>
  <c r="AP259" i="22" s="1"/>
  <c r="W259" i="22"/>
  <c r="AO259" i="22" s="1"/>
  <c r="V259" i="22"/>
  <c r="U259" i="22"/>
  <c r="S259" i="22"/>
  <c r="AK259" i="22" s="1"/>
  <c r="R259" i="22"/>
  <c r="Q259" i="22"/>
  <c r="P259" i="22"/>
  <c r="AH259" i="22" s="1"/>
  <c r="O259" i="22"/>
  <c r="Y259" i="22" s="1"/>
  <c r="AQ259" i="22" s="1"/>
  <c r="J259" i="22"/>
  <c r="T259" i="22" s="1"/>
  <c r="AS258" i="22"/>
  <c r="AQ258" i="22"/>
  <c r="AP258" i="22"/>
  <c r="AK258" i="22"/>
  <c r="AI258" i="22"/>
  <c r="AH258" i="22"/>
  <c r="AA258" i="22"/>
  <c r="AE258" i="22" s="1"/>
  <c r="X258" i="22"/>
  <c r="W258" i="22"/>
  <c r="AO258" i="22" s="1"/>
  <c r="V258" i="22"/>
  <c r="AN258" i="22" s="1"/>
  <c r="U258" i="22"/>
  <c r="S258" i="22"/>
  <c r="R258" i="22"/>
  <c r="AJ258" i="22" s="1"/>
  <c r="Q258" i="22"/>
  <c r="P258" i="22"/>
  <c r="O258" i="22"/>
  <c r="Y258" i="22" s="1"/>
  <c r="J258" i="22"/>
  <c r="T258" i="22" s="1"/>
  <c r="AL258" i="22" s="1"/>
  <c r="AS257" i="22"/>
  <c r="AP257" i="22"/>
  <c r="AO257" i="22"/>
  <c r="AK257" i="22"/>
  <c r="AH257" i="22"/>
  <c r="Z257" i="22"/>
  <c r="AD257" i="22" s="1"/>
  <c r="Y257" i="22"/>
  <c r="AQ257" i="22" s="1"/>
  <c r="X257" i="22"/>
  <c r="W257" i="22"/>
  <c r="V257" i="22"/>
  <c r="AN257" i="22" s="1"/>
  <c r="U257" i="22"/>
  <c r="AM257" i="22" s="1"/>
  <c r="T257" i="22"/>
  <c r="S257" i="22"/>
  <c r="R257" i="22"/>
  <c r="AB257" i="22" s="1"/>
  <c r="AF257" i="22" s="1"/>
  <c r="Q257" i="22"/>
  <c r="AI257" i="22" s="1"/>
  <c r="P257" i="22"/>
  <c r="O257" i="22"/>
  <c r="J257" i="22"/>
  <c r="AS256" i="22"/>
  <c r="AQ256" i="22"/>
  <c r="AO256" i="22"/>
  <c r="AN256" i="22"/>
  <c r="AJ256" i="22"/>
  <c r="AI256" i="22"/>
  <c r="AG256" i="22"/>
  <c r="AA256" i="22"/>
  <c r="AE256" i="22" s="1"/>
  <c r="Y256" i="22"/>
  <c r="AC256" i="22" s="1"/>
  <c r="X256" i="22"/>
  <c r="AP256" i="22" s="1"/>
  <c r="W256" i="22"/>
  <c r="V256" i="22"/>
  <c r="U256" i="22"/>
  <c r="AM256" i="22" s="1"/>
  <c r="T256" i="22"/>
  <c r="AL256" i="22" s="1"/>
  <c r="S256" i="22"/>
  <c r="R256" i="22"/>
  <c r="Q256" i="22"/>
  <c r="P256" i="22"/>
  <c r="AH256" i="22" s="1"/>
  <c r="O256" i="22"/>
  <c r="J256" i="22"/>
  <c r="AS255" i="22"/>
  <c r="AP255" i="22"/>
  <c r="AN255" i="22"/>
  <c r="AM255" i="22"/>
  <c r="AI255" i="22"/>
  <c r="AH255" i="22"/>
  <c r="Z255" i="22"/>
  <c r="AD255" i="22" s="1"/>
  <c r="X255" i="22"/>
  <c r="W255" i="22"/>
  <c r="AO255" i="22" s="1"/>
  <c r="V255" i="22"/>
  <c r="AA255" i="22" s="1"/>
  <c r="AE255" i="22" s="1"/>
  <c r="U255" i="22"/>
  <c r="T255" i="22"/>
  <c r="AL255" i="22" s="1"/>
  <c r="S255" i="22"/>
  <c r="AK255" i="22" s="1"/>
  <c r="R255" i="22"/>
  <c r="Q255" i="22"/>
  <c r="P255" i="22"/>
  <c r="O255" i="22"/>
  <c r="Y255" i="22" s="1"/>
  <c r="AQ255" i="22" s="1"/>
  <c r="J255" i="22"/>
  <c r="AS254" i="22"/>
  <c r="AP254" i="22"/>
  <c r="AO254" i="22"/>
  <c r="AM254" i="22"/>
  <c r="AH254" i="22"/>
  <c r="AD254" i="22"/>
  <c r="Z254" i="22"/>
  <c r="X254" i="22"/>
  <c r="W254" i="22"/>
  <c r="V254" i="22"/>
  <c r="AN254" i="22" s="1"/>
  <c r="U254" i="22"/>
  <c r="S254" i="22"/>
  <c r="AK254" i="22" s="1"/>
  <c r="R254" i="22"/>
  <c r="AJ254" i="22" s="1"/>
  <c r="Q254" i="22"/>
  <c r="P254" i="22"/>
  <c r="O254" i="22"/>
  <c r="Y254" i="22" s="1"/>
  <c r="AQ254" i="22" s="1"/>
  <c r="J254" i="22"/>
  <c r="T254" i="22" s="1"/>
  <c r="AS253" i="22"/>
  <c r="AO253" i="22"/>
  <c r="AL253" i="22"/>
  <c r="AK253" i="22"/>
  <c r="Y253" i="22"/>
  <c r="AQ253" i="22" s="1"/>
  <c r="X253" i="22"/>
  <c r="AP253" i="22" s="1"/>
  <c r="W253" i="22"/>
  <c r="V253" i="22"/>
  <c r="AN253" i="22" s="1"/>
  <c r="U253" i="22"/>
  <c r="AM253" i="22" s="1"/>
  <c r="S253" i="22"/>
  <c r="R253" i="22"/>
  <c r="AJ253" i="22" s="1"/>
  <c r="Q253" i="22"/>
  <c r="AI253" i="22" s="1"/>
  <c r="P253" i="22"/>
  <c r="O253" i="22"/>
  <c r="J253" i="22"/>
  <c r="T253" i="22" s="1"/>
  <c r="AC253" i="22" s="1"/>
  <c r="AG253" i="22" s="1"/>
  <c r="AS252" i="22"/>
  <c r="AN252" i="22"/>
  <c r="AK252" i="22"/>
  <c r="AJ252" i="22"/>
  <c r="AC252" i="22"/>
  <c r="AG252" i="22" s="1"/>
  <c r="X252" i="22"/>
  <c r="AP252" i="22" s="1"/>
  <c r="W252" i="22"/>
  <c r="V252" i="22"/>
  <c r="U252" i="22"/>
  <c r="AM252" i="22" s="1"/>
  <c r="T252" i="22"/>
  <c r="AL252" i="22" s="1"/>
  <c r="S252" i="22"/>
  <c r="R252" i="22"/>
  <c r="Q252" i="22"/>
  <c r="AI252" i="22" s="1"/>
  <c r="P252" i="22"/>
  <c r="AH252" i="22" s="1"/>
  <c r="O252" i="22"/>
  <c r="Y252" i="22" s="1"/>
  <c r="AQ252" i="22" s="1"/>
  <c r="J252" i="22"/>
  <c r="AS251" i="22"/>
  <c r="AM251" i="22"/>
  <c r="AL251" i="22"/>
  <c r="AJ251" i="22"/>
  <c r="AI251" i="22"/>
  <c r="AB251" i="22"/>
  <c r="AF251" i="22" s="1"/>
  <c r="X251" i="22"/>
  <c r="AP251" i="22" s="1"/>
  <c r="W251" i="22"/>
  <c r="AO251" i="22" s="1"/>
  <c r="V251" i="22"/>
  <c r="U251" i="22"/>
  <c r="S251" i="22"/>
  <c r="AK251" i="22" s="1"/>
  <c r="R251" i="22"/>
  <c r="Q251" i="22"/>
  <c r="P251" i="22"/>
  <c r="AH251" i="22" s="1"/>
  <c r="O251" i="22"/>
  <c r="Y251" i="22" s="1"/>
  <c r="AQ251" i="22" s="1"/>
  <c r="J251" i="22"/>
  <c r="T251" i="22" s="1"/>
  <c r="AC251" i="22" s="1"/>
  <c r="AG251" i="22" s="1"/>
  <c r="AS250" i="22"/>
  <c r="AP250" i="22"/>
  <c r="AI250" i="22"/>
  <c r="AH250" i="22"/>
  <c r="AA250" i="22"/>
  <c r="AE250" i="22" s="1"/>
  <c r="X250" i="22"/>
  <c r="W250" i="22"/>
  <c r="AO250" i="22" s="1"/>
  <c r="V250" i="22"/>
  <c r="AN250" i="22" s="1"/>
  <c r="U250" i="22"/>
  <c r="S250" i="22"/>
  <c r="AK250" i="22" s="1"/>
  <c r="R250" i="22"/>
  <c r="AJ250" i="22" s="1"/>
  <c r="Q250" i="22"/>
  <c r="P250" i="22"/>
  <c r="O250" i="22"/>
  <c r="Y250" i="22" s="1"/>
  <c r="J250" i="22"/>
  <c r="T250" i="22" s="1"/>
  <c r="AL250" i="22" s="1"/>
  <c r="AS249" i="22"/>
  <c r="AP249" i="22"/>
  <c r="AO249" i="22"/>
  <c r="AK249" i="22"/>
  <c r="AJ249" i="22"/>
  <c r="AH249" i="22"/>
  <c r="AB249" i="22"/>
  <c r="AF249" i="22" s="1"/>
  <c r="Z249" i="22"/>
  <c r="AD249" i="22" s="1"/>
  <c r="Y249" i="22"/>
  <c r="AQ249" i="22" s="1"/>
  <c r="X249" i="22"/>
  <c r="W249" i="22"/>
  <c r="V249" i="22"/>
  <c r="AN249" i="22" s="1"/>
  <c r="U249" i="22"/>
  <c r="AM249" i="22" s="1"/>
  <c r="T249" i="22"/>
  <c r="S249" i="22"/>
  <c r="R249" i="22"/>
  <c r="Q249" i="22"/>
  <c r="AI249" i="22" s="1"/>
  <c r="P249" i="22"/>
  <c r="O249" i="22"/>
  <c r="J249" i="22"/>
  <c r="AS248" i="22"/>
  <c r="AO248" i="22"/>
  <c r="AN248" i="22"/>
  <c r="AJ248" i="22"/>
  <c r="AG248" i="22"/>
  <c r="AA248" i="22"/>
  <c r="AE248" i="22" s="1"/>
  <c r="Y248" i="22"/>
  <c r="AC248" i="22" s="1"/>
  <c r="X248" i="22"/>
  <c r="AP248" i="22" s="1"/>
  <c r="W248" i="22"/>
  <c r="V248" i="22"/>
  <c r="U248" i="22"/>
  <c r="AM248" i="22" s="1"/>
  <c r="T248" i="22"/>
  <c r="AL248" i="22" s="1"/>
  <c r="S248" i="22"/>
  <c r="R248" i="22"/>
  <c r="Q248" i="22"/>
  <c r="AI248" i="22" s="1"/>
  <c r="P248" i="22"/>
  <c r="AH248" i="22" s="1"/>
  <c r="O248" i="22"/>
  <c r="J248" i="22"/>
  <c r="AS247" i="22"/>
  <c r="AN247" i="22"/>
  <c r="AM247" i="22"/>
  <c r="AI247" i="22"/>
  <c r="AE247" i="22"/>
  <c r="AA247" i="22"/>
  <c r="X247" i="22"/>
  <c r="AP247" i="22" s="1"/>
  <c r="W247" i="22"/>
  <c r="AO247" i="22" s="1"/>
  <c r="V247" i="22"/>
  <c r="U247" i="22"/>
  <c r="T247" i="22"/>
  <c r="AL247" i="22" s="1"/>
  <c r="S247" i="22"/>
  <c r="AK247" i="22" s="1"/>
  <c r="R247" i="22"/>
  <c r="Q247" i="22"/>
  <c r="P247" i="22"/>
  <c r="Z247" i="22" s="1"/>
  <c r="AD247" i="22" s="1"/>
  <c r="O247" i="22"/>
  <c r="Y247" i="22" s="1"/>
  <c r="AQ247" i="22" s="1"/>
  <c r="J247" i="22"/>
  <c r="AS246" i="22"/>
  <c r="AP246" i="22"/>
  <c r="AM246" i="22"/>
  <c r="AH246" i="22"/>
  <c r="Y246" i="22"/>
  <c r="AQ246" i="22" s="1"/>
  <c r="X246" i="22"/>
  <c r="W246" i="22"/>
  <c r="AO246" i="22" s="1"/>
  <c r="V246" i="22"/>
  <c r="AN246" i="22" s="1"/>
  <c r="U246" i="22"/>
  <c r="Z246" i="22" s="1"/>
  <c r="AD246" i="22" s="1"/>
  <c r="S246" i="22"/>
  <c r="AK246" i="22" s="1"/>
  <c r="R246" i="22"/>
  <c r="AJ246" i="22" s="1"/>
  <c r="Q246" i="22"/>
  <c r="P246" i="22"/>
  <c r="O246" i="22"/>
  <c r="J246" i="22"/>
  <c r="T246" i="22" s="1"/>
  <c r="AS245" i="22"/>
  <c r="AO245" i="22"/>
  <c r="AK245" i="22"/>
  <c r="AJ245" i="22"/>
  <c r="Y245" i="22"/>
  <c r="AQ245" i="22" s="1"/>
  <c r="X245" i="22"/>
  <c r="AP245" i="22" s="1"/>
  <c r="W245" i="22"/>
  <c r="V245" i="22"/>
  <c r="AN245" i="22" s="1"/>
  <c r="U245" i="22"/>
  <c r="AM245" i="22" s="1"/>
  <c r="S245" i="22"/>
  <c r="R245" i="22"/>
  <c r="Q245" i="22"/>
  <c r="AI245" i="22" s="1"/>
  <c r="P245" i="22"/>
  <c r="O245" i="22"/>
  <c r="J245" i="22"/>
  <c r="T245" i="22" s="1"/>
  <c r="AS244" i="22"/>
  <c r="AQ244" i="22"/>
  <c r="AN244" i="22"/>
  <c r="AK244" i="22"/>
  <c r="AJ244" i="22"/>
  <c r="AI244" i="22"/>
  <c r="AE244" i="22"/>
  <c r="AC244" i="22"/>
  <c r="AG244" i="22" s="1"/>
  <c r="AA244" i="22"/>
  <c r="X244" i="22"/>
  <c r="AP244" i="22" s="1"/>
  <c r="W244" i="22"/>
  <c r="AO244" i="22" s="1"/>
  <c r="V244" i="22"/>
  <c r="U244" i="22"/>
  <c r="AM244" i="22" s="1"/>
  <c r="T244" i="22"/>
  <c r="AL244" i="22" s="1"/>
  <c r="S244" i="22"/>
  <c r="AB244" i="22" s="1"/>
  <c r="AF244" i="22" s="1"/>
  <c r="R244" i="22"/>
  <c r="Q244" i="22"/>
  <c r="P244" i="22"/>
  <c r="AH244" i="22" s="1"/>
  <c r="O244" i="22"/>
  <c r="Y244" i="22" s="1"/>
  <c r="J244" i="22"/>
  <c r="AS243" i="22"/>
  <c r="AP243" i="22"/>
  <c r="AM243" i="22"/>
  <c r="AI243" i="22"/>
  <c r="AH243" i="22"/>
  <c r="AD243" i="22"/>
  <c r="Z243" i="22"/>
  <c r="X243" i="22"/>
  <c r="W243" i="22"/>
  <c r="AO243" i="22" s="1"/>
  <c r="V243" i="22"/>
  <c r="U243" i="22"/>
  <c r="S243" i="22"/>
  <c r="AK243" i="22" s="1"/>
  <c r="R243" i="22"/>
  <c r="AB243" i="22" s="1"/>
  <c r="AF243" i="22" s="1"/>
  <c r="Q243" i="22"/>
  <c r="P243" i="22"/>
  <c r="O243" i="22"/>
  <c r="Y243" i="22" s="1"/>
  <c r="AQ243" i="22" s="1"/>
  <c r="J243" i="22"/>
  <c r="T243" i="22" s="1"/>
  <c r="AS242" i="22"/>
  <c r="AP242" i="22"/>
  <c r="AO242" i="22"/>
  <c r="AK242" i="22"/>
  <c r="AI242" i="22"/>
  <c r="AH242" i="22"/>
  <c r="AC242" i="22"/>
  <c r="AG242" i="22" s="1"/>
  <c r="Y242" i="22"/>
  <c r="AQ242" i="22" s="1"/>
  <c r="X242" i="22"/>
  <c r="W242" i="22"/>
  <c r="V242" i="22"/>
  <c r="AN242" i="22" s="1"/>
  <c r="U242" i="22"/>
  <c r="S242" i="22"/>
  <c r="R242" i="22"/>
  <c r="AJ242" i="22" s="1"/>
  <c r="Q242" i="22"/>
  <c r="AA242" i="22" s="1"/>
  <c r="AE242" i="22" s="1"/>
  <c r="P242" i="22"/>
  <c r="O242" i="22"/>
  <c r="J242" i="22"/>
  <c r="T242" i="22" s="1"/>
  <c r="AL242" i="22" s="1"/>
  <c r="AS241" i="22"/>
  <c r="AO241" i="22"/>
  <c r="AN241" i="22"/>
  <c r="AK241" i="22"/>
  <c r="AJ241" i="22"/>
  <c r="Y241" i="22"/>
  <c r="AQ241" i="22" s="1"/>
  <c r="X241" i="22"/>
  <c r="W241" i="22"/>
  <c r="V241" i="22"/>
  <c r="U241" i="22"/>
  <c r="AM241" i="22" s="1"/>
  <c r="T241" i="22"/>
  <c r="S241" i="22"/>
  <c r="R241" i="22"/>
  <c r="Q241" i="22"/>
  <c r="AI241" i="22" s="1"/>
  <c r="P241" i="22"/>
  <c r="O241" i="22"/>
  <c r="J241" i="22"/>
  <c r="AS240" i="22"/>
  <c r="AQ240" i="22"/>
  <c r="AO240" i="22"/>
  <c r="AN240" i="22"/>
  <c r="AM240" i="22"/>
  <c r="AJ240" i="22"/>
  <c r="AG240" i="22"/>
  <c r="AA240" i="22"/>
  <c r="AE240" i="22" s="1"/>
  <c r="Y240" i="22"/>
  <c r="AC240" i="22" s="1"/>
  <c r="X240" i="22"/>
  <c r="AP240" i="22" s="1"/>
  <c r="W240" i="22"/>
  <c r="V240" i="22"/>
  <c r="U240" i="22"/>
  <c r="T240" i="22"/>
  <c r="AL240" i="22" s="1"/>
  <c r="S240" i="22"/>
  <c r="R240" i="22"/>
  <c r="Q240" i="22"/>
  <c r="AI240" i="22" s="1"/>
  <c r="P240" i="22"/>
  <c r="AH240" i="22" s="1"/>
  <c r="O240" i="22"/>
  <c r="J240" i="22"/>
  <c r="AS239" i="22"/>
  <c r="AP239" i="22"/>
  <c r="AM239" i="22"/>
  <c r="AJ239" i="22"/>
  <c r="AI239" i="22"/>
  <c r="AH239" i="22"/>
  <c r="AD239" i="22"/>
  <c r="Z239" i="22"/>
  <c r="X239" i="22"/>
  <c r="W239" i="22"/>
  <c r="AO239" i="22" s="1"/>
  <c r="V239" i="22"/>
  <c r="AA239" i="22" s="1"/>
  <c r="AE239" i="22" s="1"/>
  <c r="U239" i="22"/>
  <c r="S239" i="22"/>
  <c r="AK239" i="22" s="1"/>
  <c r="R239" i="22"/>
  <c r="AB239" i="22" s="1"/>
  <c r="AF239" i="22" s="1"/>
  <c r="Q239" i="22"/>
  <c r="P239" i="22"/>
  <c r="O239" i="22"/>
  <c r="Y239" i="22" s="1"/>
  <c r="AQ239" i="22" s="1"/>
  <c r="J239" i="22"/>
  <c r="T239" i="22" s="1"/>
  <c r="AS238" i="22"/>
  <c r="AP238" i="22"/>
  <c r="AK238" i="22"/>
  <c r="AI238" i="22"/>
  <c r="AH238" i="22"/>
  <c r="Y238" i="22"/>
  <c r="AQ238" i="22" s="1"/>
  <c r="X238" i="22"/>
  <c r="W238" i="22"/>
  <c r="AO238" i="22" s="1"/>
  <c r="V238" i="22"/>
  <c r="AN238" i="22" s="1"/>
  <c r="U238" i="22"/>
  <c r="S238" i="22"/>
  <c r="R238" i="22"/>
  <c r="AJ238" i="22" s="1"/>
  <c r="Q238" i="22"/>
  <c r="AA238" i="22" s="1"/>
  <c r="AE238" i="22" s="1"/>
  <c r="P238" i="22"/>
  <c r="O238" i="22"/>
  <c r="J238" i="22"/>
  <c r="T238" i="22" s="1"/>
  <c r="AL238" i="22" s="1"/>
  <c r="AS237" i="22"/>
  <c r="AP237" i="22"/>
  <c r="AO237" i="22"/>
  <c r="AN237" i="22"/>
  <c r="AK237" i="22"/>
  <c r="AD237" i="22"/>
  <c r="Y237" i="22"/>
  <c r="AQ237" i="22" s="1"/>
  <c r="X237" i="22"/>
  <c r="W237" i="22"/>
  <c r="V237" i="22"/>
  <c r="U237" i="22"/>
  <c r="AM237" i="22" s="1"/>
  <c r="T237" i="22"/>
  <c r="S237" i="22"/>
  <c r="R237" i="22"/>
  <c r="AB237" i="22" s="1"/>
  <c r="AF237" i="22" s="1"/>
  <c r="Q237" i="22"/>
  <c r="AI237" i="22" s="1"/>
  <c r="P237" i="22"/>
  <c r="Z237" i="22" s="1"/>
  <c r="O237" i="22"/>
  <c r="J237" i="22"/>
  <c r="AS236" i="22"/>
  <c r="AN236" i="22"/>
  <c r="AK236" i="22"/>
  <c r="AJ236" i="22"/>
  <c r="AI236" i="22"/>
  <c r="AE236" i="22"/>
  <c r="AA236" i="22"/>
  <c r="X236" i="22"/>
  <c r="AP236" i="22" s="1"/>
  <c r="W236" i="22"/>
  <c r="AO236" i="22" s="1"/>
  <c r="V236" i="22"/>
  <c r="U236" i="22"/>
  <c r="AM236" i="22" s="1"/>
  <c r="T236" i="22"/>
  <c r="AL236" i="22" s="1"/>
  <c r="S236" i="22"/>
  <c r="R236" i="22"/>
  <c r="Q236" i="22"/>
  <c r="P236" i="22"/>
  <c r="AH236" i="22" s="1"/>
  <c r="O236" i="22"/>
  <c r="Y236" i="22" s="1"/>
  <c r="AC236" i="22" s="1"/>
  <c r="AG236" i="22" s="1"/>
  <c r="J236" i="22"/>
  <c r="AS235" i="22"/>
  <c r="AP235" i="22"/>
  <c r="AM235" i="22"/>
  <c r="AJ235" i="22"/>
  <c r="AI235" i="22"/>
  <c r="AH235" i="22"/>
  <c r="AD235" i="22"/>
  <c r="Z235" i="22"/>
  <c r="X235" i="22"/>
  <c r="W235" i="22"/>
  <c r="AO235" i="22" s="1"/>
  <c r="V235" i="22"/>
  <c r="AA235" i="22" s="1"/>
  <c r="AE235" i="22" s="1"/>
  <c r="U235" i="22"/>
  <c r="S235" i="22"/>
  <c r="AK235" i="22" s="1"/>
  <c r="R235" i="22"/>
  <c r="AB235" i="22" s="1"/>
  <c r="AF235" i="22" s="1"/>
  <c r="Q235" i="22"/>
  <c r="P235" i="22"/>
  <c r="O235" i="22"/>
  <c r="Y235" i="22" s="1"/>
  <c r="AQ235" i="22" s="1"/>
  <c r="J235" i="22"/>
  <c r="T235" i="22" s="1"/>
  <c r="AS234" i="22"/>
  <c r="AP234" i="22"/>
  <c r="AM234" i="22"/>
  <c r="AK234" i="22"/>
  <c r="AI234" i="22"/>
  <c r="AH234" i="22"/>
  <c r="AC234" i="22"/>
  <c r="AG234" i="22" s="1"/>
  <c r="Y234" i="22"/>
  <c r="AQ234" i="22" s="1"/>
  <c r="X234" i="22"/>
  <c r="W234" i="22"/>
  <c r="AO234" i="22" s="1"/>
  <c r="V234" i="22"/>
  <c r="AN234" i="22" s="1"/>
  <c r="U234" i="22"/>
  <c r="Z234" i="22" s="1"/>
  <c r="AD234" i="22" s="1"/>
  <c r="S234" i="22"/>
  <c r="R234" i="22"/>
  <c r="AJ234" i="22" s="1"/>
  <c r="Q234" i="22"/>
  <c r="AA234" i="22" s="1"/>
  <c r="AE234" i="22" s="1"/>
  <c r="P234" i="22"/>
  <c r="O234" i="22"/>
  <c r="J234" i="22"/>
  <c r="T234" i="22" s="1"/>
  <c r="AL234" i="22" s="1"/>
  <c r="AS233" i="22"/>
  <c r="AP233" i="22"/>
  <c r="AO233" i="22"/>
  <c r="AN233" i="22"/>
  <c r="AK233" i="22"/>
  <c r="AJ233" i="22"/>
  <c r="AH233" i="22"/>
  <c r="AB233" i="22"/>
  <c r="AF233" i="22" s="1"/>
  <c r="Y233" i="22"/>
  <c r="AQ233" i="22" s="1"/>
  <c r="X233" i="22"/>
  <c r="W233" i="22"/>
  <c r="V233" i="22"/>
  <c r="U233" i="22"/>
  <c r="AM233" i="22" s="1"/>
  <c r="S233" i="22"/>
  <c r="R233" i="22"/>
  <c r="Q233" i="22"/>
  <c r="P233" i="22"/>
  <c r="Z233" i="22" s="1"/>
  <c r="AD233" i="22" s="1"/>
  <c r="O233" i="22"/>
  <c r="J233" i="22"/>
  <c r="T233" i="22" s="1"/>
  <c r="AS232" i="22"/>
  <c r="AO232" i="22"/>
  <c r="AN232" i="22"/>
  <c r="AM232" i="22"/>
  <c r="AK232" i="22"/>
  <c r="AJ232" i="22"/>
  <c r="AI232" i="22"/>
  <c r="AE232" i="22"/>
  <c r="AA232" i="22"/>
  <c r="X232" i="22"/>
  <c r="AP232" i="22" s="1"/>
  <c r="W232" i="22"/>
  <c r="V232" i="22"/>
  <c r="U232" i="22"/>
  <c r="T232" i="22"/>
  <c r="AL232" i="22" s="1"/>
  <c r="S232" i="22"/>
  <c r="R232" i="22"/>
  <c r="Q232" i="22"/>
  <c r="P232" i="22"/>
  <c r="O232" i="22"/>
  <c r="Y232" i="22" s="1"/>
  <c r="J232" i="22"/>
  <c r="AS231" i="22"/>
  <c r="AP231" i="22"/>
  <c r="AM231" i="22"/>
  <c r="AJ231" i="22"/>
  <c r="AI231" i="22"/>
  <c r="AE231" i="22"/>
  <c r="X231" i="22"/>
  <c r="W231" i="22"/>
  <c r="AO231" i="22" s="1"/>
  <c r="V231" i="22"/>
  <c r="AA231" i="22" s="1"/>
  <c r="U231" i="22"/>
  <c r="T231" i="22"/>
  <c r="S231" i="22"/>
  <c r="AK231" i="22" s="1"/>
  <c r="R231" i="22"/>
  <c r="AB231" i="22" s="1"/>
  <c r="AF231" i="22" s="1"/>
  <c r="Q231" i="22"/>
  <c r="P231" i="22"/>
  <c r="Z231" i="22" s="1"/>
  <c r="AD231" i="22" s="1"/>
  <c r="O231" i="22"/>
  <c r="Y231" i="22" s="1"/>
  <c r="AQ231" i="22" s="1"/>
  <c r="J231" i="22"/>
  <c r="AS230" i="22"/>
  <c r="AQ230" i="22"/>
  <c r="AP230" i="22"/>
  <c r="AO230" i="22"/>
  <c r="AM230" i="22"/>
  <c r="AL230" i="22"/>
  <c r="AH230" i="22"/>
  <c r="AG230" i="22"/>
  <c r="AD230" i="22"/>
  <c r="Y230" i="22"/>
  <c r="X230" i="22"/>
  <c r="W230" i="22"/>
  <c r="V230" i="22"/>
  <c r="AN230" i="22" s="1"/>
  <c r="U230" i="22"/>
  <c r="Z230" i="22" s="1"/>
  <c r="S230" i="22"/>
  <c r="AK230" i="22" s="1"/>
  <c r="R230" i="22"/>
  <c r="Q230" i="22"/>
  <c r="P230" i="22"/>
  <c r="O230" i="22"/>
  <c r="J230" i="22"/>
  <c r="T230" i="22" s="1"/>
  <c r="AC230" i="22" s="1"/>
  <c r="AS229" i="22"/>
  <c r="AO229" i="22"/>
  <c r="AN229" i="22"/>
  <c r="AL229" i="22"/>
  <c r="AK229" i="22"/>
  <c r="AB229" i="22"/>
  <c r="AF229" i="22" s="1"/>
  <c r="Y229" i="22"/>
  <c r="AQ229" i="22" s="1"/>
  <c r="X229" i="22"/>
  <c r="AP229" i="22" s="1"/>
  <c r="W229" i="22"/>
  <c r="V229" i="22"/>
  <c r="U229" i="22"/>
  <c r="AM229" i="22" s="1"/>
  <c r="T229" i="22"/>
  <c r="AC229" i="22" s="1"/>
  <c r="AG229" i="22" s="1"/>
  <c r="S229" i="22"/>
  <c r="R229" i="22"/>
  <c r="AJ229" i="22" s="1"/>
  <c r="Q229" i="22"/>
  <c r="P229" i="22"/>
  <c r="AH229" i="22" s="1"/>
  <c r="O229" i="22"/>
  <c r="J229" i="22"/>
  <c r="AS228" i="22"/>
  <c r="AO228" i="22"/>
  <c r="AN228" i="22"/>
  <c r="AJ228" i="22"/>
  <c r="Y228" i="22"/>
  <c r="AQ228" i="22" s="1"/>
  <c r="X228" i="22"/>
  <c r="AP228" i="22" s="1"/>
  <c r="W228" i="22"/>
  <c r="V228" i="22"/>
  <c r="U228" i="22"/>
  <c r="AM228" i="22" s="1"/>
  <c r="T228" i="22"/>
  <c r="AL228" i="22" s="1"/>
  <c r="S228" i="22"/>
  <c r="AB228" i="22" s="1"/>
  <c r="AF228" i="22" s="1"/>
  <c r="R228" i="22"/>
  <c r="Q228" i="22"/>
  <c r="P228" i="22"/>
  <c r="O228" i="22"/>
  <c r="J228" i="22"/>
  <c r="AS227" i="22"/>
  <c r="AP227" i="22"/>
  <c r="AM227" i="22"/>
  <c r="AJ227" i="22"/>
  <c r="AI227" i="22"/>
  <c r="AH227" i="22"/>
  <c r="AB227" i="22"/>
  <c r="AF227" i="22" s="1"/>
  <c r="Z227" i="22"/>
  <c r="AD227" i="22" s="1"/>
  <c r="X227" i="22"/>
  <c r="W227" i="22"/>
  <c r="AO227" i="22" s="1"/>
  <c r="V227" i="22"/>
  <c r="AA227" i="22" s="1"/>
  <c r="AE227" i="22" s="1"/>
  <c r="U227" i="22"/>
  <c r="S227" i="22"/>
  <c r="AK227" i="22" s="1"/>
  <c r="R227" i="22"/>
  <c r="Q227" i="22"/>
  <c r="P227" i="22"/>
  <c r="O227" i="22"/>
  <c r="Y227" i="22" s="1"/>
  <c r="AQ227" i="22" s="1"/>
  <c r="J227" i="22"/>
  <c r="T227" i="22" s="1"/>
  <c r="AS226" i="22"/>
  <c r="AP226" i="22"/>
  <c r="AM226" i="22"/>
  <c r="AK226" i="22"/>
  <c r="AH226" i="22"/>
  <c r="AC226" i="22"/>
  <c r="AG226" i="22" s="1"/>
  <c r="Z226" i="22"/>
  <c r="AD226" i="22" s="1"/>
  <c r="Y226" i="22"/>
  <c r="AQ226" i="22" s="1"/>
  <c r="X226" i="22"/>
  <c r="W226" i="22"/>
  <c r="AO226" i="22" s="1"/>
  <c r="V226" i="22"/>
  <c r="AN226" i="22" s="1"/>
  <c r="U226" i="22"/>
  <c r="S226" i="22"/>
  <c r="R226" i="22"/>
  <c r="Q226" i="22"/>
  <c r="P226" i="22"/>
  <c r="O226" i="22"/>
  <c r="J226" i="22"/>
  <c r="T226" i="22" s="1"/>
  <c r="AL226" i="22" s="1"/>
  <c r="AS225" i="22"/>
  <c r="AO225" i="22"/>
  <c r="AN225" i="22"/>
  <c r="AL225" i="22"/>
  <c r="AK225" i="22"/>
  <c r="AB225" i="22"/>
  <c r="AF225" i="22" s="1"/>
  <c r="Y225" i="22"/>
  <c r="AQ225" i="22" s="1"/>
  <c r="X225" i="22"/>
  <c r="AP225" i="22" s="1"/>
  <c r="W225" i="22"/>
  <c r="V225" i="22"/>
  <c r="U225" i="22"/>
  <c r="AM225" i="22" s="1"/>
  <c r="T225" i="22"/>
  <c r="AC225" i="22" s="1"/>
  <c r="AG225" i="22" s="1"/>
  <c r="S225" i="22"/>
  <c r="R225" i="22"/>
  <c r="AJ225" i="22" s="1"/>
  <c r="Q225" i="22"/>
  <c r="P225" i="22"/>
  <c r="AH225" i="22" s="1"/>
  <c r="O225" i="22"/>
  <c r="J225" i="22"/>
  <c r="AS224" i="22"/>
  <c r="AO224" i="22"/>
  <c r="AN224" i="22"/>
  <c r="AJ224" i="22"/>
  <c r="Y224" i="22"/>
  <c r="AQ224" i="22" s="1"/>
  <c r="X224" i="22"/>
  <c r="AP224" i="22" s="1"/>
  <c r="W224" i="22"/>
  <c r="V224" i="22"/>
  <c r="U224" i="22"/>
  <c r="AM224" i="22" s="1"/>
  <c r="T224" i="22"/>
  <c r="AL224" i="22" s="1"/>
  <c r="S224" i="22"/>
  <c r="AB224" i="22" s="1"/>
  <c r="AF224" i="22" s="1"/>
  <c r="R224" i="22"/>
  <c r="Q224" i="22"/>
  <c r="P224" i="22"/>
  <c r="O224" i="22"/>
  <c r="J224" i="22"/>
  <c r="AS223" i="22"/>
  <c r="AM223" i="22"/>
  <c r="AI223" i="22"/>
  <c r="AH223" i="22"/>
  <c r="Z223" i="22"/>
  <c r="AD223" i="22" s="1"/>
  <c r="Y223" i="22"/>
  <c r="AQ223" i="22" s="1"/>
  <c r="X223" i="22"/>
  <c r="AP223" i="22" s="1"/>
  <c r="W223" i="22"/>
  <c r="AO223" i="22" s="1"/>
  <c r="V223" i="22"/>
  <c r="AN223" i="22" s="1"/>
  <c r="U223" i="22"/>
  <c r="S223" i="22"/>
  <c r="AK223" i="22" s="1"/>
  <c r="R223" i="22"/>
  <c r="AB223" i="22" s="1"/>
  <c r="AF223" i="22" s="1"/>
  <c r="Q223" i="22"/>
  <c r="AA223" i="22" s="1"/>
  <c r="AE223" i="22" s="1"/>
  <c r="P223" i="22"/>
  <c r="O223" i="22"/>
  <c r="J223" i="22"/>
  <c r="T223" i="22" s="1"/>
  <c r="AS222" i="22"/>
  <c r="AK222" i="22"/>
  <c r="AA222" i="22"/>
  <c r="AE222" i="22" s="1"/>
  <c r="Y222" i="22"/>
  <c r="AQ222" i="22" s="1"/>
  <c r="X222" i="22"/>
  <c r="AP222" i="22" s="1"/>
  <c r="W222" i="22"/>
  <c r="AO222" i="22" s="1"/>
  <c r="V222" i="22"/>
  <c r="AN222" i="22" s="1"/>
  <c r="U222" i="22"/>
  <c r="AM222" i="22" s="1"/>
  <c r="S222" i="22"/>
  <c r="R222" i="22"/>
  <c r="Q222" i="22"/>
  <c r="AI222" i="22" s="1"/>
  <c r="P222" i="22"/>
  <c r="Z222" i="22" s="1"/>
  <c r="AD222" i="22" s="1"/>
  <c r="O222" i="22"/>
  <c r="J222" i="22"/>
  <c r="T222" i="22" s="1"/>
  <c r="AL222" i="22" s="1"/>
  <c r="AS221" i="22"/>
  <c r="AK221" i="22"/>
  <c r="AH221" i="22"/>
  <c r="Z221" i="22"/>
  <c r="AD221" i="22" s="1"/>
  <c r="Y221" i="22"/>
  <c r="AQ221" i="22" s="1"/>
  <c r="X221" i="22"/>
  <c r="AP221" i="22" s="1"/>
  <c r="W221" i="22"/>
  <c r="AO221" i="22" s="1"/>
  <c r="V221" i="22"/>
  <c r="AN221" i="22" s="1"/>
  <c r="U221" i="22"/>
  <c r="AM221" i="22" s="1"/>
  <c r="S221" i="22"/>
  <c r="R221" i="22"/>
  <c r="AB221" i="22" s="1"/>
  <c r="AF221" i="22" s="1"/>
  <c r="Q221" i="22"/>
  <c r="P221" i="22"/>
  <c r="O221" i="22"/>
  <c r="J221" i="22"/>
  <c r="T221" i="22" s="1"/>
  <c r="AS220" i="22"/>
  <c r="AN220" i="22"/>
  <c r="AM220" i="22"/>
  <c r="AK220" i="22"/>
  <c r="AJ220" i="22"/>
  <c r="AB220" i="22"/>
  <c r="AF220" i="22" s="1"/>
  <c r="X220" i="22"/>
  <c r="AP220" i="22" s="1"/>
  <c r="W220" i="22"/>
  <c r="AO220" i="22" s="1"/>
  <c r="V220" i="22"/>
  <c r="U220" i="22"/>
  <c r="T220" i="22"/>
  <c r="S220" i="22"/>
  <c r="R220" i="22"/>
  <c r="Q220" i="22"/>
  <c r="AI220" i="22" s="1"/>
  <c r="P220" i="22"/>
  <c r="AH220" i="22" s="1"/>
  <c r="O220" i="22"/>
  <c r="Y220" i="22" s="1"/>
  <c r="AQ220" i="22" s="1"/>
  <c r="J220" i="22"/>
  <c r="AS219" i="22"/>
  <c r="AQ219" i="22"/>
  <c r="AM219" i="22"/>
  <c r="AJ219" i="22"/>
  <c r="AI219" i="22"/>
  <c r="AA219" i="22"/>
  <c r="AE219" i="22" s="1"/>
  <c r="X219" i="22"/>
  <c r="AP219" i="22" s="1"/>
  <c r="W219" i="22"/>
  <c r="AO219" i="22" s="1"/>
  <c r="V219" i="22"/>
  <c r="AN219" i="22" s="1"/>
  <c r="U219" i="22"/>
  <c r="S219" i="22"/>
  <c r="R219" i="22"/>
  <c r="Q219" i="22"/>
  <c r="P219" i="22"/>
  <c r="AH219" i="22" s="1"/>
  <c r="O219" i="22"/>
  <c r="Y219" i="22" s="1"/>
  <c r="J219" i="22"/>
  <c r="T219" i="22" s="1"/>
  <c r="AS218" i="22"/>
  <c r="AP218" i="22"/>
  <c r="AK218" i="22"/>
  <c r="AI218" i="22"/>
  <c r="AH218" i="22"/>
  <c r="Z218" i="22"/>
  <c r="AD218" i="22" s="1"/>
  <c r="X218" i="22"/>
  <c r="W218" i="22"/>
  <c r="AO218" i="22" s="1"/>
  <c r="V218" i="22"/>
  <c r="AN218" i="22" s="1"/>
  <c r="U218" i="22"/>
  <c r="AM218" i="22" s="1"/>
  <c r="S218" i="22"/>
  <c r="R218" i="22"/>
  <c r="Q218" i="22"/>
  <c r="P218" i="22"/>
  <c r="O218" i="22"/>
  <c r="Y218" i="22" s="1"/>
  <c r="AQ218" i="22" s="1"/>
  <c r="J218" i="22"/>
  <c r="T218" i="22" s="1"/>
  <c r="AS217" i="22"/>
  <c r="AP217" i="22"/>
  <c r="AO217" i="22"/>
  <c r="AK217" i="22"/>
  <c r="AJ217" i="22"/>
  <c r="AH217" i="22"/>
  <c r="Y217" i="22"/>
  <c r="X217" i="22"/>
  <c r="W217" i="22"/>
  <c r="AB217" i="22" s="1"/>
  <c r="AF217" i="22" s="1"/>
  <c r="V217" i="22"/>
  <c r="AN217" i="22" s="1"/>
  <c r="U217" i="22"/>
  <c r="AM217" i="22" s="1"/>
  <c r="T217" i="22"/>
  <c r="AL217" i="22" s="1"/>
  <c r="S217" i="22"/>
  <c r="R217" i="22"/>
  <c r="Q217" i="22"/>
  <c r="P217" i="22"/>
  <c r="O217" i="22"/>
  <c r="J217" i="22"/>
  <c r="AS216" i="22"/>
  <c r="AQ216" i="22"/>
  <c r="AO216" i="22"/>
  <c r="AN216" i="22"/>
  <c r="AJ216" i="22"/>
  <c r="AI216" i="22"/>
  <c r="Y216" i="22"/>
  <c r="X216" i="22"/>
  <c r="W216" i="22"/>
  <c r="V216" i="22"/>
  <c r="AA216" i="22" s="1"/>
  <c r="AE216" i="22" s="1"/>
  <c r="U216" i="22"/>
  <c r="AM216" i="22" s="1"/>
  <c r="T216" i="22"/>
  <c r="AL216" i="22" s="1"/>
  <c r="S216" i="22"/>
  <c r="AK216" i="22" s="1"/>
  <c r="R216" i="22"/>
  <c r="Q216" i="22"/>
  <c r="P216" i="22"/>
  <c r="O216" i="22"/>
  <c r="J216" i="22"/>
  <c r="AS215" i="22"/>
  <c r="AP215" i="22"/>
  <c r="AN215" i="22"/>
  <c r="AM215" i="22"/>
  <c r="AI215" i="22"/>
  <c r="AH215" i="22"/>
  <c r="AE215" i="22"/>
  <c r="AA215" i="22"/>
  <c r="X215" i="22"/>
  <c r="W215" i="22"/>
  <c r="AO215" i="22" s="1"/>
  <c r="V215" i="22"/>
  <c r="U215" i="22"/>
  <c r="Z215" i="22" s="1"/>
  <c r="AD215" i="22" s="1"/>
  <c r="T215" i="22"/>
  <c r="AL215" i="22" s="1"/>
  <c r="S215" i="22"/>
  <c r="AK215" i="22" s="1"/>
  <c r="R215" i="22"/>
  <c r="AJ215" i="22" s="1"/>
  <c r="Q215" i="22"/>
  <c r="P215" i="22"/>
  <c r="O215" i="22"/>
  <c r="Y215" i="22" s="1"/>
  <c r="J215" i="22"/>
  <c r="AS214" i="22"/>
  <c r="AP214" i="22"/>
  <c r="AO214" i="22"/>
  <c r="AM214" i="22"/>
  <c r="AH214" i="22"/>
  <c r="AD214" i="22"/>
  <c r="Z214" i="22"/>
  <c r="Y214" i="22"/>
  <c r="AQ214" i="22" s="1"/>
  <c r="X214" i="22"/>
  <c r="W214" i="22"/>
  <c r="V214" i="22"/>
  <c r="AN214" i="22" s="1"/>
  <c r="U214" i="22"/>
  <c r="S214" i="22"/>
  <c r="AK214" i="22" s="1"/>
  <c r="R214" i="22"/>
  <c r="AJ214" i="22" s="1"/>
  <c r="Q214" i="22"/>
  <c r="AI214" i="22" s="1"/>
  <c r="P214" i="22"/>
  <c r="O214" i="22"/>
  <c r="J214" i="22"/>
  <c r="T214" i="22" s="1"/>
  <c r="AC214" i="22" s="1"/>
  <c r="AG214" i="22" s="1"/>
  <c r="AS213" i="22"/>
  <c r="AO213" i="22"/>
  <c r="AN213" i="22"/>
  <c r="AK213" i="22"/>
  <c r="Y213" i="22"/>
  <c r="AQ213" i="22" s="1"/>
  <c r="X213" i="22"/>
  <c r="AP213" i="22" s="1"/>
  <c r="W213" i="22"/>
  <c r="V213" i="22"/>
  <c r="U213" i="22"/>
  <c r="AM213" i="22" s="1"/>
  <c r="S213" i="22"/>
  <c r="R213" i="22"/>
  <c r="AJ213" i="22" s="1"/>
  <c r="Q213" i="22"/>
  <c r="AI213" i="22" s="1"/>
  <c r="P213" i="22"/>
  <c r="AH213" i="22" s="1"/>
  <c r="O213" i="22"/>
  <c r="J213" i="22"/>
  <c r="T213" i="22" s="1"/>
  <c r="AL213" i="22" s="1"/>
  <c r="AS212" i="22"/>
  <c r="AN212" i="22"/>
  <c r="AM212" i="22"/>
  <c r="AK212" i="22"/>
  <c r="AJ212" i="22"/>
  <c r="AB212" i="22"/>
  <c r="AF212" i="22" s="1"/>
  <c r="X212" i="22"/>
  <c r="AP212" i="22" s="1"/>
  <c r="W212" i="22"/>
  <c r="AO212" i="22" s="1"/>
  <c r="V212" i="22"/>
  <c r="U212" i="22"/>
  <c r="T212" i="22"/>
  <c r="S212" i="22"/>
  <c r="R212" i="22"/>
  <c r="Q212" i="22"/>
  <c r="AI212" i="22" s="1"/>
  <c r="P212" i="22"/>
  <c r="AH212" i="22" s="1"/>
  <c r="O212" i="22"/>
  <c r="Y212" i="22" s="1"/>
  <c r="AQ212" i="22" s="1"/>
  <c r="J212" i="22"/>
  <c r="AS211" i="22"/>
  <c r="AM211" i="22"/>
  <c r="AJ211" i="22"/>
  <c r="AI211" i="22"/>
  <c r="AA211" i="22"/>
  <c r="AE211" i="22" s="1"/>
  <c r="X211" i="22"/>
  <c r="AP211" i="22" s="1"/>
  <c r="W211" i="22"/>
  <c r="AO211" i="22" s="1"/>
  <c r="V211" i="22"/>
  <c r="AN211" i="22" s="1"/>
  <c r="U211" i="22"/>
  <c r="S211" i="22"/>
  <c r="R211" i="22"/>
  <c r="Q211" i="22"/>
  <c r="P211" i="22"/>
  <c r="AH211" i="22" s="1"/>
  <c r="O211" i="22"/>
  <c r="Y211" i="22" s="1"/>
  <c r="AQ211" i="22" s="1"/>
  <c r="J211" i="22"/>
  <c r="T211" i="22" s="1"/>
  <c r="AS210" i="22"/>
  <c r="AP210" i="22"/>
  <c r="AK210" i="22"/>
  <c r="AI210" i="22"/>
  <c r="AH210" i="22"/>
  <c r="Z210" i="22"/>
  <c r="AD210" i="22" s="1"/>
  <c r="X210" i="22"/>
  <c r="W210" i="22"/>
  <c r="AO210" i="22" s="1"/>
  <c r="V210" i="22"/>
  <c r="U210" i="22"/>
  <c r="AM210" i="22" s="1"/>
  <c r="S210" i="22"/>
  <c r="R210" i="22"/>
  <c r="Q210" i="22"/>
  <c r="P210" i="22"/>
  <c r="O210" i="22"/>
  <c r="Y210" i="22" s="1"/>
  <c r="AQ210" i="22" s="1"/>
  <c r="J210" i="22"/>
  <c r="T210" i="22" s="1"/>
  <c r="AL210" i="22" s="1"/>
  <c r="AS209" i="22"/>
  <c r="AP209" i="22"/>
  <c r="AO209" i="22"/>
  <c r="AK209" i="22"/>
  <c r="AJ209" i="22"/>
  <c r="AH209" i="22"/>
  <c r="AG209" i="22"/>
  <c r="AC209" i="22"/>
  <c r="Y209" i="22"/>
  <c r="AQ209" i="22" s="1"/>
  <c r="X209" i="22"/>
  <c r="W209" i="22"/>
  <c r="AB209" i="22" s="1"/>
  <c r="AF209" i="22" s="1"/>
  <c r="V209" i="22"/>
  <c r="AN209" i="22" s="1"/>
  <c r="U209" i="22"/>
  <c r="T209" i="22"/>
  <c r="AL209" i="22" s="1"/>
  <c r="S209" i="22"/>
  <c r="R209" i="22"/>
  <c r="Q209" i="22"/>
  <c r="P209" i="22"/>
  <c r="O209" i="22"/>
  <c r="J209" i="22"/>
  <c r="AS208" i="22"/>
  <c r="AQ208" i="22"/>
  <c r="AO208" i="22"/>
  <c r="AN208" i="22"/>
  <c r="AJ208" i="22"/>
  <c r="AI208" i="22"/>
  <c r="Y208" i="22"/>
  <c r="X208" i="22"/>
  <c r="AP208" i="22" s="1"/>
  <c r="W208" i="22"/>
  <c r="V208" i="22"/>
  <c r="AA208" i="22" s="1"/>
  <c r="AE208" i="22" s="1"/>
  <c r="U208" i="22"/>
  <c r="AM208" i="22" s="1"/>
  <c r="T208" i="22"/>
  <c r="S208" i="22"/>
  <c r="AK208" i="22" s="1"/>
  <c r="R208" i="22"/>
  <c r="Q208" i="22"/>
  <c r="P208" i="22"/>
  <c r="O208" i="22"/>
  <c r="J208" i="22"/>
  <c r="AS207" i="22"/>
  <c r="AP207" i="22"/>
  <c r="AN207" i="22"/>
  <c r="AM207" i="22"/>
  <c r="AK207" i="22"/>
  <c r="AI207" i="22"/>
  <c r="AH207" i="22"/>
  <c r="AA207" i="22"/>
  <c r="AE207" i="22" s="1"/>
  <c r="X207" i="22"/>
  <c r="W207" i="22"/>
  <c r="AO207" i="22" s="1"/>
  <c r="V207" i="22"/>
  <c r="U207" i="22"/>
  <c r="Z207" i="22" s="1"/>
  <c r="AD207" i="22" s="1"/>
  <c r="T207" i="22"/>
  <c r="AL207" i="22" s="1"/>
  <c r="S207" i="22"/>
  <c r="R207" i="22"/>
  <c r="AJ207" i="22" s="1"/>
  <c r="Q207" i="22"/>
  <c r="P207" i="22"/>
  <c r="O207" i="22"/>
  <c r="Y207" i="22" s="1"/>
  <c r="AQ207" i="22" s="1"/>
  <c r="J207" i="22"/>
  <c r="AS206" i="22"/>
  <c r="AP206" i="22"/>
  <c r="AO206" i="22"/>
  <c r="AM206" i="22"/>
  <c r="AL206" i="22"/>
  <c r="AH206" i="22"/>
  <c r="AD206" i="22"/>
  <c r="AB206" i="22"/>
  <c r="AF206" i="22" s="1"/>
  <c r="Z206" i="22"/>
  <c r="Y206" i="22"/>
  <c r="AQ206" i="22" s="1"/>
  <c r="X206" i="22"/>
  <c r="W206" i="22"/>
  <c r="V206" i="22"/>
  <c r="AN206" i="22" s="1"/>
  <c r="U206" i="22"/>
  <c r="T206" i="22"/>
  <c r="AC206" i="22" s="1"/>
  <c r="AG206" i="22" s="1"/>
  <c r="S206" i="22"/>
  <c r="AK206" i="22" s="1"/>
  <c r="R206" i="22"/>
  <c r="AJ206" i="22" s="1"/>
  <c r="Q206" i="22"/>
  <c r="AI206" i="22" s="1"/>
  <c r="P206" i="22"/>
  <c r="O206" i="22"/>
  <c r="J206" i="22"/>
  <c r="AS205" i="22"/>
  <c r="AO205" i="22"/>
  <c r="AN205" i="22"/>
  <c r="Y205" i="22"/>
  <c r="AQ205" i="22" s="1"/>
  <c r="X205" i="22"/>
  <c r="AP205" i="22" s="1"/>
  <c r="W205" i="22"/>
  <c r="V205" i="22"/>
  <c r="U205" i="22"/>
  <c r="AM205" i="22" s="1"/>
  <c r="S205" i="22"/>
  <c r="AK205" i="22" s="1"/>
  <c r="R205" i="22"/>
  <c r="AJ205" i="22" s="1"/>
  <c r="Q205" i="22"/>
  <c r="AA205" i="22" s="1"/>
  <c r="AE205" i="22" s="1"/>
  <c r="P205" i="22"/>
  <c r="AH205" i="22" s="1"/>
  <c r="O205" i="22"/>
  <c r="J205" i="22"/>
  <c r="T205" i="22" s="1"/>
  <c r="AL205" i="22" s="1"/>
  <c r="AS204" i="22"/>
  <c r="AN204" i="22"/>
  <c r="AM204" i="22"/>
  <c r="AK204" i="22"/>
  <c r="AJ204" i="22"/>
  <c r="X204" i="22"/>
  <c r="AP204" i="22" s="1"/>
  <c r="W204" i="22"/>
  <c r="AO204" i="22" s="1"/>
  <c r="V204" i="22"/>
  <c r="U204" i="22"/>
  <c r="T204" i="22"/>
  <c r="S204" i="22"/>
  <c r="R204" i="22"/>
  <c r="AB204" i="22" s="1"/>
  <c r="AF204" i="22" s="1"/>
  <c r="Q204" i="22"/>
  <c r="AI204" i="22" s="1"/>
  <c r="P204" i="22"/>
  <c r="AH204" i="22" s="1"/>
  <c r="O204" i="22"/>
  <c r="Y204" i="22" s="1"/>
  <c r="AQ204" i="22" s="1"/>
  <c r="J204" i="22"/>
  <c r="AS203" i="22"/>
  <c r="AO203" i="22"/>
  <c r="AM203" i="22"/>
  <c r="AJ203" i="22"/>
  <c r="AI203" i="22"/>
  <c r="Y203" i="22"/>
  <c r="AQ203" i="22" s="1"/>
  <c r="X203" i="22"/>
  <c r="AP203" i="22" s="1"/>
  <c r="W203" i="22"/>
  <c r="V203" i="22"/>
  <c r="AN203" i="22" s="1"/>
  <c r="U203" i="22"/>
  <c r="S203" i="22"/>
  <c r="R203" i="22"/>
  <c r="Q203" i="22"/>
  <c r="AA203" i="22" s="1"/>
  <c r="AE203" i="22" s="1"/>
  <c r="P203" i="22"/>
  <c r="AH203" i="22" s="1"/>
  <c r="O203" i="22"/>
  <c r="J203" i="22"/>
  <c r="T203" i="22" s="1"/>
  <c r="AS202" i="22"/>
  <c r="AP202" i="22"/>
  <c r="AK202" i="22"/>
  <c r="AI202" i="22"/>
  <c r="X202" i="22"/>
  <c r="W202" i="22"/>
  <c r="AO202" i="22" s="1"/>
  <c r="V202" i="22"/>
  <c r="AA202" i="22" s="1"/>
  <c r="AE202" i="22" s="1"/>
  <c r="U202" i="22"/>
  <c r="AM202" i="22" s="1"/>
  <c r="S202" i="22"/>
  <c r="R202" i="22"/>
  <c r="Q202" i="22"/>
  <c r="P202" i="22"/>
  <c r="AH202" i="22" s="1"/>
  <c r="O202" i="22"/>
  <c r="Y202" i="22" s="1"/>
  <c r="AQ202" i="22" s="1"/>
  <c r="J202" i="22"/>
  <c r="T202" i="22" s="1"/>
  <c r="AC202" i="22" s="1"/>
  <c r="AG202" i="22" s="1"/>
  <c r="AS201" i="22"/>
  <c r="AP201" i="22"/>
  <c r="AO201" i="22"/>
  <c r="AK201" i="22"/>
  <c r="AJ201" i="22"/>
  <c r="AH201" i="22"/>
  <c r="AG201" i="22"/>
  <c r="AC201" i="22"/>
  <c r="Y201" i="22"/>
  <c r="AQ201" i="22" s="1"/>
  <c r="X201" i="22"/>
  <c r="W201" i="22"/>
  <c r="AB201" i="22" s="1"/>
  <c r="AF201" i="22" s="1"/>
  <c r="V201" i="22"/>
  <c r="AN201" i="22" s="1"/>
  <c r="U201" i="22"/>
  <c r="Z201" i="22" s="1"/>
  <c r="AD201" i="22" s="1"/>
  <c r="T201" i="22"/>
  <c r="AL201" i="22" s="1"/>
  <c r="S201" i="22"/>
  <c r="R201" i="22"/>
  <c r="Q201" i="22"/>
  <c r="P201" i="22"/>
  <c r="O201" i="22"/>
  <c r="J201" i="22"/>
  <c r="AS200" i="22"/>
  <c r="AQ200" i="22"/>
  <c r="AO200" i="22"/>
  <c r="AN200" i="22"/>
  <c r="AJ200" i="22"/>
  <c r="AI200" i="22"/>
  <c r="AF200" i="22"/>
  <c r="AB200" i="22"/>
  <c r="Y200" i="22"/>
  <c r="X200" i="22"/>
  <c r="AP200" i="22" s="1"/>
  <c r="W200" i="22"/>
  <c r="V200" i="22"/>
  <c r="AA200" i="22" s="1"/>
  <c r="AE200" i="22" s="1"/>
  <c r="U200" i="22"/>
  <c r="AM200" i="22" s="1"/>
  <c r="T200" i="22"/>
  <c r="AC200" i="22" s="1"/>
  <c r="AG200" i="22" s="1"/>
  <c r="S200" i="22"/>
  <c r="AK200" i="22" s="1"/>
  <c r="R200" i="22"/>
  <c r="Q200" i="22"/>
  <c r="P200" i="22"/>
  <c r="O200" i="22"/>
  <c r="J200" i="22"/>
  <c r="AS199" i="22"/>
  <c r="AQ199" i="22"/>
  <c r="AP199" i="22"/>
  <c r="AN199" i="22"/>
  <c r="AM199" i="22"/>
  <c r="AK199" i="22"/>
  <c r="AI199" i="22"/>
  <c r="AH199" i="22"/>
  <c r="AC199" i="22"/>
  <c r="AG199" i="22" s="1"/>
  <c r="AA199" i="22"/>
  <c r="AE199" i="22" s="1"/>
  <c r="X199" i="22"/>
  <c r="W199" i="22"/>
  <c r="AO199" i="22" s="1"/>
  <c r="V199" i="22"/>
  <c r="U199" i="22"/>
  <c r="Z199" i="22" s="1"/>
  <c r="AD199" i="22" s="1"/>
  <c r="T199" i="22"/>
  <c r="AL199" i="22" s="1"/>
  <c r="S199" i="22"/>
  <c r="R199" i="22"/>
  <c r="AJ199" i="22" s="1"/>
  <c r="Q199" i="22"/>
  <c r="P199" i="22"/>
  <c r="O199" i="22"/>
  <c r="Y199" i="22" s="1"/>
  <c r="J199" i="22"/>
  <c r="AS198" i="22"/>
  <c r="AP198" i="22"/>
  <c r="AO198" i="22"/>
  <c r="AM198" i="22"/>
  <c r="AJ198" i="22"/>
  <c r="AH198" i="22"/>
  <c r="AD198" i="22"/>
  <c r="AB198" i="22"/>
  <c r="AF198" i="22" s="1"/>
  <c r="Z198" i="22"/>
  <c r="Y198" i="22"/>
  <c r="AQ198" i="22" s="1"/>
  <c r="X198" i="22"/>
  <c r="W198" i="22"/>
  <c r="V198" i="22"/>
  <c r="AN198" i="22" s="1"/>
  <c r="U198" i="22"/>
  <c r="S198" i="22"/>
  <c r="AK198" i="22" s="1"/>
  <c r="R198" i="22"/>
  <c r="Q198" i="22"/>
  <c r="AI198" i="22" s="1"/>
  <c r="P198" i="22"/>
  <c r="O198" i="22"/>
  <c r="J198" i="22"/>
  <c r="T198" i="22" s="1"/>
  <c r="AS197" i="22"/>
  <c r="AO197" i="22"/>
  <c r="AN197" i="22"/>
  <c r="AI197" i="22"/>
  <c r="AC197" i="22"/>
  <c r="AG197" i="22" s="1"/>
  <c r="Y197" i="22"/>
  <c r="AQ197" i="22" s="1"/>
  <c r="X197" i="22"/>
  <c r="AP197" i="22" s="1"/>
  <c r="W197" i="22"/>
  <c r="V197" i="22"/>
  <c r="U197" i="22"/>
  <c r="AM197" i="22" s="1"/>
  <c r="S197" i="22"/>
  <c r="AK197" i="22" s="1"/>
  <c r="R197" i="22"/>
  <c r="AJ197" i="22" s="1"/>
  <c r="Q197" i="22"/>
  <c r="AA197" i="22" s="1"/>
  <c r="AE197" i="22" s="1"/>
  <c r="P197" i="22"/>
  <c r="AH197" i="22" s="1"/>
  <c r="O197" i="22"/>
  <c r="J197" i="22"/>
  <c r="T197" i="22" s="1"/>
  <c r="AL197" i="22" s="1"/>
  <c r="AS196" i="22"/>
  <c r="AP196" i="22"/>
  <c r="AN196" i="22"/>
  <c r="AM196" i="22"/>
  <c r="AK196" i="22"/>
  <c r="AJ196" i="22"/>
  <c r="Z196" i="22"/>
  <c r="AD196" i="22" s="1"/>
  <c r="X196" i="22"/>
  <c r="W196" i="22"/>
  <c r="AO196" i="22" s="1"/>
  <c r="V196" i="22"/>
  <c r="U196" i="22"/>
  <c r="T196" i="22"/>
  <c r="S196" i="22"/>
  <c r="R196" i="22"/>
  <c r="AB196" i="22" s="1"/>
  <c r="AF196" i="22" s="1"/>
  <c r="Q196" i="22"/>
  <c r="AI196" i="22" s="1"/>
  <c r="P196" i="22"/>
  <c r="AH196" i="22" s="1"/>
  <c r="O196" i="22"/>
  <c r="Y196" i="22" s="1"/>
  <c r="AQ196" i="22" s="1"/>
  <c r="J196" i="22"/>
  <c r="AS195" i="22"/>
  <c r="AO195" i="22"/>
  <c r="AM195" i="22"/>
  <c r="AJ195" i="22"/>
  <c r="Y195" i="22"/>
  <c r="AQ195" i="22" s="1"/>
  <c r="X195" i="22"/>
  <c r="AP195" i="22" s="1"/>
  <c r="W195" i="22"/>
  <c r="V195" i="22"/>
  <c r="AN195" i="22" s="1"/>
  <c r="U195" i="22"/>
  <c r="S195" i="22"/>
  <c r="R195" i="22"/>
  <c r="Q195" i="22"/>
  <c r="AI195" i="22" s="1"/>
  <c r="P195" i="22"/>
  <c r="AH195" i="22" s="1"/>
  <c r="O195" i="22"/>
  <c r="J195" i="22"/>
  <c r="T195" i="22" s="1"/>
  <c r="AS194" i="22"/>
  <c r="AN194" i="22"/>
  <c r="AL194" i="22"/>
  <c r="AK194" i="22"/>
  <c r="AI194" i="22"/>
  <c r="X194" i="22"/>
  <c r="AP194" i="22" s="1"/>
  <c r="W194" i="22"/>
  <c r="AO194" i="22" s="1"/>
  <c r="V194" i="22"/>
  <c r="AA194" i="22" s="1"/>
  <c r="AE194" i="22" s="1"/>
  <c r="U194" i="22"/>
  <c r="AM194" i="22" s="1"/>
  <c r="S194" i="22"/>
  <c r="R194" i="22"/>
  <c r="Q194" i="22"/>
  <c r="P194" i="22"/>
  <c r="Z194" i="22" s="1"/>
  <c r="AD194" i="22" s="1"/>
  <c r="O194" i="22"/>
  <c r="Y194" i="22" s="1"/>
  <c r="AQ194" i="22" s="1"/>
  <c r="J194" i="22"/>
  <c r="T194" i="22" s="1"/>
  <c r="AC194" i="22" s="1"/>
  <c r="AG194" i="22" s="1"/>
  <c r="AS193" i="22"/>
  <c r="AP193" i="22"/>
  <c r="AM193" i="22"/>
  <c r="AK193" i="22"/>
  <c r="AJ193" i="22"/>
  <c r="AH193" i="22"/>
  <c r="Y193" i="22"/>
  <c r="AQ193" i="22" s="1"/>
  <c r="X193" i="22"/>
  <c r="W193" i="22"/>
  <c r="AO193" i="22" s="1"/>
  <c r="V193" i="22"/>
  <c r="AN193" i="22" s="1"/>
  <c r="U193" i="22"/>
  <c r="Z193" i="22" s="1"/>
  <c r="AD193" i="22" s="1"/>
  <c r="T193" i="22"/>
  <c r="AL193" i="22" s="1"/>
  <c r="S193" i="22"/>
  <c r="R193" i="22"/>
  <c r="Q193" i="22"/>
  <c r="P193" i="22"/>
  <c r="O193" i="22"/>
  <c r="J193" i="22"/>
  <c r="AS192" i="22"/>
  <c r="AQ192" i="22"/>
  <c r="AO192" i="22"/>
  <c r="AJ192" i="22"/>
  <c r="AI192" i="22"/>
  <c r="Y192" i="22"/>
  <c r="X192" i="22"/>
  <c r="AP192" i="22" s="1"/>
  <c r="W192" i="22"/>
  <c r="V192" i="22"/>
  <c r="AA192" i="22" s="1"/>
  <c r="AE192" i="22" s="1"/>
  <c r="U192" i="22"/>
  <c r="AM192" i="22" s="1"/>
  <c r="S192" i="22"/>
  <c r="AK192" i="22" s="1"/>
  <c r="R192" i="22"/>
  <c r="Q192" i="22"/>
  <c r="P192" i="22"/>
  <c r="O192" i="22"/>
  <c r="J192" i="22"/>
  <c r="T192" i="22" s="1"/>
  <c r="AS191" i="22"/>
  <c r="AP191" i="22"/>
  <c r="AN191" i="22"/>
  <c r="AK191" i="22"/>
  <c r="AI191" i="22"/>
  <c r="AH191" i="22"/>
  <c r="AE191" i="22"/>
  <c r="AA191" i="22"/>
  <c r="X191" i="22"/>
  <c r="W191" i="22"/>
  <c r="AO191" i="22" s="1"/>
  <c r="V191" i="22"/>
  <c r="U191" i="22"/>
  <c r="Z191" i="22" s="1"/>
  <c r="AD191" i="22" s="1"/>
  <c r="T191" i="22"/>
  <c r="AL191" i="22" s="1"/>
  <c r="S191" i="22"/>
  <c r="R191" i="22"/>
  <c r="Q191" i="22"/>
  <c r="P191" i="22"/>
  <c r="O191" i="22"/>
  <c r="Y191" i="22" s="1"/>
  <c r="AQ191" i="22" s="1"/>
  <c r="J191" i="22"/>
  <c r="AS190" i="22"/>
  <c r="AP190" i="22"/>
  <c r="AO190" i="22"/>
  <c r="AM190" i="22"/>
  <c r="AH190" i="22"/>
  <c r="AD190" i="22"/>
  <c r="AB190" i="22"/>
  <c r="AF190" i="22" s="1"/>
  <c r="Z190" i="22"/>
  <c r="Y190" i="22"/>
  <c r="AQ190" i="22" s="1"/>
  <c r="X190" i="22"/>
  <c r="W190" i="22"/>
  <c r="V190" i="22"/>
  <c r="AN190" i="22" s="1"/>
  <c r="U190" i="22"/>
  <c r="S190" i="22"/>
  <c r="AK190" i="22" s="1"/>
  <c r="R190" i="22"/>
  <c r="AJ190" i="22" s="1"/>
  <c r="Q190" i="22"/>
  <c r="P190" i="22"/>
  <c r="O190" i="22"/>
  <c r="J190" i="22"/>
  <c r="T190" i="22" s="1"/>
  <c r="AS189" i="22"/>
  <c r="AO189" i="22"/>
  <c r="AN189" i="22"/>
  <c r="Y189" i="22"/>
  <c r="AQ189" i="22" s="1"/>
  <c r="X189" i="22"/>
  <c r="AP189" i="22" s="1"/>
  <c r="W189" i="22"/>
  <c r="V189" i="22"/>
  <c r="U189" i="22"/>
  <c r="AM189" i="22" s="1"/>
  <c r="S189" i="22"/>
  <c r="AK189" i="22" s="1"/>
  <c r="R189" i="22"/>
  <c r="AJ189" i="22" s="1"/>
  <c r="Q189" i="22"/>
  <c r="AA189" i="22" s="1"/>
  <c r="AE189" i="22" s="1"/>
  <c r="P189" i="22"/>
  <c r="O189" i="22"/>
  <c r="J189" i="22"/>
  <c r="T189" i="22" s="1"/>
  <c r="AL189" i="22" s="1"/>
  <c r="AS188" i="22"/>
  <c r="AN188" i="22"/>
  <c r="AK188" i="22"/>
  <c r="X188" i="22"/>
  <c r="AP188" i="22" s="1"/>
  <c r="W188" i="22"/>
  <c r="AO188" i="22" s="1"/>
  <c r="V188" i="22"/>
  <c r="U188" i="22"/>
  <c r="AM188" i="22" s="1"/>
  <c r="T188" i="22"/>
  <c r="AL188" i="22" s="1"/>
  <c r="S188" i="22"/>
  <c r="R188" i="22"/>
  <c r="AJ188" i="22" s="1"/>
  <c r="Q188" i="22"/>
  <c r="AI188" i="22" s="1"/>
  <c r="P188" i="22"/>
  <c r="Z188" i="22" s="1"/>
  <c r="AD188" i="22" s="1"/>
  <c r="O188" i="22"/>
  <c r="Y188" i="22" s="1"/>
  <c r="AQ188" i="22" s="1"/>
  <c r="J188" i="22"/>
  <c r="AS187" i="22"/>
  <c r="AM187" i="22"/>
  <c r="AJ187" i="22"/>
  <c r="AI187" i="22"/>
  <c r="AA187" i="22"/>
  <c r="AE187" i="22" s="1"/>
  <c r="X187" i="22"/>
  <c r="AP187" i="22" s="1"/>
  <c r="W187" i="22"/>
  <c r="AO187" i="22" s="1"/>
  <c r="V187" i="22"/>
  <c r="AN187" i="22" s="1"/>
  <c r="U187" i="22"/>
  <c r="S187" i="22"/>
  <c r="AK187" i="22" s="1"/>
  <c r="R187" i="22"/>
  <c r="Q187" i="22"/>
  <c r="P187" i="22"/>
  <c r="AH187" i="22" s="1"/>
  <c r="O187" i="22"/>
  <c r="Y187" i="22" s="1"/>
  <c r="AQ187" i="22" s="1"/>
  <c r="J187" i="22"/>
  <c r="T187" i="22" s="1"/>
  <c r="AS186" i="22"/>
  <c r="AN186" i="22"/>
  <c r="AK186" i="22"/>
  <c r="AI186" i="22"/>
  <c r="AH186" i="22"/>
  <c r="AA186" i="22"/>
  <c r="AE186" i="22" s="1"/>
  <c r="X186" i="22"/>
  <c r="AP186" i="22" s="1"/>
  <c r="W186" i="22"/>
  <c r="AO186" i="22" s="1"/>
  <c r="V186" i="22"/>
  <c r="U186" i="22"/>
  <c r="AM186" i="22" s="1"/>
  <c r="S186" i="22"/>
  <c r="R186" i="22"/>
  <c r="Q186" i="22"/>
  <c r="P186" i="22"/>
  <c r="Z186" i="22" s="1"/>
  <c r="AD186" i="22" s="1"/>
  <c r="O186" i="22"/>
  <c r="Y186" i="22" s="1"/>
  <c r="AQ186" i="22" s="1"/>
  <c r="J186" i="22"/>
  <c r="T186" i="22" s="1"/>
  <c r="AL186" i="22" s="1"/>
  <c r="AS185" i="22"/>
  <c r="AP185" i="22"/>
  <c r="AK185" i="22"/>
  <c r="AJ185" i="22"/>
  <c r="AH185" i="22"/>
  <c r="Y185" i="22"/>
  <c r="AQ185" i="22" s="1"/>
  <c r="X185" i="22"/>
  <c r="W185" i="22"/>
  <c r="AO185" i="22" s="1"/>
  <c r="V185" i="22"/>
  <c r="AN185" i="22" s="1"/>
  <c r="U185" i="22"/>
  <c r="AM185" i="22" s="1"/>
  <c r="T185" i="22"/>
  <c r="AL185" i="22" s="1"/>
  <c r="S185" i="22"/>
  <c r="R185" i="22"/>
  <c r="Q185" i="22"/>
  <c r="P185" i="22"/>
  <c r="O185" i="22"/>
  <c r="J185" i="22"/>
  <c r="AS184" i="22"/>
  <c r="AO184" i="22"/>
  <c r="AN184" i="22"/>
  <c r="AB184" i="22"/>
  <c r="AF184" i="22" s="1"/>
  <c r="Z184" i="22"/>
  <c r="AD184" i="22" s="1"/>
  <c r="Y184" i="22"/>
  <c r="AQ184" i="22" s="1"/>
  <c r="X184" i="22"/>
  <c r="AP184" i="22" s="1"/>
  <c r="W184" i="22"/>
  <c r="V184" i="22"/>
  <c r="U184" i="22"/>
  <c r="AM184" i="22" s="1"/>
  <c r="T184" i="22"/>
  <c r="AC184" i="22" s="1"/>
  <c r="AG184" i="22" s="1"/>
  <c r="S184" i="22"/>
  <c r="AK184" i="22" s="1"/>
  <c r="R184" i="22"/>
  <c r="AJ184" i="22" s="1"/>
  <c r="Q184" i="22"/>
  <c r="AA184" i="22" s="1"/>
  <c r="AE184" i="22" s="1"/>
  <c r="P184" i="22"/>
  <c r="AH184" i="22" s="1"/>
  <c r="O184" i="22"/>
  <c r="J184" i="22"/>
  <c r="AS183" i="22"/>
  <c r="AN183" i="22"/>
  <c r="AK183" i="22"/>
  <c r="AJ183" i="22"/>
  <c r="AH183" i="22"/>
  <c r="Y183" i="22"/>
  <c r="AC183" i="22" s="1"/>
  <c r="AG183" i="22" s="1"/>
  <c r="X183" i="22"/>
  <c r="AP183" i="22" s="1"/>
  <c r="W183" i="22"/>
  <c r="AO183" i="22" s="1"/>
  <c r="V183" i="22"/>
  <c r="U183" i="22"/>
  <c r="AM183" i="22" s="1"/>
  <c r="T183" i="22"/>
  <c r="AL183" i="22" s="1"/>
  <c r="S183" i="22"/>
  <c r="R183" i="22"/>
  <c r="Q183" i="22"/>
  <c r="AA183" i="22" s="1"/>
  <c r="AE183" i="22" s="1"/>
  <c r="P183" i="22"/>
  <c r="Z183" i="22" s="1"/>
  <c r="AD183" i="22" s="1"/>
  <c r="O183" i="22"/>
  <c r="J183" i="22"/>
  <c r="AS182" i="22"/>
  <c r="AM182" i="22"/>
  <c r="AJ182" i="22"/>
  <c r="AI182" i="22"/>
  <c r="AH182" i="22"/>
  <c r="Z182" i="22"/>
  <c r="AD182" i="22" s="1"/>
  <c r="Y182" i="22"/>
  <c r="AQ182" i="22" s="1"/>
  <c r="X182" i="22"/>
  <c r="AP182" i="22" s="1"/>
  <c r="W182" i="22"/>
  <c r="AO182" i="22" s="1"/>
  <c r="V182" i="22"/>
  <c r="AA182" i="22" s="1"/>
  <c r="AE182" i="22" s="1"/>
  <c r="U182" i="22"/>
  <c r="S182" i="22"/>
  <c r="AK182" i="22" s="1"/>
  <c r="R182" i="22"/>
  <c r="Q182" i="22"/>
  <c r="P182" i="22"/>
  <c r="O182" i="22"/>
  <c r="J182" i="22"/>
  <c r="T182" i="22" s="1"/>
  <c r="AS181" i="22"/>
  <c r="AK181" i="22"/>
  <c r="AA181" i="22"/>
  <c r="AE181" i="22" s="1"/>
  <c r="X181" i="22"/>
  <c r="AP181" i="22" s="1"/>
  <c r="W181" i="22"/>
  <c r="AO181" i="22" s="1"/>
  <c r="V181" i="22"/>
  <c r="AN181" i="22" s="1"/>
  <c r="U181" i="22"/>
  <c r="AM181" i="22" s="1"/>
  <c r="S181" i="22"/>
  <c r="R181" i="22"/>
  <c r="Q181" i="22"/>
  <c r="AI181" i="22" s="1"/>
  <c r="P181" i="22"/>
  <c r="Z181" i="22" s="1"/>
  <c r="AD181" i="22" s="1"/>
  <c r="O181" i="22"/>
  <c r="Y181" i="22" s="1"/>
  <c r="AQ181" i="22" s="1"/>
  <c r="J181" i="22"/>
  <c r="T181" i="22" s="1"/>
  <c r="AL181" i="22" s="1"/>
  <c r="AS180" i="22"/>
  <c r="AK180" i="22"/>
  <c r="AH180" i="22"/>
  <c r="AB180" i="22"/>
  <c r="AF180" i="22" s="1"/>
  <c r="Z180" i="22"/>
  <c r="AD180" i="22" s="1"/>
  <c r="Y180" i="22"/>
  <c r="AQ180" i="22" s="1"/>
  <c r="X180" i="22"/>
  <c r="AP180" i="22" s="1"/>
  <c r="W180" i="22"/>
  <c r="AO180" i="22" s="1"/>
  <c r="V180" i="22"/>
  <c r="AN180" i="22" s="1"/>
  <c r="U180" i="22"/>
  <c r="AM180" i="22" s="1"/>
  <c r="S180" i="22"/>
  <c r="R180" i="22"/>
  <c r="AJ180" i="22" s="1"/>
  <c r="Q180" i="22"/>
  <c r="P180" i="22"/>
  <c r="O180" i="22"/>
  <c r="J180" i="22"/>
  <c r="T180" i="22" s="1"/>
  <c r="AS179" i="22"/>
  <c r="AJ179" i="22"/>
  <c r="AA179" i="22"/>
  <c r="AE179" i="22" s="1"/>
  <c r="X179" i="22"/>
  <c r="AP179" i="22" s="1"/>
  <c r="W179" i="22"/>
  <c r="AO179" i="22" s="1"/>
  <c r="V179" i="22"/>
  <c r="AN179" i="22" s="1"/>
  <c r="U179" i="22"/>
  <c r="AM179" i="22" s="1"/>
  <c r="S179" i="22"/>
  <c r="AK179" i="22" s="1"/>
  <c r="R179" i="22"/>
  <c r="Q179" i="22"/>
  <c r="AI179" i="22" s="1"/>
  <c r="P179" i="22"/>
  <c r="O179" i="22"/>
  <c r="Y179" i="22" s="1"/>
  <c r="AQ179" i="22" s="1"/>
  <c r="J179" i="22"/>
  <c r="T179" i="22" s="1"/>
  <c r="AS178" i="22"/>
  <c r="AQ178" i="22"/>
  <c r="AI178" i="22"/>
  <c r="Z178" i="22"/>
  <c r="AD178" i="22" s="1"/>
  <c r="X178" i="22"/>
  <c r="AP178" i="22" s="1"/>
  <c r="W178" i="22"/>
  <c r="AO178" i="22" s="1"/>
  <c r="V178" i="22"/>
  <c r="AA178" i="22" s="1"/>
  <c r="AE178" i="22" s="1"/>
  <c r="U178" i="22"/>
  <c r="AM178" i="22" s="1"/>
  <c r="S178" i="22"/>
  <c r="AK178" i="22" s="1"/>
  <c r="R178" i="22"/>
  <c r="AJ178" i="22" s="1"/>
  <c r="Q178" i="22"/>
  <c r="P178" i="22"/>
  <c r="AH178" i="22" s="1"/>
  <c r="O178" i="22"/>
  <c r="Y178" i="22" s="1"/>
  <c r="J178" i="22"/>
  <c r="T178" i="22" s="1"/>
  <c r="AS177" i="22"/>
  <c r="AP177" i="22"/>
  <c r="AM177" i="22"/>
  <c r="AJ177" i="22"/>
  <c r="AH177" i="22"/>
  <c r="AD177" i="22"/>
  <c r="AA177" i="22"/>
  <c r="AE177" i="22" s="1"/>
  <c r="Z177" i="22"/>
  <c r="Y177" i="22"/>
  <c r="AQ177" i="22" s="1"/>
  <c r="X177" i="22"/>
  <c r="W177" i="22"/>
  <c r="AO177" i="22" s="1"/>
  <c r="V177" i="22"/>
  <c r="AN177" i="22" s="1"/>
  <c r="U177" i="22"/>
  <c r="S177" i="22"/>
  <c r="AK177" i="22" s="1"/>
  <c r="R177" i="22"/>
  <c r="AB177" i="22" s="1"/>
  <c r="AF177" i="22" s="1"/>
  <c r="Q177" i="22"/>
  <c r="AI177" i="22" s="1"/>
  <c r="P177" i="22"/>
  <c r="O177" i="22"/>
  <c r="J177" i="22"/>
  <c r="T177" i="22" s="1"/>
  <c r="AS176" i="22"/>
  <c r="AO176" i="22"/>
  <c r="AK176" i="22"/>
  <c r="AJ176" i="22"/>
  <c r="AI176" i="22"/>
  <c r="Y176" i="22"/>
  <c r="AQ176" i="22" s="1"/>
  <c r="X176" i="22"/>
  <c r="AB176" i="22" s="1"/>
  <c r="AF176" i="22" s="1"/>
  <c r="W176" i="22"/>
  <c r="V176" i="22"/>
  <c r="AN176" i="22" s="1"/>
  <c r="U176" i="22"/>
  <c r="AM176" i="22" s="1"/>
  <c r="S176" i="22"/>
  <c r="R176" i="22"/>
  <c r="Q176" i="22"/>
  <c r="P176" i="22"/>
  <c r="Z176" i="22" s="1"/>
  <c r="AD176" i="22" s="1"/>
  <c r="O176" i="22"/>
  <c r="J176" i="22"/>
  <c r="T176" i="22" s="1"/>
  <c r="AS175" i="22"/>
  <c r="AN175" i="22"/>
  <c r="AI175" i="22"/>
  <c r="AH175" i="22"/>
  <c r="AC175" i="22"/>
  <c r="AG175" i="22" s="1"/>
  <c r="AA175" i="22"/>
  <c r="AE175" i="22" s="1"/>
  <c r="Y175" i="22"/>
  <c r="AQ175" i="22" s="1"/>
  <c r="X175" i="22"/>
  <c r="AP175" i="22" s="1"/>
  <c r="W175" i="22"/>
  <c r="AO175" i="22" s="1"/>
  <c r="V175" i="22"/>
  <c r="U175" i="22"/>
  <c r="Z175" i="22" s="1"/>
  <c r="AD175" i="22" s="1"/>
  <c r="T175" i="22"/>
  <c r="AL175" i="22" s="1"/>
  <c r="S175" i="22"/>
  <c r="AK175" i="22" s="1"/>
  <c r="R175" i="22"/>
  <c r="AB175" i="22" s="1"/>
  <c r="AF175" i="22" s="1"/>
  <c r="Q175" i="22"/>
  <c r="P175" i="22"/>
  <c r="O175" i="22"/>
  <c r="J175" i="22"/>
  <c r="AS174" i="22"/>
  <c r="AI174" i="22"/>
  <c r="Z174" i="22"/>
  <c r="AD174" i="22" s="1"/>
  <c r="X174" i="22"/>
  <c r="AP174" i="22" s="1"/>
  <c r="W174" i="22"/>
  <c r="AO174" i="22" s="1"/>
  <c r="V174" i="22"/>
  <c r="AN174" i="22" s="1"/>
  <c r="U174" i="22"/>
  <c r="AM174" i="22" s="1"/>
  <c r="S174" i="22"/>
  <c r="AK174" i="22" s="1"/>
  <c r="R174" i="22"/>
  <c r="AB174" i="22" s="1"/>
  <c r="AF174" i="22" s="1"/>
  <c r="Q174" i="22"/>
  <c r="AA174" i="22" s="1"/>
  <c r="AE174" i="22" s="1"/>
  <c r="P174" i="22"/>
  <c r="AH174" i="22" s="1"/>
  <c r="O174" i="22"/>
  <c r="Y174" i="22" s="1"/>
  <c r="AQ174" i="22" s="1"/>
  <c r="J174" i="22"/>
  <c r="T174" i="22" s="1"/>
  <c r="AS173" i="22"/>
  <c r="AO173" i="22"/>
  <c r="AM173" i="22"/>
  <c r="AK173" i="22"/>
  <c r="AJ173" i="22"/>
  <c r="Y173" i="22"/>
  <c r="AQ173" i="22" s="1"/>
  <c r="X173" i="22"/>
  <c r="AP173" i="22" s="1"/>
  <c r="W173" i="22"/>
  <c r="AB173" i="22" s="1"/>
  <c r="AF173" i="22" s="1"/>
  <c r="V173" i="22"/>
  <c r="AN173" i="22" s="1"/>
  <c r="U173" i="22"/>
  <c r="S173" i="22"/>
  <c r="R173" i="22"/>
  <c r="Q173" i="22"/>
  <c r="AI173" i="22" s="1"/>
  <c r="P173" i="22"/>
  <c r="AH173" i="22" s="1"/>
  <c r="O173" i="22"/>
  <c r="J173" i="22"/>
  <c r="T173" i="22" s="1"/>
  <c r="AS172" i="22"/>
  <c r="AN172" i="22"/>
  <c r="AK172" i="22"/>
  <c r="AJ172" i="22"/>
  <c r="AI172" i="22"/>
  <c r="X172" i="22"/>
  <c r="AB172" i="22" s="1"/>
  <c r="AF172" i="22" s="1"/>
  <c r="W172" i="22"/>
  <c r="AO172" i="22" s="1"/>
  <c r="V172" i="22"/>
  <c r="AA172" i="22" s="1"/>
  <c r="AE172" i="22" s="1"/>
  <c r="U172" i="22"/>
  <c r="AM172" i="22" s="1"/>
  <c r="S172" i="22"/>
  <c r="R172" i="22"/>
  <c r="Q172" i="22"/>
  <c r="P172" i="22"/>
  <c r="AH172" i="22" s="1"/>
  <c r="O172" i="22"/>
  <c r="Y172" i="22" s="1"/>
  <c r="AQ172" i="22" s="1"/>
  <c r="J172" i="22"/>
  <c r="T172" i="22" s="1"/>
  <c r="AS171" i="22"/>
  <c r="AP171" i="22"/>
  <c r="AM171" i="22"/>
  <c r="AK171" i="22"/>
  <c r="AJ171" i="22"/>
  <c r="AI171" i="22"/>
  <c r="AH171" i="22"/>
  <c r="AE171" i="22"/>
  <c r="AA171" i="22"/>
  <c r="X171" i="22"/>
  <c r="W171" i="22"/>
  <c r="AB171" i="22" s="1"/>
  <c r="AF171" i="22" s="1"/>
  <c r="V171" i="22"/>
  <c r="AN171" i="22" s="1"/>
  <c r="U171" i="22"/>
  <c r="Z171" i="22" s="1"/>
  <c r="AD171" i="22" s="1"/>
  <c r="T171" i="22"/>
  <c r="AL171" i="22" s="1"/>
  <c r="S171" i="22"/>
  <c r="R171" i="22"/>
  <c r="Q171" i="22"/>
  <c r="P171" i="22"/>
  <c r="O171" i="22"/>
  <c r="Y171" i="22" s="1"/>
  <c r="AQ171" i="22" s="1"/>
  <c r="J171" i="22"/>
  <c r="AS170" i="22"/>
  <c r="AQ170" i="22"/>
  <c r="AP170" i="22"/>
  <c r="AO170" i="22"/>
  <c r="AJ170" i="22"/>
  <c r="AI170" i="22"/>
  <c r="AH170" i="22"/>
  <c r="AD170" i="22"/>
  <c r="Z170" i="22"/>
  <c r="Y170" i="22"/>
  <c r="X170" i="22"/>
  <c r="W170" i="22"/>
  <c r="V170" i="22"/>
  <c r="AA170" i="22" s="1"/>
  <c r="AE170" i="22" s="1"/>
  <c r="U170" i="22"/>
  <c r="AM170" i="22" s="1"/>
  <c r="S170" i="22"/>
  <c r="AK170" i="22" s="1"/>
  <c r="R170" i="22"/>
  <c r="Q170" i="22"/>
  <c r="P170" i="22"/>
  <c r="O170" i="22"/>
  <c r="J170" i="22"/>
  <c r="T170" i="22" s="1"/>
  <c r="AS169" i="22"/>
  <c r="AQ169" i="22"/>
  <c r="AP169" i="22"/>
  <c r="AO169" i="22"/>
  <c r="AN169" i="22"/>
  <c r="AK169" i="22"/>
  <c r="AI169" i="22"/>
  <c r="AH169" i="22"/>
  <c r="AC169" i="22"/>
  <c r="AG169" i="22" s="1"/>
  <c r="AA169" i="22"/>
  <c r="AE169" i="22" s="1"/>
  <c r="Y169" i="22"/>
  <c r="X169" i="22"/>
  <c r="W169" i="22"/>
  <c r="V169" i="22"/>
  <c r="U169" i="22"/>
  <c r="Z169" i="22" s="1"/>
  <c r="AD169" i="22" s="1"/>
  <c r="T169" i="22"/>
  <c r="AL169" i="22" s="1"/>
  <c r="S169" i="22"/>
  <c r="R169" i="22"/>
  <c r="AJ169" i="22" s="1"/>
  <c r="Q169" i="22"/>
  <c r="P169" i="22"/>
  <c r="O169" i="22"/>
  <c r="J169" i="22"/>
  <c r="AS168" i="22"/>
  <c r="AP168" i="22"/>
  <c r="AO168" i="22"/>
  <c r="AN168" i="22"/>
  <c r="AM168" i="22"/>
  <c r="AJ168" i="22"/>
  <c r="AH168" i="22"/>
  <c r="AB168" i="22"/>
  <c r="AF168" i="22" s="1"/>
  <c r="Z168" i="22"/>
  <c r="AD168" i="22" s="1"/>
  <c r="Y168" i="22"/>
  <c r="AQ168" i="22" s="1"/>
  <c r="X168" i="22"/>
  <c r="W168" i="22"/>
  <c r="V168" i="22"/>
  <c r="U168" i="22"/>
  <c r="T168" i="22"/>
  <c r="AL168" i="22" s="1"/>
  <c r="S168" i="22"/>
  <c r="AK168" i="22" s="1"/>
  <c r="R168" i="22"/>
  <c r="Q168" i="22"/>
  <c r="AI168" i="22" s="1"/>
  <c r="P168" i="22"/>
  <c r="O168" i="22"/>
  <c r="J168" i="22"/>
  <c r="AS167" i="22"/>
  <c r="AQ167" i="22"/>
  <c r="AO167" i="22"/>
  <c r="AN167" i="22"/>
  <c r="AM167" i="22"/>
  <c r="AI167" i="22"/>
  <c r="AA167" i="22"/>
  <c r="AE167" i="22" s="1"/>
  <c r="Y167" i="22"/>
  <c r="X167" i="22"/>
  <c r="AP167" i="22" s="1"/>
  <c r="W167" i="22"/>
  <c r="V167" i="22"/>
  <c r="U167" i="22"/>
  <c r="S167" i="22"/>
  <c r="AK167" i="22" s="1"/>
  <c r="R167" i="22"/>
  <c r="AJ167" i="22" s="1"/>
  <c r="Q167" i="22"/>
  <c r="P167" i="22"/>
  <c r="AH167" i="22" s="1"/>
  <c r="O167" i="22"/>
  <c r="J167" i="22"/>
  <c r="T167" i="22" s="1"/>
  <c r="AS166" i="22"/>
  <c r="AP166" i="22"/>
  <c r="AN166" i="22"/>
  <c r="AM166" i="22"/>
  <c r="AK166" i="22"/>
  <c r="AH166" i="22"/>
  <c r="Z166" i="22"/>
  <c r="AD166" i="22" s="1"/>
  <c r="X166" i="22"/>
  <c r="W166" i="22"/>
  <c r="AO166" i="22" s="1"/>
  <c r="V166" i="22"/>
  <c r="U166" i="22"/>
  <c r="S166" i="22"/>
  <c r="R166" i="22"/>
  <c r="AJ166" i="22" s="1"/>
  <c r="Q166" i="22"/>
  <c r="AI166" i="22" s="1"/>
  <c r="P166" i="22"/>
  <c r="O166" i="22"/>
  <c r="Y166" i="22" s="1"/>
  <c r="AQ166" i="22" s="1"/>
  <c r="J166" i="22"/>
  <c r="T166" i="22" s="1"/>
  <c r="AS165" i="22"/>
  <c r="AO165" i="22"/>
  <c r="AM165" i="22"/>
  <c r="AK165" i="22"/>
  <c r="AJ165" i="22"/>
  <c r="Y165" i="22"/>
  <c r="AQ165" i="22" s="1"/>
  <c r="X165" i="22"/>
  <c r="AP165" i="22" s="1"/>
  <c r="W165" i="22"/>
  <c r="AB165" i="22" s="1"/>
  <c r="AF165" i="22" s="1"/>
  <c r="V165" i="22"/>
  <c r="AN165" i="22" s="1"/>
  <c r="U165" i="22"/>
  <c r="S165" i="22"/>
  <c r="R165" i="22"/>
  <c r="Q165" i="22"/>
  <c r="AI165" i="22" s="1"/>
  <c r="P165" i="22"/>
  <c r="AH165" i="22" s="1"/>
  <c r="O165" i="22"/>
  <c r="J165" i="22"/>
  <c r="T165" i="22" s="1"/>
  <c r="AS164" i="22"/>
  <c r="AN164" i="22"/>
  <c r="AK164" i="22"/>
  <c r="AJ164" i="22"/>
  <c r="AI164" i="22"/>
  <c r="X164" i="22"/>
  <c r="AB164" i="22" s="1"/>
  <c r="AF164" i="22" s="1"/>
  <c r="W164" i="22"/>
  <c r="AO164" i="22" s="1"/>
  <c r="V164" i="22"/>
  <c r="AA164" i="22" s="1"/>
  <c r="AE164" i="22" s="1"/>
  <c r="U164" i="22"/>
  <c r="AM164" i="22" s="1"/>
  <c r="S164" i="22"/>
  <c r="R164" i="22"/>
  <c r="Q164" i="22"/>
  <c r="P164" i="22"/>
  <c r="AH164" i="22" s="1"/>
  <c r="O164" i="22"/>
  <c r="Y164" i="22" s="1"/>
  <c r="AQ164" i="22" s="1"/>
  <c r="J164" i="22"/>
  <c r="T164" i="22" s="1"/>
  <c r="AS163" i="22"/>
  <c r="AP163" i="22"/>
  <c r="AM163" i="22"/>
  <c r="AK163" i="22"/>
  <c r="AJ163" i="22"/>
  <c r="AI163" i="22"/>
  <c r="AH163" i="22"/>
  <c r="AE163" i="22"/>
  <c r="AA163" i="22"/>
  <c r="X163" i="22"/>
  <c r="W163" i="22"/>
  <c r="AB163" i="22" s="1"/>
  <c r="AF163" i="22" s="1"/>
  <c r="V163" i="22"/>
  <c r="AN163" i="22" s="1"/>
  <c r="U163" i="22"/>
  <c r="Z163" i="22" s="1"/>
  <c r="AD163" i="22" s="1"/>
  <c r="T163" i="22"/>
  <c r="AL163" i="22" s="1"/>
  <c r="S163" i="22"/>
  <c r="R163" i="22"/>
  <c r="Q163" i="22"/>
  <c r="P163" i="22"/>
  <c r="O163" i="22"/>
  <c r="Y163" i="22" s="1"/>
  <c r="AQ163" i="22" s="1"/>
  <c r="J163" i="22"/>
  <c r="AS162" i="22"/>
  <c r="AQ162" i="22"/>
  <c r="AP162" i="22"/>
  <c r="AO162" i="22"/>
  <c r="AJ162" i="22"/>
  <c r="AI162" i="22"/>
  <c r="AH162" i="22"/>
  <c r="AD162" i="22"/>
  <c r="Z162" i="22"/>
  <c r="Y162" i="22"/>
  <c r="X162" i="22"/>
  <c r="W162" i="22"/>
  <c r="V162" i="22"/>
  <c r="AA162" i="22" s="1"/>
  <c r="AE162" i="22" s="1"/>
  <c r="U162" i="22"/>
  <c r="AM162" i="22" s="1"/>
  <c r="S162" i="22"/>
  <c r="AK162" i="22" s="1"/>
  <c r="R162" i="22"/>
  <c r="Q162" i="22"/>
  <c r="P162" i="22"/>
  <c r="O162" i="22"/>
  <c r="J162" i="22"/>
  <c r="T162" i="22" s="1"/>
  <c r="AS161" i="22"/>
  <c r="AQ161" i="22"/>
  <c r="AP161" i="22"/>
  <c r="AO161" i="22"/>
  <c r="AN161" i="22"/>
  <c r="AK161" i="22"/>
  <c r="AI161" i="22"/>
  <c r="AH161" i="22"/>
  <c r="AC161" i="22"/>
  <c r="AG161" i="22" s="1"/>
  <c r="AA161" i="22"/>
  <c r="AE161" i="22" s="1"/>
  <c r="Y161" i="22"/>
  <c r="X161" i="22"/>
  <c r="W161" i="22"/>
  <c r="V161" i="22"/>
  <c r="U161" i="22"/>
  <c r="Z161" i="22" s="1"/>
  <c r="AD161" i="22" s="1"/>
  <c r="T161" i="22"/>
  <c r="AL161" i="22" s="1"/>
  <c r="S161" i="22"/>
  <c r="R161" i="22"/>
  <c r="AJ161" i="22" s="1"/>
  <c r="Q161" i="22"/>
  <c r="P161" i="22"/>
  <c r="O161" i="22"/>
  <c r="J161" i="22"/>
  <c r="AS160" i="22"/>
  <c r="AP160" i="22"/>
  <c r="AO160" i="22"/>
  <c r="AN160" i="22"/>
  <c r="AM160" i="22"/>
  <c r="AJ160" i="22"/>
  <c r="AH160" i="22"/>
  <c r="AB160" i="22"/>
  <c r="AF160" i="22" s="1"/>
  <c r="Z160" i="22"/>
  <c r="AD160" i="22" s="1"/>
  <c r="Y160" i="22"/>
  <c r="AQ160" i="22" s="1"/>
  <c r="X160" i="22"/>
  <c r="W160" i="22"/>
  <c r="V160" i="22"/>
  <c r="U160" i="22"/>
  <c r="T160" i="22"/>
  <c r="AL160" i="22" s="1"/>
  <c r="S160" i="22"/>
  <c r="AK160" i="22" s="1"/>
  <c r="R160" i="22"/>
  <c r="Q160" i="22"/>
  <c r="AI160" i="22" s="1"/>
  <c r="P160" i="22"/>
  <c r="O160" i="22"/>
  <c r="J160" i="22"/>
  <c r="AS159" i="22"/>
  <c r="AQ159" i="22"/>
  <c r="AO159" i="22"/>
  <c r="AN159" i="22"/>
  <c r="AM159" i="22"/>
  <c r="AI159" i="22"/>
  <c r="AA159" i="22"/>
  <c r="AE159" i="22" s="1"/>
  <c r="Y159" i="22"/>
  <c r="X159" i="22"/>
  <c r="AP159" i="22" s="1"/>
  <c r="W159" i="22"/>
  <c r="V159" i="22"/>
  <c r="U159" i="22"/>
  <c r="S159" i="22"/>
  <c r="AK159" i="22" s="1"/>
  <c r="R159" i="22"/>
  <c r="AJ159" i="22" s="1"/>
  <c r="Q159" i="22"/>
  <c r="P159" i="22"/>
  <c r="AH159" i="22" s="1"/>
  <c r="O159" i="22"/>
  <c r="J159" i="22"/>
  <c r="T159" i="22" s="1"/>
  <c r="AS158" i="22"/>
  <c r="AP158" i="22"/>
  <c r="AN158" i="22"/>
  <c r="AM158" i="22"/>
  <c r="AK158" i="22"/>
  <c r="AH158" i="22"/>
  <c r="Z158" i="22"/>
  <c r="AD158" i="22" s="1"/>
  <c r="X158" i="22"/>
  <c r="W158" i="22"/>
  <c r="AO158" i="22" s="1"/>
  <c r="V158" i="22"/>
  <c r="U158" i="22"/>
  <c r="S158" i="22"/>
  <c r="R158" i="22"/>
  <c r="AJ158" i="22" s="1"/>
  <c r="Q158" i="22"/>
  <c r="AI158" i="22" s="1"/>
  <c r="P158" i="22"/>
  <c r="O158" i="22"/>
  <c r="Y158" i="22" s="1"/>
  <c r="AQ158" i="22" s="1"/>
  <c r="J158" i="22"/>
  <c r="T158" i="22" s="1"/>
  <c r="AS157" i="22"/>
  <c r="AO157" i="22"/>
  <c r="AM157" i="22"/>
  <c r="AK157" i="22"/>
  <c r="AJ157" i="22"/>
  <c r="Y157" i="22"/>
  <c r="AQ157" i="22" s="1"/>
  <c r="X157" i="22"/>
  <c r="AP157" i="22" s="1"/>
  <c r="W157" i="22"/>
  <c r="AB157" i="22" s="1"/>
  <c r="AF157" i="22" s="1"/>
  <c r="V157" i="22"/>
  <c r="AN157" i="22" s="1"/>
  <c r="U157" i="22"/>
  <c r="S157" i="22"/>
  <c r="R157" i="22"/>
  <c r="Q157" i="22"/>
  <c r="AI157" i="22" s="1"/>
  <c r="P157" i="22"/>
  <c r="AH157" i="22" s="1"/>
  <c r="O157" i="22"/>
  <c r="J157" i="22"/>
  <c r="T157" i="22" s="1"/>
  <c r="AS156" i="22"/>
  <c r="AN156" i="22"/>
  <c r="AK156" i="22"/>
  <c r="AJ156" i="22"/>
  <c r="AI156" i="22"/>
  <c r="X156" i="22"/>
  <c r="AB156" i="22" s="1"/>
  <c r="AF156" i="22" s="1"/>
  <c r="W156" i="22"/>
  <c r="AO156" i="22" s="1"/>
  <c r="V156" i="22"/>
  <c r="AA156" i="22" s="1"/>
  <c r="AE156" i="22" s="1"/>
  <c r="U156" i="22"/>
  <c r="AM156" i="22" s="1"/>
  <c r="S156" i="22"/>
  <c r="R156" i="22"/>
  <c r="Q156" i="22"/>
  <c r="P156" i="22"/>
  <c r="AH156" i="22" s="1"/>
  <c r="O156" i="22"/>
  <c r="Y156" i="22" s="1"/>
  <c r="AQ156" i="22" s="1"/>
  <c r="J156" i="22"/>
  <c r="T156" i="22" s="1"/>
  <c r="AS155" i="22"/>
  <c r="AP155" i="22"/>
  <c r="AM155" i="22"/>
  <c r="AK155" i="22"/>
  <c r="AJ155" i="22"/>
  <c r="AI155" i="22"/>
  <c r="AH155" i="22"/>
  <c r="AE155" i="22"/>
  <c r="AA155" i="22"/>
  <c r="X155" i="22"/>
  <c r="W155" i="22"/>
  <c r="AB155" i="22" s="1"/>
  <c r="AF155" i="22" s="1"/>
  <c r="V155" i="22"/>
  <c r="AN155" i="22" s="1"/>
  <c r="U155" i="22"/>
  <c r="Z155" i="22" s="1"/>
  <c r="AD155" i="22" s="1"/>
  <c r="T155" i="22"/>
  <c r="AL155" i="22" s="1"/>
  <c r="S155" i="22"/>
  <c r="R155" i="22"/>
  <c r="Q155" i="22"/>
  <c r="P155" i="22"/>
  <c r="O155" i="22"/>
  <c r="Y155" i="22" s="1"/>
  <c r="AQ155" i="22" s="1"/>
  <c r="J155" i="22"/>
  <c r="AS154" i="22"/>
  <c r="AQ154" i="22"/>
  <c r="AP154" i="22"/>
  <c r="AO154" i="22"/>
  <c r="AJ154" i="22"/>
  <c r="AI154" i="22"/>
  <c r="AH154" i="22"/>
  <c r="AD154" i="22"/>
  <c r="Z154" i="22"/>
  <c r="Y154" i="22"/>
  <c r="X154" i="22"/>
  <c r="W154" i="22"/>
  <c r="V154" i="22"/>
  <c r="AA154" i="22" s="1"/>
  <c r="AE154" i="22" s="1"/>
  <c r="U154" i="22"/>
  <c r="AM154" i="22" s="1"/>
  <c r="S154" i="22"/>
  <c r="AK154" i="22" s="1"/>
  <c r="R154" i="22"/>
  <c r="Q154" i="22"/>
  <c r="P154" i="22"/>
  <c r="O154" i="22"/>
  <c r="J154" i="22"/>
  <c r="T154" i="22" s="1"/>
  <c r="AS153" i="22"/>
  <c r="AQ153" i="22"/>
  <c r="AP153" i="22"/>
  <c r="AO153" i="22"/>
  <c r="AN153" i="22"/>
  <c r="AK153" i="22"/>
  <c r="AI153" i="22"/>
  <c r="AH153" i="22"/>
  <c r="AC153" i="22"/>
  <c r="AG153" i="22" s="1"/>
  <c r="AA153" i="22"/>
  <c r="AE153" i="22" s="1"/>
  <c r="Y153" i="22"/>
  <c r="X153" i="22"/>
  <c r="W153" i="22"/>
  <c r="V153" i="22"/>
  <c r="U153" i="22"/>
  <c r="Z153" i="22" s="1"/>
  <c r="AD153" i="22" s="1"/>
  <c r="T153" i="22"/>
  <c r="AL153" i="22" s="1"/>
  <c r="S153" i="22"/>
  <c r="R153" i="22"/>
  <c r="AJ153" i="22" s="1"/>
  <c r="Q153" i="22"/>
  <c r="P153" i="22"/>
  <c r="O153" i="22"/>
  <c r="J153" i="22"/>
  <c r="AS152" i="22"/>
  <c r="AP152" i="22"/>
  <c r="AO152" i="22"/>
  <c r="AN152" i="22"/>
  <c r="AM152" i="22"/>
  <c r="AJ152" i="22"/>
  <c r="AH152" i="22"/>
  <c r="AB152" i="22"/>
  <c r="AF152" i="22" s="1"/>
  <c r="Z152" i="22"/>
  <c r="AD152" i="22" s="1"/>
  <c r="Y152" i="22"/>
  <c r="AQ152" i="22" s="1"/>
  <c r="X152" i="22"/>
  <c r="W152" i="22"/>
  <c r="V152" i="22"/>
  <c r="U152" i="22"/>
  <c r="T152" i="22"/>
  <c r="AL152" i="22" s="1"/>
  <c r="S152" i="22"/>
  <c r="AK152" i="22" s="1"/>
  <c r="R152" i="22"/>
  <c r="Q152" i="22"/>
  <c r="AI152" i="22" s="1"/>
  <c r="P152" i="22"/>
  <c r="O152" i="22"/>
  <c r="J152" i="22"/>
  <c r="AS151" i="22"/>
  <c r="AQ151" i="22"/>
  <c r="AO151" i="22"/>
  <c r="AN151" i="22"/>
  <c r="AM151" i="22"/>
  <c r="AI151" i="22"/>
  <c r="AA151" i="22"/>
  <c r="AE151" i="22" s="1"/>
  <c r="Y151" i="22"/>
  <c r="X151" i="22"/>
  <c r="AP151" i="22" s="1"/>
  <c r="W151" i="22"/>
  <c r="V151" i="22"/>
  <c r="U151" i="22"/>
  <c r="S151" i="22"/>
  <c r="AK151" i="22" s="1"/>
  <c r="R151" i="22"/>
  <c r="AJ151" i="22" s="1"/>
  <c r="Q151" i="22"/>
  <c r="P151" i="22"/>
  <c r="AH151" i="22" s="1"/>
  <c r="O151" i="22"/>
  <c r="J151" i="22"/>
  <c r="T151" i="22" s="1"/>
  <c r="AS150" i="22"/>
  <c r="AP150" i="22"/>
  <c r="AN150" i="22"/>
  <c r="AM150" i="22"/>
  <c r="AK150" i="22"/>
  <c r="AH150" i="22"/>
  <c r="Z150" i="22"/>
  <c r="AD150" i="22" s="1"/>
  <c r="X150" i="22"/>
  <c r="W150" i="22"/>
  <c r="AO150" i="22" s="1"/>
  <c r="V150" i="22"/>
  <c r="U150" i="22"/>
  <c r="S150" i="22"/>
  <c r="R150" i="22"/>
  <c r="AJ150" i="22" s="1"/>
  <c r="Q150" i="22"/>
  <c r="AI150" i="22" s="1"/>
  <c r="P150" i="22"/>
  <c r="O150" i="22"/>
  <c r="Y150" i="22" s="1"/>
  <c r="AQ150" i="22" s="1"/>
  <c r="J150" i="22"/>
  <c r="T150" i="22" s="1"/>
  <c r="AS149" i="22"/>
  <c r="AO149" i="22"/>
  <c r="AM149" i="22"/>
  <c r="AK149" i="22"/>
  <c r="AJ149" i="22"/>
  <c r="Y149" i="22"/>
  <c r="AQ149" i="22" s="1"/>
  <c r="X149" i="22"/>
  <c r="AP149" i="22" s="1"/>
  <c r="W149" i="22"/>
  <c r="AB149" i="22" s="1"/>
  <c r="AF149" i="22" s="1"/>
  <c r="V149" i="22"/>
  <c r="AN149" i="22" s="1"/>
  <c r="U149" i="22"/>
  <c r="S149" i="22"/>
  <c r="R149" i="22"/>
  <c r="Q149" i="22"/>
  <c r="AI149" i="22" s="1"/>
  <c r="P149" i="22"/>
  <c r="AH149" i="22" s="1"/>
  <c r="O149" i="22"/>
  <c r="J149" i="22"/>
  <c r="T149" i="22" s="1"/>
  <c r="AS148" i="22"/>
  <c r="AN148" i="22"/>
  <c r="AK148" i="22"/>
  <c r="AJ148" i="22"/>
  <c r="AI148" i="22"/>
  <c r="X148" i="22"/>
  <c r="AB148" i="22" s="1"/>
  <c r="AF148" i="22" s="1"/>
  <c r="W148" i="22"/>
  <c r="AO148" i="22" s="1"/>
  <c r="V148" i="22"/>
  <c r="AA148" i="22" s="1"/>
  <c r="AE148" i="22" s="1"/>
  <c r="U148" i="22"/>
  <c r="AM148" i="22" s="1"/>
  <c r="S148" i="22"/>
  <c r="R148" i="22"/>
  <c r="Q148" i="22"/>
  <c r="P148" i="22"/>
  <c r="AH148" i="22" s="1"/>
  <c r="O148" i="22"/>
  <c r="Y148" i="22" s="1"/>
  <c r="AQ148" i="22" s="1"/>
  <c r="J148" i="22"/>
  <c r="T148" i="22" s="1"/>
  <c r="AS147" i="22"/>
  <c r="AP147" i="22"/>
  <c r="AM147" i="22"/>
  <c r="AK147" i="22"/>
  <c r="AJ147" i="22"/>
  <c r="AI147" i="22"/>
  <c r="AH147" i="22"/>
  <c r="AE147" i="22"/>
  <c r="AA147" i="22"/>
  <c r="X147" i="22"/>
  <c r="W147" i="22"/>
  <c r="AB147" i="22" s="1"/>
  <c r="AF147" i="22" s="1"/>
  <c r="V147" i="22"/>
  <c r="AN147" i="22" s="1"/>
  <c r="U147" i="22"/>
  <c r="Z147" i="22" s="1"/>
  <c r="AD147" i="22" s="1"/>
  <c r="T147" i="22"/>
  <c r="AL147" i="22" s="1"/>
  <c r="S147" i="22"/>
  <c r="R147" i="22"/>
  <c r="Q147" i="22"/>
  <c r="P147" i="22"/>
  <c r="O147" i="22"/>
  <c r="Y147" i="22" s="1"/>
  <c r="AQ147" i="22" s="1"/>
  <c r="J147" i="22"/>
  <c r="AC117" i="22"/>
  <c r="O117" i="22"/>
  <c r="AC116" i="22"/>
  <c r="O116" i="22"/>
  <c r="AC115" i="22"/>
  <c r="O115" i="22"/>
  <c r="AC114" i="22"/>
  <c r="O114" i="22"/>
  <c r="AC113" i="22"/>
  <c r="O113" i="22"/>
  <c r="AC112" i="22"/>
  <c r="O112" i="22"/>
  <c r="AC111" i="22"/>
  <c r="O111" i="22"/>
  <c r="AC110" i="22"/>
  <c r="O110" i="22"/>
  <c r="AC109" i="22"/>
  <c r="O109" i="22"/>
  <c r="AC108" i="22"/>
  <c r="O108" i="22"/>
  <c r="AC107" i="22"/>
  <c r="O107" i="22"/>
  <c r="AC106" i="22"/>
  <c r="O106" i="22"/>
  <c r="AC105" i="22"/>
  <c r="O105" i="22"/>
  <c r="AC104" i="22"/>
  <c r="O104" i="22"/>
  <c r="AC103" i="22"/>
  <c r="O103" i="22"/>
  <c r="AC102" i="22"/>
  <c r="AC118" i="22" s="1"/>
  <c r="O102" i="22"/>
  <c r="O91" i="22"/>
  <c r="P90" i="22"/>
  <c r="P89" i="22"/>
  <c r="P88" i="22"/>
  <c r="P87" i="22"/>
  <c r="P86" i="22"/>
  <c r="D86" i="22"/>
  <c r="P85" i="22"/>
  <c r="P84" i="22"/>
  <c r="P83" i="22"/>
  <c r="P82" i="22"/>
  <c r="P81" i="22"/>
  <c r="P80" i="22"/>
  <c r="P79" i="22"/>
  <c r="D79" i="22"/>
  <c r="P78" i="22"/>
  <c r="C78" i="22"/>
  <c r="T77" i="22"/>
  <c r="P77" i="22"/>
  <c r="N77" i="22"/>
  <c r="F77" i="22"/>
  <c r="J77" i="22" s="1"/>
  <c r="C77" i="22"/>
  <c r="P76" i="22"/>
  <c r="P75" i="22"/>
  <c r="P91" i="22" s="1"/>
  <c r="O68" i="22"/>
  <c r="P65" i="22" s="1"/>
  <c r="P67" i="22"/>
  <c r="P66" i="22"/>
  <c r="P64" i="22"/>
  <c r="P63" i="22"/>
  <c r="P62" i="22"/>
  <c r="E62" i="22"/>
  <c r="P61" i="22"/>
  <c r="D61" i="22"/>
  <c r="P60" i="22"/>
  <c r="D60" i="22"/>
  <c r="P59" i="22"/>
  <c r="P58" i="22"/>
  <c r="E58" i="22"/>
  <c r="P57" i="22"/>
  <c r="R56" i="22"/>
  <c r="P56" i="22"/>
  <c r="L56" i="22"/>
  <c r="P55" i="22"/>
  <c r="E55" i="22"/>
  <c r="C55" i="22"/>
  <c r="P54" i="22"/>
  <c r="P53" i="22"/>
  <c r="C53" i="22"/>
  <c r="P52" i="22"/>
  <c r="O45" i="22"/>
  <c r="P39" i="22" s="1"/>
  <c r="P44" i="22"/>
  <c r="C44" i="22"/>
  <c r="S43" i="22"/>
  <c r="M43" i="22"/>
  <c r="C43" i="22"/>
  <c r="Q41" i="22"/>
  <c r="K41" i="22" s="1"/>
  <c r="G41" i="22" s="1"/>
  <c r="P41" i="22"/>
  <c r="D41" i="22"/>
  <c r="C41" i="22"/>
  <c r="Q40" i="22"/>
  <c r="K40" i="22"/>
  <c r="D37" i="22"/>
  <c r="P36" i="22"/>
  <c r="C36" i="22"/>
  <c r="P35" i="22"/>
  <c r="E35" i="22"/>
  <c r="R34" i="22"/>
  <c r="L34" i="22" s="1"/>
  <c r="D34" i="22"/>
  <c r="P33" i="22"/>
  <c r="D33" i="22"/>
  <c r="C32" i="22"/>
  <c r="P31" i="22"/>
  <c r="D31" i="22"/>
  <c r="E30" i="22"/>
  <c r="D30" i="22"/>
  <c r="O22" i="22"/>
  <c r="P18" i="22" s="1"/>
  <c r="D21" i="22"/>
  <c r="P20" i="22"/>
  <c r="E20" i="22"/>
  <c r="D20" i="22"/>
  <c r="P19" i="22"/>
  <c r="D19" i="22"/>
  <c r="C19" i="22"/>
  <c r="R18" i="22"/>
  <c r="L18" i="22"/>
  <c r="D18" i="22"/>
  <c r="C18" i="22"/>
  <c r="D17" i="22"/>
  <c r="C17" i="22"/>
  <c r="P16" i="22"/>
  <c r="P15" i="22"/>
  <c r="F15" i="22"/>
  <c r="E15" i="22"/>
  <c r="P14" i="22"/>
  <c r="E14" i="22"/>
  <c r="D14" i="22"/>
  <c r="F13" i="22"/>
  <c r="E13" i="22"/>
  <c r="D13" i="22"/>
  <c r="C13" i="22"/>
  <c r="P12" i="22"/>
  <c r="P11" i="22"/>
  <c r="E11" i="22"/>
  <c r="S10" i="22"/>
  <c r="M10" i="22" s="1"/>
  <c r="R10" i="22"/>
  <c r="L10" i="22" s="1"/>
  <c r="P10" i="22"/>
  <c r="D10" i="22"/>
  <c r="Q9" i="22"/>
  <c r="V9" i="22" s="1"/>
  <c r="K9" i="22"/>
  <c r="C9" i="22"/>
  <c r="P8" i="22"/>
  <c r="C8" i="22"/>
  <c r="P7" i="22"/>
  <c r="P6" i="22"/>
  <c r="E6" i="22"/>
  <c r="O91" i="12"/>
  <c r="S90" i="12"/>
  <c r="N90" i="12"/>
  <c r="T90" i="12" s="1"/>
  <c r="M90" i="12"/>
  <c r="L90" i="12"/>
  <c r="R90" i="12" s="1"/>
  <c r="K90" i="12"/>
  <c r="Q90" i="12" s="1"/>
  <c r="T89" i="12"/>
  <c r="R89" i="12"/>
  <c r="N89" i="12"/>
  <c r="M89" i="12"/>
  <c r="S89" i="12" s="1"/>
  <c r="L89" i="12"/>
  <c r="K89" i="12"/>
  <c r="Q89" i="12" s="1"/>
  <c r="N88" i="12"/>
  <c r="T88" i="12" s="1"/>
  <c r="M88" i="12"/>
  <c r="S88" i="12" s="1"/>
  <c r="L88" i="12"/>
  <c r="R88" i="12" s="1"/>
  <c r="K88" i="12"/>
  <c r="Q88" i="12" s="1"/>
  <c r="T87" i="12"/>
  <c r="N87" i="12"/>
  <c r="M87" i="12"/>
  <c r="S87" i="12" s="1"/>
  <c r="L87" i="12"/>
  <c r="R87" i="12" s="1"/>
  <c r="K87" i="12"/>
  <c r="Q87" i="12" s="1"/>
  <c r="Q86" i="12"/>
  <c r="N86" i="12"/>
  <c r="T86" i="12" s="1"/>
  <c r="M86" i="12"/>
  <c r="S86" i="12" s="1"/>
  <c r="L86" i="12"/>
  <c r="R86" i="12" s="1"/>
  <c r="K86" i="12"/>
  <c r="N85" i="12"/>
  <c r="T85" i="12" s="1"/>
  <c r="M85" i="12"/>
  <c r="S85" i="12" s="1"/>
  <c r="L85" i="12"/>
  <c r="R85" i="12" s="1"/>
  <c r="K85" i="12"/>
  <c r="Q85" i="12" s="1"/>
  <c r="S84" i="12"/>
  <c r="Q84" i="12"/>
  <c r="N84" i="12"/>
  <c r="T84" i="12" s="1"/>
  <c r="M84" i="12"/>
  <c r="L84" i="12"/>
  <c r="R84" i="12" s="1"/>
  <c r="K84" i="12"/>
  <c r="T83" i="12"/>
  <c r="R83" i="12"/>
  <c r="N83" i="12"/>
  <c r="M83" i="12"/>
  <c r="S83" i="12" s="1"/>
  <c r="L83" i="12"/>
  <c r="K83" i="12"/>
  <c r="Q83" i="12" s="1"/>
  <c r="S82" i="12"/>
  <c r="N82" i="12"/>
  <c r="T82" i="12" s="1"/>
  <c r="M82" i="12"/>
  <c r="L82" i="12"/>
  <c r="R82" i="12" s="1"/>
  <c r="K82" i="12"/>
  <c r="Q82" i="12" s="1"/>
  <c r="N81" i="12"/>
  <c r="T81" i="12" s="1"/>
  <c r="M81" i="12"/>
  <c r="S81" i="12" s="1"/>
  <c r="L81" i="12"/>
  <c r="R81" i="12" s="1"/>
  <c r="K81" i="12"/>
  <c r="Q81" i="12" s="1"/>
  <c r="S80" i="12"/>
  <c r="N80" i="12"/>
  <c r="T80" i="12" s="1"/>
  <c r="M80" i="12"/>
  <c r="L80" i="12"/>
  <c r="R80" i="12" s="1"/>
  <c r="K80" i="12"/>
  <c r="Q80" i="12" s="1"/>
  <c r="N79" i="12"/>
  <c r="T79" i="12" s="1"/>
  <c r="M79" i="12"/>
  <c r="S79" i="12" s="1"/>
  <c r="L79" i="12"/>
  <c r="R79" i="12" s="1"/>
  <c r="K79" i="12"/>
  <c r="Q79" i="12" s="1"/>
  <c r="N78" i="12"/>
  <c r="T78" i="12" s="1"/>
  <c r="M78" i="12"/>
  <c r="S78" i="12" s="1"/>
  <c r="L78" i="12"/>
  <c r="R78" i="12" s="1"/>
  <c r="K78" i="12"/>
  <c r="Q78" i="12" s="1"/>
  <c r="R77" i="12"/>
  <c r="N77" i="12"/>
  <c r="T77" i="12" s="1"/>
  <c r="M77" i="12"/>
  <c r="S77" i="12" s="1"/>
  <c r="L77" i="12"/>
  <c r="K77" i="12"/>
  <c r="Q77" i="12" s="1"/>
  <c r="S76" i="12"/>
  <c r="N76" i="12"/>
  <c r="T76" i="12" s="1"/>
  <c r="M76" i="12"/>
  <c r="L76" i="12"/>
  <c r="R76" i="12" s="1"/>
  <c r="K76" i="12"/>
  <c r="Q76" i="12" s="1"/>
  <c r="N75" i="12"/>
  <c r="T75" i="12" s="1"/>
  <c r="M75" i="12"/>
  <c r="S75" i="12" s="1"/>
  <c r="L75" i="12"/>
  <c r="R75" i="12" s="1"/>
  <c r="K75" i="12"/>
  <c r="Q75" i="12" s="1"/>
  <c r="O68" i="12"/>
  <c r="N67" i="12"/>
  <c r="T67" i="12" s="1"/>
  <c r="M67" i="12"/>
  <c r="S67" i="12" s="1"/>
  <c r="L67" i="12"/>
  <c r="R67" i="12" s="1"/>
  <c r="K67" i="12"/>
  <c r="Q67" i="12" s="1"/>
  <c r="T66" i="12"/>
  <c r="R66" i="12"/>
  <c r="N66" i="12"/>
  <c r="M66" i="12"/>
  <c r="S66" i="12" s="1"/>
  <c r="L66" i="12"/>
  <c r="K66" i="12"/>
  <c r="Q66" i="12" s="1"/>
  <c r="Q65" i="12"/>
  <c r="N65" i="12"/>
  <c r="T65" i="12" s="1"/>
  <c r="M65" i="12"/>
  <c r="S65" i="12" s="1"/>
  <c r="L65" i="12"/>
  <c r="R65" i="12" s="1"/>
  <c r="K65" i="12"/>
  <c r="T64" i="12"/>
  <c r="R64" i="12"/>
  <c r="N64" i="12"/>
  <c r="M64" i="12"/>
  <c r="S64" i="12" s="1"/>
  <c r="L64" i="12"/>
  <c r="K64" i="12"/>
  <c r="Q64" i="12" s="1"/>
  <c r="N63" i="12"/>
  <c r="T63" i="12" s="1"/>
  <c r="M63" i="12"/>
  <c r="S63" i="12" s="1"/>
  <c r="L63" i="12"/>
  <c r="R63" i="12" s="1"/>
  <c r="K63" i="12"/>
  <c r="Q63" i="12" s="1"/>
  <c r="T62" i="12"/>
  <c r="R62" i="12"/>
  <c r="N62" i="12"/>
  <c r="M62" i="12"/>
  <c r="S62" i="12" s="1"/>
  <c r="L62" i="12"/>
  <c r="K62" i="12"/>
  <c r="Q62" i="12" s="1"/>
  <c r="Q61" i="12"/>
  <c r="N61" i="12"/>
  <c r="T61" i="12" s="1"/>
  <c r="M61" i="12"/>
  <c r="S61" i="12" s="1"/>
  <c r="L61" i="12"/>
  <c r="R61" i="12" s="1"/>
  <c r="K61" i="12"/>
  <c r="N60" i="12"/>
  <c r="T60" i="12" s="1"/>
  <c r="M60" i="12"/>
  <c r="S60" i="12" s="1"/>
  <c r="L60" i="12"/>
  <c r="R60" i="12" s="1"/>
  <c r="K60" i="12"/>
  <c r="Q60" i="12" s="1"/>
  <c r="N59" i="12"/>
  <c r="T59" i="12" s="1"/>
  <c r="M59" i="12"/>
  <c r="S59" i="12" s="1"/>
  <c r="L59" i="12"/>
  <c r="R59" i="12" s="1"/>
  <c r="K59" i="12"/>
  <c r="Q59" i="12" s="1"/>
  <c r="T58" i="12"/>
  <c r="N58" i="12"/>
  <c r="M58" i="12"/>
  <c r="S58" i="12" s="1"/>
  <c r="L58" i="12"/>
  <c r="R58" i="12" s="1"/>
  <c r="K58" i="12"/>
  <c r="Q58" i="12" s="1"/>
  <c r="S57" i="12"/>
  <c r="N57" i="12"/>
  <c r="T57" i="12" s="1"/>
  <c r="M57" i="12"/>
  <c r="L57" i="12"/>
  <c r="R57" i="12" s="1"/>
  <c r="K57" i="12"/>
  <c r="Q57" i="12" s="1"/>
  <c r="N56" i="12"/>
  <c r="T56" i="12" s="1"/>
  <c r="M56" i="12"/>
  <c r="S56" i="12" s="1"/>
  <c r="L56" i="12"/>
  <c r="R56" i="12" s="1"/>
  <c r="K56" i="12"/>
  <c r="Q56" i="12" s="1"/>
  <c r="N55" i="12"/>
  <c r="T55" i="12" s="1"/>
  <c r="M55" i="12"/>
  <c r="S55" i="12" s="1"/>
  <c r="L55" i="12"/>
  <c r="R55" i="12" s="1"/>
  <c r="K55" i="12"/>
  <c r="Q55" i="12" s="1"/>
  <c r="N54" i="12"/>
  <c r="T54" i="12" s="1"/>
  <c r="M54" i="12"/>
  <c r="S54" i="12" s="1"/>
  <c r="L54" i="12"/>
  <c r="R54" i="12" s="1"/>
  <c r="K54" i="12"/>
  <c r="Q54" i="12" s="1"/>
  <c r="N53" i="12"/>
  <c r="T53" i="12" s="1"/>
  <c r="M53" i="12"/>
  <c r="S53" i="12" s="1"/>
  <c r="L53" i="12"/>
  <c r="R53" i="12" s="1"/>
  <c r="K53" i="12"/>
  <c r="Q53" i="12" s="1"/>
  <c r="N52" i="12"/>
  <c r="T52" i="12" s="1"/>
  <c r="M52" i="12"/>
  <c r="S52" i="12" s="1"/>
  <c r="L52" i="12"/>
  <c r="R52" i="12" s="1"/>
  <c r="K52" i="12"/>
  <c r="Q52" i="12" s="1"/>
  <c r="O45" i="12"/>
  <c r="P84" i="12" s="1"/>
  <c r="N44" i="12"/>
  <c r="T44" i="12" s="1"/>
  <c r="M44" i="12"/>
  <c r="S44" i="12" s="1"/>
  <c r="L44" i="12"/>
  <c r="R44" i="12" s="1"/>
  <c r="K44" i="12"/>
  <c r="Q44" i="12" s="1"/>
  <c r="P43" i="12"/>
  <c r="N43" i="12"/>
  <c r="T43" i="12" s="1"/>
  <c r="M43" i="12"/>
  <c r="S43" i="12" s="1"/>
  <c r="L43" i="12"/>
  <c r="R43" i="12" s="1"/>
  <c r="K43" i="12"/>
  <c r="Q43" i="12" s="1"/>
  <c r="N42" i="12"/>
  <c r="T42" i="12" s="1"/>
  <c r="M42" i="12"/>
  <c r="S42" i="12" s="1"/>
  <c r="L42" i="12"/>
  <c r="R42" i="12" s="1"/>
  <c r="K42" i="12"/>
  <c r="Q42" i="12" s="1"/>
  <c r="N41" i="12"/>
  <c r="T41" i="12" s="1"/>
  <c r="M41" i="12"/>
  <c r="S41" i="12" s="1"/>
  <c r="L41" i="12"/>
  <c r="R41" i="12" s="1"/>
  <c r="K41" i="12"/>
  <c r="Q41" i="12" s="1"/>
  <c r="S40" i="12"/>
  <c r="N40" i="12"/>
  <c r="T40" i="12" s="1"/>
  <c r="M40" i="12"/>
  <c r="L40" i="12"/>
  <c r="R40" i="12" s="1"/>
  <c r="K40" i="12"/>
  <c r="Q40" i="12" s="1"/>
  <c r="T39" i="12"/>
  <c r="R39" i="12"/>
  <c r="N39" i="12"/>
  <c r="M39" i="12"/>
  <c r="S39" i="12" s="1"/>
  <c r="L39" i="12"/>
  <c r="K39" i="12"/>
  <c r="Q39" i="12" s="1"/>
  <c r="N38" i="12"/>
  <c r="T38" i="12" s="1"/>
  <c r="M38" i="12"/>
  <c r="S38" i="12" s="1"/>
  <c r="L38" i="12"/>
  <c r="R38" i="12" s="1"/>
  <c r="K38" i="12"/>
  <c r="Q38" i="12" s="1"/>
  <c r="N37" i="12"/>
  <c r="T37" i="12" s="1"/>
  <c r="M37" i="12"/>
  <c r="S37" i="12" s="1"/>
  <c r="L37" i="12"/>
  <c r="R37" i="12" s="1"/>
  <c r="K37" i="12"/>
  <c r="Q37" i="12" s="1"/>
  <c r="Q36" i="12"/>
  <c r="N36" i="12"/>
  <c r="T36" i="12" s="1"/>
  <c r="M36" i="12"/>
  <c r="S36" i="12" s="1"/>
  <c r="L36" i="12"/>
  <c r="R36" i="12" s="1"/>
  <c r="K36" i="12"/>
  <c r="N35" i="12"/>
  <c r="T35" i="12" s="1"/>
  <c r="M35" i="12"/>
  <c r="S35" i="12" s="1"/>
  <c r="L35" i="12"/>
  <c r="R35" i="12" s="1"/>
  <c r="K35" i="12"/>
  <c r="Q35" i="12" s="1"/>
  <c r="P34" i="12"/>
  <c r="N34" i="12"/>
  <c r="T34" i="12" s="1"/>
  <c r="M34" i="12"/>
  <c r="S34" i="12" s="1"/>
  <c r="L34" i="12"/>
  <c r="R34" i="12" s="1"/>
  <c r="K34" i="12"/>
  <c r="Q34" i="12" s="1"/>
  <c r="P33" i="12"/>
  <c r="N33" i="12"/>
  <c r="T33" i="12" s="1"/>
  <c r="M33" i="12"/>
  <c r="S33" i="12" s="1"/>
  <c r="L33" i="12"/>
  <c r="R33" i="12" s="1"/>
  <c r="K33" i="12"/>
  <c r="Q33" i="12" s="1"/>
  <c r="S32" i="12"/>
  <c r="N32" i="12"/>
  <c r="T32" i="12" s="1"/>
  <c r="M32" i="12"/>
  <c r="L32" i="12"/>
  <c r="R32" i="12" s="1"/>
  <c r="K32" i="12"/>
  <c r="Q32" i="12" s="1"/>
  <c r="T31" i="12"/>
  <c r="R31" i="12"/>
  <c r="N31" i="12"/>
  <c r="M31" i="12"/>
  <c r="S31" i="12" s="1"/>
  <c r="L31" i="12"/>
  <c r="K31" i="12"/>
  <c r="Q31" i="12" s="1"/>
  <c r="N30" i="12"/>
  <c r="T30" i="12" s="1"/>
  <c r="M30" i="12"/>
  <c r="S30" i="12" s="1"/>
  <c r="L30" i="12"/>
  <c r="R30" i="12" s="1"/>
  <c r="K30" i="12"/>
  <c r="Q30" i="12" s="1"/>
  <c r="N29" i="12"/>
  <c r="T29" i="12" s="1"/>
  <c r="M29" i="12"/>
  <c r="S29" i="12" s="1"/>
  <c r="L29" i="12"/>
  <c r="R29" i="12" s="1"/>
  <c r="K29" i="12"/>
  <c r="Q29" i="12" s="1"/>
  <c r="O22" i="12"/>
  <c r="P17" i="12" s="1"/>
  <c r="S21" i="12"/>
  <c r="N21" i="12"/>
  <c r="T21" i="12" s="1"/>
  <c r="M21" i="12"/>
  <c r="L21" i="12"/>
  <c r="R21" i="12" s="1"/>
  <c r="K21" i="12"/>
  <c r="Q21" i="12" s="1"/>
  <c r="N20" i="12"/>
  <c r="T20" i="12" s="1"/>
  <c r="M20" i="12"/>
  <c r="S20" i="12" s="1"/>
  <c r="L20" i="12"/>
  <c r="R20" i="12" s="1"/>
  <c r="K20" i="12"/>
  <c r="Q20" i="12" s="1"/>
  <c r="N19" i="12"/>
  <c r="T19" i="12" s="1"/>
  <c r="M19" i="12"/>
  <c r="S19" i="12" s="1"/>
  <c r="L19" i="12"/>
  <c r="R19" i="12" s="1"/>
  <c r="K19" i="12"/>
  <c r="Q19" i="12" s="1"/>
  <c r="R18" i="12"/>
  <c r="P18" i="12"/>
  <c r="N18" i="12"/>
  <c r="T18" i="12" s="1"/>
  <c r="M18" i="12"/>
  <c r="S18" i="12" s="1"/>
  <c r="L18" i="12"/>
  <c r="K18" i="12"/>
  <c r="Q18" i="12" s="1"/>
  <c r="Q17" i="12"/>
  <c r="N17" i="12"/>
  <c r="T17" i="12" s="1"/>
  <c r="M17" i="12"/>
  <c r="S17" i="12" s="1"/>
  <c r="L17" i="12"/>
  <c r="R17" i="12" s="1"/>
  <c r="K17" i="12"/>
  <c r="N16" i="12"/>
  <c r="T16" i="12" s="1"/>
  <c r="M16" i="12"/>
  <c r="S16" i="12" s="1"/>
  <c r="L16" i="12"/>
  <c r="R16" i="12" s="1"/>
  <c r="K16" i="12"/>
  <c r="Q16" i="12" s="1"/>
  <c r="N15" i="12"/>
  <c r="T15" i="12" s="1"/>
  <c r="M15" i="12"/>
  <c r="S15" i="12" s="1"/>
  <c r="L15" i="12"/>
  <c r="R15" i="12" s="1"/>
  <c r="K15" i="12"/>
  <c r="Q15" i="12" s="1"/>
  <c r="N14" i="12"/>
  <c r="T14" i="12" s="1"/>
  <c r="M14" i="12"/>
  <c r="S14" i="12" s="1"/>
  <c r="L14" i="12"/>
  <c r="R14" i="12" s="1"/>
  <c r="K14" i="12"/>
  <c r="Q14" i="12" s="1"/>
  <c r="T13" i="12"/>
  <c r="N13" i="12"/>
  <c r="M13" i="12"/>
  <c r="S13" i="12" s="1"/>
  <c r="L13" i="12"/>
  <c r="R13" i="12" s="1"/>
  <c r="K13" i="12"/>
  <c r="Q13" i="12" s="1"/>
  <c r="T12" i="12"/>
  <c r="N12" i="12"/>
  <c r="M12" i="12"/>
  <c r="S12" i="12" s="1"/>
  <c r="L12" i="12"/>
  <c r="R12" i="12" s="1"/>
  <c r="K12" i="12"/>
  <c r="Q12" i="12" s="1"/>
  <c r="N11" i="12"/>
  <c r="T11" i="12" s="1"/>
  <c r="M11" i="12"/>
  <c r="S11" i="12" s="1"/>
  <c r="L11" i="12"/>
  <c r="R11" i="12" s="1"/>
  <c r="K11" i="12"/>
  <c r="Q11" i="12" s="1"/>
  <c r="N10" i="12"/>
  <c r="T10" i="12" s="1"/>
  <c r="M10" i="12"/>
  <c r="S10" i="12" s="1"/>
  <c r="L10" i="12"/>
  <c r="R10" i="12" s="1"/>
  <c r="K10" i="12"/>
  <c r="Q10" i="12" s="1"/>
  <c r="S9" i="12"/>
  <c r="Q9" i="12"/>
  <c r="N9" i="12"/>
  <c r="T9" i="12" s="1"/>
  <c r="M9" i="12"/>
  <c r="L9" i="12"/>
  <c r="R9" i="12" s="1"/>
  <c r="K9" i="12"/>
  <c r="T8" i="12"/>
  <c r="Q8" i="12"/>
  <c r="N8" i="12"/>
  <c r="M8" i="12"/>
  <c r="S8" i="12" s="1"/>
  <c r="L8" i="12"/>
  <c r="R8" i="12" s="1"/>
  <c r="K8" i="12"/>
  <c r="N7" i="12"/>
  <c r="T7" i="12" s="1"/>
  <c r="M7" i="12"/>
  <c r="S7" i="12" s="1"/>
  <c r="L7" i="12"/>
  <c r="R7" i="12" s="1"/>
  <c r="K7" i="12"/>
  <c r="Q7" i="12" s="1"/>
  <c r="T6" i="12"/>
  <c r="R6" i="12"/>
  <c r="N6" i="12"/>
  <c r="M6" i="12"/>
  <c r="S6" i="12" s="1"/>
  <c r="L6" i="12"/>
  <c r="K6" i="12"/>
  <c r="Q6" i="12" s="1"/>
  <c r="AC235" i="12"/>
  <c r="AB235" i="12"/>
  <c r="AA235" i="12"/>
  <c r="Z235" i="12"/>
  <c r="Y235" i="12"/>
  <c r="X235" i="12"/>
  <c r="W235" i="12"/>
  <c r="V235" i="12"/>
  <c r="U235" i="12"/>
  <c r="T235" i="12"/>
  <c r="S235" i="12"/>
  <c r="R235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L153" i="12"/>
  <c r="K153" i="12"/>
  <c r="J153" i="12"/>
  <c r="G153" i="12"/>
  <c r="P152" i="12"/>
  <c r="O152" i="12"/>
  <c r="N152" i="12"/>
  <c r="H152" i="12"/>
  <c r="Q152" i="12" s="1"/>
  <c r="P151" i="12"/>
  <c r="O151" i="12"/>
  <c r="N151" i="12"/>
  <c r="H151" i="12"/>
  <c r="Q151" i="12" s="1"/>
  <c r="P150" i="12"/>
  <c r="O150" i="12"/>
  <c r="N150" i="12"/>
  <c r="H150" i="12"/>
  <c r="Q150" i="12" s="1"/>
  <c r="P149" i="12"/>
  <c r="O149" i="12"/>
  <c r="N149" i="12"/>
  <c r="H149" i="12"/>
  <c r="Q149" i="12" s="1"/>
  <c r="P148" i="12"/>
  <c r="O148" i="12"/>
  <c r="N148" i="12"/>
  <c r="H148" i="12"/>
  <c r="Q148" i="12" s="1"/>
  <c r="P147" i="12"/>
  <c r="O147" i="12"/>
  <c r="N147" i="12"/>
  <c r="H147" i="12"/>
  <c r="Q147" i="12" s="1"/>
  <c r="P146" i="12"/>
  <c r="O146" i="12"/>
  <c r="N146" i="12"/>
  <c r="H146" i="12"/>
  <c r="Q146" i="12" s="1"/>
  <c r="P145" i="12"/>
  <c r="O145" i="12"/>
  <c r="N145" i="12"/>
  <c r="H145" i="12"/>
  <c r="Q145" i="12" s="1"/>
  <c r="P144" i="12"/>
  <c r="O144" i="12"/>
  <c r="N144" i="12"/>
  <c r="H144" i="12"/>
  <c r="Q144" i="12" s="1"/>
  <c r="P143" i="12"/>
  <c r="O143" i="12"/>
  <c r="N143" i="12"/>
  <c r="H143" i="12"/>
  <c r="Q143" i="12" s="1"/>
  <c r="P142" i="12"/>
  <c r="O142" i="12"/>
  <c r="N142" i="12"/>
  <c r="H142" i="12"/>
  <c r="Q142" i="12" s="1"/>
  <c r="P141" i="12"/>
  <c r="O141" i="12"/>
  <c r="N141" i="12"/>
  <c r="H141" i="12"/>
  <c r="Q141" i="12" s="1"/>
  <c r="Q140" i="12"/>
  <c r="P140" i="12"/>
  <c r="O140" i="12"/>
  <c r="N140" i="12"/>
  <c r="H140" i="12"/>
  <c r="P139" i="12"/>
  <c r="O139" i="12"/>
  <c r="N139" i="12"/>
  <c r="H139" i="12"/>
  <c r="Q139" i="12" s="1"/>
  <c r="P138" i="12"/>
  <c r="O138" i="12"/>
  <c r="N138" i="12"/>
  <c r="H138" i="12"/>
  <c r="Q138" i="12" s="1"/>
  <c r="P137" i="12"/>
  <c r="O137" i="12"/>
  <c r="N137" i="12"/>
  <c r="H137" i="12"/>
  <c r="Q137" i="12" s="1"/>
  <c r="F46" i="21" l="1"/>
  <c r="T13" i="21"/>
  <c r="S13" i="28" s="1"/>
  <c r="AB29" i="23"/>
  <c r="E46" i="21"/>
  <c r="O9" i="28"/>
  <c r="N9" i="28"/>
  <c r="N22" i="21"/>
  <c r="P9" i="28"/>
  <c r="Q18" i="28"/>
  <c r="Q19" i="21"/>
  <c r="Q19" i="28" s="1"/>
  <c r="Q9" i="28"/>
  <c r="F22" i="27"/>
  <c r="G22" i="27" s="1"/>
  <c r="R13" i="28"/>
  <c r="J9" i="28"/>
  <c r="D17" i="27"/>
  <c r="E17" i="27" s="1"/>
  <c r="U40" i="26"/>
  <c r="V25" i="23"/>
  <c r="G25" i="23"/>
  <c r="X41" i="26"/>
  <c r="I41" i="26"/>
  <c r="I40" i="26"/>
  <c r="J25" i="23"/>
  <c r="AA41" i="26"/>
  <c r="AA40" i="26"/>
  <c r="U25" i="23"/>
  <c r="I25" i="23"/>
  <c r="M41" i="26"/>
  <c r="F41" i="26"/>
  <c r="F40" i="26"/>
  <c r="O25" i="23"/>
  <c r="D25" i="23"/>
  <c r="Q41" i="26"/>
  <c r="Q40" i="26"/>
  <c r="R25" i="23"/>
  <c r="T25" i="23"/>
  <c r="L41" i="26"/>
  <c r="E41" i="26"/>
  <c r="Z41" i="26"/>
  <c r="D40" i="26"/>
  <c r="N41" i="26"/>
  <c r="N40" i="26"/>
  <c r="W25" i="23"/>
  <c r="H25" i="23"/>
  <c r="Y41" i="26"/>
  <c r="Y40" i="26"/>
  <c r="Z25" i="23"/>
  <c r="L40" i="26"/>
  <c r="T41" i="26"/>
  <c r="O41" i="26"/>
  <c r="Z40" i="26"/>
  <c r="Y25" i="23"/>
  <c r="E25" i="23"/>
  <c r="V41" i="26"/>
  <c r="V40" i="26"/>
  <c r="G40" i="26"/>
  <c r="P25" i="23"/>
  <c r="D41" i="26"/>
  <c r="J41" i="26"/>
  <c r="J40" i="26"/>
  <c r="K25" i="23"/>
  <c r="W40" i="26"/>
  <c r="AA25" i="23"/>
  <c r="X40" i="26"/>
  <c r="S40" i="26"/>
  <c r="M25" i="23"/>
  <c r="L25" i="23"/>
  <c r="G41" i="26"/>
  <c r="O40" i="26"/>
  <c r="X25" i="23"/>
  <c r="T40" i="26"/>
  <c r="R41" i="26"/>
  <c r="R40" i="26"/>
  <c r="S25" i="23"/>
  <c r="H40" i="26"/>
  <c r="N25" i="23"/>
  <c r="E40" i="26"/>
  <c r="F25" i="23"/>
  <c r="W41" i="26"/>
  <c r="H41" i="26"/>
  <c r="P40" i="26"/>
  <c r="Q25" i="23"/>
  <c r="U41" i="26"/>
  <c r="K41" i="26"/>
  <c r="K40" i="26"/>
  <c r="M40" i="26"/>
  <c r="P41" i="26"/>
  <c r="S41" i="26"/>
  <c r="G18" i="27"/>
  <c r="H18" i="27"/>
  <c r="I18" i="27" s="1"/>
  <c r="V9" i="21"/>
  <c r="U9" i="21"/>
  <c r="M50" i="26"/>
  <c r="R9" i="21"/>
  <c r="H33" i="23"/>
  <c r="H47" i="23" s="1"/>
  <c r="H48" i="23" s="1"/>
  <c r="C105" i="22"/>
  <c r="G9" i="22"/>
  <c r="H30" i="22"/>
  <c r="H10" i="22"/>
  <c r="H18" i="22"/>
  <c r="H34" i="22"/>
  <c r="P68" i="22"/>
  <c r="P32" i="22"/>
  <c r="P40" i="22"/>
  <c r="AL165" i="22"/>
  <c r="AC165" i="22"/>
  <c r="AG165" i="22" s="1"/>
  <c r="AL166" i="22"/>
  <c r="F86" i="22" s="1"/>
  <c r="AC166" i="22"/>
  <c r="AG166" i="22" s="1"/>
  <c r="AC162" i="22"/>
  <c r="AG162" i="22" s="1"/>
  <c r="AL162" i="22"/>
  <c r="AL164" i="22"/>
  <c r="AC164" i="22"/>
  <c r="AG164" i="22" s="1"/>
  <c r="AL167" i="22"/>
  <c r="AC167" i="22"/>
  <c r="AG167" i="22" s="1"/>
  <c r="P34" i="22"/>
  <c r="P42" i="22"/>
  <c r="AL180" i="22"/>
  <c r="AC180" i="22"/>
  <c r="AG180" i="22" s="1"/>
  <c r="P43" i="22"/>
  <c r="AL157" i="22"/>
  <c r="AC157" i="22"/>
  <c r="AG157" i="22" s="1"/>
  <c r="AL158" i="22"/>
  <c r="AC158" i="22"/>
  <c r="AG158" i="22" s="1"/>
  <c r="AC187" i="22"/>
  <c r="AG187" i="22" s="1"/>
  <c r="AL187" i="22"/>
  <c r="AC154" i="22"/>
  <c r="AG154" i="22" s="1"/>
  <c r="AL154" i="22"/>
  <c r="F21" i="22" s="1"/>
  <c r="AL156" i="22"/>
  <c r="AC156" i="22"/>
  <c r="AG156" i="22" s="1"/>
  <c r="AL159" i="22"/>
  <c r="AC159" i="22"/>
  <c r="AG159" i="22" s="1"/>
  <c r="AL176" i="22"/>
  <c r="F42" i="22" s="1"/>
  <c r="AC176" i="22"/>
  <c r="AG176" i="22" s="1"/>
  <c r="AL177" i="22"/>
  <c r="AC177" i="22"/>
  <c r="AG177" i="22" s="1"/>
  <c r="T43" i="22" s="1"/>
  <c r="N43" i="22" s="1"/>
  <c r="AC192" i="22"/>
  <c r="AG192" i="22" s="1"/>
  <c r="AL192" i="22"/>
  <c r="P9" i="22"/>
  <c r="P22" i="22" s="1"/>
  <c r="P13" i="22"/>
  <c r="P17" i="22"/>
  <c r="P21" i="22"/>
  <c r="P29" i="22"/>
  <c r="P37" i="22"/>
  <c r="AL173" i="22"/>
  <c r="AC173" i="22"/>
  <c r="AG173" i="22" s="1"/>
  <c r="AC174" i="22"/>
  <c r="AG174" i="22" s="1"/>
  <c r="AL174" i="22"/>
  <c r="AL179" i="22"/>
  <c r="AC179" i="22"/>
  <c r="AG179" i="22" s="1"/>
  <c r="P30" i="22"/>
  <c r="P38" i="22"/>
  <c r="P103" i="22"/>
  <c r="AL149" i="22"/>
  <c r="AC149" i="22"/>
  <c r="AG149" i="22" s="1"/>
  <c r="AL150" i="22"/>
  <c r="F17" i="22" s="1"/>
  <c r="AC150" i="22"/>
  <c r="AG150" i="22" s="1"/>
  <c r="AC170" i="22"/>
  <c r="AG170" i="22" s="1"/>
  <c r="AL170" i="22"/>
  <c r="AL172" i="22"/>
  <c r="AC172" i="22"/>
  <c r="AG172" i="22" s="1"/>
  <c r="AC190" i="22"/>
  <c r="AG190" i="22" s="1"/>
  <c r="AL190" i="22"/>
  <c r="AC198" i="22"/>
  <c r="AG198" i="22" s="1"/>
  <c r="AL198" i="22"/>
  <c r="O118" i="22"/>
  <c r="P104" i="22" s="1"/>
  <c r="AL148" i="22"/>
  <c r="F7" i="22" s="1"/>
  <c r="AC148" i="22"/>
  <c r="AG148" i="22" s="1"/>
  <c r="AL151" i="22"/>
  <c r="AC151" i="22"/>
  <c r="AG151" i="22" s="1"/>
  <c r="AL178" i="22"/>
  <c r="AC178" i="22"/>
  <c r="AG178" i="22" s="1"/>
  <c r="AC182" i="22"/>
  <c r="AG182" i="22" s="1"/>
  <c r="AL182" i="22"/>
  <c r="AM175" i="22"/>
  <c r="AP176" i="22"/>
  <c r="AN178" i="22"/>
  <c r="AJ181" i="22"/>
  <c r="E54" i="22" s="1"/>
  <c r="AB181" i="22"/>
  <c r="AF181" i="22" s="1"/>
  <c r="AN182" i="22"/>
  <c r="AQ183" i="22"/>
  <c r="AI185" i="22"/>
  <c r="D58" i="22" s="1"/>
  <c r="AA185" i="22"/>
  <c r="AE185" i="22" s="1"/>
  <c r="AB188" i="22"/>
  <c r="AF188" i="22" s="1"/>
  <c r="AH192" i="22"/>
  <c r="Z192" i="22"/>
  <c r="AD192" i="22" s="1"/>
  <c r="AI193" i="22"/>
  <c r="AA193" i="22"/>
  <c r="AE193" i="22" s="1"/>
  <c r="AJ194" i="22"/>
  <c r="AB194" i="22"/>
  <c r="AF194" i="22" s="1"/>
  <c r="Z202" i="22"/>
  <c r="AD202" i="22" s="1"/>
  <c r="AL220" i="22"/>
  <c r="F38" i="22" s="1"/>
  <c r="AC220" i="22"/>
  <c r="AG220" i="22" s="1"/>
  <c r="AJ222" i="22"/>
  <c r="AB222" i="22"/>
  <c r="AF222" i="22" s="1"/>
  <c r="AC233" i="22"/>
  <c r="AG233" i="22" s="1"/>
  <c r="AL233" i="22"/>
  <c r="F12" i="22" s="1"/>
  <c r="AQ236" i="22"/>
  <c r="AC237" i="22"/>
  <c r="AG237" i="22" s="1"/>
  <c r="AL237" i="22"/>
  <c r="AC398" i="22"/>
  <c r="AG398" i="22" s="1"/>
  <c r="AL398" i="22"/>
  <c r="AI438" i="22"/>
  <c r="AA438" i="22"/>
  <c r="AE438" i="22" s="1"/>
  <c r="Z149" i="22"/>
  <c r="AD149" i="22" s="1"/>
  <c r="Q16" i="22" s="1"/>
  <c r="AA150" i="22"/>
  <c r="AE150" i="22" s="1"/>
  <c r="R17" i="22" s="1"/>
  <c r="L17" i="22" s="1"/>
  <c r="H17" i="22" s="1"/>
  <c r="AB151" i="22"/>
  <c r="AF151" i="22" s="1"/>
  <c r="AC152" i="22"/>
  <c r="AG152" i="22" s="1"/>
  <c r="Z157" i="22"/>
  <c r="AD157" i="22" s="1"/>
  <c r="AA158" i="22"/>
  <c r="AE158" i="22" s="1"/>
  <c r="AB159" i="22"/>
  <c r="AF159" i="22" s="1"/>
  <c r="AC160" i="22"/>
  <c r="AG160" i="22" s="1"/>
  <c r="Z165" i="22"/>
  <c r="AD165" i="22" s="1"/>
  <c r="AA166" i="22"/>
  <c r="AE166" i="22" s="1"/>
  <c r="AB167" i="22"/>
  <c r="AF167" i="22" s="1"/>
  <c r="AC168" i="22"/>
  <c r="AG168" i="22" s="1"/>
  <c r="Z173" i="22"/>
  <c r="AD173" i="22" s="1"/>
  <c r="AJ174" i="22"/>
  <c r="AH176" i="22"/>
  <c r="AB179" i="22"/>
  <c r="AF179" i="22" s="1"/>
  <c r="AC181" i="22"/>
  <c r="AG181" i="22" s="1"/>
  <c r="AI183" i="22"/>
  <c r="Z185" i="22"/>
  <c r="AD185" i="22" s="1"/>
  <c r="AJ186" i="22"/>
  <c r="E59" i="22" s="1"/>
  <c r="AB186" i="22"/>
  <c r="AF186" i="22" s="1"/>
  <c r="AC186" i="22"/>
  <c r="AG186" i="22" s="1"/>
  <c r="AB187" i="22"/>
  <c r="AF187" i="22" s="1"/>
  <c r="AC188" i="22"/>
  <c r="AG188" i="22" s="1"/>
  <c r="AM191" i="22"/>
  <c r="AN192" i="22"/>
  <c r="AB193" i="22"/>
  <c r="AF193" i="22" s="1"/>
  <c r="AL195" i="22"/>
  <c r="F75" i="22" s="1"/>
  <c r="AC195" i="22"/>
  <c r="AG195" i="22" s="1"/>
  <c r="Z204" i="22"/>
  <c r="AD204" i="22" s="1"/>
  <c r="AI205" i="22"/>
  <c r="D85" i="22" s="1"/>
  <c r="AC207" i="22"/>
  <c r="AG207" i="22" s="1"/>
  <c r="AL208" i="22"/>
  <c r="AC208" i="22"/>
  <c r="AG208" i="22" s="1"/>
  <c r="AC213" i="22"/>
  <c r="AG213" i="22" s="1"/>
  <c r="AC231" i="22"/>
  <c r="AG231" i="22" s="1"/>
  <c r="T10" i="22" s="1"/>
  <c r="N10" i="22" s="1"/>
  <c r="AL231" i="22"/>
  <c r="F10" i="22" s="1"/>
  <c r="AJ273" i="22"/>
  <c r="AB273" i="22"/>
  <c r="AF273" i="22" s="1"/>
  <c r="AO147" i="22"/>
  <c r="Z148" i="22"/>
  <c r="AD148" i="22" s="1"/>
  <c r="AP148" i="22"/>
  <c r="AA149" i="22"/>
  <c r="AE149" i="22" s="1"/>
  <c r="AB150" i="22"/>
  <c r="AF150" i="22" s="1"/>
  <c r="S17" i="22" s="1"/>
  <c r="M17" i="22" s="1"/>
  <c r="AM153" i="22"/>
  <c r="AN154" i="22"/>
  <c r="AO155" i="22"/>
  <c r="Z156" i="22"/>
  <c r="AD156" i="22" s="1"/>
  <c r="AP156" i="22"/>
  <c r="AA157" i="22"/>
  <c r="AE157" i="22" s="1"/>
  <c r="AB158" i="22"/>
  <c r="AF158" i="22" s="1"/>
  <c r="AM161" i="22"/>
  <c r="AN162" i="22"/>
  <c r="AO163" i="22"/>
  <c r="Z164" i="22"/>
  <c r="AD164" i="22" s="1"/>
  <c r="AP164" i="22"/>
  <c r="AA165" i="22"/>
  <c r="AE165" i="22" s="1"/>
  <c r="AB166" i="22"/>
  <c r="AF166" i="22" s="1"/>
  <c r="AM169" i="22"/>
  <c r="AN170" i="22"/>
  <c r="AO171" i="22"/>
  <c r="Z172" i="22"/>
  <c r="AD172" i="22" s="1"/>
  <c r="AP172" i="22"/>
  <c r="AA173" i="22"/>
  <c r="AE173" i="22" s="1"/>
  <c r="AB185" i="22"/>
  <c r="AF185" i="22" s="1"/>
  <c r="AI189" i="22"/>
  <c r="AC193" i="22"/>
  <c r="AG193" i="22" s="1"/>
  <c r="AH194" i="22"/>
  <c r="AM201" i="22"/>
  <c r="AJ202" i="22"/>
  <c r="AB202" i="22"/>
  <c r="AF202" i="22" s="1"/>
  <c r="AL203" i="22"/>
  <c r="AC203" i="22"/>
  <c r="AG203" i="22" s="1"/>
  <c r="AI209" i="22"/>
  <c r="AA209" i="22"/>
  <c r="AE209" i="22" s="1"/>
  <c r="AN210" i="22"/>
  <c r="AA210" i="22"/>
  <c r="AE210" i="22" s="1"/>
  <c r="AK211" i="22"/>
  <c r="AB211" i="22"/>
  <c r="AF211" i="22" s="1"/>
  <c r="S29" i="22" s="1"/>
  <c r="AC215" i="22"/>
  <c r="AG215" i="22" s="1"/>
  <c r="AQ215" i="22"/>
  <c r="AI217" i="22"/>
  <c r="AA217" i="22"/>
  <c r="AE217" i="22" s="1"/>
  <c r="AC217" i="22"/>
  <c r="AG217" i="22" s="1"/>
  <c r="T35" i="22" s="1"/>
  <c r="N35" i="22" s="1"/>
  <c r="AQ217" i="22"/>
  <c r="AL218" i="22"/>
  <c r="AC218" i="22"/>
  <c r="AG218" i="22" s="1"/>
  <c r="AL219" i="22"/>
  <c r="AC219" i="22"/>
  <c r="AG219" i="22" s="1"/>
  <c r="AC223" i="22"/>
  <c r="AG223" i="22" s="1"/>
  <c r="AL223" i="22"/>
  <c r="AA226" i="22"/>
  <c r="AE226" i="22" s="1"/>
  <c r="R44" i="22" s="1"/>
  <c r="L44" i="22" s="1"/>
  <c r="AC227" i="22"/>
  <c r="AG227" i="22" s="1"/>
  <c r="AL227" i="22"/>
  <c r="AA230" i="22"/>
  <c r="AE230" i="22" s="1"/>
  <c r="R9" i="22" s="1"/>
  <c r="L9" i="22" s="1"/>
  <c r="Z238" i="22"/>
  <c r="AD238" i="22" s="1"/>
  <c r="Q17" i="22" s="1"/>
  <c r="AM238" i="22"/>
  <c r="AA259" i="22"/>
  <c r="AE259" i="22" s="1"/>
  <c r="AN259" i="22"/>
  <c r="AA176" i="22"/>
  <c r="AE176" i="22" s="1"/>
  <c r="R42" i="22" s="1"/>
  <c r="L42" i="22" s="1"/>
  <c r="AI180" i="22"/>
  <c r="AA180" i="22"/>
  <c r="AE180" i="22" s="1"/>
  <c r="AB183" i="22"/>
  <c r="AF183" i="22" s="1"/>
  <c r="AC185" i="22"/>
  <c r="AG185" i="22" s="1"/>
  <c r="AI190" i="22"/>
  <c r="AA190" i="22"/>
  <c r="AE190" i="22" s="1"/>
  <c r="AJ191" i="22"/>
  <c r="AB191" i="22"/>
  <c r="AF191" i="22" s="1"/>
  <c r="AB192" i="22"/>
  <c r="AF192" i="22" s="1"/>
  <c r="AL196" i="22"/>
  <c r="AC196" i="22"/>
  <c r="AG196" i="22" s="1"/>
  <c r="AL200" i="22"/>
  <c r="AI201" i="22"/>
  <c r="D81" i="22" s="1"/>
  <c r="AA201" i="22"/>
  <c r="AE201" i="22" s="1"/>
  <c r="AC210" i="22"/>
  <c r="AG210" i="22" s="1"/>
  <c r="AL212" i="22"/>
  <c r="AC212" i="22"/>
  <c r="AG212" i="22" s="1"/>
  <c r="AL221" i="22"/>
  <c r="AC221" i="22"/>
  <c r="AG221" i="22" s="1"/>
  <c r="AC245" i="22"/>
  <c r="AG245" i="22" s="1"/>
  <c r="AL245" i="22"/>
  <c r="AL246" i="22"/>
  <c r="AC246" i="22"/>
  <c r="AG246" i="22" s="1"/>
  <c r="AQ250" i="22"/>
  <c r="AC250" i="22"/>
  <c r="AG250" i="22" s="1"/>
  <c r="AC259" i="22"/>
  <c r="AG259" i="22" s="1"/>
  <c r="AL259" i="22"/>
  <c r="AH188" i="22"/>
  <c r="AC191" i="22"/>
  <c r="AG191" i="22" s="1"/>
  <c r="AA195" i="22"/>
  <c r="AE195" i="22" s="1"/>
  <c r="AH200" i="22"/>
  <c r="C80" i="22" s="1"/>
  <c r="Z200" i="22"/>
  <c r="AD200" i="22" s="1"/>
  <c r="Q80" i="22" s="1"/>
  <c r="AL204" i="22"/>
  <c r="AC204" i="22"/>
  <c r="AG204" i="22" s="1"/>
  <c r="AL214" i="22"/>
  <c r="AK264" i="22"/>
  <c r="AB264" i="22"/>
  <c r="AF264" i="22" s="1"/>
  <c r="AJ281" i="22"/>
  <c r="AB281" i="22"/>
  <c r="AF281" i="22" s="1"/>
  <c r="AB178" i="22"/>
  <c r="AF178" i="22" s="1"/>
  <c r="AI184" i="22"/>
  <c r="AH189" i="22"/>
  <c r="Z189" i="22"/>
  <c r="AD189" i="22" s="1"/>
  <c r="AH208" i="22"/>
  <c r="Z208" i="22"/>
  <c r="AD208" i="22" s="1"/>
  <c r="AL211" i="22"/>
  <c r="AC211" i="22"/>
  <c r="AG211" i="22" s="1"/>
  <c r="AC232" i="22"/>
  <c r="AG232" i="22" s="1"/>
  <c r="T11" i="22" s="1"/>
  <c r="N11" i="22" s="1"/>
  <c r="AQ232" i="22"/>
  <c r="AC235" i="22"/>
  <c r="AG235" i="22" s="1"/>
  <c r="AL235" i="22"/>
  <c r="AC239" i="22"/>
  <c r="AG239" i="22" s="1"/>
  <c r="AL239" i="22"/>
  <c r="AH241" i="22"/>
  <c r="C20" i="22" s="1"/>
  <c r="Z241" i="22"/>
  <c r="AD241" i="22" s="1"/>
  <c r="AB241" i="22"/>
  <c r="AF241" i="22" s="1"/>
  <c r="AP241" i="22"/>
  <c r="AC147" i="22"/>
  <c r="AG147" i="22" s="1"/>
  <c r="AB154" i="22"/>
  <c r="AF154" i="22" s="1"/>
  <c r="AC155" i="22"/>
  <c r="AG155" i="22" s="1"/>
  <c r="AB162" i="22"/>
  <c r="AF162" i="22" s="1"/>
  <c r="AC163" i="22"/>
  <c r="AG163" i="22" s="1"/>
  <c r="AB170" i="22"/>
  <c r="AF170" i="22" s="1"/>
  <c r="AC171" i="22"/>
  <c r="AG171" i="22" s="1"/>
  <c r="T29" i="22" s="1"/>
  <c r="AJ175" i="22"/>
  <c r="AH179" i="22"/>
  <c r="Z179" i="22"/>
  <c r="AD179" i="22" s="1"/>
  <c r="AH181" i="22"/>
  <c r="AB182" i="22"/>
  <c r="AF182" i="22" s="1"/>
  <c r="AK195" i="22"/>
  <c r="AB195" i="22"/>
  <c r="AF195" i="22" s="1"/>
  <c r="AL202" i="22"/>
  <c r="AM209" i="22"/>
  <c r="Z209" i="22"/>
  <c r="AD209" i="22" s="1"/>
  <c r="AH216" i="22"/>
  <c r="Z216" i="22"/>
  <c r="AD216" i="22" s="1"/>
  <c r="AB216" i="22"/>
  <c r="AF216" i="22" s="1"/>
  <c r="S34" i="22" s="1"/>
  <c r="M34" i="22" s="1"/>
  <c r="AP216" i="22"/>
  <c r="AJ218" i="22"/>
  <c r="AB218" i="22"/>
  <c r="AF218" i="22" s="1"/>
  <c r="S36" i="22" s="1"/>
  <c r="M36" i="22" s="1"/>
  <c r="AC243" i="22"/>
  <c r="AG243" i="22" s="1"/>
  <c r="AL243" i="22"/>
  <c r="AL257" i="22"/>
  <c r="AC257" i="22"/>
  <c r="AG257" i="22" s="1"/>
  <c r="AQ268" i="22"/>
  <c r="AC268" i="22"/>
  <c r="AG268" i="22" s="1"/>
  <c r="AB268" i="22"/>
  <c r="AF268" i="22" s="1"/>
  <c r="AO268" i="22"/>
  <c r="AL275" i="22"/>
  <c r="AC275" i="22"/>
  <c r="AG275" i="22" s="1"/>
  <c r="AL278" i="22"/>
  <c r="AC278" i="22"/>
  <c r="AG278" i="22" s="1"/>
  <c r="Z151" i="22"/>
  <c r="AD151" i="22" s="1"/>
  <c r="Q18" i="22" s="1"/>
  <c r="AA152" i="22"/>
  <c r="AE152" i="22" s="1"/>
  <c r="R19" i="22" s="1"/>
  <c r="L19" i="22" s="1"/>
  <c r="H19" i="22" s="1"/>
  <c r="AB153" i="22"/>
  <c r="AF153" i="22" s="1"/>
  <c r="Z159" i="22"/>
  <c r="AD159" i="22" s="1"/>
  <c r="Q64" i="22" s="1"/>
  <c r="K64" i="22" s="1"/>
  <c r="AA160" i="22"/>
  <c r="AE160" i="22" s="1"/>
  <c r="AB161" i="22"/>
  <c r="AF161" i="22" s="1"/>
  <c r="Z167" i="22"/>
  <c r="AD167" i="22" s="1"/>
  <c r="AA168" i="22"/>
  <c r="AE168" i="22" s="1"/>
  <c r="AB169" i="22"/>
  <c r="AF169" i="22" s="1"/>
  <c r="AL184" i="22"/>
  <c r="AC189" i="22"/>
  <c r="AG189" i="22" s="1"/>
  <c r="AN202" i="22"/>
  <c r="AK203" i="22"/>
  <c r="AB203" i="22"/>
  <c r="AF203" i="22" s="1"/>
  <c r="AC205" i="22"/>
  <c r="AG205" i="22" s="1"/>
  <c r="AB208" i="22"/>
  <c r="AF208" i="22" s="1"/>
  <c r="AJ210" i="22"/>
  <c r="AB210" i="22"/>
  <c r="AF210" i="22" s="1"/>
  <c r="AK219" i="22"/>
  <c r="AB219" i="22"/>
  <c r="AF219" i="22" s="1"/>
  <c r="AI224" i="22"/>
  <c r="D42" i="22" s="1"/>
  <c r="D115" i="22" s="1"/>
  <c r="AA224" i="22"/>
  <c r="AE224" i="22" s="1"/>
  <c r="AI228" i="22"/>
  <c r="AA228" i="22"/>
  <c r="AE228" i="22" s="1"/>
  <c r="AL274" i="22"/>
  <c r="AC274" i="22"/>
  <c r="AG274" i="22" s="1"/>
  <c r="Z217" i="22"/>
  <c r="AD217" i="22" s="1"/>
  <c r="AA218" i="22"/>
  <c r="AE218" i="22" s="1"/>
  <c r="R36" i="22" s="1"/>
  <c r="L36" i="22" s="1"/>
  <c r="AC222" i="22"/>
  <c r="AG222" i="22" s="1"/>
  <c r="AK224" i="22"/>
  <c r="E42" i="22" s="1"/>
  <c r="AN227" i="22"/>
  <c r="AK228" i="22"/>
  <c r="AA243" i="22"/>
  <c r="AE243" i="22" s="1"/>
  <c r="R29" i="22" s="1"/>
  <c r="AN243" i="22"/>
  <c r="AJ243" i="22"/>
  <c r="AH247" i="22"/>
  <c r="C33" i="22" s="1"/>
  <c r="G33" i="22" s="1"/>
  <c r="AQ248" i="22"/>
  <c r="AL249" i="22"/>
  <c r="F35" i="22" s="1"/>
  <c r="AC249" i="22"/>
  <c r="AG249" i="22" s="1"/>
  <c r="AA251" i="22"/>
  <c r="AE251" i="22" s="1"/>
  <c r="AN251" i="22"/>
  <c r="AJ257" i="22"/>
  <c r="E43" i="22" s="1"/>
  <c r="I43" i="22" s="1"/>
  <c r="AC258" i="22"/>
  <c r="AG258" i="22" s="1"/>
  <c r="AI262" i="22"/>
  <c r="D55" i="22" s="1"/>
  <c r="AA262" i="22"/>
  <c r="AE262" i="22" s="1"/>
  <c r="AI264" i="22"/>
  <c r="Z266" i="22"/>
  <c r="AD266" i="22" s="1"/>
  <c r="AM266" i="22"/>
  <c r="AJ271" i="22"/>
  <c r="AB271" i="22"/>
  <c r="AF271" i="22" s="1"/>
  <c r="AI225" i="22"/>
  <c r="AA225" i="22"/>
  <c r="AE225" i="22" s="1"/>
  <c r="AI229" i="22"/>
  <c r="D8" i="22" s="1"/>
  <c r="AA229" i="22"/>
  <c r="AE229" i="22" s="1"/>
  <c r="AI230" i="22"/>
  <c r="D9" i="22" s="1"/>
  <c r="AH231" i="22"/>
  <c r="C10" i="22" s="1"/>
  <c r="AH237" i="22"/>
  <c r="C16" i="22" s="1"/>
  <c r="Z242" i="22"/>
  <c r="AD242" i="22" s="1"/>
  <c r="Q21" i="22" s="1"/>
  <c r="AM242" i="22"/>
  <c r="AI254" i="22"/>
  <c r="D40" i="22" s="1"/>
  <c r="AA254" i="22"/>
  <c r="AE254" i="22" s="1"/>
  <c r="AL261" i="22"/>
  <c r="AQ272" i="22"/>
  <c r="AL273" i="22"/>
  <c r="AC273" i="22"/>
  <c r="AG273" i="22" s="1"/>
  <c r="AB288" i="22"/>
  <c r="AF288" i="22" s="1"/>
  <c r="AK288" i="22"/>
  <c r="AJ315" i="22"/>
  <c r="E37" i="22" s="1"/>
  <c r="AB315" i="22"/>
  <c r="AF315" i="22" s="1"/>
  <c r="AI221" i="22"/>
  <c r="D39" i="22" s="1"/>
  <c r="AA221" i="22"/>
  <c r="AE221" i="22" s="1"/>
  <c r="AC224" i="22"/>
  <c r="AG224" i="22" s="1"/>
  <c r="Z225" i="22"/>
  <c r="AD225" i="22" s="1"/>
  <c r="Q43" i="22" s="1"/>
  <c r="K43" i="22" s="1"/>
  <c r="G43" i="22" s="1"/>
  <c r="AI226" i="22"/>
  <c r="D44" i="22" s="1"/>
  <c r="AC228" i="22"/>
  <c r="AG228" i="22" s="1"/>
  <c r="Z229" i="22"/>
  <c r="AD229" i="22" s="1"/>
  <c r="Q8" i="22" s="1"/>
  <c r="AJ237" i="22"/>
  <c r="E16" i="22" s="1"/>
  <c r="AI246" i="22"/>
  <c r="AA246" i="22"/>
  <c r="AE246" i="22" s="1"/>
  <c r="AK256" i="22"/>
  <c r="AB256" i="22"/>
  <c r="AF256" i="22" s="1"/>
  <c r="AB260" i="22"/>
  <c r="AF260" i="22" s="1"/>
  <c r="AO260" i="22"/>
  <c r="AC267" i="22"/>
  <c r="AG267" i="22" s="1"/>
  <c r="AH269" i="22"/>
  <c r="Z269" i="22"/>
  <c r="AD269" i="22" s="1"/>
  <c r="AL270" i="22"/>
  <c r="AC270" i="22"/>
  <c r="AG270" i="22" s="1"/>
  <c r="AH279" i="22"/>
  <c r="C79" i="22" s="1"/>
  <c r="Z279" i="22"/>
  <c r="AD279" i="22" s="1"/>
  <c r="AB279" i="22"/>
  <c r="AF279" i="22" s="1"/>
  <c r="AP279" i="22"/>
  <c r="AC286" i="22"/>
  <c r="AG286" i="22" s="1"/>
  <c r="AL286" i="22"/>
  <c r="AH291" i="22"/>
  <c r="C6" i="22" s="1"/>
  <c r="Z291" i="22"/>
  <c r="AD291" i="22" s="1"/>
  <c r="AH309" i="22"/>
  <c r="Z309" i="22"/>
  <c r="AD309" i="22" s="1"/>
  <c r="AC310" i="22"/>
  <c r="AG310" i="22" s="1"/>
  <c r="AL310" i="22"/>
  <c r="AJ221" i="22"/>
  <c r="E39" i="22" s="1"/>
  <c r="AH232" i="22"/>
  <c r="Z232" i="22"/>
  <c r="AD232" i="22" s="1"/>
  <c r="AL241" i="22"/>
  <c r="F20" i="22" s="1"/>
  <c r="AC241" i="22"/>
  <c r="AG241" i="22" s="1"/>
  <c r="T20" i="22" s="1"/>
  <c r="N20" i="22" s="1"/>
  <c r="AK248" i="22"/>
  <c r="AB248" i="22"/>
  <c r="AF248" i="22" s="1"/>
  <c r="AB252" i="22"/>
  <c r="AF252" i="22" s="1"/>
  <c r="AO252" i="22"/>
  <c r="Z258" i="22"/>
  <c r="AD258" i="22" s="1"/>
  <c r="Q44" i="22" s="1"/>
  <c r="K44" i="22" s="1"/>
  <c r="G44" i="22" s="1"/>
  <c r="AM258" i="22"/>
  <c r="AJ263" i="22"/>
  <c r="AB263" i="22"/>
  <c r="AF263" i="22" s="1"/>
  <c r="AL281" i="22"/>
  <c r="AC281" i="22"/>
  <c r="AG281" i="22" s="1"/>
  <c r="AC289" i="22"/>
  <c r="AG289" i="22" s="1"/>
  <c r="T89" i="22" s="1"/>
  <c r="AL289" i="22"/>
  <c r="AH300" i="22"/>
  <c r="C15" i="22" s="1"/>
  <c r="Z300" i="22"/>
  <c r="AD300" i="22" s="1"/>
  <c r="Z197" i="22"/>
  <c r="AD197" i="22" s="1"/>
  <c r="Q77" i="22" s="1"/>
  <c r="AA198" i="22"/>
  <c r="AE198" i="22" s="1"/>
  <c r="AB199" i="22"/>
  <c r="AF199" i="22" s="1"/>
  <c r="Z205" i="22"/>
  <c r="AD205" i="22" s="1"/>
  <c r="AA206" i="22"/>
  <c r="AE206" i="22" s="1"/>
  <c r="AB207" i="22"/>
  <c r="AF207" i="22" s="1"/>
  <c r="Z213" i="22"/>
  <c r="AD213" i="22" s="1"/>
  <c r="Q31" i="22" s="1"/>
  <c r="K31" i="22" s="1"/>
  <c r="AA214" i="22"/>
  <c r="AE214" i="22" s="1"/>
  <c r="R32" i="22" s="1"/>
  <c r="L32" i="22" s="1"/>
  <c r="AB215" i="22"/>
  <c r="AF215" i="22" s="1"/>
  <c r="AC216" i="22"/>
  <c r="AG216" i="22" s="1"/>
  <c r="AJ223" i="22"/>
  <c r="AJ226" i="22"/>
  <c r="AB226" i="22"/>
  <c r="AF226" i="22" s="1"/>
  <c r="AJ230" i="22"/>
  <c r="E9" i="22" s="1"/>
  <c r="AB230" i="22"/>
  <c r="AF230" i="22" s="1"/>
  <c r="S9" i="22" s="1"/>
  <c r="M9" i="22" s="1"/>
  <c r="AN239" i="22"/>
  <c r="AK240" i="22"/>
  <c r="E19" i="22" s="1"/>
  <c r="AB240" i="22"/>
  <c r="AF240" i="22" s="1"/>
  <c r="S19" i="22" s="1"/>
  <c r="M19" i="22" s="1"/>
  <c r="AH245" i="22"/>
  <c r="Z245" i="22"/>
  <c r="AD245" i="22" s="1"/>
  <c r="Z250" i="22"/>
  <c r="AD250" i="22" s="1"/>
  <c r="Q36" i="22" s="1"/>
  <c r="K36" i="22" s="1"/>
  <c r="G36" i="22" s="1"/>
  <c r="AM250" i="22"/>
  <c r="AC260" i="22"/>
  <c r="AG260" i="22" s="1"/>
  <c r="AQ264" i="22"/>
  <c r="AL265" i="22"/>
  <c r="AC265" i="22"/>
  <c r="AG265" i="22" s="1"/>
  <c r="AA267" i="22"/>
  <c r="AE267" i="22" s="1"/>
  <c r="AN267" i="22"/>
  <c r="AK272" i="22"/>
  <c r="AB272" i="22"/>
  <c r="AF272" i="22" s="1"/>
  <c r="AI280" i="22"/>
  <c r="AA280" i="22"/>
  <c r="AE280" i="22" s="1"/>
  <c r="AC280" i="22"/>
  <c r="AG280" i="22" s="1"/>
  <c r="AQ280" i="22"/>
  <c r="AC282" i="22"/>
  <c r="AG282" i="22" s="1"/>
  <c r="AL282" i="22"/>
  <c r="Z212" i="22"/>
  <c r="AD212" i="22" s="1"/>
  <c r="AA213" i="22"/>
  <c r="AE213" i="22" s="1"/>
  <c r="AB214" i="22"/>
  <c r="AF214" i="22" s="1"/>
  <c r="Z220" i="22"/>
  <c r="AD220" i="22" s="1"/>
  <c r="AH222" i="22"/>
  <c r="C40" i="22" s="1"/>
  <c r="G40" i="22" s="1"/>
  <c r="AI233" i="22"/>
  <c r="D12" i="22" s="1"/>
  <c r="AA233" i="22"/>
  <c r="AE233" i="22" s="1"/>
  <c r="AC238" i="22"/>
  <c r="AG238" i="22" s="1"/>
  <c r="AJ247" i="22"/>
  <c r="E33" i="22" s="1"/>
  <c r="AB247" i="22"/>
  <c r="AF247" i="22" s="1"/>
  <c r="AH261" i="22"/>
  <c r="Z261" i="22"/>
  <c r="AD261" i="22" s="1"/>
  <c r="AL262" i="22"/>
  <c r="AC262" i="22"/>
  <c r="AG262" i="22" s="1"/>
  <c r="AI270" i="22"/>
  <c r="AA270" i="22"/>
  <c r="AE270" i="22" s="1"/>
  <c r="Z274" i="22"/>
  <c r="AD274" i="22" s="1"/>
  <c r="AM274" i="22"/>
  <c r="AC283" i="22"/>
  <c r="AG283" i="22" s="1"/>
  <c r="AL283" i="22"/>
  <c r="Z187" i="22"/>
  <c r="AD187" i="22" s="1"/>
  <c r="AA188" i="22"/>
  <c r="AE188" i="22" s="1"/>
  <c r="AB189" i="22"/>
  <c r="AF189" i="22" s="1"/>
  <c r="Z195" i="22"/>
  <c r="AD195" i="22" s="1"/>
  <c r="AA196" i="22"/>
  <c r="AE196" i="22" s="1"/>
  <c r="AB197" i="22"/>
  <c r="AF197" i="22" s="1"/>
  <c r="Z203" i="22"/>
  <c r="AD203" i="22" s="1"/>
  <c r="AA204" i="22"/>
  <c r="AE204" i="22" s="1"/>
  <c r="AB205" i="22"/>
  <c r="AF205" i="22" s="1"/>
  <c r="Z211" i="22"/>
  <c r="AD211" i="22" s="1"/>
  <c r="AA212" i="22"/>
  <c r="AE212" i="22" s="1"/>
  <c r="R30" i="22" s="1"/>
  <c r="L30" i="22" s="1"/>
  <c r="AB213" i="22"/>
  <c r="AF213" i="22" s="1"/>
  <c r="Z219" i="22"/>
  <c r="AD219" i="22" s="1"/>
  <c r="Q37" i="22" s="1"/>
  <c r="K37" i="22" s="1"/>
  <c r="AA220" i="22"/>
  <c r="AE220" i="22" s="1"/>
  <c r="AH224" i="22"/>
  <c r="Z224" i="22"/>
  <c r="AD224" i="22" s="1"/>
  <c r="Q42" i="22" s="1"/>
  <c r="K42" i="22" s="1"/>
  <c r="AH228" i="22"/>
  <c r="C7" i="22" s="1"/>
  <c r="Z228" i="22"/>
  <c r="AD228" i="22" s="1"/>
  <c r="AN231" i="22"/>
  <c r="AB232" i="22"/>
  <c r="AF232" i="22" s="1"/>
  <c r="AN235" i="22"/>
  <c r="AB236" i="22"/>
  <c r="AF236" i="22" s="1"/>
  <c r="AB245" i="22"/>
  <c r="AF245" i="22" s="1"/>
  <c r="AH253" i="22"/>
  <c r="C39" i="22" s="1"/>
  <c r="Z253" i="22"/>
  <c r="AD253" i="22" s="1"/>
  <c r="AL254" i="22"/>
  <c r="AC254" i="22"/>
  <c r="AG254" i="22" s="1"/>
  <c r="AJ255" i="22"/>
  <c r="AB255" i="22"/>
  <c r="AF255" i="22" s="1"/>
  <c r="AL269" i="22"/>
  <c r="AB287" i="22"/>
  <c r="AF287" i="22" s="1"/>
  <c r="Z295" i="22"/>
  <c r="AD295" i="22" s="1"/>
  <c r="Q10" i="22" s="1"/>
  <c r="AM295" i="22"/>
  <c r="AB234" i="22"/>
  <c r="AF234" i="22" s="1"/>
  <c r="Z240" i="22"/>
  <c r="AD240" i="22" s="1"/>
  <c r="AA241" i="22"/>
  <c r="AE241" i="22" s="1"/>
  <c r="AB242" i="22"/>
  <c r="AF242" i="22" s="1"/>
  <c r="Z248" i="22"/>
  <c r="AD248" i="22" s="1"/>
  <c r="AA249" i="22"/>
  <c r="AE249" i="22" s="1"/>
  <c r="AB250" i="22"/>
  <c r="AF250" i="22" s="1"/>
  <c r="Z256" i="22"/>
  <c r="AD256" i="22" s="1"/>
  <c r="AA257" i="22"/>
  <c r="AE257" i="22" s="1"/>
  <c r="AB258" i="22"/>
  <c r="AF258" i="22" s="1"/>
  <c r="Z264" i="22"/>
  <c r="AD264" i="22" s="1"/>
  <c r="AA265" i="22"/>
  <c r="AE265" i="22" s="1"/>
  <c r="AB266" i="22"/>
  <c r="AF266" i="22" s="1"/>
  <c r="Z272" i="22"/>
  <c r="AD272" i="22" s="1"/>
  <c r="AA273" i="22"/>
  <c r="AE273" i="22" s="1"/>
  <c r="AB274" i="22"/>
  <c r="AF274" i="22" s="1"/>
  <c r="Z280" i="22"/>
  <c r="AD280" i="22" s="1"/>
  <c r="AA281" i="22"/>
  <c r="AE281" i="22" s="1"/>
  <c r="AB282" i="22"/>
  <c r="AF282" i="22" s="1"/>
  <c r="AH283" i="22"/>
  <c r="Z283" i="22"/>
  <c r="AD283" i="22" s="1"/>
  <c r="AC287" i="22"/>
  <c r="AG287" i="22" s="1"/>
  <c r="AI291" i="22"/>
  <c r="D6" i="22" s="1"/>
  <c r="AA291" i="22"/>
  <c r="AE291" i="22" s="1"/>
  <c r="R6" i="22" s="1"/>
  <c r="AL294" i="22"/>
  <c r="F9" i="22" s="1"/>
  <c r="AC294" i="22"/>
  <c r="AG294" i="22" s="1"/>
  <c r="T9" i="22" s="1"/>
  <c r="N9" i="22" s="1"/>
  <c r="AB294" i="22"/>
  <c r="AF294" i="22" s="1"/>
  <c r="AC297" i="22"/>
  <c r="AG297" i="22" s="1"/>
  <c r="AH299" i="22"/>
  <c r="C14" i="22" s="1"/>
  <c r="Z299" i="22"/>
  <c r="AD299" i="22" s="1"/>
  <c r="Q14" i="22" s="1"/>
  <c r="AI300" i="22"/>
  <c r="D15" i="22" s="1"/>
  <c r="AA300" i="22"/>
  <c r="AE300" i="22" s="1"/>
  <c r="R15" i="22" s="1"/>
  <c r="L15" i="22" s="1"/>
  <c r="AL301" i="22"/>
  <c r="AC301" i="22"/>
  <c r="AG301" i="22" s="1"/>
  <c r="AA307" i="22"/>
  <c r="AE307" i="22" s="1"/>
  <c r="AI307" i="22"/>
  <c r="D29" i="22" s="1"/>
  <c r="AC308" i="22"/>
  <c r="AG308" i="22" s="1"/>
  <c r="AC311" i="22"/>
  <c r="AG311" i="22" s="1"/>
  <c r="AL311" i="22"/>
  <c r="AJ318" i="22"/>
  <c r="AB318" i="22"/>
  <c r="AF318" i="22" s="1"/>
  <c r="AC362" i="22"/>
  <c r="AG362" i="22" s="1"/>
  <c r="AL362" i="22"/>
  <c r="AH284" i="22"/>
  <c r="C84" i="22" s="1"/>
  <c r="AH285" i="22"/>
  <c r="AL290" i="22"/>
  <c r="AJ293" i="22"/>
  <c r="E8" i="22" s="1"/>
  <c r="AB293" i="22"/>
  <c r="AF293" i="22" s="1"/>
  <c r="S8" i="22" s="1"/>
  <c r="M8" i="22" s="1"/>
  <c r="AA293" i="22"/>
  <c r="AE293" i="22" s="1"/>
  <c r="AK295" i="22"/>
  <c r="E10" i="22" s="1"/>
  <c r="AC296" i="22"/>
  <c r="AG296" i="22" s="1"/>
  <c r="AA306" i="22"/>
  <c r="AE306" i="22" s="1"/>
  <c r="R21" i="22" s="1"/>
  <c r="L21" i="22" s="1"/>
  <c r="H21" i="22" s="1"/>
  <c r="AC312" i="22"/>
  <c r="AG312" i="22" s="1"/>
  <c r="AL312" i="22"/>
  <c r="F34" i="22" s="1"/>
  <c r="AL348" i="22"/>
  <c r="AC348" i="22"/>
  <c r="AG348" i="22" s="1"/>
  <c r="AA283" i="22"/>
  <c r="AE283" i="22" s="1"/>
  <c r="R83" i="22" s="1"/>
  <c r="AI292" i="22"/>
  <c r="AA292" i="22"/>
  <c r="AE292" i="22" s="1"/>
  <c r="AB309" i="22"/>
  <c r="AF309" i="22" s="1"/>
  <c r="AH313" i="22"/>
  <c r="C35" i="22" s="1"/>
  <c r="Z313" i="22"/>
  <c r="AD313" i="22" s="1"/>
  <c r="AP313" i="22"/>
  <c r="AB313" i="22"/>
  <c r="AF313" i="22" s="1"/>
  <c r="S35" i="22" s="1"/>
  <c r="M35" i="22" s="1"/>
  <c r="I35" i="22" s="1"/>
  <c r="AJ316" i="22"/>
  <c r="E38" i="22" s="1"/>
  <c r="AB316" i="22"/>
  <c r="AF316" i="22" s="1"/>
  <c r="AC334" i="22"/>
  <c r="AG334" i="22" s="1"/>
  <c r="AL334" i="22"/>
  <c r="AN275" i="22"/>
  <c r="AB283" i="22"/>
  <c r="AF283" i="22" s="1"/>
  <c r="AI284" i="22"/>
  <c r="AA284" i="22"/>
  <c r="AE284" i="22" s="1"/>
  <c r="AJ292" i="22"/>
  <c r="E7" i="22" s="1"/>
  <c r="AB292" i="22"/>
  <c r="AF292" i="22" s="1"/>
  <c r="S7" i="22" s="1"/>
  <c r="M7" i="22" s="1"/>
  <c r="AI301" i="22"/>
  <c r="D16" i="22" s="1"/>
  <c r="AA301" i="22"/>
  <c r="AE301" i="22" s="1"/>
  <c r="AK303" i="22"/>
  <c r="E18" i="22" s="1"/>
  <c r="AB303" i="22"/>
  <c r="AF303" i="22" s="1"/>
  <c r="Z236" i="22"/>
  <c r="AD236" i="22" s="1"/>
  <c r="Q15" i="22" s="1"/>
  <c r="AA237" i="22"/>
  <c r="AE237" i="22" s="1"/>
  <c r="AB238" i="22"/>
  <c r="AF238" i="22" s="1"/>
  <c r="Z244" i="22"/>
  <c r="AD244" i="22" s="1"/>
  <c r="AA245" i="22"/>
  <c r="AE245" i="22" s="1"/>
  <c r="AB246" i="22"/>
  <c r="AF246" i="22" s="1"/>
  <c r="AC247" i="22"/>
  <c r="AG247" i="22" s="1"/>
  <c r="Z252" i="22"/>
  <c r="AD252" i="22" s="1"/>
  <c r="AA253" i="22"/>
  <c r="AE253" i="22" s="1"/>
  <c r="AB254" i="22"/>
  <c r="AF254" i="22" s="1"/>
  <c r="AC255" i="22"/>
  <c r="AG255" i="22" s="1"/>
  <c r="Z260" i="22"/>
  <c r="AD260" i="22" s="1"/>
  <c r="AA261" i="22"/>
  <c r="AE261" i="22" s="1"/>
  <c r="AB262" i="22"/>
  <c r="AF262" i="22" s="1"/>
  <c r="AC263" i="22"/>
  <c r="AG263" i="22" s="1"/>
  <c r="Z268" i="22"/>
  <c r="AD268" i="22" s="1"/>
  <c r="AA269" i="22"/>
  <c r="AE269" i="22" s="1"/>
  <c r="AB270" i="22"/>
  <c r="AF270" i="22" s="1"/>
  <c r="AC271" i="22"/>
  <c r="AG271" i="22" s="1"/>
  <c r="Z276" i="22"/>
  <c r="AD276" i="22" s="1"/>
  <c r="AA277" i="22"/>
  <c r="AE277" i="22" s="1"/>
  <c r="AB278" i="22"/>
  <c r="AF278" i="22" s="1"/>
  <c r="S78" i="22" s="1"/>
  <c r="AC279" i="22"/>
  <c r="AG279" i="22" s="1"/>
  <c r="AI314" i="22"/>
  <c r="D36" i="22" s="1"/>
  <c r="AA314" i="22"/>
  <c r="AE314" i="22" s="1"/>
  <c r="AH344" i="22"/>
  <c r="Z344" i="22"/>
  <c r="AD344" i="22" s="1"/>
  <c r="Z251" i="22"/>
  <c r="AD251" i="22" s="1"/>
  <c r="AA252" i="22"/>
  <c r="AE252" i="22" s="1"/>
  <c r="AB253" i="22"/>
  <c r="AF253" i="22" s="1"/>
  <c r="Z259" i="22"/>
  <c r="AD259" i="22" s="1"/>
  <c r="AA260" i="22"/>
  <c r="AE260" i="22" s="1"/>
  <c r="AB261" i="22"/>
  <c r="AF261" i="22" s="1"/>
  <c r="Z267" i="22"/>
  <c r="AD267" i="22" s="1"/>
  <c r="AA268" i="22"/>
  <c r="AE268" i="22" s="1"/>
  <c r="AB269" i="22"/>
  <c r="AF269" i="22" s="1"/>
  <c r="Z275" i="22"/>
  <c r="AD275" i="22" s="1"/>
  <c r="AA276" i="22"/>
  <c r="AE276" i="22" s="1"/>
  <c r="AB277" i="22"/>
  <c r="AF277" i="22" s="1"/>
  <c r="AJ285" i="22"/>
  <c r="AB285" i="22"/>
  <c r="AF285" i="22" s="1"/>
  <c r="AH290" i="22"/>
  <c r="Z290" i="22"/>
  <c r="AD290" i="22" s="1"/>
  <c r="AL291" i="22"/>
  <c r="AC291" i="22"/>
  <c r="AG291" i="22" s="1"/>
  <c r="AL293" i="22"/>
  <c r="F8" i="22" s="1"/>
  <c r="AC293" i="22"/>
  <c r="AG293" i="22" s="1"/>
  <c r="T8" i="22" s="1"/>
  <c r="N8" i="22" s="1"/>
  <c r="AC295" i="22"/>
  <c r="AG295" i="22" s="1"/>
  <c r="AL307" i="22"/>
  <c r="AC307" i="22"/>
  <c r="AG307" i="22" s="1"/>
  <c r="AL284" i="22"/>
  <c r="AC284" i="22"/>
  <c r="AG284" i="22" s="1"/>
  <c r="AC298" i="22"/>
  <c r="AG298" i="22" s="1"/>
  <c r="T13" i="22" s="1"/>
  <c r="N13" i="22" s="1"/>
  <c r="J13" i="22" s="1"/>
  <c r="AL299" i="22"/>
  <c r="AC299" i="22"/>
  <c r="AG299" i="22" s="1"/>
  <c r="AJ302" i="22"/>
  <c r="E17" i="22" s="1"/>
  <c r="AB302" i="22"/>
  <c r="AF302" i="22" s="1"/>
  <c r="AL304" i="22"/>
  <c r="F19" i="22" s="1"/>
  <c r="AC304" i="22"/>
  <c r="AG304" i="22" s="1"/>
  <c r="AL306" i="22"/>
  <c r="AC306" i="22"/>
  <c r="AG306" i="22" s="1"/>
  <c r="AJ338" i="22"/>
  <c r="E65" i="22" s="1"/>
  <c r="AB338" i="22"/>
  <c r="AF338" i="22" s="1"/>
  <c r="AH312" i="22"/>
  <c r="Z312" i="22"/>
  <c r="AD312" i="22" s="1"/>
  <c r="AI313" i="22"/>
  <c r="AA313" i="22"/>
  <c r="AE313" i="22" s="1"/>
  <c r="AJ314" i="22"/>
  <c r="AB314" i="22"/>
  <c r="AF314" i="22" s="1"/>
  <c r="AB317" i="22"/>
  <c r="AF317" i="22" s="1"/>
  <c r="AJ322" i="22"/>
  <c r="AB322" i="22"/>
  <c r="AF322" i="22" s="1"/>
  <c r="AH328" i="22"/>
  <c r="Z328" i="22"/>
  <c r="AD328" i="22" s="1"/>
  <c r="AL330" i="22"/>
  <c r="AC330" i="22"/>
  <c r="AG330" i="22" s="1"/>
  <c r="AI345" i="22"/>
  <c r="AL349" i="22"/>
  <c r="AC349" i="22"/>
  <c r="AG349" i="22" s="1"/>
  <c r="AH366" i="22"/>
  <c r="Z366" i="22"/>
  <c r="AD366" i="22" s="1"/>
  <c r="AC303" i="22"/>
  <c r="AG303" i="22" s="1"/>
  <c r="AJ307" i="22"/>
  <c r="AN308" i="22"/>
  <c r="AL316" i="22"/>
  <c r="AC316" i="22"/>
  <c r="AG316" i="22" s="1"/>
  <c r="AC317" i="22"/>
  <c r="AG317" i="22" s="1"/>
  <c r="AC318" i="22"/>
  <c r="AG318" i="22" s="1"/>
  <c r="AH320" i="22"/>
  <c r="Z320" i="22"/>
  <c r="AD320" i="22" s="1"/>
  <c r="AI329" i="22"/>
  <c r="AA329" i="22"/>
  <c r="AE329" i="22" s="1"/>
  <c r="AC329" i="22"/>
  <c r="AG329" i="22" s="1"/>
  <c r="AQ329" i="22"/>
  <c r="AL331" i="22"/>
  <c r="AC331" i="22"/>
  <c r="AG331" i="22" s="1"/>
  <c r="AL332" i="22"/>
  <c r="AC332" i="22"/>
  <c r="AG332" i="22" s="1"/>
  <c r="AL335" i="22"/>
  <c r="AC335" i="22"/>
  <c r="AG335" i="22" s="1"/>
  <c r="AL336" i="22"/>
  <c r="AC336" i="22"/>
  <c r="AG336" i="22" s="1"/>
  <c r="AI370" i="22"/>
  <c r="AA370" i="22"/>
  <c r="AE370" i="22" s="1"/>
  <c r="AL384" i="22"/>
  <c r="AC384" i="22"/>
  <c r="AG384" i="22" s="1"/>
  <c r="AI387" i="22"/>
  <c r="AA387" i="22"/>
  <c r="AE387" i="22" s="1"/>
  <c r="AB301" i="22"/>
  <c r="AF301" i="22" s="1"/>
  <c r="S16" i="22" s="1"/>
  <c r="M16" i="22" s="1"/>
  <c r="AC302" i="22"/>
  <c r="AG302" i="22" s="1"/>
  <c r="AH306" i="22"/>
  <c r="C21" i="22" s="1"/>
  <c r="AL309" i="22"/>
  <c r="AI310" i="22"/>
  <c r="AA310" i="22"/>
  <c r="AE310" i="22" s="1"/>
  <c r="AA311" i="22"/>
  <c r="AE311" i="22" s="1"/>
  <c r="R33" i="22" s="1"/>
  <c r="L33" i="22" s="1"/>
  <c r="H33" i="22" s="1"/>
  <c r="AB312" i="22"/>
  <c r="AF312" i="22" s="1"/>
  <c r="AC313" i="22"/>
  <c r="AG313" i="22" s="1"/>
  <c r="AL319" i="22"/>
  <c r="AL326" i="22"/>
  <c r="AN351" i="22"/>
  <c r="AA351" i="22"/>
  <c r="AE351" i="22" s="1"/>
  <c r="AB368" i="22"/>
  <c r="AF368" i="22" s="1"/>
  <c r="AN296" i="22"/>
  <c r="AO297" i="22"/>
  <c r="Z298" i="22"/>
  <c r="AD298" i="22" s="1"/>
  <c r="Q13" i="22" s="1"/>
  <c r="AA299" i="22"/>
  <c r="AE299" i="22" s="1"/>
  <c r="R14" i="22" s="1"/>
  <c r="L14" i="22" s="1"/>
  <c r="H14" i="22" s="1"/>
  <c r="AB300" i="22"/>
  <c r="AF300" i="22" s="1"/>
  <c r="AM303" i="22"/>
  <c r="AN304" i="22"/>
  <c r="AO305" i="22"/>
  <c r="AH308" i="22"/>
  <c r="C30" i="22" s="1"/>
  <c r="Z310" i="22"/>
  <c r="AD310" i="22" s="1"/>
  <c r="Q32" i="22" s="1"/>
  <c r="K32" i="22" s="1"/>
  <c r="G32" i="22" s="1"/>
  <c r="AJ311" i="22"/>
  <c r="AB311" i="22"/>
  <c r="AF311" i="22" s="1"/>
  <c r="AC315" i="22"/>
  <c r="AG315" i="22" s="1"/>
  <c r="AH336" i="22"/>
  <c r="C58" i="22" s="1"/>
  <c r="Z336" i="22"/>
  <c r="AD336" i="22" s="1"/>
  <c r="AL338" i="22"/>
  <c r="AC338" i="22"/>
  <c r="AG338" i="22" s="1"/>
  <c r="AA349" i="22"/>
  <c r="AE349" i="22" s="1"/>
  <c r="AC351" i="22"/>
  <c r="AG351" i="22" s="1"/>
  <c r="AL351" i="22"/>
  <c r="AI359" i="22"/>
  <c r="AA359" i="22"/>
  <c r="AE359" i="22" s="1"/>
  <c r="AL376" i="22"/>
  <c r="AC376" i="22"/>
  <c r="AG376" i="22" s="1"/>
  <c r="Z289" i="22"/>
  <c r="AD289" i="22" s="1"/>
  <c r="AA290" i="22"/>
  <c r="AE290" i="22" s="1"/>
  <c r="AB291" i="22"/>
  <c r="AF291" i="22" s="1"/>
  <c r="S6" i="22" s="1"/>
  <c r="AC292" i="22"/>
  <c r="AG292" i="22" s="1"/>
  <c r="Z297" i="22"/>
  <c r="AD297" i="22" s="1"/>
  <c r="AA298" i="22"/>
  <c r="AE298" i="22" s="1"/>
  <c r="R13" i="22" s="1"/>
  <c r="L13" i="22" s="1"/>
  <c r="H13" i="22" s="1"/>
  <c r="AB299" i="22"/>
  <c r="AF299" i="22" s="1"/>
  <c r="S14" i="22" s="1"/>
  <c r="M14" i="22" s="1"/>
  <c r="I14" i="22" s="1"/>
  <c r="AC300" i="22"/>
  <c r="AG300" i="22" s="1"/>
  <c r="T15" i="22" s="1"/>
  <c r="N15" i="22" s="1"/>
  <c r="J15" i="22" s="1"/>
  <c r="Z305" i="22"/>
  <c r="AD305" i="22" s="1"/>
  <c r="AJ306" i="22"/>
  <c r="E21" i="22" s="1"/>
  <c r="AL322" i="22"/>
  <c r="AC322" i="22"/>
  <c r="AG322" i="22" s="1"/>
  <c r="AJ330" i="22"/>
  <c r="AB330" i="22"/>
  <c r="AF330" i="22" s="1"/>
  <c r="AI337" i="22"/>
  <c r="AA337" i="22"/>
  <c r="AE337" i="22" s="1"/>
  <c r="AC337" i="22"/>
  <c r="AG337" i="22" s="1"/>
  <c r="AQ337" i="22"/>
  <c r="AL339" i="22"/>
  <c r="AC339" i="22"/>
  <c r="AG339" i="22" s="1"/>
  <c r="AL340" i="22"/>
  <c r="AC340" i="22"/>
  <c r="AG340" i="22" s="1"/>
  <c r="AL343" i="22"/>
  <c r="AC343" i="22"/>
  <c r="AG343" i="22" s="1"/>
  <c r="AC352" i="22"/>
  <c r="AG352" i="22" s="1"/>
  <c r="AL352" i="22"/>
  <c r="AI354" i="22"/>
  <c r="D38" i="22" s="1"/>
  <c r="AA354" i="22"/>
  <c r="AE354" i="22" s="1"/>
  <c r="AK367" i="22"/>
  <c r="AB367" i="22"/>
  <c r="AF367" i="22" s="1"/>
  <c r="Z288" i="22"/>
  <c r="AD288" i="22" s="1"/>
  <c r="AA289" i="22"/>
  <c r="AE289" i="22" s="1"/>
  <c r="AB290" i="22"/>
  <c r="AF290" i="22" s="1"/>
  <c r="Z296" i="22"/>
  <c r="AD296" i="22" s="1"/>
  <c r="AA297" i="22"/>
  <c r="AE297" i="22" s="1"/>
  <c r="AB298" i="22"/>
  <c r="AF298" i="22" s="1"/>
  <c r="Z304" i="22"/>
  <c r="AD304" i="22" s="1"/>
  <c r="AA305" i="22"/>
  <c r="AE305" i="22" s="1"/>
  <c r="AL315" i="22"/>
  <c r="AH317" i="22"/>
  <c r="Z317" i="22"/>
  <c r="AD317" i="22" s="1"/>
  <c r="AA319" i="22"/>
  <c r="AE319" i="22" s="1"/>
  <c r="R41" i="22" s="1"/>
  <c r="L41" i="22" s="1"/>
  <c r="H41" i="22" s="1"/>
  <c r="AI321" i="22"/>
  <c r="AA321" i="22"/>
  <c r="AE321" i="22" s="1"/>
  <c r="AC321" i="22"/>
  <c r="AG321" i="22" s="1"/>
  <c r="AQ321" i="22"/>
  <c r="AL323" i="22"/>
  <c r="AC323" i="22"/>
  <c r="AG323" i="22" s="1"/>
  <c r="AL324" i="22"/>
  <c r="F61" i="22" s="1"/>
  <c r="AC324" i="22"/>
  <c r="AG324" i="22" s="1"/>
  <c r="AL344" i="22"/>
  <c r="AC344" i="22"/>
  <c r="AG344" i="22" s="1"/>
  <c r="AP347" i="22"/>
  <c r="AJ355" i="22"/>
  <c r="AB355" i="22"/>
  <c r="AF355" i="22" s="1"/>
  <c r="AB308" i="22"/>
  <c r="AF308" i="22" s="1"/>
  <c r="S30" i="22" s="1"/>
  <c r="M30" i="22" s="1"/>
  <c r="I30" i="22" s="1"/>
  <c r="AI318" i="22"/>
  <c r="AA318" i="22"/>
  <c r="AE318" i="22" s="1"/>
  <c r="AJ319" i="22"/>
  <c r="AB319" i="22"/>
  <c r="AF319" i="22" s="1"/>
  <c r="AL327" i="22"/>
  <c r="AC327" i="22"/>
  <c r="AG327" i="22" s="1"/>
  <c r="AL328" i="22"/>
  <c r="AC328" i="22"/>
  <c r="AG328" i="22" s="1"/>
  <c r="AB328" i="22"/>
  <c r="AF328" i="22" s="1"/>
  <c r="AB344" i="22"/>
  <c r="AF344" i="22" s="1"/>
  <c r="AP344" i="22"/>
  <c r="Z347" i="22"/>
  <c r="AD347" i="22" s="1"/>
  <c r="AH347" i="22"/>
  <c r="C29" i="22" s="1"/>
  <c r="AJ356" i="22"/>
  <c r="AB356" i="22"/>
  <c r="AF356" i="22" s="1"/>
  <c r="AJ357" i="22"/>
  <c r="AB357" i="22"/>
  <c r="AF357" i="22" s="1"/>
  <c r="AC359" i="22"/>
  <c r="AG359" i="22" s="1"/>
  <c r="Z321" i="22"/>
  <c r="AD321" i="22" s="1"/>
  <c r="AP321" i="22"/>
  <c r="AA322" i="22"/>
  <c r="AE322" i="22" s="1"/>
  <c r="AB323" i="22"/>
  <c r="AF323" i="22" s="1"/>
  <c r="AM326" i="22"/>
  <c r="AN327" i="22"/>
  <c r="AO328" i="22"/>
  <c r="Z329" i="22"/>
  <c r="AD329" i="22" s="1"/>
  <c r="AA330" i="22"/>
  <c r="AE330" i="22" s="1"/>
  <c r="AB331" i="22"/>
  <c r="AF331" i="22" s="1"/>
  <c r="AM334" i="22"/>
  <c r="AN335" i="22"/>
  <c r="AO336" i="22"/>
  <c r="Z337" i="22"/>
  <c r="AD337" i="22" s="1"/>
  <c r="AA338" i="22"/>
  <c r="AE338" i="22" s="1"/>
  <c r="AB339" i="22"/>
  <c r="AF339" i="22" s="1"/>
  <c r="AM342" i="22"/>
  <c r="AN343" i="22"/>
  <c r="AJ345" i="22"/>
  <c r="E89" i="22" s="1"/>
  <c r="AB345" i="22"/>
  <c r="AF345" i="22" s="1"/>
  <c r="AJ350" i="22"/>
  <c r="E32" i="22" s="1"/>
  <c r="AJ352" i="22"/>
  <c r="AH353" i="22"/>
  <c r="C37" i="22" s="1"/>
  <c r="Z353" i="22"/>
  <c r="AD353" i="22" s="1"/>
  <c r="AA353" i="22"/>
  <c r="AE353" i="22" s="1"/>
  <c r="AB354" i="22"/>
  <c r="AF354" i="22" s="1"/>
  <c r="AC355" i="22"/>
  <c r="AG355" i="22" s="1"/>
  <c r="AL359" i="22"/>
  <c r="AB360" i="22"/>
  <c r="AF360" i="22" s="1"/>
  <c r="AI367" i="22"/>
  <c r="AC371" i="22"/>
  <c r="AG371" i="22" s="1"/>
  <c r="AL371" i="22"/>
  <c r="F56" i="22" s="1"/>
  <c r="AJ389" i="22"/>
  <c r="AB389" i="22"/>
  <c r="AF389" i="22" s="1"/>
  <c r="AL390" i="22"/>
  <c r="AC390" i="22"/>
  <c r="AG390" i="22" s="1"/>
  <c r="AQ420" i="22"/>
  <c r="AC420" i="22"/>
  <c r="AG420" i="22" s="1"/>
  <c r="AC345" i="22"/>
  <c r="AG345" i="22" s="1"/>
  <c r="AH351" i="22"/>
  <c r="Z351" i="22"/>
  <c r="AD351" i="22" s="1"/>
  <c r="Q33" i="22" s="1"/>
  <c r="K33" i="22" s="1"/>
  <c r="AL357" i="22"/>
  <c r="AC357" i="22"/>
  <c r="AG357" i="22" s="1"/>
  <c r="AC360" i="22"/>
  <c r="AG360" i="22" s="1"/>
  <c r="AJ366" i="22"/>
  <c r="AB366" i="22"/>
  <c r="AF366" i="22" s="1"/>
  <c r="AL372" i="22"/>
  <c r="AC372" i="22"/>
  <c r="AG372" i="22" s="1"/>
  <c r="AI372" i="22"/>
  <c r="AA376" i="22"/>
  <c r="AE376" i="22" s="1"/>
  <c r="AH396" i="22"/>
  <c r="C12" i="22" s="1"/>
  <c r="Z396" i="22"/>
  <c r="AD396" i="22" s="1"/>
  <c r="AC350" i="22"/>
  <c r="AG350" i="22" s="1"/>
  <c r="AC354" i="22"/>
  <c r="AG354" i="22" s="1"/>
  <c r="AC358" i="22"/>
  <c r="AG358" i="22" s="1"/>
  <c r="AL364" i="22"/>
  <c r="AI365" i="22"/>
  <c r="AA365" i="22"/>
  <c r="AE365" i="22" s="1"/>
  <c r="AL367" i="22"/>
  <c r="AQ369" i="22"/>
  <c r="AC370" i="22"/>
  <c r="AG370" i="22" s="1"/>
  <c r="AH371" i="22"/>
  <c r="Z371" i="22"/>
  <c r="AD371" i="22" s="1"/>
  <c r="AC374" i="22"/>
  <c r="AG374" i="22" s="1"/>
  <c r="AL374" i="22"/>
  <c r="AB382" i="22"/>
  <c r="AF382" i="22" s="1"/>
  <c r="AJ382" i="22"/>
  <c r="AB320" i="22"/>
  <c r="AF320" i="22" s="1"/>
  <c r="AH361" i="22"/>
  <c r="C56" i="22" s="1"/>
  <c r="Z361" i="22"/>
  <c r="AD361" i="22" s="1"/>
  <c r="AJ363" i="22"/>
  <c r="AB363" i="22"/>
  <c r="AF363" i="22" s="1"/>
  <c r="AM375" i="22"/>
  <c r="Z375" i="22"/>
  <c r="AD375" i="22" s="1"/>
  <c r="AH380" i="22"/>
  <c r="Z380" i="22"/>
  <c r="AD380" i="22" s="1"/>
  <c r="AC320" i="22"/>
  <c r="AG320" i="22" s="1"/>
  <c r="Z325" i="22"/>
  <c r="AD325" i="22" s="1"/>
  <c r="AA326" i="22"/>
  <c r="AE326" i="22" s="1"/>
  <c r="R64" i="22" s="1"/>
  <c r="L64" i="22" s="1"/>
  <c r="AB327" i="22"/>
  <c r="AF327" i="22" s="1"/>
  <c r="Z333" i="22"/>
  <c r="AD333" i="22" s="1"/>
  <c r="AA334" i="22"/>
  <c r="AE334" i="22" s="1"/>
  <c r="AB335" i="22"/>
  <c r="AF335" i="22" s="1"/>
  <c r="Z341" i="22"/>
  <c r="AD341" i="22" s="1"/>
  <c r="AA342" i="22"/>
  <c r="AE342" i="22" s="1"/>
  <c r="AB343" i="22"/>
  <c r="AF343" i="22" s="1"/>
  <c r="AI346" i="22"/>
  <c r="D90" i="22" s="1"/>
  <c r="AC347" i="22"/>
  <c r="AG347" i="22" s="1"/>
  <c r="AJ349" i="22"/>
  <c r="E31" i="22" s="1"/>
  <c r="AC361" i="22"/>
  <c r="AG361" i="22" s="1"/>
  <c r="AL368" i="22"/>
  <c r="AC368" i="22"/>
  <c r="AG368" i="22" s="1"/>
  <c r="AH369" i="22"/>
  <c r="Z369" i="22"/>
  <c r="AD369" i="22" s="1"/>
  <c r="AL370" i="22"/>
  <c r="AL375" i="22"/>
  <c r="AB376" i="22"/>
  <c r="AF376" i="22" s="1"/>
  <c r="AK376" i="22"/>
  <c r="AL393" i="22"/>
  <c r="AC393" i="22"/>
  <c r="AG393" i="22" s="1"/>
  <c r="AB393" i="22"/>
  <c r="AF393" i="22" s="1"/>
  <c r="AO393" i="22"/>
  <c r="Z324" i="22"/>
  <c r="AD324" i="22" s="1"/>
  <c r="AA325" i="22"/>
  <c r="AE325" i="22" s="1"/>
  <c r="AB326" i="22"/>
  <c r="AF326" i="22" s="1"/>
  <c r="Z332" i="22"/>
  <c r="AD332" i="22" s="1"/>
  <c r="AA333" i="22"/>
  <c r="AE333" i="22" s="1"/>
  <c r="AB334" i="22"/>
  <c r="AF334" i="22" s="1"/>
  <c r="Z340" i="22"/>
  <c r="AD340" i="22" s="1"/>
  <c r="AA341" i="22"/>
  <c r="AE341" i="22" s="1"/>
  <c r="AB342" i="22"/>
  <c r="AF342" i="22" s="1"/>
  <c r="AL356" i="22"/>
  <c r="AH364" i="22"/>
  <c r="Z364" i="22"/>
  <c r="AD364" i="22" s="1"/>
  <c r="AL365" i="22"/>
  <c r="AC365" i="22"/>
  <c r="AG365" i="22" s="1"/>
  <c r="AK373" i="22"/>
  <c r="AC346" i="22"/>
  <c r="AG346" i="22" s="1"/>
  <c r="AB346" i="22"/>
  <c r="AF346" i="22" s="1"/>
  <c r="AL346" i="22"/>
  <c r="AH354" i="22"/>
  <c r="C38" i="22" s="1"/>
  <c r="Z354" i="22"/>
  <c r="AD354" i="22" s="1"/>
  <c r="AL354" i="22"/>
  <c r="AI355" i="22"/>
  <c r="AA355" i="22"/>
  <c r="AE355" i="22" s="1"/>
  <c r="AI362" i="22"/>
  <c r="AA362" i="22"/>
  <c r="AE362" i="22" s="1"/>
  <c r="R59" i="22" s="1"/>
  <c r="L59" i="22" s="1"/>
  <c r="AB374" i="22"/>
  <c r="AF374" i="22" s="1"/>
  <c r="AC377" i="22"/>
  <c r="AG377" i="22" s="1"/>
  <c r="AL377" i="22"/>
  <c r="AH381" i="22"/>
  <c r="C75" i="22" s="1"/>
  <c r="Z381" i="22"/>
  <c r="AD381" i="22" s="1"/>
  <c r="AC400" i="22"/>
  <c r="AG400" i="22" s="1"/>
  <c r="AL400" i="22"/>
  <c r="AH379" i="22"/>
  <c r="Z379" i="22"/>
  <c r="AD379" i="22" s="1"/>
  <c r="AI380" i="22"/>
  <c r="AA380" i="22"/>
  <c r="AE380" i="22" s="1"/>
  <c r="R67" i="22" s="1"/>
  <c r="L67" i="22" s="1"/>
  <c r="AB385" i="22"/>
  <c r="AF385" i="22" s="1"/>
  <c r="AO385" i="22"/>
  <c r="AL386" i="22"/>
  <c r="AI396" i="22"/>
  <c r="AA396" i="22"/>
  <c r="AE396" i="22" s="1"/>
  <c r="Z401" i="22"/>
  <c r="AD401" i="22" s="1"/>
  <c r="AM401" i="22"/>
  <c r="AH413" i="22"/>
  <c r="C57" i="22" s="1"/>
  <c r="Z413" i="22"/>
  <c r="AD413" i="22" s="1"/>
  <c r="AJ371" i="22"/>
  <c r="AB371" i="22"/>
  <c r="AF371" i="22" s="1"/>
  <c r="AH372" i="22"/>
  <c r="AC373" i="22"/>
  <c r="AG373" i="22" s="1"/>
  <c r="AJ374" i="22"/>
  <c r="AL378" i="22"/>
  <c r="AA379" i="22"/>
  <c r="AE379" i="22" s="1"/>
  <c r="AJ381" i="22"/>
  <c r="AB381" i="22"/>
  <c r="AF381" i="22" s="1"/>
  <c r="AI388" i="22"/>
  <c r="AA388" i="22"/>
  <c r="AE388" i="22" s="1"/>
  <c r="AC394" i="22"/>
  <c r="AG394" i="22" s="1"/>
  <c r="AJ396" i="22"/>
  <c r="E12" i="22" s="1"/>
  <c r="AB396" i="22"/>
  <c r="AF396" i="22" s="1"/>
  <c r="S12" i="22" s="1"/>
  <c r="M12" i="22" s="1"/>
  <c r="AL419" i="22"/>
  <c r="AC419" i="22"/>
  <c r="AG419" i="22" s="1"/>
  <c r="AQ434" i="22"/>
  <c r="AC434" i="22"/>
  <c r="AG434" i="22" s="1"/>
  <c r="AJ388" i="22"/>
  <c r="AB388" i="22"/>
  <c r="AF388" i="22" s="1"/>
  <c r="AA400" i="22"/>
  <c r="AE400" i="22" s="1"/>
  <c r="AC402" i="22"/>
  <c r="AG402" i="22" s="1"/>
  <c r="AL402" i="22"/>
  <c r="Z362" i="22"/>
  <c r="AD362" i="22" s="1"/>
  <c r="AA363" i="22"/>
  <c r="AE363" i="22" s="1"/>
  <c r="AB364" i="22"/>
  <c r="AF364" i="22" s="1"/>
  <c r="Z370" i="22"/>
  <c r="AD370" i="22" s="1"/>
  <c r="AL380" i="22"/>
  <c r="AC380" i="22"/>
  <c r="AG380" i="22" s="1"/>
  <c r="AC381" i="22"/>
  <c r="AG381" i="22" s="1"/>
  <c r="AH394" i="22"/>
  <c r="Z394" i="22"/>
  <c r="AD394" i="22" s="1"/>
  <c r="AL395" i="22"/>
  <c r="F11" i="22" s="1"/>
  <c r="AC395" i="22"/>
  <c r="AG395" i="22" s="1"/>
  <c r="AA403" i="22"/>
  <c r="AE403" i="22" s="1"/>
  <c r="AL418" i="22"/>
  <c r="AC418" i="22"/>
  <c r="AG418" i="22" s="1"/>
  <c r="AH373" i="22"/>
  <c r="C60" i="22" s="1"/>
  <c r="AA375" i="22"/>
  <c r="AE375" i="22" s="1"/>
  <c r="AH376" i="22"/>
  <c r="C63" i="22" s="1"/>
  <c r="Z376" i="22"/>
  <c r="AD376" i="22" s="1"/>
  <c r="Q63" i="22" s="1"/>
  <c r="K63" i="22" s="1"/>
  <c r="AI377" i="22"/>
  <c r="AA377" i="22"/>
  <c r="AE377" i="22" s="1"/>
  <c r="AJ378" i="22"/>
  <c r="AB378" i="22"/>
  <c r="AF378" i="22" s="1"/>
  <c r="AC382" i="22"/>
  <c r="AG382" i="22" s="1"/>
  <c r="AH386" i="22"/>
  <c r="C82" i="22" s="1"/>
  <c r="Z386" i="22"/>
  <c r="AD386" i="22" s="1"/>
  <c r="AL387" i="22"/>
  <c r="AC387" i="22"/>
  <c r="AG387" i="22" s="1"/>
  <c r="AC391" i="22"/>
  <c r="AG391" i="22" s="1"/>
  <c r="AA392" i="22"/>
  <c r="AE392" i="22" s="1"/>
  <c r="AN392" i="22"/>
  <c r="AA384" i="22"/>
  <c r="AE384" i="22" s="1"/>
  <c r="AN384" i="22"/>
  <c r="AH395" i="22"/>
  <c r="Z395" i="22"/>
  <c r="AD395" i="22" s="1"/>
  <c r="AI409" i="22"/>
  <c r="AA409" i="22"/>
  <c r="AE409" i="22" s="1"/>
  <c r="AJ415" i="22"/>
  <c r="AB415" i="22"/>
  <c r="AF415" i="22" s="1"/>
  <c r="AA352" i="22"/>
  <c r="AE352" i="22" s="1"/>
  <c r="AB353" i="22"/>
  <c r="AF353" i="22" s="1"/>
  <c r="Z359" i="22"/>
  <c r="AD359" i="22" s="1"/>
  <c r="AA360" i="22"/>
  <c r="AE360" i="22" s="1"/>
  <c r="AB361" i="22"/>
  <c r="AF361" i="22" s="1"/>
  <c r="Z367" i="22"/>
  <c r="AD367" i="22" s="1"/>
  <c r="AA368" i="22"/>
  <c r="AE368" i="22" s="1"/>
  <c r="AB369" i="22"/>
  <c r="AF369" i="22" s="1"/>
  <c r="AC379" i="22"/>
  <c r="AG379" i="22" s="1"/>
  <c r="AH387" i="22"/>
  <c r="Z387" i="22"/>
  <c r="AD387" i="22" s="1"/>
  <c r="Z391" i="22"/>
  <c r="AD391" i="22" s="1"/>
  <c r="AM391" i="22"/>
  <c r="AI395" i="22"/>
  <c r="D11" i="22" s="1"/>
  <c r="AA395" i="22"/>
  <c r="AE395" i="22" s="1"/>
  <c r="R11" i="22" s="1"/>
  <c r="L11" i="22" s="1"/>
  <c r="AJ397" i="22"/>
  <c r="E34" i="22" s="1"/>
  <c r="AB397" i="22"/>
  <c r="AF397" i="22" s="1"/>
  <c r="AL404" i="22"/>
  <c r="AC404" i="22"/>
  <c r="AG404" i="22" s="1"/>
  <c r="AL406" i="22"/>
  <c r="AL416" i="22"/>
  <c r="AC416" i="22"/>
  <c r="AG416" i="22" s="1"/>
  <c r="AI446" i="22"/>
  <c r="AA446" i="22"/>
  <c r="AE446" i="22" s="1"/>
  <c r="AB452" i="22"/>
  <c r="AF452" i="22" s="1"/>
  <c r="AJ452" i="22"/>
  <c r="Z402" i="22"/>
  <c r="AD402" i="22" s="1"/>
  <c r="AK403" i="22"/>
  <c r="AB403" i="22"/>
  <c r="AF403" i="22" s="1"/>
  <c r="AJ407" i="22"/>
  <c r="AB407" i="22"/>
  <c r="AF407" i="22" s="1"/>
  <c r="AL408" i="22"/>
  <c r="AC408" i="22"/>
  <c r="AG408" i="22" s="1"/>
  <c r="AL412" i="22"/>
  <c r="AC412" i="22"/>
  <c r="AG412" i="22" s="1"/>
  <c r="AI414" i="22"/>
  <c r="AA414" i="22"/>
  <c r="AE414" i="22" s="1"/>
  <c r="AL417" i="22"/>
  <c r="AC417" i="22"/>
  <c r="AG417" i="22" s="1"/>
  <c r="Z419" i="22"/>
  <c r="AD419" i="22" s="1"/>
  <c r="AH419" i="22"/>
  <c r="AI420" i="22"/>
  <c r="D65" i="22" s="1"/>
  <c r="AI434" i="22"/>
  <c r="AA434" i="22"/>
  <c r="AE434" i="22" s="1"/>
  <c r="AL436" i="22"/>
  <c r="AC436" i="22"/>
  <c r="AG436" i="22" s="1"/>
  <c r="AC397" i="22"/>
  <c r="AG397" i="22" s="1"/>
  <c r="AJ404" i="22"/>
  <c r="AH405" i="22"/>
  <c r="Z405" i="22"/>
  <c r="AD405" i="22" s="1"/>
  <c r="AL409" i="22"/>
  <c r="AC409" i="22"/>
  <c r="AG409" i="22" s="1"/>
  <c r="Z410" i="22"/>
  <c r="AD410" i="22" s="1"/>
  <c r="AH416" i="22"/>
  <c r="Z416" i="22"/>
  <c r="AD416" i="22" s="1"/>
  <c r="AC427" i="22"/>
  <c r="AG427" i="22" s="1"/>
  <c r="AL427" i="22"/>
  <c r="AL431" i="22"/>
  <c r="AC431" i="22"/>
  <c r="AG431" i="22" s="1"/>
  <c r="Z432" i="22"/>
  <c r="AD432" i="22" s="1"/>
  <c r="AM432" i="22"/>
  <c r="AH400" i="22"/>
  <c r="Z400" i="22"/>
  <c r="AD400" i="22" s="1"/>
  <c r="AI401" i="22"/>
  <c r="AA401" i="22"/>
  <c r="AE401" i="22" s="1"/>
  <c r="AJ402" i="22"/>
  <c r="AB402" i="22"/>
  <c r="AF402" i="22" s="1"/>
  <c r="AI405" i="22"/>
  <c r="D75" i="22" s="1"/>
  <c r="AA405" i="22"/>
  <c r="AE405" i="22" s="1"/>
  <c r="AC405" i="22"/>
  <c r="AG405" i="22" s="1"/>
  <c r="AH408" i="22"/>
  <c r="Z408" i="22"/>
  <c r="AD408" i="22" s="1"/>
  <c r="AC410" i="22"/>
  <c r="AG410" i="22" s="1"/>
  <c r="AA411" i="22"/>
  <c r="AE411" i="22" s="1"/>
  <c r="AB418" i="22"/>
  <c r="AF418" i="22" s="1"/>
  <c r="AJ418" i="22"/>
  <c r="AQ424" i="22"/>
  <c r="AC424" i="22"/>
  <c r="AG424" i="22" s="1"/>
  <c r="AC425" i="22"/>
  <c r="AG425" i="22" s="1"/>
  <c r="AL425" i="22"/>
  <c r="AQ426" i="22"/>
  <c r="AC426" i="22"/>
  <c r="AG426" i="22" s="1"/>
  <c r="AC430" i="22"/>
  <c r="AG430" i="22" s="1"/>
  <c r="Z377" i="22"/>
  <c r="AD377" i="22" s="1"/>
  <c r="AA378" i="22"/>
  <c r="AE378" i="22" s="1"/>
  <c r="AB379" i="22"/>
  <c r="AF379" i="22" s="1"/>
  <c r="Z385" i="22"/>
  <c r="AD385" i="22" s="1"/>
  <c r="AA386" i="22"/>
  <c r="AE386" i="22" s="1"/>
  <c r="AB387" i="22"/>
  <c r="AF387" i="22" s="1"/>
  <c r="AC388" i="22"/>
  <c r="AG388" i="22" s="1"/>
  <c r="Z393" i="22"/>
  <c r="AD393" i="22" s="1"/>
  <c r="AA394" i="22"/>
  <c r="AE394" i="22" s="1"/>
  <c r="AB395" i="22"/>
  <c r="AF395" i="22" s="1"/>
  <c r="AC396" i="22"/>
  <c r="AG396" i="22" s="1"/>
  <c r="AI398" i="22"/>
  <c r="AA398" i="22"/>
  <c r="AE398" i="22" s="1"/>
  <c r="AB401" i="22"/>
  <c r="AF401" i="22" s="1"/>
  <c r="AC403" i="22"/>
  <c r="AG403" i="22" s="1"/>
  <c r="AI406" i="22"/>
  <c r="AA406" i="22"/>
  <c r="AE406" i="22" s="1"/>
  <c r="AJ410" i="22"/>
  <c r="AB410" i="22"/>
  <c r="AF410" i="22" s="1"/>
  <c r="AC415" i="22"/>
  <c r="AG415" i="22" s="1"/>
  <c r="AQ415" i="22"/>
  <c r="AC421" i="22"/>
  <c r="AG421" i="22" s="1"/>
  <c r="AL421" i="22"/>
  <c r="AI440" i="22"/>
  <c r="AA440" i="22"/>
  <c r="AE440" i="22" s="1"/>
  <c r="Z384" i="22"/>
  <c r="AD384" i="22" s="1"/>
  <c r="Q78" i="22" s="1"/>
  <c r="AA385" i="22"/>
  <c r="AE385" i="22" s="1"/>
  <c r="R79" i="22" s="1"/>
  <c r="AB386" i="22"/>
  <c r="AF386" i="22" s="1"/>
  <c r="Z392" i="22"/>
  <c r="AD392" i="22" s="1"/>
  <c r="AA393" i="22"/>
  <c r="AE393" i="22" s="1"/>
  <c r="AB394" i="22"/>
  <c r="AF394" i="22" s="1"/>
  <c r="AJ399" i="22"/>
  <c r="E57" i="22" s="1"/>
  <c r="E107" i="22" s="1"/>
  <c r="AB399" i="22"/>
  <c r="AF399" i="22" s="1"/>
  <c r="AC401" i="22"/>
  <c r="AG401" i="22" s="1"/>
  <c r="AL403" i="22"/>
  <c r="AK416" i="22"/>
  <c r="AB416" i="22"/>
  <c r="AF416" i="22" s="1"/>
  <c r="AI424" i="22"/>
  <c r="AA424" i="22"/>
  <c r="AE424" i="22" s="1"/>
  <c r="AC429" i="22"/>
  <c r="AG429" i="22" s="1"/>
  <c r="AL429" i="22"/>
  <c r="AA433" i="22"/>
  <c r="AE433" i="22" s="1"/>
  <c r="AN433" i="22"/>
  <c r="AB400" i="22"/>
  <c r="AF400" i="22" s="1"/>
  <c r="AC407" i="22"/>
  <c r="AG407" i="22" s="1"/>
  <c r="AQ407" i="22"/>
  <c r="AK408" i="22"/>
  <c r="AB408" i="22"/>
  <c r="AF408" i="22" s="1"/>
  <c r="AK411" i="22"/>
  <c r="AB411" i="22"/>
  <c r="AF411" i="22" s="1"/>
  <c r="AC414" i="22"/>
  <c r="AG414" i="22" s="1"/>
  <c r="AL414" i="22"/>
  <c r="AI417" i="22"/>
  <c r="AA417" i="22"/>
  <c r="AE417" i="22" s="1"/>
  <c r="Z422" i="22"/>
  <c r="AD422" i="22" s="1"/>
  <c r="AH422" i="22"/>
  <c r="AP422" i="22"/>
  <c r="AL423" i="22"/>
  <c r="AC433" i="22"/>
  <c r="AG433" i="22" s="1"/>
  <c r="AL433" i="22"/>
  <c r="Z409" i="22"/>
  <c r="AD409" i="22" s="1"/>
  <c r="AA410" i="22"/>
  <c r="AE410" i="22" s="1"/>
  <c r="Z417" i="22"/>
  <c r="AD417" i="22" s="1"/>
  <c r="AA418" i="22"/>
  <c r="AE418" i="22" s="1"/>
  <c r="AJ420" i="22"/>
  <c r="AB420" i="22"/>
  <c r="AF420" i="22" s="1"/>
  <c r="AJ424" i="22"/>
  <c r="E78" i="22" s="1"/>
  <c r="AB424" i="22"/>
  <c r="AF424" i="22" s="1"/>
  <c r="AJ425" i="22"/>
  <c r="E80" i="22" s="1"/>
  <c r="AH426" i="22"/>
  <c r="Z426" i="22"/>
  <c r="AD426" i="22" s="1"/>
  <c r="AH435" i="22"/>
  <c r="AB440" i="22"/>
  <c r="AF440" i="22" s="1"/>
  <c r="AQ442" i="22"/>
  <c r="AL443" i="22"/>
  <c r="AC443" i="22"/>
  <c r="AG443" i="22" s="1"/>
  <c r="Z425" i="22"/>
  <c r="AD425" i="22" s="1"/>
  <c r="AJ427" i="22"/>
  <c r="AI428" i="22"/>
  <c r="AH433" i="22"/>
  <c r="C89" i="22" s="1"/>
  <c r="Z433" i="22"/>
  <c r="AD433" i="22" s="1"/>
  <c r="AB434" i="22"/>
  <c r="AF434" i="22" s="1"/>
  <c r="AC435" i="22"/>
  <c r="AG435" i="22" s="1"/>
  <c r="AP419" i="22"/>
  <c r="AI427" i="22"/>
  <c r="AA427" i="22"/>
  <c r="AE427" i="22" s="1"/>
  <c r="AL437" i="22"/>
  <c r="AC437" i="22"/>
  <c r="AG437" i="22" s="1"/>
  <c r="AC446" i="22"/>
  <c r="AG446" i="22" s="1"/>
  <c r="AC448" i="22"/>
  <c r="AG448" i="22" s="1"/>
  <c r="AL448" i="22"/>
  <c r="AI419" i="22"/>
  <c r="AA419" i="22"/>
  <c r="AE419" i="22" s="1"/>
  <c r="AB426" i="22"/>
  <c r="AF426" i="22" s="1"/>
  <c r="AB436" i="22"/>
  <c r="AF436" i="22" s="1"/>
  <c r="AA442" i="22"/>
  <c r="AE442" i="22" s="1"/>
  <c r="AI442" i="22"/>
  <c r="AI421" i="22"/>
  <c r="AC422" i="22"/>
  <c r="AG422" i="22" s="1"/>
  <c r="AH423" i="22"/>
  <c r="C76" i="22" s="1"/>
  <c r="AJ428" i="22"/>
  <c r="AB428" i="22"/>
  <c r="AF428" i="22" s="1"/>
  <c r="AK430" i="22"/>
  <c r="E86" i="22" s="1"/>
  <c r="AI435" i="22"/>
  <c r="AA435" i="22"/>
  <c r="AE435" i="22" s="1"/>
  <c r="AL438" i="22"/>
  <c r="AC438" i="22"/>
  <c r="AG438" i="22" s="1"/>
  <c r="AC440" i="22"/>
  <c r="AG440" i="22" s="1"/>
  <c r="AL440" i="22"/>
  <c r="AL441" i="22"/>
  <c r="AC441" i="22"/>
  <c r="AG441" i="22" s="1"/>
  <c r="AB406" i="22"/>
  <c r="AF406" i="22" s="1"/>
  <c r="Z412" i="22"/>
  <c r="AD412" i="22" s="1"/>
  <c r="AA413" i="22"/>
  <c r="AE413" i="22" s="1"/>
  <c r="AI423" i="22"/>
  <c r="D76" i="22" s="1"/>
  <c r="AA423" i="22"/>
  <c r="AE423" i="22" s="1"/>
  <c r="AB429" i="22"/>
  <c r="AF429" i="22" s="1"/>
  <c r="AJ435" i="22"/>
  <c r="AB435" i="22"/>
  <c r="AF435" i="22" s="1"/>
  <c r="AL454" i="22"/>
  <c r="AC454" i="22"/>
  <c r="AG454" i="22" s="1"/>
  <c r="Z403" i="22"/>
  <c r="AD403" i="22" s="1"/>
  <c r="AA404" i="22"/>
  <c r="AE404" i="22" s="1"/>
  <c r="AB405" i="22"/>
  <c r="AF405" i="22" s="1"/>
  <c r="Z411" i="22"/>
  <c r="AD411" i="22" s="1"/>
  <c r="AA412" i="22"/>
  <c r="AE412" i="22" s="1"/>
  <c r="AB413" i="22"/>
  <c r="AF413" i="22" s="1"/>
  <c r="Z431" i="22"/>
  <c r="AD431" i="22" s="1"/>
  <c r="AH434" i="22"/>
  <c r="Z434" i="22"/>
  <c r="AD434" i="22" s="1"/>
  <c r="AL444" i="22"/>
  <c r="AC444" i="22"/>
  <c r="AG444" i="22" s="1"/>
  <c r="AL450" i="22"/>
  <c r="AC450" i="22"/>
  <c r="AG450" i="22" s="1"/>
  <c r="AB455" i="22"/>
  <c r="AF455" i="22" s="1"/>
  <c r="AH437" i="22"/>
  <c r="Z437" i="22"/>
  <c r="AD437" i="22" s="1"/>
  <c r="Z446" i="22"/>
  <c r="AD446" i="22" s="1"/>
  <c r="AL446" i="22"/>
  <c r="AJ447" i="22"/>
  <c r="AB447" i="22"/>
  <c r="AF447" i="22" s="1"/>
  <c r="AA453" i="22"/>
  <c r="AE453" i="22" s="1"/>
  <c r="AI453" i="22"/>
  <c r="D77" i="22" s="1"/>
  <c r="AJ458" i="22"/>
  <c r="AC459" i="22"/>
  <c r="AG459" i="22" s="1"/>
  <c r="AB461" i="22"/>
  <c r="AF461" i="22" s="1"/>
  <c r="Z462" i="22"/>
  <c r="AD462" i="22" s="1"/>
  <c r="AH462" i="22"/>
  <c r="C86" i="22" s="1"/>
  <c r="AL473" i="22"/>
  <c r="AC473" i="22"/>
  <c r="AG473" i="22" s="1"/>
  <c r="AI437" i="22"/>
  <c r="AI439" i="22"/>
  <c r="Z444" i="22"/>
  <c r="AD444" i="22" s="1"/>
  <c r="AL451" i="22"/>
  <c r="AC451" i="22"/>
  <c r="AG451" i="22" s="1"/>
  <c r="AK455" i="22"/>
  <c r="E79" i="22" s="1"/>
  <c r="AA456" i="22"/>
  <c r="AE456" i="22" s="1"/>
  <c r="AL457" i="22"/>
  <c r="AC457" i="22"/>
  <c r="AG457" i="22" s="1"/>
  <c r="AJ459" i="22"/>
  <c r="AB459" i="22"/>
  <c r="AF459" i="22" s="1"/>
  <c r="AH461" i="22"/>
  <c r="AH466" i="22"/>
  <c r="Z466" i="22"/>
  <c r="AD466" i="22" s="1"/>
  <c r="AA471" i="22"/>
  <c r="AE471" i="22" s="1"/>
  <c r="AO480" i="22"/>
  <c r="AB480" i="22"/>
  <c r="AF480" i="22" s="1"/>
  <c r="AJ439" i="22"/>
  <c r="AB439" i="22"/>
  <c r="AF439" i="22" s="1"/>
  <c r="AB442" i="22"/>
  <c r="AF442" i="22" s="1"/>
  <c r="AA444" i="22"/>
  <c r="AE444" i="22" s="1"/>
  <c r="AI450" i="22"/>
  <c r="AA450" i="22"/>
  <c r="AE450" i="22" s="1"/>
  <c r="AB456" i="22"/>
  <c r="AF456" i="22" s="1"/>
  <c r="AL458" i="22"/>
  <c r="AC458" i="22"/>
  <c r="AG458" i="22" s="1"/>
  <c r="AI466" i="22"/>
  <c r="AA466" i="22"/>
  <c r="AE466" i="22" s="1"/>
  <c r="AC466" i="22"/>
  <c r="AG466" i="22" s="1"/>
  <c r="AB471" i="22"/>
  <c r="AF471" i="22" s="1"/>
  <c r="AI482" i="22"/>
  <c r="D87" i="22" s="1"/>
  <c r="AA482" i="22"/>
  <c r="AE482" i="22" s="1"/>
  <c r="AB437" i="22"/>
  <c r="AF437" i="22" s="1"/>
  <c r="AC439" i="22"/>
  <c r="AG439" i="22" s="1"/>
  <c r="Z441" i="22"/>
  <c r="AD441" i="22" s="1"/>
  <c r="AB444" i="22"/>
  <c r="AF444" i="22" s="1"/>
  <c r="AC452" i="22"/>
  <c r="AG452" i="22" s="1"/>
  <c r="AL452" i="22"/>
  <c r="AH474" i="22"/>
  <c r="Z474" i="22"/>
  <c r="AD474" i="22" s="1"/>
  <c r="Z430" i="22"/>
  <c r="AD430" i="22" s="1"/>
  <c r="Q86" i="22" s="1"/>
  <c r="AA431" i="22"/>
  <c r="AE431" i="22" s="1"/>
  <c r="R87" i="22" s="1"/>
  <c r="AB432" i="22"/>
  <c r="AF432" i="22" s="1"/>
  <c r="AH445" i="22"/>
  <c r="Z445" i="22"/>
  <c r="AD445" i="22" s="1"/>
  <c r="AI445" i="22"/>
  <c r="AH449" i="22"/>
  <c r="Z449" i="22"/>
  <c r="AD449" i="22" s="1"/>
  <c r="AA454" i="22"/>
  <c r="AE454" i="22" s="1"/>
  <c r="AI454" i="22"/>
  <c r="AL455" i="22"/>
  <c r="F79" i="22" s="1"/>
  <c r="AC455" i="22"/>
  <c r="AG455" i="22" s="1"/>
  <c r="AJ460" i="22"/>
  <c r="AB460" i="22"/>
  <c r="AF460" i="22" s="1"/>
  <c r="AA460" i="22"/>
  <c r="AE460" i="22" s="1"/>
  <c r="AH448" i="22"/>
  <c r="Z448" i="22"/>
  <c r="AD448" i="22" s="1"/>
  <c r="AI449" i="22"/>
  <c r="AA449" i="22"/>
  <c r="AE449" i="22" s="1"/>
  <c r="AJ451" i="22"/>
  <c r="AB451" i="22"/>
  <c r="AF451" i="22" s="1"/>
  <c r="AQ465" i="22"/>
  <c r="AC465" i="22"/>
  <c r="AG465" i="22" s="1"/>
  <c r="AO465" i="22"/>
  <c r="AB465" i="22"/>
  <c r="AF465" i="22" s="1"/>
  <c r="AI467" i="22"/>
  <c r="AA467" i="22"/>
  <c r="AE467" i="22" s="1"/>
  <c r="AB470" i="22"/>
  <c r="AF470" i="22" s="1"/>
  <c r="AL476" i="22"/>
  <c r="AC476" i="22"/>
  <c r="AG476" i="22" s="1"/>
  <c r="AN479" i="22"/>
  <c r="AA479" i="22"/>
  <c r="AE479" i="22" s="1"/>
  <c r="AL456" i="22"/>
  <c r="AC456" i="22"/>
  <c r="AG456" i="22" s="1"/>
  <c r="AJ463" i="22"/>
  <c r="E87" i="22" s="1"/>
  <c r="AB463" i="22"/>
  <c r="AF463" i="22" s="1"/>
  <c r="AC464" i="22"/>
  <c r="AG464" i="22" s="1"/>
  <c r="AL464" i="22"/>
  <c r="AH465" i="22"/>
  <c r="Z465" i="22"/>
  <c r="AD465" i="22" s="1"/>
  <c r="AJ467" i="22"/>
  <c r="E53" i="22" s="1"/>
  <c r="AB467" i="22"/>
  <c r="AF467" i="22" s="1"/>
  <c r="AC469" i="22"/>
  <c r="AG469" i="22" s="1"/>
  <c r="AL469" i="22"/>
  <c r="AL470" i="22"/>
  <c r="AC470" i="22"/>
  <c r="AG470" i="22" s="1"/>
  <c r="AL471" i="22"/>
  <c r="AJ475" i="22"/>
  <c r="AB475" i="22"/>
  <c r="AF475" i="22" s="1"/>
  <c r="AC479" i="22"/>
  <c r="AG479" i="22" s="1"/>
  <c r="AL479" i="22"/>
  <c r="AL483" i="22"/>
  <c r="AC483" i="22"/>
  <c r="AG483" i="22" s="1"/>
  <c r="AH468" i="22"/>
  <c r="AI474" i="22"/>
  <c r="AA474" i="22"/>
  <c r="AE474" i="22" s="1"/>
  <c r="AJ478" i="22"/>
  <c r="AI458" i="22"/>
  <c r="D82" i="22" s="1"/>
  <c r="AA458" i="22"/>
  <c r="AE458" i="22" s="1"/>
  <c r="AJ461" i="22"/>
  <c r="AL468" i="22"/>
  <c r="AC468" i="22"/>
  <c r="AG468" i="22" s="1"/>
  <c r="AM471" i="22"/>
  <c r="Z471" i="22"/>
  <c r="AD471" i="22" s="1"/>
  <c r="AO481" i="22"/>
  <c r="AB481" i="22"/>
  <c r="AF481" i="22" s="1"/>
  <c r="AO473" i="22"/>
  <c r="AB473" i="22"/>
  <c r="AF473" i="22" s="1"/>
  <c r="AL475" i="22"/>
  <c r="AC475" i="22"/>
  <c r="AG475" i="22" s="1"/>
  <c r="AI483" i="22"/>
  <c r="D88" i="22" s="1"/>
  <c r="AA483" i="22"/>
  <c r="AE483" i="22" s="1"/>
  <c r="Z450" i="22"/>
  <c r="AD450" i="22" s="1"/>
  <c r="AC461" i="22"/>
  <c r="AG461" i="22" s="1"/>
  <c r="AL461" i="22"/>
  <c r="AL467" i="22"/>
  <c r="AC467" i="22"/>
  <c r="AG467" i="22" s="1"/>
  <c r="AN472" i="22"/>
  <c r="AA472" i="22"/>
  <c r="AE472" i="22" s="1"/>
  <c r="AJ476" i="22"/>
  <c r="AB476" i="22"/>
  <c r="AF476" i="22" s="1"/>
  <c r="AC477" i="22"/>
  <c r="AG477" i="22" s="1"/>
  <c r="AL477" i="22"/>
  <c r="AB477" i="22"/>
  <c r="AF477" i="22" s="1"/>
  <c r="AC480" i="22"/>
  <c r="AG480" i="22" s="1"/>
  <c r="AH481" i="22"/>
  <c r="Z481" i="22"/>
  <c r="AD481" i="22" s="1"/>
  <c r="AC481" i="22"/>
  <c r="AG481" i="22" s="1"/>
  <c r="AL482" i="22"/>
  <c r="AC482" i="22"/>
  <c r="AG482" i="22" s="1"/>
  <c r="AJ483" i="22"/>
  <c r="E88" i="22" s="1"/>
  <c r="AB483" i="22"/>
  <c r="AF483" i="22" s="1"/>
  <c r="AL484" i="22"/>
  <c r="AC484" i="22"/>
  <c r="AG484" i="22" s="1"/>
  <c r="AJ453" i="22"/>
  <c r="E77" i="22" s="1"/>
  <c r="AH457" i="22"/>
  <c r="C81" i="22" s="1"/>
  <c r="Z457" i="22"/>
  <c r="AD457" i="22" s="1"/>
  <c r="AB466" i="22"/>
  <c r="AF466" i="22" s="1"/>
  <c r="AH473" i="22"/>
  <c r="Z473" i="22"/>
  <c r="AD473" i="22" s="1"/>
  <c r="AB450" i="22"/>
  <c r="AF450" i="22" s="1"/>
  <c r="AI459" i="22"/>
  <c r="AA459" i="22"/>
  <c r="AE459" i="22" s="1"/>
  <c r="AJ468" i="22"/>
  <c r="AB468" i="22"/>
  <c r="AF468" i="22" s="1"/>
  <c r="Z470" i="22"/>
  <c r="AD470" i="22" s="1"/>
  <c r="AC474" i="22"/>
  <c r="AG474" i="22" s="1"/>
  <c r="AB474" i="22"/>
  <c r="AF474" i="22" s="1"/>
  <c r="AL474" i="22"/>
  <c r="AI475" i="22"/>
  <c r="AA475" i="22"/>
  <c r="AE475" i="22" s="1"/>
  <c r="AC478" i="22"/>
  <c r="AG478" i="22" s="1"/>
  <c r="AM479" i="22"/>
  <c r="Z479" i="22"/>
  <c r="AD479" i="22" s="1"/>
  <c r="AN480" i="22"/>
  <c r="AA480" i="22"/>
  <c r="AE480" i="22" s="1"/>
  <c r="AH482" i="22"/>
  <c r="C87" i="22" s="1"/>
  <c r="Z482" i="22"/>
  <c r="AD482" i="22" s="1"/>
  <c r="Z480" i="22"/>
  <c r="AD480" i="22" s="1"/>
  <c r="AA481" i="22"/>
  <c r="AE481" i="22" s="1"/>
  <c r="Z484" i="22"/>
  <c r="AD484" i="22" s="1"/>
  <c r="AA484" i="22"/>
  <c r="AE484" i="22" s="1"/>
  <c r="AB484" i="22"/>
  <c r="AF484" i="22" s="1"/>
  <c r="P35" i="12"/>
  <c r="P60" i="12"/>
  <c r="P41" i="12"/>
  <c r="P29" i="12"/>
  <c r="P37" i="12"/>
  <c r="P52" i="12"/>
  <c r="H153" i="12"/>
  <c r="P10" i="12"/>
  <c r="Q22" i="12"/>
  <c r="Q45" i="12"/>
  <c r="Q68" i="12"/>
  <c r="R45" i="12"/>
  <c r="S91" i="12"/>
  <c r="R22" i="12"/>
  <c r="S68" i="12"/>
  <c r="S22" i="12"/>
  <c r="T68" i="12"/>
  <c r="R91" i="12"/>
  <c r="S45" i="12"/>
  <c r="T22" i="12"/>
  <c r="T91" i="12"/>
  <c r="T45" i="12"/>
  <c r="R68" i="12"/>
  <c r="Q91" i="12"/>
  <c r="P77" i="12"/>
  <c r="P85" i="12"/>
  <c r="P11" i="12"/>
  <c r="P19" i="12"/>
  <c r="P36" i="12"/>
  <c r="P44" i="12"/>
  <c r="P53" i="12"/>
  <c r="P61" i="12"/>
  <c r="P78" i="12"/>
  <c r="P86" i="12"/>
  <c r="P20" i="12"/>
  <c r="P62" i="12"/>
  <c r="P79" i="12"/>
  <c r="P87" i="12"/>
  <c r="P54" i="12"/>
  <c r="P13" i="12"/>
  <c r="P21" i="12"/>
  <c r="P30" i="12"/>
  <c r="P38" i="12"/>
  <c r="P55" i="12"/>
  <c r="P63" i="12"/>
  <c r="P80" i="12"/>
  <c r="P88" i="12"/>
  <c r="P12" i="12"/>
  <c r="P39" i="12"/>
  <c r="P56" i="12"/>
  <c r="P81" i="12"/>
  <c r="P89" i="12"/>
  <c r="P6" i="12"/>
  <c r="P14" i="12"/>
  <c r="P31" i="12"/>
  <c r="P64" i="12"/>
  <c r="P7" i="12"/>
  <c r="P15" i="12"/>
  <c r="P32" i="12"/>
  <c r="P40" i="12"/>
  <c r="P57" i="12"/>
  <c r="P65" i="12"/>
  <c r="P82" i="12"/>
  <c r="P90" i="12"/>
  <c r="P8" i="12"/>
  <c r="P16" i="12"/>
  <c r="P58" i="12"/>
  <c r="P66" i="12"/>
  <c r="P75" i="12"/>
  <c r="P83" i="12"/>
  <c r="P9" i="12"/>
  <c r="P42" i="12"/>
  <c r="P59" i="12"/>
  <c r="P67" i="12"/>
  <c r="P76" i="12"/>
  <c r="T9" i="21" l="1"/>
  <c r="AC29" i="23"/>
  <c r="T9" i="28"/>
  <c r="U9" i="28"/>
  <c r="F17" i="27"/>
  <c r="H17" i="27" s="1"/>
  <c r="I17" i="27" s="1"/>
  <c r="R9" i="28"/>
  <c r="H22" i="27"/>
  <c r="I22" i="27" s="1"/>
  <c r="N50" i="26"/>
  <c r="I33" i="23"/>
  <c r="I47" i="23" s="1"/>
  <c r="I48" i="23" s="1"/>
  <c r="AA107" i="22"/>
  <c r="W115" i="22"/>
  <c r="Q67" i="22"/>
  <c r="K67" i="22" s="1"/>
  <c r="H40" i="22"/>
  <c r="R43" i="22"/>
  <c r="L43" i="22" s="1"/>
  <c r="S37" i="22"/>
  <c r="M37" i="22" s="1"/>
  <c r="N29" i="22"/>
  <c r="K80" i="22"/>
  <c r="C67" i="22"/>
  <c r="G67" i="22" s="1"/>
  <c r="I59" i="22"/>
  <c r="T88" i="22"/>
  <c r="T19" i="22"/>
  <c r="N19" i="22" s="1"/>
  <c r="S61" i="22"/>
  <c r="M61" i="22" s="1"/>
  <c r="T7" i="22"/>
  <c r="N7" i="22" s="1"/>
  <c r="F16" i="22"/>
  <c r="E83" i="22"/>
  <c r="D78" i="22"/>
  <c r="S80" i="22"/>
  <c r="D67" i="22"/>
  <c r="H67" i="22" s="1"/>
  <c r="G38" i="22"/>
  <c r="M6" i="22"/>
  <c r="I6" i="22" s="1"/>
  <c r="V13" i="22"/>
  <c r="K13" i="22"/>
  <c r="G13" i="22" s="1"/>
  <c r="R77" i="22"/>
  <c r="R54" i="22"/>
  <c r="L54" i="22" s="1"/>
  <c r="F59" i="22"/>
  <c r="Q57" i="22"/>
  <c r="K57" i="22" s="1"/>
  <c r="G57" i="22" s="1"/>
  <c r="R20" i="22"/>
  <c r="L20" i="22" s="1"/>
  <c r="H20" i="22" s="1"/>
  <c r="S11" i="22"/>
  <c r="M11" i="22" s="1"/>
  <c r="I11" i="22" s="1"/>
  <c r="S31" i="22"/>
  <c r="M31" i="22" s="1"/>
  <c r="I31" i="22" s="1"/>
  <c r="Q75" i="22"/>
  <c r="E44" i="22"/>
  <c r="T81" i="22"/>
  <c r="D43" i="22"/>
  <c r="E29" i="22"/>
  <c r="Q35" i="22"/>
  <c r="K35" i="22" s="1"/>
  <c r="S20" i="22"/>
  <c r="M20" i="22" s="1"/>
  <c r="I20" i="22" s="1"/>
  <c r="E36" i="22"/>
  <c r="S75" i="22"/>
  <c r="S90" i="22"/>
  <c r="Q20" i="22"/>
  <c r="S81" i="22"/>
  <c r="G80" i="22"/>
  <c r="T32" i="22"/>
  <c r="N32" i="22" s="1"/>
  <c r="E64" i="22"/>
  <c r="F41" i="22"/>
  <c r="R35" i="22"/>
  <c r="L35" i="22" s="1"/>
  <c r="R89" i="22"/>
  <c r="T66" i="22"/>
  <c r="N66" i="22" s="1"/>
  <c r="S63" i="22"/>
  <c r="M63" i="22" s="1"/>
  <c r="R16" i="22"/>
  <c r="L16" i="22" s="1"/>
  <c r="H16" i="22" s="1"/>
  <c r="T31" i="22"/>
  <c r="N31" i="22" s="1"/>
  <c r="Q58" i="22"/>
  <c r="K58" i="22" s="1"/>
  <c r="S87" i="22"/>
  <c r="S18" i="22"/>
  <c r="M18" i="22" s="1"/>
  <c r="I18" i="22" s="1"/>
  <c r="Q82" i="22"/>
  <c r="R58" i="22"/>
  <c r="L58" i="22" s="1"/>
  <c r="J7" i="22"/>
  <c r="T30" i="22"/>
  <c r="N30" i="22" s="1"/>
  <c r="F52" i="22"/>
  <c r="F43" i="22"/>
  <c r="J43" i="22" s="1"/>
  <c r="T21" i="22"/>
  <c r="N21" i="22" s="1"/>
  <c r="J21" i="22" s="1"/>
  <c r="T87" i="22"/>
  <c r="T85" i="22"/>
  <c r="M78" i="22"/>
  <c r="I37" i="22"/>
  <c r="F82" i="22"/>
  <c r="S44" i="22"/>
  <c r="M44" i="22" s="1"/>
  <c r="R82" i="22"/>
  <c r="I34" i="22"/>
  <c r="I12" i="22"/>
  <c r="E61" i="22"/>
  <c r="I61" i="22" s="1"/>
  <c r="T57" i="22"/>
  <c r="N57" i="22" s="1"/>
  <c r="I10" i="22"/>
  <c r="Q19" i="22"/>
  <c r="S62" i="22"/>
  <c r="M62" i="22" s="1"/>
  <c r="I62" i="22" s="1"/>
  <c r="R12" i="22"/>
  <c r="L12" i="22" s="1"/>
  <c r="T82" i="22"/>
  <c r="R60" i="22"/>
  <c r="L60" i="22" s="1"/>
  <c r="H60" i="22" s="1"/>
  <c r="C31" i="22"/>
  <c r="S79" i="22"/>
  <c r="F81" i="22"/>
  <c r="Q79" i="22"/>
  <c r="S53" i="22"/>
  <c r="M53" i="22" s="1"/>
  <c r="H44" i="22"/>
  <c r="V21" i="22"/>
  <c r="K21" i="22"/>
  <c r="F57" i="22"/>
  <c r="J57" i="22" s="1"/>
  <c r="T75" i="22"/>
  <c r="C116" i="22"/>
  <c r="F29" i="22"/>
  <c r="J29" i="22" s="1"/>
  <c r="E81" i="22"/>
  <c r="R75" i="22"/>
  <c r="R81" i="22"/>
  <c r="R52" i="22"/>
  <c r="T41" i="22"/>
  <c r="N41" i="22" s="1"/>
  <c r="D35" i="22"/>
  <c r="H35" i="22" s="1"/>
  <c r="D89" i="22"/>
  <c r="D62" i="22"/>
  <c r="H62" i="22" s="1"/>
  <c r="S86" i="22"/>
  <c r="R62" i="22"/>
  <c r="L62" i="22" s="1"/>
  <c r="D56" i="22"/>
  <c r="R86" i="22"/>
  <c r="H58" i="22"/>
  <c r="F55" i="22"/>
  <c r="J55" i="22" s="1"/>
  <c r="P110" i="22"/>
  <c r="P115" i="22"/>
  <c r="P117" i="22"/>
  <c r="P118" i="22"/>
  <c r="P114" i="22"/>
  <c r="P113" i="22"/>
  <c r="P108" i="22"/>
  <c r="P109" i="22"/>
  <c r="P106" i="22"/>
  <c r="P116" i="22"/>
  <c r="P105" i="22"/>
  <c r="P112" i="22"/>
  <c r="P102" i="22"/>
  <c r="F30" i="22"/>
  <c r="J30" i="22" s="1"/>
  <c r="F40" i="22"/>
  <c r="T42" i="22"/>
  <c r="N42" i="22" s="1"/>
  <c r="J42" i="22" s="1"/>
  <c r="F60" i="22"/>
  <c r="F87" i="22"/>
  <c r="F85" i="22"/>
  <c r="I53" i="22"/>
  <c r="Q113" i="22"/>
  <c r="K86" i="22"/>
  <c r="S76" i="22"/>
  <c r="G37" i="22"/>
  <c r="I7" i="22"/>
  <c r="L83" i="22"/>
  <c r="Q29" i="22"/>
  <c r="L29" i="22"/>
  <c r="H29" i="22" s="1"/>
  <c r="S89" i="22"/>
  <c r="S55" i="22"/>
  <c r="M55" i="22" s="1"/>
  <c r="I55" i="22" s="1"/>
  <c r="Q88" i="22"/>
  <c r="S57" i="22"/>
  <c r="M57" i="22" s="1"/>
  <c r="F31" i="22"/>
  <c r="J31" i="22" s="1"/>
  <c r="D63" i="22"/>
  <c r="H63" i="22" s="1"/>
  <c r="T37" i="22"/>
  <c r="N37" i="22" s="1"/>
  <c r="T83" i="22"/>
  <c r="S58" i="22"/>
  <c r="M58" i="22" s="1"/>
  <c r="I58" i="22" s="1"/>
  <c r="R85" i="22"/>
  <c r="Q7" i="22"/>
  <c r="F88" i="22"/>
  <c r="T54" i="22"/>
  <c r="Q85" i="22"/>
  <c r="K16" i="22"/>
  <c r="V16" i="22"/>
  <c r="E67" i="22"/>
  <c r="T55" i="22"/>
  <c r="N55" i="22" s="1"/>
  <c r="F90" i="22"/>
  <c r="T40" i="22"/>
  <c r="N40" i="22" s="1"/>
  <c r="T60" i="22"/>
  <c r="N60" i="22" s="1"/>
  <c r="T76" i="22"/>
  <c r="P111" i="22"/>
  <c r="P107" i="22"/>
  <c r="S41" i="22"/>
  <c r="M41" i="22" s="1"/>
  <c r="H55" i="22"/>
  <c r="D83" i="22"/>
  <c r="Q90" i="22"/>
  <c r="J9" i="22"/>
  <c r="H12" i="22"/>
  <c r="T34" i="22"/>
  <c r="N34" i="22" s="1"/>
  <c r="R78" i="22"/>
  <c r="S42" i="22"/>
  <c r="M42" i="22" s="1"/>
  <c r="G16" i="22"/>
  <c r="E90" i="22"/>
  <c r="K18" i="22"/>
  <c r="G18" i="22" s="1"/>
  <c r="V18" i="22"/>
  <c r="S67" i="22"/>
  <c r="M67" i="22" s="1"/>
  <c r="I78" i="22"/>
  <c r="R106" i="22"/>
  <c r="L79" i="22"/>
  <c r="H79" i="22" s="1"/>
  <c r="D107" i="22"/>
  <c r="H11" i="22"/>
  <c r="Q55" i="22"/>
  <c r="K55" i="22" s="1"/>
  <c r="G55" i="22" s="1"/>
  <c r="C59" i="22"/>
  <c r="D59" i="22"/>
  <c r="Q56" i="22"/>
  <c r="K56" i="22" s="1"/>
  <c r="D52" i="22"/>
  <c r="E52" i="22"/>
  <c r="Q66" i="22"/>
  <c r="K66" i="22" s="1"/>
  <c r="J19" i="22"/>
  <c r="C90" i="22"/>
  <c r="L6" i="22"/>
  <c r="C103" i="22"/>
  <c r="S85" i="22"/>
  <c r="Q60" i="22"/>
  <c r="K60" i="22" s="1"/>
  <c r="G60" i="22" s="1"/>
  <c r="T80" i="22"/>
  <c r="F58" i="22"/>
  <c r="E115" i="22"/>
  <c r="I19" i="22"/>
  <c r="S33" i="22"/>
  <c r="M33" i="22" s="1"/>
  <c r="I33" i="22" s="1"/>
  <c r="K77" i="22"/>
  <c r="G77" i="22" s="1"/>
  <c r="E56" i="22"/>
  <c r="E106" i="22" s="1"/>
  <c r="J20" i="22"/>
  <c r="C3" i="22"/>
  <c r="Q6" i="22"/>
  <c r="F66" i="22"/>
  <c r="J66" i="22" s="1"/>
  <c r="G10" i="22"/>
  <c r="C106" i="22"/>
  <c r="R37" i="22"/>
  <c r="L37" i="22" s="1"/>
  <c r="H37" i="22" s="1"/>
  <c r="R7" i="22"/>
  <c r="L7" i="22" s="1"/>
  <c r="S88" i="22"/>
  <c r="R88" i="22"/>
  <c r="Q34" i="22"/>
  <c r="K34" i="22" s="1"/>
  <c r="C54" i="22"/>
  <c r="G54" i="22" s="1"/>
  <c r="T52" i="22"/>
  <c r="C88" i="22"/>
  <c r="C61" i="22"/>
  <c r="F80" i="22"/>
  <c r="F107" i="22" s="1"/>
  <c r="T58" i="22"/>
  <c r="N58" i="22" s="1"/>
  <c r="V17" i="22"/>
  <c r="K17" i="22"/>
  <c r="G17" i="22" s="1"/>
  <c r="F37" i="22"/>
  <c r="J37" i="22" s="1"/>
  <c r="T33" i="22"/>
  <c r="N33" i="22" s="1"/>
  <c r="F83" i="22"/>
  <c r="R39" i="22"/>
  <c r="L39" i="22" s="1"/>
  <c r="Q53" i="22"/>
  <c r="K53" i="22" s="1"/>
  <c r="G53" i="22" s="1"/>
  <c r="T61" i="22"/>
  <c r="N61" i="22" s="1"/>
  <c r="J61" i="22" s="1"/>
  <c r="S52" i="22"/>
  <c r="T65" i="22"/>
  <c r="N65" i="22" s="1"/>
  <c r="T12" i="22"/>
  <c r="N12" i="22" s="1"/>
  <c r="J12" i="22" s="1"/>
  <c r="R66" i="22"/>
  <c r="L66" i="22" s="1"/>
  <c r="T44" i="22"/>
  <c r="N44" i="22" s="1"/>
  <c r="T90" i="22"/>
  <c r="T39" i="22"/>
  <c r="N39" i="22" s="1"/>
  <c r="T64" i="22"/>
  <c r="N64" i="22" s="1"/>
  <c r="T63" i="22"/>
  <c r="N63" i="22" s="1"/>
  <c r="F76" i="22"/>
  <c r="S13" i="22"/>
  <c r="M13" i="22" s="1"/>
  <c r="I13" i="22" s="1"/>
  <c r="R61" i="22"/>
  <c r="L61" i="22" s="1"/>
  <c r="H61" i="22" s="1"/>
  <c r="R57" i="22"/>
  <c r="L57" i="22" s="1"/>
  <c r="Q105" i="22"/>
  <c r="K78" i="22"/>
  <c r="G78" i="22" s="1"/>
  <c r="G105" i="22" s="1"/>
  <c r="K105" i="22" s="1"/>
  <c r="D64" i="22"/>
  <c r="G56" i="22"/>
  <c r="C66" i="22"/>
  <c r="G66" i="22" s="1"/>
  <c r="V15" i="22"/>
  <c r="K15" i="22"/>
  <c r="D84" i="22"/>
  <c r="E104" i="22"/>
  <c r="I8" i="22"/>
  <c r="F33" i="22"/>
  <c r="H15" i="22"/>
  <c r="D102" i="22"/>
  <c r="H6" i="22"/>
  <c r="V10" i="22"/>
  <c r="K10" i="22"/>
  <c r="R84" i="22"/>
  <c r="Q54" i="22"/>
  <c r="K54" i="22" s="1"/>
  <c r="Q38" i="22"/>
  <c r="K38" i="22" s="1"/>
  <c r="R80" i="22"/>
  <c r="Q11" i="22"/>
  <c r="H9" i="22"/>
  <c r="Q59" i="22"/>
  <c r="K59" i="22" s="1"/>
  <c r="D7" i="22"/>
  <c r="Q87" i="22"/>
  <c r="C34" i="22"/>
  <c r="G34" i="22" s="1"/>
  <c r="Q52" i="22"/>
  <c r="S21" i="22"/>
  <c r="M21" i="22" s="1"/>
  <c r="I21" i="22" s="1"/>
  <c r="F14" i="22"/>
  <c r="F32" i="22"/>
  <c r="J32" i="22" s="1"/>
  <c r="S56" i="22"/>
  <c r="M56" i="22" s="1"/>
  <c r="T36" i="22"/>
  <c r="N36" i="22" s="1"/>
  <c r="M29" i="22"/>
  <c r="S82" i="22"/>
  <c r="Q76" i="22"/>
  <c r="S60" i="22"/>
  <c r="M60" i="22" s="1"/>
  <c r="C42" i="22"/>
  <c r="S64" i="22"/>
  <c r="M64" i="22" s="1"/>
  <c r="S40" i="22"/>
  <c r="M40" i="22" s="1"/>
  <c r="D66" i="22"/>
  <c r="S54" i="22"/>
  <c r="M54" i="22" s="1"/>
  <c r="I54" i="22" s="1"/>
  <c r="F44" i="22"/>
  <c r="J44" i="22" s="1"/>
  <c r="F78" i="22"/>
  <c r="T17" i="22"/>
  <c r="N17" i="22" s="1"/>
  <c r="J17" i="22" s="1"/>
  <c r="F39" i="22"/>
  <c r="F64" i="22"/>
  <c r="J64" i="22" s="1"/>
  <c r="F63" i="22"/>
  <c r="J63" i="22" s="1"/>
  <c r="F67" i="22"/>
  <c r="J67" i="22" s="1"/>
  <c r="C113" i="22"/>
  <c r="H65" i="22"/>
  <c r="J8" i="22"/>
  <c r="C83" i="22"/>
  <c r="T116" i="22"/>
  <c r="N89" i="22"/>
  <c r="G86" i="22"/>
  <c r="E60" i="22"/>
  <c r="J11" i="22"/>
  <c r="S84" i="22"/>
  <c r="G58" i="22"/>
  <c r="C64" i="22"/>
  <c r="I17" i="22"/>
  <c r="E85" i="22"/>
  <c r="H36" i="22"/>
  <c r="Q61" i="22"/>
  <c r="K61" i="22" s="1"/>
  <c r="J34" i="22"/>
  <c r="K14" i="22"/>
  <c r="G14" i="22" s="1"/>
  <c r="V14" i="22"/>
  <c r="Q83" i="22"/>
  <c r="S32" i="22"/>
  <c r="M32" i="22" s="1"/>
  <c r="I32" i="22" s="1"/>
  <c r="D80" i="22"/>
  <c r="C111" i="22"/>
  <c r="G15" i="22"/>
  <c r="C11" i="22"/>
  <c r="D32" i="22"/>
  <c r="H32" i="22" s="1"/>
  <c r="H39" i="22"/>
  <c r="F54" i="22"/>
  <c r="F104" i="22" s="1"/>
  <c r="R8" i="22"/>
  <c r="L8" i="22" s="1"/>
  <c r="H8" i="22" s="1"/>
  <c r="J35" i="22"/>
  <c r="I42" i="22"/>
  <c r="S83" i="22"/>
  <c r="S66" i="22"/>
  <c r="M66" i="22" s="1"/>
  <c r="Q89" i="22"/>
  <c r="C52" i="22"/>
  <c r="T6" i="22"/>
  <c r="T14" i="22"/>
  <c r="N14" i="22" s="1"/>
  <c r="C62" i="22"/>
  <c r="T84" i="22"/>
  <c r="R53" i="22"/>
  <c r="L53" i="22" s="1"/>
  <c r="F6" i="22"/>
  <c r="F36" i="22"/>
  <c r="E82" i="22"/>
  <c r="Q30" i="22"/>
  <c r="K30" i="22" s="1"/>
  <c r="G30" i="22" s="1"/>
  <c r="E66" i="22"/>
  <c r="I66" i="22" s="1"/>
  <c r="Q84" i="22"/>
  <c r="T59" i="22"/>
  <c r="N59" i="22" s="1"/>
  <c r="E40" i="22"/>
  <c r="I40" i="22" s="1"/>
  <c r="R63" i="22"/>
  <c r="L63" i="22" s="1"/>
  <c r="Q65" i="22"/>
  <c r="K65" i="22" s="1"/>
  <c r="T18" i="22"/>
  <c r="N18" i="22" s="1"/>
  <c r="T78" i="22"/>
  <c r="F65" i="22"/>
  <c r="J65" i="22" s="1"/>
  <c r="T53" i="22"/>
  <c r="N53" i="22" s="1"/>
  <c r="T62" i="22"/>
  <c r="N62" i="22" s="1"/>
  <c r="D117" i="22"/>
  <c r="T67" i="22"/>
  <c r="N67" i="22" s="1"/>
  <c r="U105" i="22"/>
  <c r="S39" i="22"/>
  <c r="M39" i="22" s="1"/>
  <c r="I39" i="22" s="1"/>
  <c r="R76" i="22"/>
  <c r="S38" i="22"/>
  <c r="M38" i="22" s="1"/>
  <c r="I38" i="22" s="1"/>
  <c r="K8" i="22"/>
  <c r="G8" i="22" s="1"/>
  <c r="V8" i="22"/>
  <c r="E63" i="22"/>
  <c r="I63" i="22" s="1"/>
  <c r="R114" i="22"/>
  <c r="L87" i="22"/>
  <c r="H87" i="22" s="1"/>
  <c r="I57" i="22"/>
  <c r="Q81" i="22"/>
  <c r="G63" i="22"/>
  <c r="E75" i="22"/>
  <c r="E76" i="22"/>
  <c r="C108" i="22"/>
  <c r="E84" i="22"/>
  <c r="Q12" i="22"/>
  <c r="D54" i="22"/>
  <c r="D104" i="22" s="1"/>
  <c r="C117" i="22"/>
  <c r="G21" i="22"/>
  <c r="T79" i="22"/>
  <c r="T56" i="22"/>
  <c r="N56" i="22" s="1"/>
  <c r="J56" i="22" s="1"/>
  <c r="G35" i="22"/>
  <c r="C85" i="22"/>
  <c r="C110" i="22"/>
  <c r="S15" i="22"/>
  <c r="M15" i="22" s="1"/>
  <c r="I15" i="22" s="1"/>
  <c r="R38" i="22"/>
  <c r="L38" i="22" s="1"/>
  <c r="H38" i="22" s="1"/>
  <c r="S77" i="22"/>
  <c r="R31" i="22"/>
  <c r="L31" i="22" s="1"/>
  <c r="H31" i="22" s="1"/>
  <c r="I9" i="22"/>
  <c r="E105" i="22"/>
  <c r="F89" i="22"/>
  <c r="J89" i="22" s="1"/>
  <c r="E112" i="22"/>
  <c r="I16" i="22"/>
  <c r="R40" i="22"/>
  <c r="L40" i="22" s="1"/>
  <c r="R55" i="22"/>
  <c r="L55" i="22" s="1"/>
  <c r="H42" i="22"/>
  <c r="R65" i="22"/>
  <c r="L65" i="22" s="1"/>
  <c r="E41" i="22"/>
  <c r="I41" i="22" s="1"/>
  <c r="D57" i="22"/>
  <c r="H57" i="22" s="1"/>
  <c r="F84" i="22"/>
  <c r="S65" i="22"/>
  <c r="M65" i="22" s="1"/>
  <c r="I65" i="22" s="1"/>
  <c r="D53" i="22"/>
  <c r="H53" i="22" s="1"/>
  <c r="R90" i="22"/>
  <c r="F106" i="22"/>
  <c r="J10" i="22"/>
  <c r="S59" i="22"/>
  <c r="M59" i="22" s="1"/>
  <c r="Q39" i="22"/>
  <c r="K39" i="22" s="1"/>
  <c r="G39" i="22" s="1"/>
  <c r="Q62" i="22"/>
  <c r="K62" i="22" s="1"/>
  <c r="T38" i="22"/>
  <c r="N38" i="22" s="1"/>
  <c r="J38" i="22" s="1"/>
  <c r="C65" i="22"/>
  <c r="F18" i="22"/>
  <c r="T16" i="22"/>
  <c r="N16" i="22" s="1"/>
  <c r="P45" i="22"/>
  <c r="F53" i="22"/>
  <c r="F62" i="22"/>
  <c r="T86" i="22"/>
  <c r="F111" i="22"/>
  <c r="E116" i="22"/>
  <c r="P45" i="12"/>
  <c r="P68" i="12"/>
  <c r="P91" i="12"/>
  <c r="P22" i="12"/>
  <c r="S9" i="28" l="1"/>
  <c r="AD29" i="23"/>
  <c r="G17" i="27"/>
  <c r="O50" i="26"/>
  <c r="J33" i="23"/>
  <c r="J47" i="23" s="1"/>
  <c r="J48" i="23" s="1"/>
  <c r="Y104" i="22"/>
  <c r="J111" i="22"/>
  <c r="N111" i="22" s="1"/>
  <c r="W104" i="22"/>
  <c r="Y107" i="22"/>
  <c r="AA106" i="22"/>
  <c r="H109" i="22"/>
  <c r="AA116" i="22"/>
  <c r="R117" i="22"/>
  <c r="L90" i="22"/>
  <c r="H90" i="22" s="1"/>
  <c r="H117" i="22" s="1"/>
  <c r="L117" i="22" s="1"/>
  <c r="L76" i="22"/>
  <c r="H76" i="22" s="1"/>
  <c r="R103" i="22"/>
  <c r="C107" i="22"/>
  <c r="G11" i="22"/>
  <c r="G107" i="22" s="1"/>
  <c r="S111" i="22"/>
  <c r="M84" i="22"/>
  <c r="H66" i="22"/>
  <c r="V11" i="22"/>
  <c r="K11" i="22"/>
  <c r="V105" i="22"/>
  <c r="U103" i="22"/>
  <c r="D108" i="22"/>
  <c r="N54" i="22"/>
  <c r="T104" i="22"/>
  <c r="Z104" i="22" s="1"/>
  <c r="Q45" i="22"/>
  <c r="K29" i="22"/>
  <c r="G29" i="22" s="1"/>
  <c r="J40" i="22"/>
  <c r="J113" i="22" s="1"/>
  <c r="T102" i="22"/>
  <c r="T91" i="22"/>
  <c r="N75" i="22"/>
  <c r="J75" i="22" s="1"/>
  <c r="S106" i="22"/>
  <c r="M79" i="22"/>
  <c r="I79" i="22" s="1"/>
  <c r="J82" i="22"/>
  <c r="S114" i="22"/>
  <c r="M87" i="22"/>
  <c r="I87" i="22" s="1"/>
  <c r="J41" i="22"/>
  <c r="I36" i="22"/>
  <c r="E109" i="22"/>
  <c r="R104" i="22"/>
  <c r="X104" i="22" s="1"/>
  <c r="L77" i="22"/>
  <c r="H77" i="22" s="1"/>
  <c r="F117" i="22"/>
  <c r="J81" i="22"/>
  <c r="S102" i="22"/>
  <c r="M75" i="22"/>
  <c r="S91" i="22"/>
  <c r="G85" i="22"/>
  <c r="G65" i="22"/>
  <c r="I75" i="22"/>
  <c r="S110" i="22"/>
  <c r="M83" i="22"/>
  <c r="S45" i="22"/>
  <c r="Q114" i="22"/>
  <c r="K87" i="22"/>
  <c r="G87" i="22" s="1"/>
  <c r="R107" i="22"/>
  <c r="L80" i="22"/>
  <c r="W102" i="22"/>
  <c r="G113" i="22"/>
  <c r="K113" i="22" s="1"/>
  <c r="Q22" i="22"/>
  <c r="K6" i="22"/>
  <c r="G6" i="22" s="1"/>
  <c r="G102" i="22" s="1"/>
  <c r="V6" i="22"/>
  <c r="H52" i="22"/>
  <c r="H102" i="22" s="1"/>
  <c r="L102" i="22" s="1"/>
  <c r="R110" i="22"/>
  <c r="R113" i="22"/>
  <c r="L86" i="22"/>
  <c r="H86" i="22" s="1"/>
  <c r="H113" i="22" s="1"/>
  <c r="R68" i="22"/>
  <c r="L52" i="22"/>
  <c r="G31" i="22"/>
  <c r="C104" i="22"/>
  <c r="R109" i="22"/>
  <c r="L82" i="22"/>
  <c r="H82" i="22" s="1"/>
  <c r="I64" i="22"/>
  <c r="I114" i="22" s="1"/>
  <c r="F112" i="22"/>
  <c r="J16" i="22"/>
  <c r="K52" i="22"/>
  <c r="Q68" i="22"/>
  <c r="M105" i="22"/>
  <c r="AA105" i="22"/>
  <c r="I105" i="22"/>
  <c r="V12" i="22"/>
  <c r="K12" i="22"/>
  <c r="G12" i="22" s="1"/>
  <c r="G108" i="22" s="1"/>
  <c r="K108" i="22" s="1"/>
  <c r="I84" i="22"/>
  <c r="I111" i="22" s="1"/>
  <c r="T111" i="22"/>
  <c r="N84" i="22"/>
  <c r="U111" i="22"/>
  <c r="D103" i="22"/>
  <c r="H7" i="22"/>
  <c r="H103" i="22" s="1"/>
  <c r="S68" i="22"/>
  <c r="M52" i="22"/>
  <c r="I52" i="22" s="1"/>
  <c r="I102" i="22" s="1"/>
  <c r="R115" i="22"/>
  <c r="X115" i="22" s="1"/>
  <c r="L88" i="22"/>
  <c r="H88" i="22" s="1"/>
  <c r="H115" i="22" s="1"/>
  <c r="L115" i="22" s="1"/>
  <c r="AA115" i="22"/>
  <c r="R22" i="22"/>
  <c r="F105" i="22"/>
  <c r="I67" i="22"/>
  <c r="V7" i="22"/>
  <c r="K7" i="22"/>
  <c r="G7" i="22" s="1"/>
  <c r="Q115" i="22"/>
  <c r="K88" i="22"/>
  <c r="H56" i="22"/>
  <c r="H106" i="22" s="1"/>
  <c r="D106" i="22"/>
  <c r="R108" i="22"/>
  <c r="L81" i="22"/>
  <c r="H81" i="22" s="1"/>
  <c r="E117" i="22"/>
  <c r="M80" i="22"/>
  <c r="I80" i="22" s="1"/>
  <c r="I107" i="22" s="1"/>
  <c r="M107" i="22" s="1"/>
  <c r="S107" i="22"/>
  <c r="AB107" i="22" s="1"/>
  <c r="Q107" i="22"/>
  <c r="U116" i="22"/>
  <c r="F114" i="22"/>
  <c r="J18" i="22"/>
  <c r="H54" i="22"/>
  <c r="H104" i="22" s="1"/>
  <c r="L104" i="22" s="1"/>
  <c r="F102" i="22"/>
  <c r="Y111" i="22"/>
  <c r="T113" i="22"/>
  <c r="N86" i="22"/>
  <c r="J86" i="22" s="1"/>
  <c r="D113" i="22"/>
  <c r="J84" i="22"/>
  <c r="S104" i="22"/>
  <c r="AB104" i="22" s="1"/>
  <c r="M77" i="22"/>
  <c r="I77" i="22" s="1"/>
  <c r="I104" i="22" s="1"/>
  <c r="M104" i="22" s="1"/>
  <c r="E114" i="22"/>
  <c r="Q108" i="22"/>
  <c r="K81" i="22"/>
  <c r="G81" i="22" s="1"/>
  <c r="F113" i="22"/>
  <c r="Q111" i="22"/>
  <c r="V111" i="22" s="1"/>
  <c r="K84" i="22"/>
  <c r="G84" i="22" s="1"/>
  <c r="G62" i="22"/>
  <c r="G112" i="22" s="1"/>
  <c r="H80" i="22"/>
  <c r="H107" i="22" s="1"/>
  <c r="L107" i="22" s="1"/>
  <c r="J39" i="22"/>
  <c r="G42" i="22"/>
  <c r="C115" i="22"/>
  <c r="D111" i="22"/>
  <c r="S115" i="22"/>
  <c r="AB115" i="22" s="1"/>
  <c r="M88" i="22"/>
  <c r="I88" i="22" s="1"/>
  <c r="I115" i="22" s="1"/>
  <c r="M115" i="22" s="1"/>
  <c r="J116" i="22"/>
  <c r="J58" i="22"/>
  <c r="J108" i="22" s="1"/>
  <c r="G90" i="22"/>
  <c r="H59" i="22"/>
  <c r="D109" i="22"/>
  <c r="C112" i="22"/>
  <c r="Q117" i="22"/>
  <c r="V117" i="22" s="1"/>
  <c r="K90" i="22"/>
  <c r="R112" i="22"/>
  <c r="L85" i="22"/>
  <c r="H85" i="22" s="1"/>
  <c r="H112" i="22" s="1"/>
  <c r="L75" i="22"/>
  <c r="H75" i="22" s="1"/>
  <c r="R102" i="22"/>
  <c r="R91" i="22"/>
  <c r="T109" i="22"/>
  <c r="N82" i="22"/>
  <c r="S105" i="22"/>
  <c r="AB105" i="22" s="1"/>
  <c r="I29" i="22"/>
  <c r="E102" i="22"/>
  <c r="E111" i="22"/>
  <c r="J36" i="22"/>
  <c r="F109" i="22"/>
  <c r="Q112" i="22"/>
  <c r="K85" i="22"/>
  <c r="J62" i="22"/>
  <c r="T105" i="22"/>
  <c r="N78" i="22"/>
  <c r="J78" i="22" s="1"/>
  <c r="J105" i="22" s="1"/>
  <c r="J33" i="22"/>
  <c r="J106" i="22" s="1"/>
  <c r="N106" i="22" s="1"/>
  <c r="F116" i="22"/>
  <c r="T107" i="22"/>
  <c r="Z107" i="22" s="1"/>
  <c r="N80" i="22"/>
  <c r="J80" i="22" s="1"/>
  <c r="J107" i="22" s="1"/>
  <c r="N107" i="22" s="1"/>
  <c r="G59" i="22"/>
  <c r="G109" i="22" s="1"/>
  <c r="C109" i="22"/>
  <c r="H83" i="22"/>
  <c r="H110" i="22" s="1"/>
  <c r="D110" i="22"/>
  <c r="T103" i="22"/>
  <c r="N76" i="22"/>
  <c r="J76" i="22" s="1"/>
  <c r="F108" i="22"/>
  <c r="S116" i="22"/>
  <c r="M89" i="22"/>
  <c r="I89" i="22" s="1"/>
  <c r="I116" i="22" s="1"/>
  <c r="M116" i="22" s="1"/>
  <c r="E103" i="22"/>
  <c r="J85" i="22"/>
  <c r="S113" i="22"/>
  <c r="M86" i="22"/>
  <c r="I86" i="22" s="1"/>
  <c r="F103" i="22"/>
  <c r="M81" i="22"/>
  <c r="I81" i="22" s="1"/>
  <c r="I108" i="22" s="1"/>
  <c r="S108" i="22"/>
  <c r="H43" i="22"/>
  <c r="H116" i="22" s="1"/>
  <c r="D116" i="22"/>
  <c r="J59" i="22"/>
  <c r="S22" i="22"/>
  <c r="I83" i="22"/>
  <c r="T45" i="22"/>
  <c r="Y106" i="22"/>
  <c r="S109" i="22"/>
  <c r="M82" i="22"/>
  <c r="I82" i="22" s="1"/>
  <c r="I109" i="22" s="1"/>
  <c r="T68" i="22"/>
  <c r="N52" i="22"/>
  <c r="J52" i="22" s="1"/>
  <c r="W107" i="22"/>
  <c r="H108" i="22"/>
  <c r="S103" i="22"/>
  <c r="M76" i="22"/>
  <c r="I76" i="22" s="1"/>
  <c r="I103" i="22" s="1"/>
  <c r="Q91" i="22"/>
  <c r="K75" i="22"/>
  <c r="G75" i="22" s="1"/>
  <c r="Q102" i="22"/>
  <c r="D105" i="22"/>
  <c r="J53" i="22"/>
  <c r="J103" i="22" s="1"/>
  <c r="J54" i="22"/>
  <c r="J104" i="22" s="1"/>
  <c r="N104" i="22" s="1"/>
  <c r="Q110" i="22"/>
  <c r="K83" i="22"/>
  <c r="G83" i="22" s="1"/>
  <c r="G110" i="22" s="1"/>
  <c r="K110" i="22" s="1"/>
  <c r="I113" i="22"/>
  <c r="I60" i="22"/>
  <c r="F110" i="22"/>
  <c r="J14" i="22"/>
  <c r="J110" i="22" s="1"/>
  <c r="T117" i="22"/>
  <c r="N90" i="22"/>
  <c r="J90" i="22" s="1"/>
  <c r="J117" i="22" s="1"/>
  <c r="G61" i="22"/>
  <c r="G111" i="22" s="1"/>
  <c r="K111" i="22" s="1"/>
  <c r="I56" i="22"/>
  <c r="I106" i="22" s="1"/>
  <c r="M106" i="22" s="1"/>
  <c r="F115" i="22"/>
  <c r="R105" i="22"/>
  <c r="L78" i="22"/>
  <c r="H78" i="22" s="1"/>
  <c r="H105" i="22" s="1"/>
  <c r="T110" i="22"/>
  <c r="N83" i="22"/>
  <c r="R45" i="22"/>
  <c r="T112" i="22"/>
  <c r="N85" i="22"/>
  <c r="K20" i="22"/>
  <c r="G20" i="22" s="1"/>
  <c r="V20" i="22"/>
  <c r="N81" i="22"/>
  <c r="T108" i="22"/>
  <c r="U110" i="22"/>
  <c r="K117" i="22"/>
  <c r="U117" i="22"/>
  <c r="Q116" i="22"/>
  <c r="V116" i="22" s="1"/>
  <c r="K89" i="22"/>
  <c r="G89" i="22" s="1"/>
  <c r="E113" i="22"/>
  <c r="R111" i="22"/>
  <c r="L84" i="22"/>
  <c r="H84" i="22" s="1"/>
  <c r="H111" i="22" s="1"/>
  <c r="AA112" i="22"/>
  <c r="T106" i="22"/>
  <c r="Z106" i="22" s="1"/>
  <c r="N79" i="22"/>
  <c r="J79" i="22" s="1"/>
  <c r="N6" i="22"/>
  <c r="J6" i="22" s="1"/>
  <c r="J102" i="22" s="1"/>
  <c r="T22" i="22"/>
  <c r="G117" i="22"/>
  <c r="U108" i="22"/>
  <c r="G104" i="22"/>
  <c r="W117" i="22"/>
  <c r="G52" i="22"/>
  <c r="G64" i="22"/>
  <c r="G114" i="22" s="1"/>
  <c r="C114" i="22"/>
  <c r="U113" i="22"/>
  <c r="V113" i="22" s="1"/>
  <c r="Q103" i="22"/>
  <c r="V103" i="22" s="1"/>
  <c r="K76" i="22"/>
  <c r="G76" i="22" s="1"/>
  <c r="C102" i="22"/>
  <c r="AA104" i="22"/>
  <c r="H64" i="22"/>
  <c r="H114" i="22" s="1"/>
  <c r="D114" i="22"/>
  <c r="J83" i="22"/>
  <c r="G88" i="22"/>
  <c r="U106" i="22"/>
  <c r="Q104" i="22"/>
  <c r="S112" i="22"/>
  <c r="M85" i="22"/>
  <c r="I85" i="22" s="1"/>
  <c r="I112" i="22" s="1"/>
  <c r="M112" i="22" s="1"/>
  <c r="J60" i="22"/>
  <c r="H89" i="22"/>
  <c r="Q106" i="22"/>
  <c r="V106" i="22" s="1"/>
  <c r="K79" i="22"/>
  <c r="G79" i="22" s="1"/>
  <c r="G106" i="22" s="1"/>
  <c r="K106" i="22" s="1"/>
  <c r="V19" i="22"/>
  <c r="K19" i="22"/>
  <c r="G19" i="22" s="1"/>
  <c r="E108" i="22"/>
  <c r="T114" i="22"/>
  <c r="N87" i="22"/>
  <c r="J87" i="22" s="1"/>
  <c r="Q109" i="22"/>
  <c r="K82" i="22"/>
  <c r="G82" i="22" s="1"/>
  <c r="R116" i="22"/>
  <c r="L89" i="22"/>
  <c r="S117" i="22"/>
  <c r="M90" i="22"/>
  <c r="I90" i="22" s="1"/>
  <c r="I44" i="22"/>
  <c r="I117" i="22" s="1"/>
  <c r="D112" i="22"/>
  <c r="T115" i="22"/>
  <c r="N88" i="22"/>
  <c r="J88" i="22" s="1"/>
  <c r="J115" i="22" s="1"/>
  <c r="E110" i="22"/>
  <c r="AE29" i="23" l="1"/>
  <c r="P50" i="26"/>
  <c r="K33" i="23"/>
  <c r="K47" i="23" s="1"/>
  <c r="K48" i="23" s="1"/>
  <c r="J112" i="22"/>
  <c r="N112" i="22" s="1"/>
  <c r="U112" i="22"/>
  <c r="K112" i="22"/>
  <c r="N102" i="22"/>
  <c r="Y102" i="22"/>
  <c r="L106" i="22"/>
  <c r="W106" i="22"/>
  <c r="X106" i="22" s="1"/>
  <c r="Y112" i="22"/>
  <c r="Z112" i="22" s="1"/>
  <c r="U104" i="22"/>
  <c r="K104" i="22"/>
  <c r="Y117" i="22"/>
  <c r="Z117" i="22" s="1"/>
  <c r="N117" i="22"/>
  <c r="AB111" i="22"/>
  <c r="L116" i="22"/>
  <c r="W116" i="22"/>
  <c r="Z115" i="22"/>
  <c r="L111" i="22"/>
  <c r="W111" i="22"/>
  <c r="Y110" i="22"/>
  <c r="Z110" i="22" s="1"/>
  <c r="N110" i="22"/>
  <c r="W109" i="22"/>
  <c r="X109" i="22" s="1"/>
  <c r="L109" i="22"/>
  <c r="L114" i="22"/>
  <c r="W114" i="22"/>
  <c r="X114" i="22" s="1"/>
  <c r="W105" i="22"/>
  <c r="W118" i="22" s="1"/>
  <c r="L105" i="22"/>
  <c r="AB116" i="22"/>
  <c r="AA102" i="22"/>
  <c r="M102" i="22"/>
  <c r="U115" i="22"/>
  <c r="K115" i="22"/>
  <c r="W113" i="22"/>
  <c r="X113" i="22" s="1"/>
  <c r="L113" i="22"/>
  <c r="J114" i="22"/>
  <c r="W103" i="22"/>
  <c r="L103" i="22"/>
  <c r="AB106" i="22"/>
  <c r="K107" i="22"/>
  <c r="U107" i="22"/>
  <c r="V107" i="22" s="1"/>
  <c r="AB103" i="22"/>
  <c r="W112" i="22"/>
  <c r="L112" i="22"/>
  <c r="M108" i="22"/>
  <c r="AA108" i="22"/>
  <c r="AB108" i="22" s="1"/>
  <c r="K114" i="22"/>
  <c r="U114" i="22"/>
  <c r="V114" i="22" s="1"/>
  <c r="I110" i="22"/>
  <c r="M110" i="22" s="1"/>
  <c r="Y103" i="22"/>
  <c r="Z103" i="22" s="1"/>
  <c r="N103" i="22"/>
  <c r="N108" i="22"/>
  <c r="Y108" i="22"/>
  <c r="Z108" i="22" s="1"/>
  <c r="N113" i="22"/>
  <c r="Y113" i="22"/>
  <c r="Z113" i="22" s="1"/>
  <c r="Y114" i="22"/>
  <c r="Z114" i="22" s="1"/>
  <c r="N114" i="22"/>
  <c r="V115" i="22"/>
  <c r="AA109" i="22"/>
  <c r="AB109" i="22" s="1"/>
  <c r="M109" i="22"/>
  <c r="X103" i="22"/>
  <c r="X110" i="22"/>
  <c r="V109" i="22"/>
  <c r="K109" i="22"/>
  <c r="U109" i="22"/>
  <c r="Y115" i="22"/>
  <c r="N115" i="22"/>
  <c r="AB117" i="22"/>
  <c r="G115" i="22"/>
  <c r="AB112" i="22"/>
  <c r="Q118" i="22"/>
  <c r="V118" i="22" s="1"/>
  <c r="V102" i="22"/>
  <c r="V112" i="22"/>
  <c r="G103" i="22"/>
  <c r="K103" i="22" s="1"/>
  <c r="S118" i="22"/>
  <c r="AB102" i="22"/>
  <c r="W108" i="22"/>
  <c r="X108" i="22" s="1"/>
  <c r="L108" i="22"/>
  <c r="M111" i="22"/>
  <c r="AA111" i="22"/>
  <c r="M103" i="22"/>
  <c r="AA103" i="22"/>
  <c r="R118" i="22"/>
  <c r="X102" i="22"/>
  <c r="V104" i="22"/>
  <c r="X111" i="22"/>
  <c r="N116" i="22"/>
  <c r="Y116" i="22"/>
  <c r="Z116" i="22" s="1"/>
  <c r="Y109" i="22"/>
  <c r="Z109" i="22" s="1"/>
  <c r="X112" i="22"/>
  <c r="V108" i="22"/>
  <c r="AA117" i="22"/>
  <c r="M117" i="22"/>
  <c r="T118" i="22"/>
  <c r="Z102" i="22"/>
  <c r="Y105" i="22"/>
  <c r="Z105" i="22" s="1"/>
  <c r="N105" i="22"/>
  <c r="G116" i="22"/>
  <c r="K116" i="22" s="1"/>
  <c r="AA110" i="22"/>
  <c r="X116" i="22"/>
  <c r="U102" i="22"/>
  <c r="K102" i="22"/>
  <c r="AA113" i="22"/>
  <c r="AB113" i="22" s="1"/>
  <c r="M113" i="22"/>
  <c r="V110" i="22"/>
  <c r="W110" i="22"/>
  <c r="L110" i="22"/>
  <c r="J109" i="22"/>
  <c r="N109" i="22" s="1"/>
  <c r="AA114" i="22"/>
  <c r="AB114" i="22" s="1"/>
  <c r="M114" i="22"/>
  <c r="Z111" i="22"/>
  <c r="X107" i="22"/>
  <c r="AB110" i="22"/>
  <c r="X117" i="22"/>
  <c r="AF29" i="23" l="1"/>
  <c r="Q50" i="26"/>
  <c r="L33" i="23"/>
  <c r="L47" i="23" s="1"/>
  <c r="L48" i="23" s="1"/>
  <c r="X105" i="22"/>
  <c r="T120" i="22"/>
  <c r="T119" i="22"/>
  <c r="T121" i="22" s="1"/>
  <c r="R124" i="22"/>
  <c r="AB118" i="22"/>
  <c r="Y118" i="22"/>
  <c r="Z118" i="22" s="1"/>
  <c r="AA118" i="22"/>
  <c r="AG29" i="23" l="1"/>
  <c r="R50" i="26"/>
  <c r="M33" i="23"/>
  <c r="M47" i="23" s="1"/>
  <c r="M48" i="23" s="1"/>
  <c r="R125" i="22"/>
  <c r="V125" i="22" s="1"/>
  <c r="V124" i="22"/>
  <c r="AH29" i="23" l="1"/>
  <c r="S50" i="26"/>
  <c r="N33" i="23"/>
  <c r="N47" i="23" s="1"/>
  <c r="N48" i="23" s="1"/>
  <c r="M237" i="13"/>
  <c r="L237" i="13"/>
  <c r="B205" i="13" s="1"/>
  <c r="K237" i="13"/>
  <c r="J237" i="13"/>
  <c r="I237" i="13"/>
  <c r="H237" i="13"/>
  <c r="M236" i="13"/>
  <c r="L236" i="13"/>
  <c r="K236" i="13"/>
  <c r="J236" i="13"/>
  <c r="I236" i="13"/>
  <c r="H236" i="13"/>
  <c r="M235" i="13"/>
  <c r="L235" i="13"/>
  <c r="K235" i="13"/>
  <c r="J235" i="13"/>
  <c r="I235" i="13"/>
  <c r="H235" i="13"/>
  <c r="M234" i="13"/>
  <c r="L234" i="13"/>
  <c r="K234" i="13"/>
  <c r="J234" i="13"/>
  <c r="I234" i="13"/>
  <c r="H234" i="13"/>
  <c r="M233" i="13"/>
  <c r="L233" i="13"/>
  <c r="B201" i="13" s="1"/>
  <c r="K233" i="13"/>
  <c r="J233" i="13"/>
  <c r="I233" i="13"/>
  <c r="H233" i="13"/>
  <c r="M232" i="13"/>
  <c r="L232" i="13"/>
  <c r="K232" i="13"/>
  <c r="J232" i="13"/>
  <c r="I232" i="13"/>
  <c r="H232" i="13"/>
  <c r="M231" i="13"/>
  <c r="L231" i="13"/>
  <c r="K231" i="13"/>
  <c r="J231" i="13"/>
  <c r="I231" i="13"/>
  <c r="H231" i="13"/>
  <c r="M230" i="13"/>
  <c r="L230" i="13"/>
  <c r="K230" i="13"/>
  <c r="J230" i="13"/>
  <c r="I230" i="13"/>
  <c r="H230" i="13"/>
  <c r="M229" i="13"/>
  <c r="L229" i="13"/>
  <c r="B197" i="13" s="1"/>
  <c r="K229" i="13"/>
  <c r="J229" i="13"/>
  <c r="I229" i="13"/>
  <c r="H229" i="13"/>
  <c r="M228" i="13"/>
  <c r="L228" i="13"/>
  <c r="K228" i="13"/>
  <c r="J228" i="13"/>
  <c r="I228" i="13"/>
  <c r="H228" i="13"/>
  <c r="M227" i="13"/>
  <c r="L227" i="13"/>
  <c r="K227" i="13"/>
  <c r="J227" i="13"/>
  <c r="I227" i="13"/>
  <c r="H227" i="13"/>
  <c r="M226" i="13"/>
  <c r="L226" i="13"/>
  <c r="K226" i="13"/>
  <c r="J226" i="13"/>
  <c r="I226" i="13"/>
  <c r="H226" i="13"/>
  <c r="M225" i="13"/>
  <c r="L225" i="13"/>
  <c r="B193" i="13" s="1"/>
  <c r="K225" i="13"/>
  <c r="J225" i="13"/>
  <c r="I225" i="13"/>
  <c r="H225" i="13"/>
  <c r="M224" i="13"/>
  <c r="L224" i="13"/>
  <c r="K224" i="13"/>
  <c r="J224" i="13"/>
  <c r="I224" i="13"/>
  <c r="H224" i="13"/>
  <c r="M223" i="13"/>
  <c r="L223" i="13"/>
  <c r="K223" i="13"/>
  <c r="J223" i="13"/>
  <c r="I223" i="13"/>
  <c r="H223" i="13"/>
  <c r="M222" i="13"/>
  <c r="M238" i="13" s="1"/>
  <c r="L222" i="13"/>
  <c r="L238" i="13" s="1"/>
  <c r="K222" i="13"/>
  <c r="K238" i="13" s="1"/>
  <c r="J222" i="13"/>
  <c r="J238" i="13" s="1"/>
  <c r="I222" i="13"/>
  <c r="I238" i="13" s="1"/>
  <c r="H222" i="13"/>
  <c r="H238" i="13" s="1"/>
  <c r="F215" i="13"/>
  <c r="F216" i="13" s="1"/>
  <c r="E186" i="13" s="1"/>
  <c r="AE205" i="13"/>
  <c r="AH205" i="13"/>
  <c r="AG205" i="13"/>
  <c r="AF205" i="13"/>
  <c r="AM205" i="13" s="1"/>
  <c r="F205" i="13" s="1"/>
  <c r="G205" i="13" s="1"/>
  <c r="AG204" i="13"/>
  <c r="AN204" i="13" s="1"/>
  <c r="H204" i="13" s="1"/>
  <c r="AH204" i="13"/>
  <c r="AO204" i="13" s="1"/>
  <c r="I204" i="13" s="1"/>
  <c r="AU204" i="13"/>
  <c r="BA204" i="13" s="1"/>
  <c r="AD204" i="13"/>
  <c r="B204" i="13"/>
  <c r="AP203" i="13"/>
  <c r="J203" i="13" s="1"/>
  <c r="AF203" i="13"/>
  <c r="AE203" i="13"/>
  <c r="B203" i="13"/>
  <c r="AD202" i="13"/>
  <c r="AH202" i="13"/>
  <c r="BE202" i="13"/>
  <c r="BK202" i="13" s="1"/>
  <c r="BV18" i="13" s="1"/>
  <c r="AG202" i="13"/>
  <c r="B202" i="13"/>
  <c r="AE201" i="13"/>
  <c r="BG201" i="13"/>
  <c r="BM201" i="13" s="1"/>
  <c r="BF201" i="13"/>
  <c r="BL201" i="13" s="1"/>
  <c r="AF201" i="13"/>
  <c r="AH200" i="13"/>
  <c r="BG200" i="13"/>
  <c r="BM200" i="13" s="1"/>
  <c r="AG200" i="13"/>
  <c r="AF200" i="13"/>
  <c r="AD200" i="13"/>
  <c r="AK200" i="13" s="1"/>
  <c r="D200" i="13" s="1"/>
  <c r="B200" i="13"/>
  <c r="AF199" i="13"/>
  <c r="AS199" i="13"/>
  <c r="AY199" i="13" s="1"/>
  <c r="AD199" i="13"/>
  <c r="B199" i="13"/>
  <c r="AU198" i="13"/>
  <c r="BA198" i="13" s="1"/>
  <c r="AD198" i="13"/>
  <c r="B198" i="13"/>
  <c r="BE197" i="13"/>
  <c r="BK197" i="13" s="1"/>
  <c r="BV13" i="13" s="1"/>
  <c r="AE197" i="13"/>
  <c r="AH197" i="13"/>
  <c r="AO197" i="13" s="1"/>
  <c r="I197" i="13" s="1"/>
  <c r="AG197" i="13"/>
  <c r="AG196" i="13"/>
  <c r="BD196" i="13"/>
  <c r="BJ196" i="13" s="1"/>
  <c r="AH196" i="13"/>
  <c r="AF196" i="13"/>
  <c r="AS196" i="13"/>
  <c r="AY196" i="13" s="1"/>
  <c r="AD196" i="13"/>
  <c r="B196" i="13"/>
  <c r="BF195" i="13"/>
  <c r="BL195" i="13" s="1"/>
  <c r="BE195" i="13"/>
  <c r="BK195" i="13" s="1"/>
  <c r="BV11" i="13" s="1"/>
  <c r="AF195" i="13"/>
  <c r="AE195" i="13"/>
  <c r="B195" i="13"/>
  <c r="AD194" i="13"/>
  <c r="BF194" i="13"/>
  <c r="BL194" i="13" s="1"/>
  <c r="AR194" i="13"/>
  <c r="AX194" i="13" s="1"/>
  <c r="B194" i="13"/>
  <c r="BH193" i="13"/>
  <c r="BN193" i="13" s="1"/>
  <c r="BG193" i="13"/>
  <c r="BM193" i="13" s="1"/>
  <c r="AE193" i="13"/>
  <c r="AH192" i="13"/>
  <c r="BH192" i="13"/>
  <c r="BN192" i="13" s="1"/>
  <c r="BG192" i="13"/>
  <c r="BM192" i="13" s="1"/>
  <c r="AG192" i="13"/>
  <c r="AF192" i="13"/>
  <c r="AE192" i="13"/>
  <c r="AL192" i="13" s="1"/>
  <c r="E192" i="13" s="1"/>
  <c r="AR192" i="13"/>
  <c r="AX192" i="13" s="1"/>
  <c r="B192" i="13"/>
  <c r="AP191" i="13"/>
  <c r="J191" i="13" s="1"/>
  <c r="BF191" i="13"/>
  <c r="BL191" i="13" s="1"/>
  <c r="BE191" i="13"/>
  <c r="BK191" i="13" s="1"/>
  <c r="BV7" i="13" s="1"/>
  <c r="AD191" i="13"/>
  <c r="AK191" i="13" s="1"/>
  <c r="D191" i="13" s="1"/>
  <c r="B191" i="13"/>
  <c r="AR190" i="13"/>
  <c r="AP190" i="13"/>
  <c r="AG190" i="13"/>
  <c r="AN190" i="13" s="1"/>
  <c r="BG190" i="13"/>
  <c r="BF190" i="13"/>
  <c r="BD190" i="13"/>
  <c r="AU190" i="13"/>
  <c r="AF190" i="13"/>
  <c r="AM190" i="13" s="1"/>
  <c r="AE190" i="13"/>
  <c r="AL190" i="13" s="1"/>
  <c r="B190" i="13"/>
  <c r="B206" i="13" s="1"/>
  <c r="E185" i="13"/>
  <c r="AE182" i="13"/>
  <c r="AL182" i="13" s="1"/>
  <c r="E182" i="13" s="1"/>
  <c r="AF182" i="13"/>
  <c r="AM182" i="13" s="1"/>
  <c r="F182" i="13" s="1"/>
  <c r="G182" i="13" s="1"/>
  <c r="AD182" i="13"/>
  <c r="B182" i="13"/>
  <c r="AG181" i="13"/>
  <c r="AD181" i="13"/>
  <c r="B181" i="13"/>
  <c r="AE180" i="13"/>
  <c r="AH180" i="13"/>
  <c r="B180" i="13"/>
  <c r="AG179" i="13"/>
  <c r="AN179" i="13" s="1"/>
  <c r="H179" i="13" s="1"/>
  <c r="AF179" i="13"/>
  <c r="B179" i="13"/>
  <c r="AD178" i="13"/>
  <c r="AE178" i="13"/>
  <c r="B178" i="13"/>
  <c r="B177" i="13"/>
  <c r="AT176" i="13"/>
  <c r="AZ176" i="13" s="1"/>
  <c r="AH176" i="13"/>
  <c r="AD176" i="13"/>
  <c r="B176" i="13"/>
  <c r="AP175" i="13"/>
  <c r="J175" i="13" s="1"/>
  <c r="AG175" i="13"/>
  <c r="AF175" i="13"/>
  <c r="B175" i="13"/>
  <c r="AH174" i="13"/>
  <c r="AD174" i="13"/>
  <c r="AK174" i="13" s="1"/>
  <c r="D174" i="13" s="1"/>
  <c r="B174" i="13"/>
  <c r="AH173" i="13"/>
  <c r="AO173" i="13" s="1"/>
  <c r="I173" i="13" s="1"/>
  <c r="AD173" i="13"/>
  <c r="AK173" i="13" s="1"/>
  <c r="D173" i="13" s="1"/>
  <c r="BG173" i="13"/>
  <c r="BM173" i="13" s="1"/>
  <c r="BE173" i="13"/>
  <c r="BK173" i="13" s="1"/>
  <c r="AU173" i="13"/>
  <c r="BA173" i="13" s="1"/>
  <c r="B173" i="13"/>
  <c r="AH172" i="13"/>
  <c r="AO172" i="13" s="1"/>
  <c r="I172" i="13" s="1"/>
  <c r="B172" i="13"/>
  <c r="AH171" i="13"/>
  <c r="AF171" i="13"/>
  <c r="AS171" i="13"/>
  <c r="AY171" i="13" s="1"/>
  <c r="AR171" i="13"/>
  <c r="AX171" i="13" s="1"/>
  <c r="B171" i="13"/>
  <c r="BH170" i="13"/>
  <c r="BN170" i="13" s="1"/>
  <c r="BD170" i="13"/>
  <c r="BJ170" i="13" s="1"/>
  <c r="AU170" i="13"/>
  <c r="BA170" i="13" s="1"/>
  <c r="AF170" i="13"/>
  <c r="AM170" i="13" s="1"/>
  <c r="F170" i="13" s="1"/>
  <c r="G170" i="13" s="1"/>
  <c r="AE170" i="13"/>
  <c r="AL170" i="13" s="1"/>
  <c r="E170" i="13" s="1"/>
  <c r="B170" i="13"/>
  <c r="BG169" i="13"/>
  <c r="BM169" i="13" s="1"/>
  <c r="AE169" i="13"/>
  <c r="AL169" i="13" s="1"/>
  <c r="E169" i="13" s="1"/>
  <c r="AD169" i="13"/>
  <c r="AK169" i="13" s="1"/>
  <c r="D169" i="13" s="1"/>
  <c r="BE169" i="13"/>
  <c r="BK169" i="13" s="1"/>
  <c r="AH169" i="13"/>
  <c r="AO169" i="13" s="1"/>
  <c r="I169" i="13" s="1"/>
  <c r="B169" i="13"/>
  <c r="BF168" i="13"/>
  <c r="AP168" i="13"/>
  <c r="BH168" i="13"/>
  <c r="BN168" i="13" s="1"/>
  <c r="BG168" i="13"/>
  <c r="AF168" i="13"/>
  <c r="AM168" i="13" s="1"/>
  <c r="B168" i="13"/>
  <c r="AD167" i="13"/>
  <c r="AK167" i="13" s="1"/>
  <c r="D167" i="13" s="1"/>
  <c r="BG167" i="13"/>
  <c r="BM167" i="13" s="1"/>
  <c r="BF167" i="13"/>
  <c r="BL167" i="13" s="1"/>
  <c r="BE167" i="13"/>
  <c r="BK167" i="13" s="1"/>
  <c r="B167" i="13"/>
  <c r="E163" i="13"/>
  <c r="AH159" i="13"/>
  <c r="AG159" i="13"/>
  <c r="BE159" i="13"/>
  <c r="BK159" i="13" s="1"/>
  <c r="B159" i="13"/>
  <c r="AH158" i="13"/>
  <c r="AG158" i="13"/>
  <c r="B158" i="13"/>
  <c r="BF157" i="13"/>
  <c r="BL157" i="13" s="1"/>
  <c r="AE157" i="13"/>
  <c r="AD157" i="13"/>
  <c r="AK157" i="13" s="1"/>
  <c r="D157" i="13" s="1"/>
  <c r="B157" i="13"/>
  <c r="AD156" i="13"/>
  <c r="AG156" i="13"/>
  <c r="B156" i="13"/>
  <c r="BE155" i="13"/>
  <c r="BK155" i="13" s="1"/>
  <c r="AE155" i="13"/>
  <c r="AL155" i="13" s="1"/>
  <c r="E155" i="13" s="1"/>
  <c r="AH155" i="13"/>
  <c r="AF155" i="13"/>
  <c r="AM155" i="13" s="1"/>
  <c r="F155" i="13" s="1"/>
  <c r="G155" i="13" s="1"/>
  <c r="B155" i="13"/>
  <c r="AG154" i="13"/>
  <c r="AV154" i="13"/>
  <c r="BB154" i="13" s="1"/>
  <c r="AF154" i="13"/>
  <c r="AM154" i="13" s="1"/>
  <c r="F154" i="13" s="1"/>
  <c r="G154" i="13" s="1"/>
  <c r="AE154" i="13"/>
  <c r="AD154" i="13"/>
  <c r="B154" i="13"/>
  <c r="AE153" i="13"/>
  <c r="BH153" i="13"/>
  <c r="BN153" i="13" s="1"/>
  <c r="AD153" i="13"/>
  <c r="AK153" i="13" s="1"/>
  <c r="D153" i="13" s="1"/>
  <c r="B153" i="13"/>
  <c r="AG152" i="13"/>
  <c r="AD152" i="13"/>
  <c r="B152" i="13"/>
  <c r="BE151" i="13"/>
  <c r="BK151" i="13" s="1"/>
  <c r="AE151" i="13"/>
  <c r="AL151" i="13" s="1"/>
  <c r="E151" i="13" s="1"/>
  <c r="AG151" i="13"/>
  <c r="AF151" i="13"/>
  <c r="AM151" i="13" s="1"/>
  <c r="F151" i="13" s="1"/>
  <c r="G151" i="13" s="1"/>
  <c r="AS151" i="13"/>
  <c r="AY151" i="13" s="1"/>
  <c r="B151" i="13"/>
  <c r="AH150" i="13"/>
  <c r="AO150" i="13" s="1"/>
  <c r="I150" i="13" s="1"/>
  <c r="AG150" i="13"/>
  <c r="AD150" i="13"/>
  <c r="B150" i="13"/>
  <c r="AE149" i="13"/>
  <c r="AL149" i="13" s="1"/>
  <c r="E149" i="13" s="1"/>
  <c r="B149" i="13"/>
  <c r="BH148" i="13"/>
  <c r="BN148" i="13" s="1"/>
  <c r="AT148" i="13"/>
  <c r="AZ148" i="13" s="1"/>
  <c r="AR148" i="13"/>
  <c r="AX148" i="13" s="1"/>
  <c r="AF148" i="13"/>
  <c r="AE148" i="13"/>
  <c r="B148" i="13"/>
  <c r="AT147" i="13"/>
  <c r="AZ147" i="13" s="1"/>
  <c r="AR147" i="13"/>
  <c r="AX147" i="13" s="1"/>
  <c r="BH147" i="13"/>
  <c r="BN147" i="13" s="1"/>
  <c r="BE147" i="13"/>
  <c r="BK147" i="13" s="1"/>
  <c r="BD147" i="13"/>
  <c r="BJ147" i="13" s="1"/>
  <c r="AG147" i="13"/>
  <c r="AN147" i="13" s="1"/>
  <c r="H147" i="13" s="1"/>
  <c r="AF147" i="13"/>
  <c r="B147" i="13"/>
  <c r="AT146" i="13"/>
  <c r="AS146" i="13"/>
  <c r="BF146" i="13"/>
  <c r="BE146" i="13"/>
  <c r="AH146" i="13"/>
  <c r="AO146" i="13" s="1"/>
  <c r="I146" i="13" s="1"/>
  <c r="AE146" i="13"/>
  <c r="AL146" i="13" s="1"/>
  <c r="E146" i="13" s="1"/>
  <c r="B146" i="13"/>
  <c r="B160" i="13" s="1"/>
  <c r="AP145" i="13"/>
  <c r="J145" i="13" s="1"/>
  <c r="BH145" i="13"/>
  <c r="BN145" i="13" s="1"/>
  <c r="BF145" i="13"/>
  <c r="BL145" i="13" s="1"/>
  <c r="BD145" i="13"/>
  <c r="BJ145" i="13" s="1"/>
  <c r="AG145" i="13"/>
  <c r="AN145" i="13" s="1"/>
  <c r="H145" i="13" s="1"/>
  <c r="AF145" i="13"/>
  <c r="AM145" i="13" s="1"/>
  <c r="F145" i="13" s="1"/>
  <c r="G145" i="13" s="1"/>
  <c r="B145" i="13"/>
  <c r="AT144" i="13"/>
  <c r="AZ144" i="13" s="1"/>
  <c r="AD144" i="13"/>
  <c r="AK144" i="13" s="1"/>
  <c r="D144" i="13" s="1"/>
  <c r="BF144" i="13"/>
  <c r="BL144" i="13" s="1"/>
  <c r="BE144" i="13"/>
  <c r="BK144" i="13" s="1"/>
  <c r="AE144" i="13"/>
  <c r="B144" i="13"/>
  <c r="E140" i="13"/>
  <c r="AG136" i="13"/>
  <c r="B136" i="13"/>
  <c r="AH135" i="13"/>
  <c r="AV135" i="13"/>
  <c r="BB135" i="13" s="1"/>
  <c r="AT135" i="13"/>
  <c r="AZ135" i="13" s="1"/>
  <c r="B135" i="13"/>
  <c r="BF134" i="13"/>
  <c r="BL134" i="13" s="1"/>
  <c r="AG134" i="13"/>
  <c r="AF134" i="13"/>
  <c r="AD134" i="13"/>
  <c r="B134" i="13"/>
  <c r="BG133" i="13"/>
  <c r="BM133" i="13" s="1"/>
  <c r="AH133" i="13"/>
  <c r="AO133" i="13" s="1"/>
  <c r="I133" i="13" s="1"/>
  <c r="AT133" i="13"/>
  <c r="AZ133" i="13" s="1"/>
  <c r="B133" i="13"/>
  <c r="AP132" i="13"/>
  <c r="J132" i="13" s="1"/>
  <c r="BD132" i="13"/>
  <c r="BJ132" i="13" s="1"/>
  <c r="AF132" i="13"/>
  <c r="AM132" i="13" s="1"/>
  <c r="F132" i="13" s="1"/>
  <c r="G132" i="13" s="1"/>
  <c r="B132" i="13"/>
  <c r="AK131" i="13"/>
  <c r="D131" i="13" s="1"/>
  <c r="AD131" i="13"/>
  <c r="B131" i="13"/>
  <c r="BH130" i="13"/>
  <c r="BN130" i="13" s="1"/>
  <c r="AU130" i="13"/>
  <c r="BA130" i="13" s="1"/>
  <c r="AF130" i="13"/>
  <c r="B130" i="13"/>
  <c r="BH129" i="13"/>
  <c r="BN129" i="13" s="1"/>
  <c r="BG129" i="13"/>
  <c r="BM129" i="13" s="1"/>
  <c r="AD129" i="13"/>
  <c r="AV129" i="13"/>
  <c r="BB129" i="13" s="1"/>
  <c r="AE129" i="13"/>
  <c r="AL129" i="13" s="1"/>
  <c r="E129" i="13" s="1"/>
  <c r="B129" i="13"/>
  <c r="AV128" i="13"/>
  <c r="BB128" i="13" s="1"/>
  <c r="AU128" i="13"/>
  <c r="BA128" i="13" s="1"/>
  <c r="AP128" i="13"/>
  <c r="J128" i="13" s="1"/>
  <c r="BD128" i="13"/>
  <c r="BJ128" i="13" s="1"/>
  <c r="AF128" i="13"/>
  <c r="AM128" i="13" s="1"/>
  <c r="F128" i="13" s="1"/>
  <c r="G128" i="13" s="1"/>
  <c r="B128" i="13"/>
  <c r="BD127" i="13"/>
  <c r="BJ127" i="13" s="1"/>
  <c r="AH127" i="13"/>
  <c r="AD127" i="13"/>
  <c r="AK127" i="13" s="1"/>
  <c r="D127" i="13" s="1"/>
  <c r="AG127" i="13"/>
  <c r="AR127" i="13"/>
  <c r="AX127" i="13" s="1"/>
  <c r="B127" i="13"/>
  <c r="AR126" i="13"/>
  <c r="AX126" i="13" s="1"/>
  <c r="AP126" i="13"/>
  <c r="J126" i="13" s="1"/>
  <c r="AL126" i="13"/>
  <c r="E126" i="13" s="1"/>
  <c r="BD126" i="13"/>
  <c r="BJ126" i="13" s="1"/>
  <c r="AF126" i="13"/>
  <c r="AE126" i="13"/>
  <c r="B126" i="13"/>
  <c r="AE125" i="13"/>
  <c r="AH125" i="13"/>
  <c r="AO125" i="13" s="1"/>
  <c r="I125" i="13" s="1"/>
  <c r="AD125" i="13"/>
  <c r="AK125" i="13" s="1"/>
  <c r="D125" i="13" s="1"/>
  <c r="B125" i="13"/>
  <c r="BF124" i="13"/>
  <c r="BL124" i="13" s="1"/>
  <c r="AT124" i="13"/>
  <c r="AZ124" i="13" s="1"/>
  <c r="B124" i="13"/>
  <c r="AT123" i="13"/>
  <c r="AZ123" i="13" s="1"/>
  <c r="BF123" i="13"/>
  <c r="BL123" i="13" s="1"/>
  <c r="AD123" i="13"/>
  <c r="AK123" i="13" s="1"/>
  <c r="D123" i="13" s="1"/>
  <c r="AH123" i="13"/>
  <c r="AG123" i="13"/>
  <c r="AN123" i="13" s="1"/>
  <c r="H123" i="13" s="1"/>
  <c r="AS123" i="13"/>
  <c r="AY123" i="13" s="1"/>
  <c r="B123" i="13"/>
  <c r="BE122" i="13"/>
  <c r="BK122" i="13" s="1"/>
  <c r="BH122" i="13"/>
  <c r="BN122" i="13" s="1"/>
  <c r="AG122" i="13"/>
  <c r="AN122" i="13" s="1"/>
  <c r="H122" i="13" s="1"/>
  <c r="AF122" i="13"/>
  <c r="AM122" i="13" s="1"/>
  <c r="F122" i="13" s="1"/>
  <c r="G122" i="13" s="1"/>
  <c r="AE122" i="13"/>
  <c r="AL122" i="13" s="1"/>
  <c r="E122" i="13" s="1"/>
  <c r="B122" i="13"/>
  <c r="AH121" i="13"/>
  <c r="AO121" i="13" s="1"/>
  <c r="I121" i="13" s="1"/>
  <c r="AD121" i="13"/>
  <c r="BF121" i="13"/>
  <c r="BL121" i="13" s="1"/>
  <c r="AS121" i="13"/>
  <c r="AY121" i="13" s="1"/>
  <c r="B121" i="13"/>
  <c r="E117" i="13"/>
  <c r="AS129" i="13" s="1"/>
  <c r="AY129" i="13" s="1"/>
  <c r="AP113" i="13"/>
  <c r="J113" i="13" s="1"/>
  <c r="BE113" i="13"/>
  <c r="BK113" i="13" s="1"/>
  <c r="BT21" i="13" s="1"/>
  <c r="BD113" i="13"/>
  <c r="BJ113" i="13" s="1"/>
  <c r="AF113" i="13"/>
  <c r="B113" i="13"/>
  <c r="AH112" i="13"/>
  <c r="AO112" i="13" s="1"/>
  <c r="I112" i="13" s="1"/>
  <c r="BG112" i="13"/>
  <c r="BM112" i="13" s="1"/>
  <c r="AD112" i="13"/>
  <c r="B112" i="13"/>
  <c r="AF111" i="13"/>
  <c r="B111" i="13"/>
  <c r="BH110" i="13"/>
  <c r="BN110" i="13" s="1"/>
  <c r="AH110" i="13"/>
  <c r="AO110" i="13" s="1"/>
  <c r="I110" i="13" s="1"/>
  <c r="AE110" i="13"/>
  <c r="AV110" i="13"/>
  <c r="BB110" i="13" s="1"/>
  <c r="AR110" i="13"/>
  <c r="AX110" i="13" s="1"/>
  <c r="B110" i="13"/>
  <c r="BF109" i="13"/>
  <c r="BL109" i="13" s="1"/>
  <c r="AU109" i="13"/>
  <c r="BA109" i="13" s="1"/>
  <c r="AT109" i="13"/>
  <c r="AZ109" i="13" s="1"/>
  <c r="B109" i="13"/>
  <c r="BD108" i="13"/>
  <c r="BJ108" i="13" s="1"/>
  <c r="AH108" i="13"/>
  <c r="AD108" i="13"/>
  <c r="B108" i="13"/>
  <c r="AP107" i="13"/>
  <c r="J107" i="13" s="1"/>
  <c r="AF107" i="13"/>
  <c r="B107" i="13"/>
  <c r="AE106" i="13"/>
  <c r="AD106" i="13"/>
  <c r="AK106" i="13" s="1"/>
  <c r="D106" i="13" s="1"/>
  <c r="AH106" i="13"/>
  <c r="AO106" i="13" s="1"/>
  <c r="I106" i="13" s="1"/>
  <c r="AR106" i="13"/>
  <c r="AX106" i="13" s="1"/>
  <c r="B106" i="13"/>
  <c r="AV105" i="13"/>
  <c r="BB105" i="13" s="1"/>
  <c r="AF105" i="13"/>
  <c r="B105" i="13"/>
  <c r="AS104" i="13"/>
  <c r="AY104" i="13" s="1"/>
  <c r="AH104" i="13"/>
  <c r="AD104" i="13"/>
  <c r="BF104" i="13"/>
  <c r="BL104" i="13" s="1"/>
  <c r="BD104" i="13"/>
  <c r="BJ104" i="13" s="1"/>
  <c r="AT104" i="13"/>
  <c r="AZ104" i="13" s="1"/>
  <c r="B104" i="13"/>
  <c r="BH103" i="13"/>
  <c r="BN103" i="13" s="1"/>
  <c r="AG103" i="13"/>
  <c r="AN103" i="13" s="1"/>
  <c r="H103" i="13" s="1"/>
  <c r="AF103" i="13"/>
  <c r="AE103" i="13"/>
  <c r="AL103" i="13" s="1"/>
  <c r="E103" i="13" s="1"/>
  <c r="B103" i="13"/>
  <c r="AD102" i="13"/>
  <c r="AK102" i="13" s="1"/>
  <c r="D102" i="13" s="1"/>
  <c r="B102" i="13"/>
  <c r="AS101" i="13"/>
  <c r="AH101" i="13"/>
  <c r="AO101" i="13" s="1"/>
  <c r="I101" i="13" s="1"/>
  <c r="AD101" i="13"/>
  <c r="AK101" i="13" s="1"/>
  <c r="BG101" i="13"/>
  <c r="B101" i="13"/>
  <c r="BH100" i="13"/>
  <c r="BN100" i="13" s="1"/>
  <c r="BD100" i="13"/>
  <c r="BJ100" i="13" s="1"/>
  <c r="AV100" i="13"/>
  <c r="BB100" i="13" s="1"/>
  <c r="AT100" i="13"/>
  <c r="AZ100" i="13" s="1"/>
  <c r="B100" i="13"/>
  <c r="AH99" i="13"/>
  <c r="AO99" i="13" s="1"/>
  <c r="I99" i="13" s="1"/>
  <c r="BE99" i="13"/>
  <c r="BK99" i="13" s="1"/>
  <c r="BD99" i="13"/>
  <c r="BJ99" i="13" s="1"/>
  <c r="AU99" i="13"/>
  <c r="BA99" i="13" s="1"/>
  <c r="AS99" i="13"/>
  <c r="AY99" i="13" s="1"/>
  <c r="B99" i="13"/>
  <c r="BD98" i="13"/>
  <c r="AR98" i="13"/>
  <c r="AX98" i="13" s="1"/>
  <c r="BH98" i="13"/>
  <c r="BG98" i="13"/>
  <c r="AU98" i="13"/>
  <c r="AT98" i="13"/>
  <c r="AD98" i="13"/>
  <c r="AK98" i="13" s="1"/>
  <c r="D98" i="13" s="1"/>
  <c r="B98" i="13"/>
  <c r="E94" i="13"/>
  <c r="AV90" i="13"/>
  <c r="AD90" i="13"/>
  <c r="AK90" i="13" s="1"/>
  <c r="B90" i="13"/>
  <c r="B21" i="13" s="1"/>
  <c r="BF89" i="13"/>
  <c r="BH89" i="13"/>
  <c r="BN89" i="13" s="1"/>
  <c r="AF89" i="13"/>
  <c r="AM89" i="13" s="1"/>
  <c r="BD89" i="13"/>
  <c r="BJ89" i="13" s="1"/>
  <c r="AV89" i="13"/>
  <c r="B89" i="13"/>
  <c r="AV88" i="13"/>
  <c r="BF88" i="13"/>
  <c r="AD88" i="13"/>
  <c r="AK88" i="13" s="1"/>
  <c r="AF88" i="13"/>
  <c r="AM88" i="13" s="1"/>
  <c r="B88" i="13"/>
  <c r="B91" i="13" s="1"/>
  <c r="AV87" i="13"/>
  <c r="BB87" i="13" s="1"/>
  <c r="BH87" i="13"/>
  <c r="BN87" i="13" s="1"/>
  <c r="AF87" i="13"/>
  <c r="AM87" i="13" s="1"/>
  <c r="BD87" i="13"/>
  <c r="BJ87" i="13" s="1"/>
  <c r="B87" i="13"/>
  <c r="AV86" i="13"/>
  <c r="BB86" i="13" s="1"/>
  <c r="BF86" i="13"/>
  <c r="AD86" i="13"/>
  <c r="AK86" i="13" s="1"/>
  <c r="B86" i="13"/>
  <c r="AV85" i="13"/>
  <c r="BB85" i="13" s="1"/>
  <c r="BF85" i="13"/>
  <c r="BL85" i="13" s="1"/>
  <c r="BD85" i="13"/>
  <c r="BJ85" i="13" s="1"/>
  <c r="AH85" i="13"/>
  <c r="AO85" i="13" s="1"/>
  <c r="I85" i="13" s="1"/>
  <c r="AE85" i="13"/>
  <c r="AL85" i="13" s="1"/>
  <c r="E85" i="13" s="1"/>
  <c r="B85" i="13"/>
  <c r="BD84" i="13"/>
  <c r="AV84" i="13"/>
  <c r="AR84" i="13"/>
  <c r="AH84" i="13"/>
  <c r="AO84" i="13" s="1"/>
  <c r="I84" i="13" s="1"/>
  <c r="BF84" i="13"/>
  <c r="BE84" i="13"/>
  <c r="BK84" i="13" s="1"/>
  <c r="BS15" i="13" s="1"/>
  <c r="AD84" i="13"/>
  <c r="AK84" i="13" s="1"/>
  <c r="AS84" i="13"/>
  <c r="AY84" i="13" s="1"/>
  <c r="B84" i="13"/>
  <c r="AP83" i="13"/>
  <c r="J83" i="13" s="1"/>
  <c r="BH83" i="13"/>
  <c r="BN83" i="13" s="1"/>
  <c r="BG83" i="13"/>
  <c r="BM83" i="13" s="1"/>
  <c r="BD83" i="13"/>
  <c r="BJ83" i="13" s="1"/>
  <c r="AV83" i="13"/>
  <c r="BB83" i="13" s="1"/>
  <c r="AU83" i="13"/>
  <c r="BA83" i="13" s="1"/>
  <c r="AF83" i="13"/>
  <c r="AM83" i="13" s="1"/>
  <c r="F83" i="13" s="1"/>
  <c r="G83" i="13" s="1"/>
  <c r="AR83" i="13"/>
  <c r="AX83" i="13" s="1"/>
  <c r="B83" i="13"/>
  <c r="BH82" i="13"/>
  <c r="BN82" i="13" s="1"/>
  <c r="BG82" i="13"/>
  <c r="BM82" i="13" s="1"/>
  <c r="BF82" i="13"/>
  <c r="BL82" i="13" s="1"/>
  <c r="BE82" i="13"/>
  <c r="BK82" i="13" s="1"/>
  <c r="BD82" i="13"/>
  <c r="BJ82" i="13" s="1"/>
  <c r="AH82" i="13"/>
  <c r="AO82" i="13" s="1"/>
  <c r="I82" i="13" s="1"/>
  <c r="AS82" i="13"/>
  <c r="AY82" i="13" s="1"/>
  <c r="B82" i="13"/>
  <c r="BH81" i="13"/>
  <c r="BN81" i="13" s="1"/>
  <c r="AU81" i="13"/>
  <c r="BA81" i="13" s="1"/>
  <c r="AP81" i="13"/>
  <c r="J81" i="13" s="1"/>
  <c r="BG81" i="13"/>
  <c r="BM81" i="13" s="1"/>
  <c r="BF81" i="13"/>
  <c r="BL81" i="13" s="1"/>
  <c r="BE81" i="13"/>
  <c r="BK81" i="13" s="1"/>
  <c r="BS12" i="13" s="1"/>
  <c r="BD81" i="13"/>
  <c r="BJ81" i="13" s="1"/>
  <c r="AF81" i="13"/>
  <c r="AM81" i="13" s="1"/>
  <c r="F81" i="13" s="1"/>
  <c r="G81" i="13" s="1"/>
  <c r="AE81" i="13"/>
  <c r="AL81" i="13" s="1"/>
  <c r="E81" i="13" s="1"/>
  <c r="B81" i="13"/>
  <c r="AD80" i="13"/>
  <c r="AK80" i="13" s="1"/>
  <c r="D80" i="13" s="1"/>
  <c r="BH80" i="13"/>
  <c r="BN80" i="13" s="1"/>
  <c r="BG80" i="13"/>
  <c r="BM80" i="13" s="1"/>
  <c r="BF80" i="13"/>
  <c r="BL80" i="13" s="1"/>
  <c r="BE80" i="13"/>
  <c r="BK80" i="13" s="1"/>
  <c r="BD80" i="13"/>
  <c r="BJ80" i="13" s="1"/>
  <c r="AV80" i="13"/>
  <c r="BB80" i="13" s="1"/>
  <c r="AU80" i="13"/>
  <c r="BA80" i="13" s="1"/>
  <c r="B80" i="13"/>
  <c r="BE79" i="13"/>
  <c r="BK79" i="13" s="1"/>
  <c r="BS10" i="13" s="1"/>
  <c r="AZ79" i="13"/>
  <c r="AU79" i="13"/>
  <c r="BA79" i="13" s="1"/>
  <c r="AT79" i="13"/>
  <c r="AP79" i="13"/>
  <c r="J79" i="13" s="1"/>
  <c r="BH79" i="13"/>
  <c r="BN79" i="13" s="1"/>
  <c r="BG79" i="13"/>
  <c r="BM79" i="13" s="1"/>
  <c r="BF79" i="13"/>
  <c r="BL79" i="13" s="1"/>
  <c r="BD79" i="13"/>
  <c r="BJ79" i="13" s="1"/>
  <c r="AH79" i="13"/>
  <c r="AO79" i="13" s="1"/>
  <c r="I79" i="13" s="1"/>
  <c r="AF79" i="13"/>
  <c r="AM79" i="13" s="1"/>
  <c r="F79" i="13" s="1"/>
  <c r="G79" i="13" s="1"/>
  <c r="AS79" i="13"/>
  <c r="AY79" i="13" s="1"/>
  <c r="B79" i="13"/>
  <c r="BG78" i="13"/>
  <c r="BM78" i="13" s="1"/>
  <c r="AR78" i="13"/>
  <c r="AX78" i="13" s="1"/>
  <c r="AD78" i="13"/>
  <c r="AK78" i="13" s="1"/>
  <c r="D78" i="13" s="1"/>
  <c r="BH78" i="13"/>
  <c r="BN78" i="13" s="1"/>
  <c r="BF78" i="13"/>
  <c r="BL78" i="13" s="1"/>
  <c r="BE78" i="13"/>
  <c r="BK78" i="13" s="1"/>
  <c r="BD78" i="13"/>
  <c r="BJ78" i="13" s="1"/>
  <c r="AH78" i="13"/>
  <c r="AO78" i="13" s="1"/>
  <c r="I78" i="13" s="1"/>
  <c r="AG78" i="13"/>
  <c r="AN78" i="13" s="1"/>
  <c r="H78" i="13" s="1"/>
  <c r="AF78" i="13"/>
  <c r="AM78" i="13" s="1"/>
  <c r="F78" i="13" s="1"/>
  <c r="G78" i="13" s="1"/>
  <c r="AE78" i="13"/>
  <c r="AL78" i="13" s="1"/>
  <c r="E78" i="13" s="1"/>
  <c r="B78" i="13"/>
  <c r="AU77" i="13"/>
  <c r="BA77" i="13" s="1"/>
  <c r="AP77" i="13"/>
  <c r="J77" i="13" s="1"/>
  <c r="BH77" i="13"/>
  <c r="BN77" i="13" s="1"/>
  <c r="BG77" i="13"/>
  <c r="BM77" i="13" s="1"/>
  <c r="BF77" i="13"/>
  <c r="BL77" i="13" s="1"/>
  <c r="BE77" i="13"/>
  <c r="BK77" i="13" s="1"/>
  <c r="BS8" i="13" s="1"/>
  <c r="BD77" i="13"/>
  <c r="BJ77" i="13" s="1"/>
  <c r="AF77" i="13"/>
  <c r="AM77" i="13" s="1"/>
  <c r="F77" i="13" s="1"/>
  <c r="G77" i="13" s="1"/>
  <c r="AE77" i="13"/>
  <c r="AL77" i="13" s="1"/>
  <c r="E77" i="13" s="1"/>
  <c r="B77" i="13"/>
  <c r="AD76" i="13"/>
  <c r="AK76" i="13" s="1"/>
  <c r="D76" i="13" s="1"/>
  <c r="BH76" i="13"/>
  <c r="BN76" i="13" s="1"/>
  <c r="BG76" i="13"/>
  <c r="BM76" i="13" s="1"/>
  <c r="BF76" i="13"/>
  <c r="BL76" i="13" s="1"/>
  <c r="BE76" i="13"/>
  <c r="BK76" i="13" s="1"/>
  <c r="BD76" i="13"/>
  <c r="BJ76" i="13" s="1"/>
  <c r="AV76" i="13"/>
  <c r="BB76" i="13" s="1"/>
  <c r="AU76" i="13"/>
  <c r="BA76" i="13" s="1"/>
  <c r="B76" i="13"/>
  <c r="BE75" i="13"/>
  <c r="BK75" i="13" s="1"/>
  <c r="BD75" i="13"/>
  <c r="BJ75" i="13" s="1"/>
  <c r="AU75" i="13"/>
  <c r="BA75" i="13" s="1"/>
  <c r="AT75" i="13"/>
  <c r="AZ75" i="13" s="1"/>
  <c r="AP75" i="13"/>
  <c r="J75" i="13" s="1"/>
  <c r="BH75" i="13"/>
  <c r="BN75" i="13" s="1"/>
  <c r="BG75" i="13"/>
  <c r="BM75" i="13" s="1"/>
  <c r="BF75" i="13"/>
  <c r="BL75" i="13" s="1"/>
  <c r="AF75" i="13"/>
  <c r="AM75" i="13" s="1"/>
  <c r="F75" i="13" s="1"/>
  <c r="AS75" i="13"/>
  <c r="AY75" i="13" s="1"/>
  <c r="B75" i="13"/>
  <c r="E71" i="13"/>
  <c r="AS67" i="13"/>
  <c r="AY67" i="13" s="1"/>
  <c r="BE67" i="13"/>
  <c r="BK67" i="13" s="1"/>
  <c r="BD67" i="13"/>
  <c r="BJ67" i="13" s="1"/>
  <c r="AH67" i="13"/>
  <c r="AG67" i="13"/>
  <c r="AN67" i="13" s="1"/>
  <c r="H67" i="13" s="1"/>
  <c r="B67" i="13"/>
  <c r="AP66" i="13"/>
  <c r="J66" i="13" s="1"/>
  <c r="AF66" i="13"/>
  <c r="BD66" i="13"/>
  <c r="BJ66" i="13" s="1"/>
  <c r="AG66" i="13"/>
  <c r="AE66" i="13"/>
  <c r="AL66" i="13" s="1"/>
  <c r="B66" i="13"/>
  <c r="BF65" i="13"/>
  <c r="BL65" i="13" s="1"/>
  <c r="AS65" i="13"/>
  <c r="AY65" i="13" s="1"/>
  <c r="AD65" i="13"/>
  <c r="AK65" i="13" s="1"/>
  <c r="D65" i="13" s="1"/>
  <c r="BE65" i="13"/>
  <c r="BK65" i="13" s="1"/>
  <c r="BR19" i="13" s="1"/>
  <c r="BD65" i="13"/>
  <c r="BJ65" i="13" s="1"/>
  <c r="B65" i="13"/>
  <c r="BD64" i="13"/>
  <c r="BJ64" i="13" s="1"/>
  <c r="AP64" i="13"/>
  <c r="J64" i="13" s="1"/>
  <c r="BH64" i="13"/>
  <c r="BN64" i="13" s="1"/>
  <c r="BG64" i="13"/>
  <c r="BM64" i="13" s="1"/>
  <c r="AF64" i="13"/>
  <c r="AS64" i="13"/>
  <c r="AY64" i="13" s="1"/>
  <c r="B64" i="13"/>
  <c r="AG63" i="13"/>
  <c r="AN63" i="13" s="1"/>
  <c r="H63" i="13" s="1"/>
  <c r="BH63" i="13"/>
  <c r="BN63" i="13" s="1"/>
  <c r="AH63" i="13"/>
  <c r="AO63" i="13" s="1"/>
  <c r="I63" i="13" s="1"/>
  <c r="B63" i="13"/>
  <c r="AF62" i="13"/>
  <c r="BG62" i="13"/>
  <c r="BM62" i="13" s="1"/>
  <c r="AE62" i="13"/>
  <c r="AL62" i="13" s="1"/>
  <c r="E62" i="13" s="1"/>
  <c r="BD62" i="13"/>
  <c r="BJ62" i="13" s="1"/>
  <c r="B62" i="13"/>
  <c r="BG61" i="13"/>
  <c r="BM61" i="13" s="1"/>
  <c r="AH61" i="13"/>
  <c r="AO61" i="13" s="1"/>
  <c r="I61" i="13" s="1"/>
  <c r="AD61" i="13"/>
  <c r="AK61" i="13" s="1"/>
  <c r="D61" i="13" s="1"/>
  <c r="BF61" i="13"/>
  <c r="BL61" i="13" s="1"/>
  <c r="AV61" i="13"/>
  <c r="BB61" i="13" s="1"/>
  <c r="P61" i="13" s="1"/>
  <c r="AU61" i="13"/>
  <c r="BA61" i="13" s="1"/>
  <c r="B61" i="13"/>
  <c r="BE60" i="13"/>
  <c r="BK60" i="13" s="1"/>
  <c r="BR14" i="13" s="1"/>
  <c r="AP60" i="13"/>
  <c r="J60" i="13" s="1"/>
  <c r="AT60" i="13"/>
  <c r="AZ60" i="13" s="1"/>
  <c r="B60" i="13"/>
  <c r="AD59" i="13"/>
  <c r="AK59" i="13" s="1"/>
  <c r="D59" i="13" s="1"/>
  <c r="BH59" i="13"/>
  <c r="BN59" i="13" s="1"/>
  <c r="BE59" i="13"/>
  <c r="BK59" i="13" s="1"/>
  <c r="BR13" i="13" s="1"/>
  <c r="AH59" i="13"/>
  <c r="AG59" i="13"/>
  <c r="AN59" i="13" s="1"/>
  <c r="H59" i="13" s="1"/>
  <c r="AR59" i="13"/>
  <c r="AX59" i="13" s="1"/>
  <c r="L59" i="13" s="1"/>
  <c r="B59" i="13"/>
  <c r="BE58" i="13"/>
  <c r="BK58" i="13" s="1"/>
  <c r="BR12" i="13" s="1"/>
  <c r="AP58" i="13"/>
  <c r="J58" i="13" s="1"/>
  <c r="AF58" i="13"/>
  <c r="BD58" i="13"/>
  <c r="BJ58" i="13" s="1"/>
  <c r="AT58" i="13"/>
  <c r="AZ58" i="13" s="1"/>
  <c r="AE58" i="13"/>
  <c r="AL58" i="13" s="1"/>
  <c r="E58" i="13" s="1"/>
  <c r="B58" i="13"/>
  <c r="AV57" i="13"/>
  <c r="BB57" i="13" s="1"/>
  <c r="AD57" i="13"/>
  <c r="AR57" i="13"/>
  <c r="AX57" i="13" s="1"/>
  <c r="B57" i="13"/>
  <c r="BE56" i="13"/>
  <c r="BK56" i="13" s="1"/>
  <c r="BR10" i="13" s="1"/>
  <c r="B56" i="13"/>
  <c r="BG55" i="13"/>
  <c r="BM55" i="13" s="1"/>
  <c r="AS55" i="13"/>
  <c r="AY55" i="13" s="1"/>
  <c r="AR55" i="13"/>
  <c r="AX55" i="13" s="1"/>
  <c r="AH55" i="13"/>
  <c r="BF55" i="13"/>
  <c r="BL55" i="13" s="1"/>
  <c r="BE55" i="13"/>
  <c r="BK55" i="13" s="1"/>
  <c r="BR9" i="13" s="1"/>
  <c r="AD55" i="13"/>
  <c r="AK55" i="13" s="1"/>
  <c r="D55" i="13" s="1"/>
  <c r="AG55" i="13"/>
  <c r="AN55" i="13" s="1"/>
  <c r="H55" i="13" s="1"/>
  <c r="B55" i="13"/>
  <c r="BH54" i="13"/>
  <c r="BN54" i="13" s="1"/>
  <c r="AE54" i="13"/>
  <c r="AL54" i="13" s="1"/>
  <c r="E54" i="13" s="1"/>
  <c r="BF54" i="13"/>
  <c r="BL54" i="13" s="1"/>
  <c r="BE54" i="13"/>
  <c r="AG54" i="13"/>
  <c r="AN54" i="13" s="1"/>
  <c r="H54" i="13" s="1"/>
  <c r="B54" i="13"/>
  <c r="AV53" i="13"/>
  <c r="BB53" i="13" s="1"/>
  <c r="BH53" i="13"/>
  <c r="BN53" i="13" s="1"/>
  <c r="BG53" i="13"/>
  <c r="BM53" i="13" s="1"/>
  <c r="BE53" i="13"/>
  <c r="BK53" i="13" s="1"/>
  <c r="AS53" i="13"/>
  <c r="AY53" i="13" s="1"/>
  <c r="AD53" i="13"/>
  <c r="AK53" i="13" s="1"/>
  <c r="D53" i="13" s="1"/>
  <c r="B53" i="13"/>
  <c r="BG52" i="13"/>
  <c r="BM52" i="13" s="1"/>
  <c r="BF52" i="13"/>
  <c r="BL52" i="13" s="1"/>
  <c r="AU52" i="13"/>
  <c r="BA52" i="13" s="1"/>
  <c r="AT52" i="13"/>
  <c r="AZ52" i="13" s="1"/>
  <c r="B52" i="13"/>
  <c r="E48" i="13"/>
  <c r="AU66" i="13" s="1"/>
  <c r="BA66" i="13" s="1"/>
  <c r="AS44" i="13"/>
  <c r="AY44" i="13" s="1"/>
  <c r="AR44" i="13"/>
  <c r="AX44" i="13" s="1"/>
  <c r="AD44" i="13"/>
  <c r="AK44" i="13" s="1"/>
  <c r="D44" i="13" s="1"/>
  <c r="BH44" i="13"/>
  <c r="BN44" i="13" s="1"/>
  <c r="BG44" i="13"/>
  <c r="BM44" i="13" s="1"/>
  <c r="BF44" i="13"/>
  <c r="BL44" i="13" s="1"/>
  <c r="BE44" i="13"/>
  <c r="BK44" i="13" s="1"/>
  <c r="BD44" i="13"/>
  <c r="BJ44" i="13" s="1"/>
  <c r="AV44" i="13"/>
  <c r="BB44" i="13" s="1"/>
  <c r="AG44" i="13"/>
  <c r="AN44" i="13" s="1"/>
  <c r="H44" i="13" s="1"/>
  <c r="B44" i="13"/>
  <c r="BH43" i="13"/>
  <c r="BE43" i="13"/>
  <c r="BK43" i="13" s="1"/>
  <c r="BQ20" i="13" s="1"/>
  <c r="AP43" i="13"/>
  <c r="J43" i="13" s="1"/>
  <c r="BG43" i="13"/>
  <c r="BM43" i="13" s="1"/>
  <c r="BD43" i="13"/>
  <c r="BJ43" i="13" s="1"/>
  <c r="AT43" i="13"/>
  <c r="AZ43" i="13" s="1"/>
  <c r="AE43" i="13"/>
  <c r="AL43" i="13" s="1"/>
  <c r="E43" i="13" s="1"/>
  <c r="B43" i="13"/>
  <c r="BN43" i="13" s="1"/>
  <c r="BG42" i="13"/>
  <c r="BM42" i="13" s="1"/>
  <c r="BF42" i="13"/>
  <c r="BL42" i="13" s="1"/>
  <c r="AV42" i="13"/>
  <c r="BB42" i="13" s="1"/>
  <c r="BH42" i="13"/>
  <c r="BN42" i="13" s="1"/>
  <c r="BE42" i="13"/>
  <c r="BK42" i="13" s="1"/>
  <c r="BD42" i="13"/>
  <c r="BJ42" i="13" s="1"/>
  <c r="AH42" i="13"/>
  <c r="AO42" i="13" s="1"/>
  <c r="I42" i="13" s="1"/>
  <c r="AU42" i="13"/>
  <c r="BA42" i="13" s="1"/>
  <c r="AS42" i="13"/>
  <c r="AY42" i="13" s="1"/>
  <c r="AR42" i="13"/>
  <c r="AX42" i="13" s="1"/>
  <c r="B42" i="13"/>
  <c r="AT41" i="13"/>
  <c r="AZ41" i="13" s="1"/>
  <c r="AP41" i="13"/>
  <c r="J41" i="13" s="1"/>
  <c r="BH41" i="13"/>
  <c r="BN41" i="13" s="1"/>
  <c r="BG41" i="13"/>
  <c r="BM41" i="13" s="1"/>
  <c r="BF41" i="13"/>
  <c r="BL41" i="13" s="1"/>
  <c r="BE41" i="13"/>
  <c r="BK41" i="13" s="1"/>
  <c r="BQ18" i="13" s="1"/>
  <c r="BD41" i="13"/>
  <c r="BJ41" i="13" s="1"/>
  <c r="AS41" i="13"/>
  <c r="AY41" i="13" s="1"/>
  <c r="B41" i="13"/>
  <c r="AS40" i="13"/>
  <c r="AY40" i="13" s="1"/>
  <c r="AR40" i="13"/>
  <c r="AX40" i="13" s="1"/>
  <c r="AD40" i="13"/>
  <c r="AK40" i="13" s="1"/>
  <c r="D40" i="13" s="1"/>
  <c r="BH40" i="13"/>
  <c r="BN40" i="13" s="1"/>
  <c r="BG40" i="13"/>
  <c r="BM40" i="13" s="1"/>
  <c r="BF40" i="13"/>
  <c r="BL40" i="13" s="1"/>
  <c r="BE40" i="13"/>
  <c r="BK40" i="13" s="1"/>
  <c r="BD40" i="13"/>
  <c r="BJ40" i="13" s="1"/>
  <c r="AV40" i="13"/>
  <c r="BB40" i="13" s="1"/>
  <c r="AG40" i="13"/>
  <c r="AN40" i="13" s="1"/>
  <c r="H40" i="13" s="1"/>
  <c r="B40" i="13"/>
  <c r="AU39" i="13"/>
  <c r="BA39" i="13" s="1"/>
  <c r="AP39" i="13"/>
  <c r="J39" i="13" s="1"/>
  <c r="BH39" i="13"/>
  <c r="BN39" i="13" s="1"/>
  <c r="BG39" i="13"/>
  <c r="BF39" i="13"/>
  <c r="BL39" i="13" s="1"/>
  <c r="BE39" i="13"/>
  <c r="BD39" i="13"/>
  <c r="BJ39" i="13" s="1"/>
  <c r="AT39" i="13"/>
  <c r="B39" i="13"/>
  <c r="AZ39" i="13" s="1"/>
  <c r="AV38" i="13"/>
  <c r="BB38" i="13" s="1"/>
  <c r="BH38" i="13"/>
  <c r="BN38" i="13" s="1"/>
  <c r="BF38" i="13"/>
  <c r="BL38" i="13" s="1"/>
  <c r="BE38" i="13"/>
  <c r="BK38" i="13" s="1"/>
  <c r="BD38" i="13"/>
  <c r="BJ38" i="13" s="1"/>
  <c r="AU38" i="13"/>
  <c r="BA38" i="13" s="1"/>
  <c r="AE38" i="13"/>
  <c r="AL38" i="13" s="1"/>
  <c r="E38" i="13" s="1"/>
  <c r="B38" i="13"/>
  <c r="BE37" i="13"/>
  <c r="BK37" i="13" s="1"/>
  <c r="BQ14" i="13" s="1"/>
  <c r="AU37" i="13"/>
  <c r="BA37" i="13" s="1"/>
  <c r="AT37" i="13"/>
  <c r="AZ37" i="13" s="1"/>
  <c r="AP37" i="13"/>
  <c r="J37" i="13" s="1"/>
  <c r="BH37" i="13"/>
  <c r="BN37" i="13" s="1"/>
  <c r="BG37" i="13"/>
  <c r="BM37" i="13" s="1"/>
  <c r="BF37" i="13"/>
  <c r="BL37" i="13" s="1"/>
  <c r="BD37" i="13"/>
  <c r="BJ37" i="13" s="1"/>
  <c r="AF37" i="13"/>
  <c r="AM37" i="13" s="1"/>
  <c r="F37" i="13" s="1"/>
  <c r="G37" i="13" s="1"/>
  <c r="AS37" i="13"/>
  <c r="AY37" i="13" s="1"/>
  <c r="B37" i="13"/>
  <c r="BH36" i="13"/>
  <c r="BN36" i="13" s="1"/>
  <c r="BG36" i="13"/>
  <c r="BM36" i="13" s="1"/>
  <c r="BF36" i="13"/>
  <c r="BL36" i="13" s="1"/>
  <c r="BE36" i="13"/>
  <c r="BK36" i="13" s="1"/>
  <c r="BD36" i="13"/>
  <c r="BJ36" i="13" s="1"/>
  <c r="AV36" i="13"/>
  <c r="BB36" i="13" s="1"/>
  <c r="AU36" i="13"/>
  <c r="BA36" i="13" s="1"/>
  <c r="AS36" i="13"/>
  <c r="AY36" i="13" s="1"/>
  <c r="B36" i="13"/>
  <c r="AP35" i="13"/>
  <c r="AE35" i="13"/>
  <c r="AL35" i="13" s="1"/>
  <c r="E35" i="13" s="1"/>
  <c r="BH35" i="13"/>
  <c r="BN35" i="13" s="1"/>
  <c r="BG35" i="13"/>
  <c r="BF35" i="13"/>
  <c r="BE35" i="13"/>
  <c r="BD35" i="13"/>
  <c r="BJ35" i="13" s="1"/>
  <c r="AG35" i="13"/>
  <c r="AN35" i="13" s="1"/>
  <c r="H35" i="13" s="1"/>
  <c r="AS35" i="13"/>
  <c r="B35" i="13"/>
  <c r="BG34" i="13"/>
  <c r="BM34" i="13" s="1"/>
  <c r="AV34" i="13"/>
  <c r="BB34" i="13" s="1"/>
  <c r="AS34" i="13"/>
  <c r="AY34" i="13" s="1"/>
  <c r="BH34" i="13"/>
  <c r="BN34" i="13" s="1"/>
  <c r="BF34" i="13"/>
  <c r="BL34" i="13" s="1"/>
  <c r="BE34" i="13"/>
  <c r="BK34" i="13" s="1"/>
  <c r="BQ11" i="13" s="1"/>
  <c r="BD34" i="13"/>
  <c r="BJ34" i="13" s="1"/>
  <c r="AU34" i="13"/>
  <c r="BA34" i="13" s="1"/>
  <c r="AR34" i="13"/>
  <c r="AX34" i="13" s="1"/>
  <c r="B34" i="13"/>
  <c r="AU33" i="13"/>
  <c r="BA33" i="13" s="1"/>
  <c r="AP33" i="13"/>
  <c r="J33" i="13" s="1"/>
  <c r="BH33" i="13"/>
  <c r="BN33" i="13" s="1"/>
  <c r="BG33" i="13"/>
  <c r="BM33" i="13" s="1"/>
  <c r="BF33" i="13"/>
  <c r="BL33" i="13" s="1"/>
  <c r="BE33" i="13"/>
  <c r="BK33" i="13" s="1"/>
  <c r="BQ10" i="13" s="1"/>
  <c r="BD33" i="13"/>
  <c r="BJ33" i="13" s="1"/>
  <c r="AT33" i="13"/>
  <c r="AZ33" i="13" s="1"/>
  <c r="AS33" i="13"/>
  <c r="AY33" i="13" s="1"/>
  <c r="B33" i="13"/>
  <c r="BK32" i="13"/>
  <c r="BQ9" i="13" s="1"/>
  <c r="AG32" i="13"/>
  <c r="AN32" i="13" s="1"/>
  <c r="H32" i="13" s="1"/>
  <c r="BH32" i="13"/>
  <c r="BN32" i="13" s="1"/>
  <c r="BG32" i="13"/>
  <c r="BM32" i="13" s="1"/>
  <c r="BF32" i="13"/>
  <c r="BL32" i="13" s="1"/>
  <c r="BE32" i="13"/>
  <c r="BD32" i="13"/>
  <c r="BJ32" i="13" s="1"/>
  <c r="AU32" i="13"/>
  <c r="BA32" i="13" s="1"/>
  <c r="AR32" i="13"/>
  <c r="AX32" i="13" s="1"/>
  <c r="B32" i="13"/>
  <c r="BH31" i="13"/>
  <c r="BN31" i="13" s="1"/>
  <c r="AU31" i="13"/>
  <c r="BA31" i="13" s="1"/>
  <c r="AP31" i="13"/>
  <c r="BG31" i="13"/>
  <c r="BM31" i="13" s="1"/>
  <c r="BF31" i="13"/>
  <c r="BL31" i="13" s="1"/>
  <c r="BE31" i="13"/>
  <c r="BD31" i="13"/>
  <c r="BJ31" i="13" s="1"/>
  <c r="AF31" i="13"/>
  <c r="AM31" i="13" s="1"/>
  <c r="AS31" i="13"/>
  <c r="AY31" i="13" s="1"/>
  <c r="B31" i="13"/>
  <c r="BG30" i="13"/>
  <c r="BM30" i="13" s="1"/>
  <c r="BF30" i="13"/>
  <c r="BL30" i="13" s="1"/>
  <c r="AD30" i="13"/>
  <c r="AK30" i="13" s="1"/>
  <c r="D30" i="13" s="1"/>
  <c r="BH30" i="13"/>
  <c r="BN30" i="13" s="1"/>
  <c r="BE30" i="13"/>
  <c r="BK30" i="13" s="1"/>
  <c r="BD30" i="13"/>
  <c r="BJ30" i="13" s="1"/>
  <c r="AV30" i="13"/>
  <c r="BB30" i="13" s="1"/>
  <c r="AU30" i="13"/>
  <c r="BA30" i="13" s="1"/>
  <c r="AS30" i="13"/>
  <c r="AY30" i="13" s="1"/>
  <c r="AR30" i="13"/>
  <c r="AX30" i="13" s="1"/>
  <c r="B30" i="13"/>
  <c r="BE29" i="13"/>
  <c r="BK29" i="13" s="1"/>
  <c r="BQ6" i="13" s="1"/>
  <c r="AT29" i="13"/>
  <c r="AZ29" i="13" s="1"/>
  <c r="AP29" i="13"/>
  <c r="J29" i="13" s="1"/>
  <c r="BH29" i="13"/>
  <c r="BN29" i="13" s="1"/>
  <c r="BG29" i="13"/>
  <c r="BM29" i="13" s="1"/>
  <c r="BF29" i="13"/>
  <c r="BL29" i="13" s="1"/>
  <c r="BD29" i="13"/>
  <c r="BJ29" i="13" s="1"/>
  <c r="AS29" i="13"/>
  <c r="AY29" i="13" s="1"/>
  <c r="B29" i="13"/>
  <c r="E25" i="13"/>
  <c r="AU113" i="13" s="1"/>
  <c r="BA113" i="13" s="1"/>
  <c r="BR21" i="13"/>
  <c r="B20" i="13"/>
  <c r="B19" i="13"/>
  <c r="B18" i="13"/>
  <c r="B17" i="13"/>
  <c r="B16" i="13"/>
  <c r="BQ15" i="13"/>
  <c r="B15" i="13"/>
  <c r="B14" i="13"/>
  <c r="BS13" i="13"/>
  <c r="B13" i="13"/>
  <c r="BU12" i="13"/>
  <c r="BS11" i="13"/>
  <c r="B11" i="13"/>
  <c r="B10" i="13"/>
  <c r="BS9" i="13"/>
  <c r="B9" i="13"/>
  <c r="BU8" i="13"/>
  <c r="B8" i="13"/>
  <c r="BT7" i="13"/>
  <c r="BS7" i="13"/>
  <c r="BR7" i="13"/>
  <c r="B7" i="13"/>
  <c r="BU6" i="13"/>
  <c r="BS6" i="13"/>
  <c r="T50" i="26" l="1"/>
  <c r="AX84" i="13"/>
  <c r="AL205" i="13"/>
  <c r="E205" i="13" s="1"/>
  <c r="O33" i="23"/>
  <c r="O47" i="23" s="1"/>
  <c r="O48" i="23" s="1"/>
  <c r="AE32" i="13"/>
  <c r="AL32" i="13" s="1"/>
  <c r="E32" i="13" s="1"/>
  <c r="AS32" i="13"/>
  <c r="AY32" i="13" s="1"/>
  <c r="AG41" i="13"/>
  <c r="AN41" i="13" s="1"/>
  <c r="H41" i="13" s="1"/>
  <c r="AU41" i="13"/>
  <c r="BA41" i="13" s="1"/>
  <c r="BF43" i="13"/>
  <c r="BL43" i="13" s="1"/>
  <c r="AF43" i="13"/>
  <c r="AM43" i="13" s="1"/>
  <c r="F43" i="13" s="1"/>
  <c r="N43" i="13" s="1"/>
  <c r="AF153" i="13"/>
  <c r="AG56" i="13"/>
  <c r="AN56" i="13" s="1"/>
  <c r="H56" i="13" s="1"/>
  <c r="AU56" i="13"/>
  <c r="BA56" i="13" s="1"/>
  <c r="AG36" i="13"/>
  <c r="AN36" i="13" s="1"/>
  <c r="H36" i="13" s="1"/>
  <c r="AS39" i="13"/>
  <c r="AY39" i="13" s="1"/>
  <c r="AE39" i="13"/>
  <c r="AL39" i="13" s="1"/>
  <c r="E39" i="13" s="1"/>
  <c r="AE57" i="13"/>
  <c r="AL57" i="13" s="1"/>
  <c r="E57" i="13" s="1"/>
  <c r="N60" i="13"/>
  <c r="AF60" i="13"/>
  <c r="AM60" i="13" s="1"/>
  <c r="F60" i="13" s="1"/>
  <c r="G60" i="13" s="1"/>
  <c r="AG82" i="13"/>
  <c r="AN82" i="13" s="1"/>
  <c r="H82" i="13" s="1"/>
  <c r="AF109" i="13"/>
  <c r="AM109" i="13" s="1"/>
  <c r="F109" i="13" s="1"/>
  <c r="G109" i="13" s="1"/>
  <c r="AH131" i="13"/>
  <c r="AO131" i="13" s="1"/>
  <c r="I131" i="13" s="1"/>
  <c r="AD82" i="13"/>
  <c r="AK82" i="13" s="1"/>
  <c r="D82" i="13" s="1"/>
  <c r="AR82" i="13"/>
  <c r="AX82" i="13" s="1"/>
  <c r="P40" i="13"/>
  <c r="AF52" i="13"/>
  <c r="AM52" i="13" s="1"/>
  <c r="F52" i="13" s="1"/>
  <c r="AT54" i="13"/>
  <c r="AZ54" i="13" s="1"/>
  <c r="AF54" i="13"/>
  <c r="AM54" i="13" s="1"/>
  <c r="F54" i="13" s="1"/>
  <c r="G54" i="13" s="1"/>
  <c r="AE76" i="13"/>
  <c r="AL76" i="13" s="1"/>
  <c r="E76" i="13" s="1"/>
  <c r="AS76" i="13"/>
  <c r="AY76" i="13" s="1"/>
  <c r="AE167" i="13"/>
  <c r="AL167" i="13" s="1"/>
  <c r="E167" i="13" s="1"/>
  <c r="AS167" i="13"/>
  <c r="AY167" i="13" s="1"/>
  <c r="AF172" i="13"/>
  <c r="AM172" i="13" s="1"/>
  <c r="F172" i="13" s="1"/>
  <c r="G172" i="13" s="1"/>
  <c r="AG29" i="13"/>
  <c r="AN29" i="13" s="1"/>
  <c r="H29" i="13" s="1"/>
  <c r="AU29" i="13"/>
  <c r="BA29" i="13" s="1"/>
  <c r="L78" i="13"/>
  <c r="AV32" i="13"/>
  <c r="BB32" i="13" s="1"/>
  <c r="AH32" i="13"/>
  <c r="AO32" i="13" s="1"/>
  <c r="I32" i="13" s="1"/>
  <c r="AD67" i="13"/>
  <c r="AK67" i="13" s="1"/>
  <c r="D67" i="13" s="1"/>
  <c r="AR36" i="13"/>
  <c r="AX36" i="13" s="1"/>
  <c r="AD36" i="13"/>
  <c r="AK36" i="13" s="1"/>
  <c r="D36" i="13" s="1"/>
  <c r="P110" i="13"/>
  <c r="AT35" i="13"/>
  <c r="AZ35" i="13" s="1"/>
  <c r="AF35" i="13"/>
  <c r="AM35" i="13" s="1"/>
  <c r="AR38" i="13"/>
  <c r="AX38" i="13" s="1"/>
  <c r="AD38" i="13"/>
  <c r="AK38" i="13" s="1"/>
  <c r="D38" i="13" s="1"/>
  <c r="AG38" i="13"/>
  <c r="AN38" i="13" s="1"/>
  <c r="H38" i="13" s="1"/>
  <c r="BG38" i="13"/>
  <c r="BM38" i="13" s="1"/>
  <c r="AE80" i="13"/>
  <c r="AL80" i="13" s="1"/>
  <c r="E80" i="13" s="1"/>
  <c r="M80" i="13" s="1"/>
  <c r="AS80" i="13"/>
  <c r="AY80" i="13" s="1"/>
  <c r="AR99" i="13"/>
  <c r="AX99" i="13" s="1"/>
  <c r="L99" i="13" s="1"/>
  <c r="AD99" i="13"/>
  <c r="AK99" i="13" s="1"/>
  <c r="D99" i="13" s="1"/>
  <c r="AG99" i="13"/>
  <c r="AN99" i="13" s="1"/>
  <c r="H99" i="13" s="1"/>
  <c r="O99" i="13" s="1"/>
  <c r="BG99" i="13"/>
  <c r="BM99" i="13" s="1"/>
  <c r="AF100" i="13"/>
  <c r="AM100" i="13" s="1"/>
  <c r="F100" i="13" s="1"/>
  <c r="G100" i="13" s="1"/>
  <c r="BF100" i="13"/>
  <c r="BL100" i="13" s="1"/>
  <c r="AH30" i="13"/>
  <c r="AO30" i="13" s="1"/>
  <c r="I30" i="13" s="1"/>
  <c r="P30" i="13" s="1"/>
  <c r="P76" i="13"/>
  <c r="AE63" i="13"/>
  <c r="AL63" i="13" s="1"/>
  <c r="E63" i="13" s="1"/>
  <c r="AD136" i="13"/>
  <c r="AE175" i="13"/>
  <c r="AL175" i="13" s="1"/>
  <c r="E175" i="13" s="1"/>
  <c r="AD34" i="13"/>
  <c r="AK34" i="13" s="1"/>
  <c r="D34" i="13" s="1"/>
  <c r="AG37" i="13"/>
  <c r="AN37" i="13" s="1"/>
  <c r="H37" i="13" s="1"/>
  <c r="AE40" i="13"/>
  <c r="AL40" i="13" s="1"/>
  <c r="E40" i="13" s="1"/>
  <c r="M40" i="13" s="1"/>
  <c r="AE61" i="13"/>
  <c r="AL61" i="13" s="1"/>
  <c r="E61" i="13" s="1"/>
  <c r="AG79" i="13"/>
  <c r="AN79" i="13" s="1"/>
  <c r="H79" i="13" s="1"/>
  <c r="AG81" i="13"/>
  <c r="AN81" i="13" s="1"/>
  <c r="H81" i="13" s="1"/>
  <c r="O81" i="13" s="1"/>
  <c r="BM98" i="13"/>
  <c r="AF98" i="13"/>
  <c r="AM98" i="13" s="1"/>
  <c r="AD110" i="13"/>
  <c r="AH129" i="13"/>
  <c r="AO129" i="13" s="1"/>
  <c r="I129" i="13" s="1"/>
  <c r="P129" i="13" s="1"/>
  <c r="AG132" i="13"/>
  <c r="AN132" i="13" s="1"/>
  <c r="H132" i="13" s="1"/>
  <c r="AF146" i="13"/>
  <c r="AM146" i="13" s="1"/>
  <c r="F146" i="13" s="1"/>
  <c r="G146" i="13" s="1"/>
  <c r="AH156" i="13"/>
  <c r="AV156" i="13"/>
  <c r="BB156" i="13" s="1"/>
  <c r="AF158" i="13"/>
  <c r="AD168" i="13"/>
  <c r="AK168" i="13" s="1"/>
  <c r="D168" i="13" s="1"/>
  <c r="AG171" i="13"/>
  <c r="AF174" i="13"/>
  <c r="AM174" i="13" s="1"/>
  <c r="F174" i="13" s="1"/>
  <c r="G174" i="13" s="1"/>
  <c r="AH175" i="13"/>
  <c r="AO175" i="13" s="1"/>
  <c r="I175" i="13" s="1"/>
  <c r="AD177" i="13"/>
  <c r="AK177" i="13" s="1"/>
  <c r="D177" i="13" s="1"/>
  <c r="AG177" i="13"/>
  <c r="AN177" i="13" s="1"/>
  <c r="H177" i="13" s="1"/>
  <c r="AD179" i="13"/>
  <c r="AF197" i="13"/>
  <c r="AH198" i="13"/>
  <c r="AO198" i="13" s="1"/>
  <c r="I198" i="13" s="1"/>
  <c r="AG112" i="13"/>
  <c r="AN112" i="13" s="1"/>
  <c r="H112" i="13" s="1"/>
  <c r="AE130" i="13"/>
  <c r="AL130" i="13" s="1"/>
  <c r="E130" i="13" s="1"/>
  <c r="L30" i="13"/>
  <c r="AF85" i="13"/>
  <c r="AM85" i="13" s="1"/>
  <c r="F85" i="13" s="1"/>
  <c r="G85" i="13" s="1"/>
  <c r="AR152" i="13"/>
  <c r="AX152" i="13" s="1"/>
  <c r="AU197" i="13"/>
  <c r="BA197" i="13" s="1"/>
  <c r="AH44" i="13"/>
  <c r="AO44" i="13" s="1"/>
  <c r="I44" i="13" s="1"/>
  <c r="P44" i="13" s="1"/>
  <c r="N79" i="13"/>
  <c r="D7" i="13"/>
  <c r="AH40" i="13"/>
  <c r="AO40" i="13" s="1"/>
  <c r="I40" i="13" s="1"/>
  <c r="O30" i="13"/>
  <c r="AG30" i="13"/>
  <c r="AN30" i="13" s="1"/>
  <c r="H30" i="13" s="1"/>
  <c r="O32" i="13"/>
  <c r="BE83" i="13"/>
  <c r="BK83" i="13" s="1"/>
  <c r="BS14" i="13" s="1"/>
  <c r="AH76" i="13"/>
  <c r="AO76" i="13" s="1"/>
  <c r="I76" i="13" s="1"/>
  <c r="AH80" i="13"/>
  <c r="AO80" i="13" s="1"/>
  <c r="I80" i="13" s="1"/>
  <c r="P80" i="13" s="1"/>
  <c r="AF82" i="13"/>
  <c r="AM82" i="13" s="1"/>
  <c r="F82" i="13" s="1"/>
  <c r="G82" i="13" s="1"/>
  <c r="AG131" i="13"/>
  <c r="AN131" i="13" s="1"/>
  <c r="H131" i="13" s="1"/>
  <c r="AH132" i="13"/>
  <c r="AO132" i="13" s="1"/>
  <c r="I132" i="13" s="1"/>
  <c r="AF150" i="13"/>
  <c r="AM150" i="13" s="1"/>
  <c r="F150" i="13" s="1"/>
  <c r="G150" i="13" s="1"/>
  <c r="AH151" i="13"/>
  <c r="AR168" i="13"/>
  <c r="AD175" i="13"/>
  <c r="AF176" i="13"/>
  <c r="AH194" i="13"/>
  <c r="AO194" i="13" s="1"/>
  <c r="I194" i="13" s="1"/>
  <c r="AD195" i="13"/>
  <c r="AE199" i="13"/>
  <c r="AL199" i="13" s="1"/>
  <c r="E199" i="13" s="1"/>
  <c r="M199" i="13" s="1"/>
  <c r="AD203" i="13"/>
  <c r="AF204" i="13"/>
  <c r="AM204" i="13" s="1"/>
  <c r="F204" i="13" s="1"/>
  <c r="G204" i="13" s="1"/>
  <c r="AG176" i="13"/>
  <c r="AH181" i="13"/>
  <c r="AD42" i="13"/>
  <c r="AK42" i="13" s="1"/>
  <c r="D42" i="13" s="1"/>
  <c r="L42" i="13" s="1"/>
  <c r="AH53" i="13"/>
  <c r="AO53" i="13" s="1"/>
  <c r="I53" i="13" s="1"/>
  <c r="P53" i="13" s="1"/>
  <c r="AF84" i="13"/>
  <c r="AM84" i="13" s="1"/>
  <c r="F84" i="13" s="1"/>
  <c r="G84" i="13" s="1"/>
  <c r="AF86" i="13"/>
  <c r="AM86" i="13" s="1"/>
  <c r="F86" i="13" s="1"/>
  <c r="G86" i="13" s="1"/>
  <c r="BF87" i="13"/>
  <c r="AF90" i="13"/>
  <c r="AG100" i="13"/>
  <c r="AN100" i="13" s="1"/>
  <c r="H100" i="13" s="1"/>
  <c r="AG104" i="13"/>
  <c r="AH105" i="13"/>
  <c r="AO105" i="13" s="1"/>
  <c r="I105" i="13" s="1"/>
  <c r="P105" i="13" s="1"/>
  <c r="AE107" i="13"/>
  <c r="AL107" i="13" s="1"/>
  <c r="E107" i="13" s="1"/>
  <c r="AE111" i="13"/>
  <c r="AL111" i="13" s="1"/>
  <c r="E111" i="13" s="1"/>
  <c r="AF124" i="13"/>
  <c r="AM124" i="13" s="1"/>
  <c r="F124" i="13" s="1"/>
  <c r="G124" i="13" s="1"/>
  <c r="AE133" i="13"/>
  <c r="AL133" i="13" s="1"/>
  <c r="E133" i="13" s="1"/>
  <c r="AD158" i="13"/>
  <c r="AG172" i="13"/>
  <c r="AN172" i="13" s="1"/>
  <c r="H172" i="13" s="1"/>
  <c r="AU172" i="13"/>
  <c r="BA172" i="13" s="1"/>
  <c r="AH193" i="13"/>
  <c r="AO193" i="13" s="1"/>
  <c r="I193" i="13" s="1"/>
  <c r="AD81" i="13"/>
  <c r="AK81" i="13" s="1"/>
  <c r="D81" i="13" s="1"/>
  <c r="AG108" i="13"/>
  <c r="M129" i="13"/>
  <c r="AF178" i="13"/>
  <c r="AM178" i="13" s="1"/>
  <c r="F178" i="13" s="1"/>
  <c r="G178" i="13" s="1"/>
  <c r="AH36" i="13"/>
  <c r="AO36" i="13" s="1"/>
  <c r="I36" i="13" s="1"/>
  <c r="AE31" i="13"/>
  <c r="AL31" i="13" s="1"/>
  <c r="AY35" i="13"/>
  <c r="M35" i="13" s="1"/>
  <c r="AG39" i="13"/>
  <c r="AN39" i="13" s="1"/>
  <c r="H39" i="13" s="1"/>
  <c r="O39" i="13" s="1"/>
  <c r="AF39" i="13"/>
  <c r="AM39" i="13" s="1"/>
  <c r="F39" i="13" s="1"/>
  <c r="N39" i="13" s="1"/>
  <c r="AS78" i="13"/>
  <c r="AY78" i="13" s="1"/>
  <c r="AF133" i="13"/>
  <c r="AM133" i="13" s="1"/>
  <c r="F133" i="13" s="1"/>
  <c r="G133" i="13" s="1"/>
  <c r="AT155" i="13"/>
  <c r="AZ155" i="13" s="1"/>
  <c r="N155" i="13" s="1"/>
  <c r="AD171" i="13"/>
  <c r="AG198" i="13"/>
  <c r="AN198" i="13" s="1"/>
  <c r="H198" i="13" s="1"/>
  <c r="AH201" i="13"/>
  <c r="L38" i="13"/>
  <c r="L40" i="13"/>
  <c r="L34" i="13"/>
  <c r="P36" i="13"/>
  <c r="M39" i="13"/>
  <c r="BQ13" i="13"/>
  <c r="O38" i="13"/>
  <c r="P32" i="13"/>
  <c r="O36" i="13"/>
  <c r="BQ17" i="13"/>
  <c r="P42" i="13"/>
  <c r="O29" i="13"/>
  <c r="BF56" i="13"/>
  <c r="BL56" i="13" s="1"/>
  <c r="AF56" i="13"/>
  <c r="AM56" i="13" s="1"/>
  <c r="F56" i="13" s="1"/>
  <c r="G56" i="13" s="1"/>
  <c r="AT65" i="13"/>
  <c r="AZ65" i="13" s="1"/>
  <c r="AF65" i="13"/>
  <c r="AM65" i="13" s="1"/>
  <c r="F65" i="13" s="1"/>
  <c r="G65" i="13" s="1"/>
  <c r="AF67" i="13"/>
  <c r="AM67" i="13" s="1"/>
  <c r="F67" i="13" s="1"/>
  <c r="G67" i="13" s="1"/>
  <c r="AT67" i="13"/>
  <c r="AZ67" i="13" s="1"/>
  <c r="AD77" i="13"/>
  <c r="AK77" i="13" s="1"/>
  <c r="D77" i="13" s="1"/>
  <c r="AR77" i="13"/>
  <c r="AX77" i="13" s="1"/>
  <c r="B6" i="13"/>
  <c r="B22" i="13" s="1"/>
  <c r="B23" i="13" s="1"/>
  <c r="BQ7" i="13"/>
  <c r="AR29" i="13"/>
  <c r="AX29" i="13" s="1"/>
  <c r="AD29" i="13"/>
  <c r="AK29" i="13" s="1"/>
  <c r="D29" i="13" s="1"/>
  <c r="BK31" i="13"/>
  <c r="AF33" i="13"/>
  <c r="AM33" i="13" s="1"/>
  <c r="F33" i="13" s="1"/>
  <c r="N33" i="13" s="1"/>
  <c r="AE36" i="13"/>
  <c r="AL36" i="13" s="1"/>
  <c r="E36" i="13" s="1"/>
  <c r="AT38" i="13"/>
  <c r="AZ38" i="13" s="1"/>
  <c r="AF38" i="13"/>
  <c r="AM38" i="13" s="1"/>
  <c r="F38" i="13" s="1"/>
  <c r="AD39" i="13"/>
  <c r="AK39" i="13" s="1"/>
  <c r="D39" i="13" s="1"/>
  <c r="AR39" i="13"/>
  <c r="AX39" i="13" s="1"/>
  <c r="BM39" i="13"/>
  <c r="AR41" i="13"/>
  <c r="AX41" i="13" s="1"/>
  <c r="AD41" i="13"/>
  <c r="AK41" i="13" s="1"/>
  <c r="D41" i="13" s="1"/>
  <c r="AG43" i="13"/>
  <c r="AN43" i="13" s="1"/>
  <c r="H43" i="13" s="1"/>
  <c r="AR52" i="13"/>
  <c r="AX52" i="13" s="1"/>
  <c r="AD52" i="13"/>
  <c r="AK52" i="13" s="1"/>
  <c r="D52" i="13" s="1"/>
  <c r="AU54" i="13"/>
  <c r="BA54" i="13" s="1"/>
  <c r="O54" i="13" s="1"/>
  <c r="AR75" i="13"/>
  <c r="AX75" i="13" s="1"/>
  <c r="AD75" i="13"/>
  <c r="AK75" i="13" s="1"/>
  <c r="D75" i="13" s="1"/>
  <c r="AG31" i="13"/>
  <c r="AN31" i="13" s="1"/>
  <c r="H31" i="13" s="1"/>
  <c r="O31" i="13" s="1"/>
  <c r="AG33" i="13"/>
  <c r="AN33" i="13" s="1"/>
  <c r="H33" i="13" s="1"/>
  <c r="AV43" i="13"/>
  <c r="BB43" i="13" s="1"/>
  <c r="AH43" i="13"/>
  <c r="AO43" i="13" s="1"/>
  <c r="I43" i="13" s="1"/>
  <c r="L44" i="13"/>
  <c r="BD63" i="13"/>
  <c r="BJ63" i="13" s="1"/>
  <c r="AD63" i="13"/>
  <c r="AK63" i="13" s="1"/>
  <c r="D63" i="13" s="1"/>
  <c r="F31" i="13"/>
  <c r="M32" i="13"/>
  <c r="J35" i="13"/>
  <c r="AF36" i="13"/>
  <c r="AM36" i="13" s="1"/>
  <c r="F36" i="13" s="1"/>
  <c r="AT36" i="13"/>
  <c r="AZ36" i="13" s="1"/>
  <c r="AH38" i="13"/>
  <c r="AO38" i="13" s="1"/>
  <c r="I38" i="13" s="1"/>
  <c r="P38" i="13" s="1"/>
  <c r="BQ19" i="13"/>
  <c r="B12" i="13"/>
  <c r="B45" i="13"/>
  <c r="AF29" i="13"/>
  <c r="AM29" i="13" s="1"/>
  <c r="F29" i="13" s="1"/>
  <c r="AV31" i="13"/>
  <c r="BB31" i="13" s="1"/>
  <c r="AH31" i="13"/>
  <c r="AO31" i="13" s="1"/>
  <c r="I31" i="13" s="1"/>
  <c r="E31" i="13"/>
  <c r="AH33" i="13"/>
  <c r="AO33" i="13" s="1"/>
  <c r="I33" i="13" s="1"/>
  <c r="AV33" i="13"/>
  <c r="BB33" i="13" s="1"/>
  <c r="AE34" i="13"/>
  <c r="AL34" i="13" s="1"/>
  <c r="E34" i="13" s="1"/>
  <c r="M34" i="13" s="1"/>
  <c r="BL35" i="13"/>
  <c r="AU35" i="13"/>
  <c r="BA35" i="13" s="1"/>
  <c r="O37" i="13"/>
  <c r="BK39" i="13"/>
  <c r="AF41" i="13"/>
  <c r="AM41" i="13" s="1"/>
  <c r="F41" i="13" s="1"/>
  <c r="N41" i="13" s="1"/>
  <c r="AE44" i="13"/>
  <c r="AL44" i="13" s="1"/>
  <c r="E44" i="13" s="1"/>
  <c r="M44" i="13" s="1"/>
  <c r="G52" i="13"/>
  <c r="L55" i="13"/>
  <c r="AS87" i="13"/>
  <c r="AY87" i="13" s="1"/>
  <c r="AE87" i="13"/>
  <c r="AL87" i="13" s="1"/>
  <c r="E87" i="13" s="1"/>
  <c r="BB88" i="13"/>
  <c r="AD35" i="13"/>
  <c r="AK35" i="13" s="1"/>
  <c r="D35" i="13" s="1"/>
  <c r="AR35" i="13"/>
  <c r="AX35" i="13" s="1"/>
  <c r="AR37" i="13"/>
  <c r="AX37" i="13" s="1"/>
  <c r="AD37" i="13"/>
  <c r="AK37" i="13" s="1"/>
  <c r="D37" i="13" s="1"/>
  <c r="N37" i="13"/>
  <c r="O56" i="13"/>
  <c r="AF59" i="13"/>
  <c r="AM59" i="13" s="1"/>
  <c r="F59" i="13" s="1"/>
  <c r="G59" i="13" s="1"/>
  <c r="AT59" i="13"/>
  <c r="AZ59" i="13" s="1"/>
  <c r="AV35" i="13"/>
  <c r="BB35" i="13" s="1"/>
  <c r="AH35" i="13"/>
  <c r="AO35" i="13" s="1"/>
  <c r="I35" i="13" s="1"/>
  <c r="AH37" i="13"/>
  <c r="AO37" i="13" s="1"/>
  <c r="I37" i="13" s="1"/>
  <c r="AV37" i="13"/>
  <c r="BB37" i="13" s="1"/>
  <c r="O41" i="13"/>
  <c r="BJ45" i="13"/>
  <c r="AT34" i="13"/>
  <c r="AZ34" i="13" s="1"/>
  <c r="AF34" i="13"/>
  <c r="AM34" i="13" s="1"/>
  <c r="F34" i="13" s="1"/>
  <c r="BM35" i="13"/>
  <c r="AF44" i="13"/>
  <c r="AM44" i="13" s="1"/>
  <c r="F44" i="13" s="1"/>
  <c r="AT44" i="13"/>
  <c r="AZ44" i="13" s="1"/>
  <c r="AV77" i="13"/>
  <c r="BB77" i="13" s="1"/>
  <c r="AH77" i="13"/>
  <c r="AO77" i="13" s="1"/>
  <c r="I77" i="13" s="1"/>
  <c r="BQ21" i="13"/>
  <c r="AH29" i="13"/>
  <c r="AO29" i="13" s="1"/>
  <c r="I29" i="13" s="1"/>
  <c r="AV29" i="13"/>
  <c r="BB29" i="13" s="1"/>
  <c r="AE30" i="13"/>
  <c r="AL30" i="13" s="1"/>
  <c r="E30" i="13" s="1"/>
  <c r="J31" i="13"/>
  <c r="AF32" i="13"/>
  <c r="AM32" i="13" s="1"/>
  <c r="F32" i="13" s="1"/>
  <c r="AT32" i="13"/>
  <c r="AZ32" i="13" s="1"/>
  <c r="AD32" i="13"/>
  <c r="AK32" i="13" s="1"/>
  <c r="D32" i="13" s="1"/>
  <c r="L32" i="13" s="1"/>
  <c r="AH34" i="13"/>
  <c r="AO34" i="13" s="1"/>
  <c r="I34" i="13" s="1"/>
  <c r="AS38" i="13"/>
  <c r="AY38" i="13" s="1"/>
  <c r="AV39" i="13"/>
  <c r="BB39" i="13" s="1"/>
  <c r="AH39" i="13"/>
  <c r="AO39" i="13" s="1"/>
  <c r="I39" i="13" s="1"/>
  <c r="AH41" i="13"/>
  <c r="AO41" i="13" s="1"/>
  <c r="I41" i="13" s="1"/>
  <c r="AV41" i="13"/>
  <c r="BB41" i="13" s="1"/>
  <c r="AE42" i="13"/>
  <c r="AL42" i="13" s="1"/>
  <c r="E42" i="13" s="1"/>
  <c r="M42" i="13" s="1"/>
  <c r="AU43" i="13"/>
  <c r="BA43" i="13" s="1"/>
  <c r="AV52" i="13"/>
  <c r="BB52" i="13" s="1"/>
  <c r="AH52" i="13"/>
  <c r="AO52" i="13" s="1"/>
  <c r="I52" i="13" s="1"/>
  <c r="AT53" i="13"/>
  <c r="AZ53" i="13" s="1"/>
  <c r="AF53" i="13"/>
  <c r="AM53" i="13" s="1"/>
  <c r="F53" i="13" s="1"/>
  <c r="G53" i="13" s="1"/>
  <c r="AH75" i="13"/>
  <c r="AO75" i="13" s="1"/>
  <c r="I75" i="13" s="1"/>
  <c r="AV75" i="13"/>
  <c r="BB75" i="13" s="1"/>
  <c r="BN45" i="13"/>
  <c r="AT30" i="13"/>
  <c r="AZ30" i="13" s="1"/>
  <c r="AF30" i="13"/>
  <c r="AM30" i="13" s="1"/>
  <c r="F30" i="13" s="1"/>
  <c r="O33" i="13"/>
  <c r="BK35" i="13"/>
  <c r="AT42" i="13"/>
  <c r="AZ42" i="13" s="1"/>
  <c r="AF42" i="13"/>
  <c r="AM42" i="13" s="1"/>
  <c r="F42" i="13" s="1"/>
  <c r="AD43" i="13"/>
  <c r="AK43" i="13" s="1"/>
  <c r="D43" i="13" s="1"/>
  <c r="AR43" i="13"/>
  <c r="AX43" i="13" s="1"/>
  <c r="N52" i="13"/>
  <c r="AS83" i="13"/>
  <c r="AY83" i="13" s="1"/>
  <c r="AE83" i="13"/>
  <c r="AL83" i="13" s="1"/>
  <c r="E83" i="13" s="1"/>
  <c r="AD31" i="13"/>
  <c r="AK31" i="13" s="1"/>
  <c r="D31" i="13" s="1"/>
  <c r="AR31" i="13"/>
  <c r="AX31" i="13" s="1"/>
  <c r="AR33" i="13"/>
  <c r="AX33" i="13" s="1"/>
  <c r="AD33" i="13"/>
  <c r="AK33" i="13" s="1"/>
  <c r="D33" i="13" s="1"/>
  <c r="F35" i="13"/>
  <c r="M36" i="13"/>
  <c r="AF40" i="13"/>
  <c r="AM40" i="13" s="1"/>
  <c r="F40" i="13" s="1"/>
  <c r="AT40" i="13"/>
  <c r="AZ40" i="13" s="1"/>
  <c r="N54" i="13"/>
  <c r="P86" i="13"/>
  <c r="AS89" i="13"/>
  <c r="AY89" i="13" s="1"/>
  <c r="AE89" i="13"/>
  <c r="AL89" i="13" s="1"/>
  <c r="E89" i="13" s="1"/>
  <c r="AS52" i="13"/>
  <c r="AY52" i="13" s="1"/>
  <c r="BH52" i="13"/>
  <c r="BN52" i="13" s="1"/>
  <c r="BD52" i="13"/>
  <c r="BJ52" i="13" s="1"/>
  <c r="AU53" i="13"/>
  <c r="BA53" i="13" s="1"/>
  <c r="AV54" i="13"/>
  <c r="BB54" i="13" s="1"/>
  <c r="AH54" i="13"/>
  <c r="AO54" i="13" s="1"/>
  <c r="I54" i="13" s="1"/>
  <c r="AH56" i="13"/>
  <c r="AO56" i="13" s="1"/>
  <c r="I56" i="13" s="1"/>
  <c r="AV56" i="13"/>
  <c r="BB56" i="13" s="1"/>
  <c r="BH57" i="13"/>
  <c r="BN57" i="13" s="1"/>
  <c r="BF58" i="13"/>
  <c r="BL58" i="13" s="1"/>
  <c r="AU58" i="13"/>
  <c r="BA58" i="13" s="1"/>
  <c r="BG59" i="13"/>
  <c r="BM59" i="13" s="1"/>
  <c r="BF60" i="13"/>
  <c r="BL60" i="13" s="1"/>
  <c r="AU60" i="13"/>
  <c r="BA60" i="13" s="1"/>
  <c r="BE62" i="13"/>
  <c r="BK62" i="13" s="1"/>
  <c r="BR16" i="13" s="1"/>
  <c r="BE63" i="13"/>
  <c r="BK63" i="13" s="1"/>
  <c r="BR17" i="13" s="1"/>
  <c r="AR63" i="13"/>
  <c r="AX63" i="13" s="1"/>
  <c r="L63" i="13" s="1"/>
  <c r="AM64" i="13"/>
  <c r="F64" i="13" s="1"/>
  <c r="G64" i="13" s="1"/>
  <c r="BE64" i="13"/>
  <c r="BK64" i="13" s="1"/>
  <c r="AV65" i="13"/>
  <c r="BB65" i="13" s="1"/>
  <c r="BF67" i="13"/>
  <c r="BL67" i="13" s="1"/>
  <c r="AP30" i="13"/>
  <c r="J30" i="13" s="1"/>
  <c r="AP34" i="13"/>
  <c r="J34" i="13" s="1"/>
  <c r="J11" i="13" s="1"/>
  <c r="AP38" i="13"/>
  <c r="J38" i="13" s="1"/>
  <c r="AU40" i="13"/>
  <c r="BA40" i="13" s="1"/>
  <c r="AP42" i="13"/>
  <c r="J42" i="13" s="1"/>
  <c r="AS43" i="13"/>
  <c r="AY43" i="13" s="1"/>
  <c r="AU44" i="13"/>
  <c r="BA44" i="13" s="1"/>
  <c r="AR67" i="13"/>
  <c r="AX67" i="13" s="1"/>
  <c r="L67" i="13" s="1"/>
  <c r="BH66" i="13"/>
  <c r="BN66" i="13" s="1"/>
  <c r="AP67" i="13"/>
  <c r="J67" i="13" s="1"/>
  <c r="AP63" i="13"/>
  <c r="J63" i="13" s="1"/>
  <c r="AP59" i="13"/>
  <c r="J59" i="13" s="1"/>
  <c r="AP55" i="13"/>
  <c r="J55" i="13" s="1"/>
  <c r="AV67" i="13"/>
  <c r="BB67" i="13" s="1"/>
  <c r="AT66" i="13"/>
  <c r="AZ66" i="13" s="1"/>
  <c r="AR65" i="13"/>
  <c r="AX65" i="13" s="1"/>
  <c r="L65" i="13" s="1"/>
  <c r="AV63" i="13"/>
  <c r="BB63" i="13" s="1"/>
  <c r="P63" i="13" s="1"/>
  <c r="AT62" i="13"/>
  <c r="AZ62" i="13" s="1"/>
  <c r="AR61" i="13"/>
  <c r="AX61" i="13" s="1"/>
  <c r="L61" i="13" s="1"/>
  <c r="AU67" i="13"/>
  <c r="BA67" i="13" s="1"/>
  <c r="O67" i="13" s="1"/>
  <c r="AS66" i="13"/>
  <c r="AY66" i="13" s="1"/>
  <c r="AP65" i="13"/>
  <c r="J65" i="13" s="1"/>
  <c r="AU63" i="13"/>
  <c r="BA63" i="13" s="1"/>
  <c r="O63" i="13" s="1"/>
  <c r="AS62" i="13"/>
  <c r="AY62" i="13" s="1"/>
  <c r="M62" i="13" s="1"/>
  <c r="AP61" i="13"/>
  <c r="J61" i="13" s="1"/>
  <c r="AU59" i="13"/>
  <c r="BA59" i="13" s="1"/>
  <c r="O59" i="13" s="1"/>
  <c r="AS58" i="13"/>
  <c r="AY58" i="13" s="1"/>
  <c r="M58" i="13" s="1"/>
  <c r="AP57" i="13"/>
  <c r="J57" i="13" s="1"/>
  <c r="AU55" i="13"/>
  <c r="BA55" i="13" s="1"/>
  <c r="AS54" i="13"/>
  <c r="AY54" i="13" s="1"/>
  <c r="BE52" i="13"/>
  <c r="BK52" i="13" s="1"/>
  <c r="BD54" i="13"/>
  <c r="BJ54" i="13" s="1"/>
  <c r="AE55" i="13"/>
  <c r="AL55" i="13" s="1"/>
  <c r="E55" i="13" s="1"/>
  <c r="BH55" i="13"/>
  <c r="BN55" i="13" s="1"/>
  <c r="AP56" i="13"/>
  <c r="J56" i="13" s="1"/>
  <c r="AT57" i="13"/>
  <c r="AZ57" i="13" s="1"/>
  <c r="AF57" i="13"/>
  <c r="AM57" i="13" s="1"/>
  <c r="F57" i="13" s="1"/>
  <c r="G57" i="13" s="1"/>
  <c r="AK57" i="13"/>
  <c r="D57" i="13" s="1"/>
  <c r="L57" i="13" s="1"/>
  <c r="BF57" i="13"/>
  <c r="BL57" i="13" s="1"/>
  <c r="AD58" i="13"/>
  <c r="AK58" i="13" s="1"/>
  <c r="D58" i="13" s="1"/>
  <c r="AR58" i="13"/>
  <c r="AX58" i="13" s="1"/>
  <c r="BG58" i="13"/>
  <c r="BM58" i="13" s="1"/>
  <c r="AV59" i="13"/>
  <c r="BB59" i="13" s="1"/>
  <c r="BB13" i="13" s="1"/>
  <c r="AO59" i="13"/>
  <c r="I59" i="13" s="1"/>
  <c r="AR60" i="13"/>
  <c r="AX60" i="13" s="1"/>
  <c r="AD60" i="13"/>
  <c r="AK60" i="13" s="1"/>
  <c r="D60" i="13" s="1"/>
  <c r="BG60" i="13"/>
  <c r="BM60" i="13" s="1"/>
  <c r="BD61" i="13"/>
  <c r="BJ61" i="13" s="1"/>
  <c r="AG62" i="13"/>
  <c r="AN62" i="13" s="1"/>
  <c r="H62" i="13" s="1"/>
  <c r="AM62" i="13"/>
  <c r="F62" i="13" s="1"/>
  <c r="G62" i="13" s="1"/>
  <c r="BH62" i="13"/>
  <c r="BN62" i="13" s="1"/>
  <c r="BF63" i="13"/>
  <c r="BL63" i="13" s="1"/>
  <c r="AS63" i="13"/>
  <c r="AY63" i="13" s="1"/>
  <c r="AG64" i="13"/>
  <c r="AN64" i="13" s="1"/>
  <c r="H64" i="13" s="1"/>
  <c r="BF66" i="13"/>
  <c r="BL66" i="13" s="1"/>
  <c r="G75" i="13"/>
  <c r="AT76" i="13"/>
  <c r="AZ76" i="13" s="1"/>
  <c r="N76" i="13" s="1"/>
  <c r="AF76" i="13"/>
  <c r="AM76" i="13" s="1"/>
  <c r="F76" i="13" s="1"/>
  <c r="G76" i="13" s="1"/>
  <c r="AE82" i="13"/>
  <c r="AL82" i="13" s="1"/>
  <c r="E82" i="13" s="1"/>
  <c r="M82" i="13" s="1"/>
  <c r="AS86" i="13"/>
  <c r="AY86" i="13" s="1"/>
  <c r="AE86" i="13"/>
  <c r="AL86" i="13" s="1"/>
  <c r="E86" i="13" s="1"/>
  <c r="AH86" i="13"/>
  <c r="AO86" i="13" s="1"/>
  <c r="I86" i="13" s="1"/>
  <c r="BH86" i="13"/>
  <c r="BN86" i="13" s="1"/>
  <c r="D88" i="13"/>
  <c r="AS90" i="13"/>
  <c r="AY90" i="13" s="1"/>
  <c r="M90" i="13" s="1"/>
  <c r="AE90" i="13"/>
  <c r="AL90" i="13" s="1"/>
  <c r="E90" i="13" s="1"/>
  <c r="AH90" i="13"/>
  <c r="AO90" i="13" s="1"/>
  <c r="I90" i="13" s="1"/>
  <c r="BH90" i="13"/>
  <c r="BN90" i="13" s="1"/>
  <c r="AE29" i="13"/>
  <c r="AL29" i="13" s="1"/>
  <c r="E29" i="13" s="1"/>
  <c r="AT31" i="13"/>
  <c r="AZ31" i="13" s="1"/>
  <c r="AE33" i="13"/>
  <c r="AL33" i="13" s="1"/>
  <c r="E33" i="13" s="1"/>
  <c r="M33" i="13" s="1"/>
  <c r="AG34" i="13"/>
  <c r="AN34" i="13" s="1"/>
  <c r="H34" i="13" s="1"/>
  <c r="AE37" i="13"/>
  <c r="AL37" i="13" s="1"/>
  <c r="E37" i="13" s="1"/>
  <c r="AE41" i="13"/>
  <c r="AL41" i="13" s="1"/>
  <c r="E41" i="13" s="1"/>
  <c r="AG42" i="13"/>
  <c r="AN42" i="13" s="1"/>
  <c r="H42" i="13" s="1"/>
  <c r="O42" i="13" s="1"/>
  <c r="B68" i="13"/>
  <c r="AE52" i="13"/>
  <c r="AL52" i="13" s="1"/>
  <c r="E52" i="13" s="1"/>
  <c r="AP52" i="13"/>
  <c r="J52" i="13" s="1"/>
  <c r="BD53" i="13"/>
  <c r="BJ53" i="13" s="1"/>
  <c r="BF53" i="13"/>
  <c r="BL53" i="13" s="1"/>
  <c r="AP54" i="13"/>
  <c r="J54" i="13" s="1"/>
  <c r="AF55" i="13"/>
  <c r="AM55" i="13" s="1"/>
  <c r="F55" i="13" s="1"/>
  <c r="G55" i="13" s="1"/>
  <c r="AT55" i="13"/>
  <c r="AZ55" i="13" s="1"/>
  <c r="AT56" i="13"/>
  <c r="AZ56" i="13" s="1"/>
  <c r="AU57" i="13"/>
  <c r="BA57" i="13" s="1"/>
  <c r="AH57" i="13"/>
  <c r="AO57" i="13" s="1"/>
  <c r="I57" i="13" s="1"/>
  <c r="P57" i="13" s="1"/>
  <c r="BG57" i="13"/>
  <c r="BM57" i="13" s="1"/>
  <c r="BD59" i="13"/>
  <c r="BJ59" i="13" s="1"/>
  <c r="AS60" i="13"/>
  <c r="AY60" i="13" s="1"/>
  <c r="BH60" i="13"/>
  <c r="BN60" i="13" s="1"/>
  <c r="BD60" i="13"/>
  <c r="BJ60" i="13" s="1"/>
  <c r="BE61" i="13"/>
  <c r="BK61" i="13" s="1"/>
  <c r="AS61" i="13"/>
  <c r="AY61" i="13" s="1"/>
  <c r="AV62" i="13"/>
  <c r="BB62" i="13" s="1"/>
  <c r="AH62" i="13"/>
  <c r="AO62" i="13" s="1"/>
  <c r="I62" i="13" s="1"/>
  <c r="AH64" i="13"/>
  <c r="AO64" i="13" s="1"/>
  <c r="I64" i="13" s="1"/>
  <c r="AV64" i="13"/>
  <c r="BB64" i="13" s="1"/>
  <c r="AE65" i="13"/>
  <c r="AL65" i="13" s="1"/>
  <c r="E65" i="13" s="1"/>
  <c r="M65" i="13" s="1"/>
  <c r="BH65" i="13"/>
  <c r="BN65" i="13" s="1"/>
  <c r="AD66" i="13"/>
  <c r="AK66" i="13" s="1"/>
  <c r="D66" i="13" s="1"/>
  <c r="AR66" i="13"/>
  <c r="AX66" i="13" s="1"/>
  <c r="BG66" i="13"/>
  <c r="BM66" i="13" s="1"/>
  <c r="BE66" i="13"/>
  <c r="BK66" i="13" s="1"/>
  <c r="BR20" i="13" s="1"/>
  <c r="AE67" i="13"/>
  <c r="AL67" i="13" s="1"/>
  <c r="E67" i="13" s="1"/>
  <c r="M67" i="13" s="1"/>
  <c r="BH67" i="13"/>
  <c r="BN67" i="13" s="1"/>
  <c r="BG67" i="13"/>
  <c r="BM67" i="13" s="1"/>
  <c r="AG75" i="13"/>
  <c r="AN75" i="13" s="1"/>
  <c r="H75" i="13" s="1"/>
  <c r="O75" i="13" s="1"/>
  <c r="AG77" i="13"/>
  <c r="AN77" i="13" s="1"/>
  <c r="H77" i="13" s="1"/>
  <c r="O77" i="13" s="1"/>
  <c r="O79" i="13"/>
  <c r="D84" i="13"/>
  <c r="BB90" i="13"/>
  <c r="L98" i="13"/>
  <c r="AG52" i="13"/>
  <c r="AN52" i="13" s="1"/>
  <c r="H52" i="13" s="1"/>
  <c r="AP53" i="13"/>
  <c r="J53" i="13" s="1"/>
  <c r="AD54" i="13"/>
  <c r="AK54" i="13" s="1"/>
  <c r="D54" i="13" s="1"/>
  <c r="AR54" i="13"/>
  <c r="AX54" i="13" s="1"/>
  <c r="BG54" i="13"/>
  <c r="BM54" i="13" s="1"/>
  <c r="AV55" i="13"/>
  <c r="BB55" i="13" s="1"/>
  <c r="AO55" i="13"/>
  <c r="I55" i="13" s="1"/>
  <c r="AR56" i="13"/>
  <c r="AX56" i="13" s="1"/>
  <c r="AD56" i="13"/>
  <c r="AK56" i="13" s="1"/>
  <c r="D56" i="13" s="1"/>
  <c r="BG56" i="13"/>
  <c r="BM56" i="13" s="1"/>
  <c r="BD57" i="13"/>
  <c r="BJ57" i="13" s="1"/>
  <c r="AG58" i="13"/>
  <c r="AN58" i="13" s="1"/>
  <c r="H58" i="13" s="1"/>
  <c r="AM58" i="13"/>
  <c r="F58" i="13" s="1"/>
  <c r="G58" i="13" s="1"/>
  <c r="BH58" i="13"/>
  <c r="BN58" i="13" s="1"/>
  <c r="BF59" i="13"/>
  <c r="BL59" i="13" s="1"/>
  <c r="AS59" i="13"/>
  <c r="AY59" i="13" s="1"/>
  <c r="AG60" i="13"/>
  <c r="AN60" i="13" s="1"/>
  <c r="H60" i="13" s="1"/>
  <c r="AP62" i="13"/>
  <c r="J62" i="13" s="1"/>
  <c r="AF63" i="13"/>
  <c r="AM63" i="13" s="1"/>
  <c r="F63" i="13" s="1"/>
  <c r="G63" i="13" s="1"/>
  <c r="AT63" i="13"/>
  <c r="AZ63" i="13" s="1"/>
  <c r="AT64" i="13"/>
  <c r="AZ64" i="13" s="1"/>
  <c r="N64" i="13" s="1"/>
  <c r="AU65" i="13"/>
  <c r="BA65" i="13" s="1"/>
  <c r="AH65" i="13"/>
  <c r="AO65" i="13" s="1"/>
  <c r="I65" i="13" s="1"/>
  <c r="BG65" i="13"/>
  <c r="BM65" i="13" s="1"/>
  <c r="M76" i="13"/>
  <c r="AR79" i="13"/>
  <c r="AX79" i="13" s="1"/>
  <c r="AD79" i="13"/>
  <c r="AK79" i="13" s="1"/>
  <c r="D79" i="13" s="1"/>
  <c r="AT80" i="13"/>
  <c r="AZ80" i="13" s="1"/>
  <c r="N80" i="13" s="1"/>
  <c r="AF80" i="13"/>
  <c r="AM80" i="13" s="1"/>
  <c r="F80" i="13" s="1"/>
  <c r="G80" i="13" s="1"/>
  <c r="BB84" i="13"/>
  <c r="P84" i="13" s="1"/>
  <c r="AP32" i="13"/>
  <c r="J32" i="13" s="1"/>
  <c r="J45" i="13" s="1"/>
  <c r="AP36" i="13"/>
  <c r="J36" i="13" s="1"/>
  <c r="AP40" i="13"/>
  <c r="J40" i="13" s="1"/>
  <c r="AP44" i="13"/>
  <c r="J44" i="13" s="1"/>
  <c r="AR53" i="13"/>
  <c r="AX53" i="13" s="1"/>
  <c r="BD55" i="13"/>
  <c r="BJ55" i="13" s="1"/>
  <c r="AS56" i="13"/>
  <c r="AY56" i="13" s="1"/>
  <c r="BH56" i="13"/>
  <c r="BN56" i="13" s="1"/>
  <c r="BD56" i="13"/>
  <c r="BJ56" i="13" s="1"/>
  <c r="BE57" i="13"/>
  <c r="BK57" i="13" s="1"/>
  <c r="BR11" i="13" s="1"/>
  <c r="AS57" i="13"/>
  <c r="AY57" i="13" s="1"/>
  <c r="AV58" i="13"/>
  <c r="BB58" i="13" s="1"/>
  <c r="AH58" i="13"/>
  <c r="AO58" i="13" s="1"/>
  <c r="I58" i="13" s="1"/>
  <c r="AH60" i="13"/>
  <c r="AO60" i="13" s="1"/>
  <c r="I60" i="13" s="1"/>
  <c r="AV60" i="13"/>
  <c r="BB60" i="13" s="1"/>
  <c r="BH61" i="13"/>
  <c r="BN61" i="13" s="1"/>
  <c r="BF62" i="13"/>
  <c r="BL62" i="13" s="1"/>
  <c r="AU62" i="13"/>
  <c r="BA62" i="13" s="1"/>
  <c r="BG63" i="13"/>
  <c r="BM63" i="13" s="1"/>
  <c r="BF64" i="13"/>
  <c r="BL64" i="13" s="1"/>
  <c r="AU64" i="13"/>
  <c r="BA64" i="13" s="1"/>
  <c r="O64" i="13" s="1"/>
  <c r="AN66" i="13"/>
  <c r="H66" i="13" s="1"/>
  <c r="O66" i="13" s="1"/>
  <c r="AM66" i="13"/>
  <c r="F66" i="13" s="1"/>
  <c r="G66" i="13" s="1"/>
  <c r="AO67" i="13"/>
  <c r="I67" i="13" s="1"/>
  <c r="M78" i="13"/>
  <c r="AV81" i="13"/>
  <c r="BB81" i="13" s="1"/>
  <c r="AH81" i="13"/>
  <c r="AO81" i="13" s="1"/>
  <c r="I81" i="13" s="1"/>
  <c r="BL84" i="13"/>
  <c r="AU85" i="13"/>
  <c r="BA85" i="13" s="1"/>
  <c r="AG85" i="13"/>
  <c r="AN85" i="13" s="1"/>
  <c r="H85" i="13" s="1"/>
  <c r="D86" i="13"/>
  <c r="AS88" i="13"/>
  <c r="AY88" i="13" s="1"/>
  <c r="AE88" i="13"/>
  <c r="AL88" i="13" s="1"/>
  <c r="E88" i="13" s="1"/>
  <c r="AH88" i="13"/>
  <c r="AO88" i="13" s="1"/>
  <c r="I88" i="13" s="1"/>
  <c r="BH88" i="13"/>
  <c r="BN88" i="13" s="1"/>
  <c r="BB89" i="13"/>
  <c r="D90" i="13"/>
  <c r="BL68" i="13"/>
  <c r="AE53" i="13"/>
  <c r="AL53" i="13" s="1"/>
  <c r="E53" i="13" s="1"/>
  <c r="M53" i="13" s="1"/>
  <c r="BK54" i="13"/>
  <c r="BR8" i="13" s="1"/>
  <c r="AE59" i="13"/>
  <c r="AL59" i="13" s="1"/>
  <c r="E59" i="13" s="1"/>
  <c r="AT61" i="13"/>
  <c r="AZ61" i="13" s="1"/>
  <c r="AF61" i="13"/>
  <c r="AM61" i="13" s="1"/>
  <c r="F61" i="13" s="1"/>
  <c r="G61" i="13" s="1"/>
  <c r="AD62" i="13"/>
  <c r="AK62" i="13" s="1"/>
  <c r="D62" i="13" s="1"/>
  <c r="AR62" i="13"/>
  <c r="AX62" i="13" s="1"/>
  <c r="AR64" i="13"/>
  <c r="AX64" i="13" s="1"/>
  <c r="AD64" i="13"/>
  <c r="AK64" i="13" s="1"/>
  <c r="D64" i="13" s="1"/>
  <c r="AV66" i="13"/>
  <c r="BB66" i="13" s="1"/>
  <c r="AH66" i="13"/>
  <c r="AO66" i="13" s="1"/>
  <c r="I66" i="13" s="1"/>
  <c r="E66" i="13"/>
  <c r="N75" i="13"/>
  <c r="P85" i="13"/>
  <c r="BE98" i="13"/>
  <c r="BK98" i="13" s="1"/>
  <c r="AE98" i="13"/>
  <c r="AL98" i="13" s="1"/>
  <c r="E98" i="13" s="1"/>
  <c r="AT78" i="13"/>
  <c r="AZ78" i="13" s="1"/>
  <c r="N78" i="13" s="1"/>
  <c r="AV79" i="13"/>
  <c r="BB79" i="13" s="1"/>
  <c r="P79" i="13" s="1"/>
  <c r="AR81" i="13"/>
  <c r="AX81" i="13" s="1"/>
  <c r="AT82" i="13"/>
  <c r="AZ82" i="13" s="1"/>
  <c r="F98" i="13"/>
  <c r="AZ98" i="13"/>
  <c r="AY101" i="13"/>
  <c r="AV107" i="13"/>
  <c r="BB107" i="13" s="1"/>
  <c r="AH107" i="13"/>
  <c r="AO107" i="13" s="1"/>
  <c r="I107" i="13" s="1"/>
  <c r="AP90" i="13"/>
  <c r="J90" i="13" s="1"/>
  <c r="AP86" i="13"/>
  <c r="J86" i="13" s="1"/>
  <c r="BG90" i="13"/>
  <c r="BM90" i="13" s="1"/>
  <c r="BE89" i="13"/>
  <c r="BK89" i="13" s="1"/>
  <c r="BS20" i="13" s="1"/>
  <c r="AP87" i="13"/>
  <c r="J87" i="13" s="1"/>
  <c r="BG86" i="13"/>
  <c r="BM86" i="13" s="1"/>
  <c r="BE85" i="13"/>
  <c r="BK85" i="13" s="1"/>
  <c r="BS16" i="13" s="1"/>
  <c r="AP88" i="13"/>
  <c r="J88" i="13" s="1"/>
  <c r="AP84" i="13"/>
  <c r="J84" i="13" s="1"/>
  <c r="AP89" i="13"/>
  <c r="J89" i="13" s="1"/>
  <c r="J20" i="13" s="1"/>
  <c r="BG88" i="13"/>
  <c r="BM88" i="13" s="1"/>
  <c r="BE87" i="13"/>
  <c r="BK87" i="13" s="1"/>
  <c r="BS18" i="13" s="1"/>
  <c r="AP85" i="13"/>
  <c r="J85" i="13" s="1"/>
  <c r="AP76" i="13"/>
  <c r="J76" i="13" s="1"/>
  <c r="J91" i="13" s="1"/>
  <c r="AS77" i="13"/>
  <c r="AY77" i="13" s="1"/>
  <c r="M77" i="13" s="1"/>
  <c r="AU78" i="13"/>
  <c r="BA78" i="13" s="1"/>
  <c r="O78" i="13" s="1"/>
  <c r="AP80" i="13"/>
  <c r="J80" i="13" s="1"/>
  <c r="AS81" i="13"/>
  <c r="AY81" i="13" s="1"/>
  <c r="M81" i="13" s="1"/>
  <c r="AU82" i="13"/>
  <c r="BA82" i="13" s="1"/>
  <c r="O82" i="13" s="1"/>
  <c r="AT83" i="13"/>
  <c r="AZ83" i="13" s="1"/>
  <c r="BF83" i="13"/>
  <c r="BL83" i="13" s="1"/>
  <c r="AU86" i="13"/>
  <c r="BA86" i="13" s="1"/>
  <c r="AG86" i="13"/>
  <c r="AN86" i="13" s="1"/>
  <c r="H86" i="13" s="1"/>
  <c r="AU87" i="13"/>
  <c r="BA87" i="13" s="1"/>
  <c r="AG87" i="13"/>
  <c r="AN87" i="13" s="1"/>
  <c r="H87" i="13" s="1"/>
  <c r="AU88" i="13"/>
  <c r="BA88" i="13" s="1"/>
  <c r="AG88" i="13"/>
  <c r="AN88" i="13" s="1"/>
  <c r="H88" i="13" s="1"/>
  <c r="AU89" i="13"/>
  <c r="BA89" i="13" s="1"/>
  <c r="AG89" i="13"/>
  <c r="AN89" i="13" s="1"/>
  <c r="H89" i="13" s="1"/>
  <c r="AU90" i="13"/>
  <c r="BA90" i="13" s="1"/>
  <c r="AG90" i="13"/>
  <c r="AN90" i="13" s="1"/>
  <c r="H90" i="13" s="1"/>
  <c r="BE101" i="13"/>
  <c r="BK101" i="13" s="1"/>
  <c r="BT9" i="13" s="1"/>
  <c r="AE101" i="13"/>
  <c r="AL101" i="13" s="1"/>
  <c r="E101" i="13" s="1"/>
  <c r="AT102" i="13"/>
  <c r="AZ102" i="13" s="1"/>
  <c r="AF102" i="13"/>
  <c r="AM102" i="13" s="1"/>
  <c r="F102" i="13" s="1"/>
  <c r="G102" i="13" s="1"/>
  <c r="L127" i="13"/>
  <c r="AG53" i="13"/>
  <c r="AN53" i="13" s="1"/>
  <c r="H53" i="13" s="1"/>
  <c r="AE56" i="13"/>
  <c r="AL56" i="13" s="1"/>
  <c r="E56" i="13" s="1"/>
  <c r="AG57" i="13"/>
  <c r="AN57" i="13" s="1"/>
  <c r="H57" i="13" s="1"/>
  <c r="AE60" i="13"/>
  <c r="AL60" i="13" s="1"/>
  <c r="E60" i="13" s="1"/>
  <c r="AG61" i="13"/>
  <c r="AN61" i="13" s="1"/>
  <c r="H61" i="13" s="1"/>
  <c r="O61" i="13" s="1"/>
  <c r="AE64" i="13"/>
  <c r="AL64" i="13" s="1"/>
  <c r="E64" i="13" s="1"/>
  <c r="M64" i="13" s="1"/>
  <c r="AG65" i="13"/>
  <c r="AN65" i="13" s="1"/>
  <c r="H65" i="13" s="1"/>
  <c r="AE75" i="13"/>
  <c r="AL75" i="13" s="1"/>
  <c r="E75" i="13" s="1"/>
  <c r="AG76" i="13"/>
  <c r="AN76" i="13" s="1"/>
  <c r="H76" i="13" s="1"/>
  <c r="O76" i="13" s="1"/>
  <c r="AR76" i="13"/>
  <c r="AX76" i="13" s="1"/>
  <c r="L76" i="13" s="1"/>
  <c r="AT77" i="13"/>
  <c r="AZ77" i="13" s="1"/>
  <c r="N77" i="13" s="1"/>
  <c r="AV78" i="13"/>
  <c r="BB78" i="13" s="1"/>
  <c r="P78" i="13" s="1"/>
  <c r="AE79" i="13"/>
  <c r="AL79" i="13" s="1"/>
  <c r="E79" i="13" s="1"/>
  <c r="M79" i="13" s="1"/>
  <c r="AG80" i="13"/>
  <c r="AN80" i="13" s="1"/>
  <c r="H80" i="13" s="1"/>
  <c r="O80" i="13" s="1"/>
  <c r="AR80" i="13"/>
  <c r="AX80" i="13" s="1"/>
  <c r="L80" i="13" s="1"/>
  <c r="AT81" i="13"/>
  <c r="AZ81" i="13" s="1"/>
  <c r="N81" i="13" s="1"/>
  <c r="AV82" i="13"/>
  <c r="BB82" i="13" s="1"/>
  <c r="P82" i="13" s="1"/>
  <c r="AH83" i="13"/>
  <c r="AO83" i="13" s="1"/>
  <c r="I83" i="13" s="1"/>
  <c r="P83" i="13" s="1"/>
  <c r="AG83" i="13"/>
  <c r="AN83" i="13" s="1"/>
  <c r="H83" i="13" s="1"/>
  <c r="O83" i="13" s="1"/>
  <c r="BD86" i="13"/>
  <c r="BJ86" i="13" s="1"/>
  <c r="AH87" i="13"/>
  <c r="AO87" i="13" s="1"/>
  <c r="I87" i="13" s="1"/>
  <c r="P87" i="13" s="1"/>
  <c r="BD88" i="13"/>
  <c r="BJ88" i="13" s="1"/>
  <c r="AH89" i="13"/>
  <c r="AO89" i="13" s="1"/>
  <c r="I89" i="13" s="1"/>
  <c r="BD90" i="13"/>
  <c r="BJ90" i="13" s="1"/>
  <c r="BA98" i="13"/>
  <c r="AS100" i="13"/>
  <c r="AY100" i="13" s="1"/>
  <c r="AE100" i="13"/>
  <c r="AL100" i="13" s="1"/>
  <c r="E100" i="13" s="1"/>
  <c r="BM101" i="13"/>
  <c r="BJ84" i="13"/>
  <c r="BL86" i="13"/>
  <c r="F87" i="13"/>
  <c r="G87" i="13" s="1"/>
  <c r="BL87" i="13"/>
  <c r="F88" i="13"/>
  <c r="G88" i="13" s="1"/>
  <c r="BL88" i="13"/>
  <c r="F89" i="13"/>
  <c r="G89" i="13" s="1"/>
  <c r="BL89" i="13"/>
  <c r="AM90" i="13"/>
  <c r="F90" i="13" s="1"/>
  <c r="G90" i="13" s="1"/>
  <c r="BF90" i="13"/>
  <c r="BL90" i="13" s="1"/>
  <c r="BJ98" i="13"/>
  <c r="B114" i="13"/>
  <c r="AF127" i="13"/>
  <c r="AM127" i="13" s="1"/>
  <c r="F127" i="13" s="1"/>
  <c r="G127" i="13" s="1"/>
  <c r="AT127" i="13"/>
  <c r="AZ127" i="13" s="1"/>
  <c r="AS147" i="13"/>
  <c r="AY147" i="13" s="1"/>
  <c r="M147" i="13" s="1"/>
  <c r="AE147" i="13"/>
  <c r="AL147" i="13" s="1"/>
  <c r="E147" i="13" s="1"/>
  <c r="AU84" i="13"/>
  <c r="BA84" i="13" s="1"/>
  <c r="AE84" i="13"/>
  <c r="AL84" i="13" s="1"/>
  <c r="E84" i="13" s="1"/>
  <c r="M84" i="13" s="1"/>
  <c r="AD85" i="13"/>
  <c r="AK85" i="13" s="1"/>
  <c r="D85" i="13" s="1"/>
  <c r="BG85" i="13"/>
  <c r="BM85" i="13" s="1"/>
  <c r="BH85" i="13"/>
  <c r="BN85" i="13" s="1"/>
  <c r="BE86" i="13"/>
  <c r="BK86" i="13" s="1"/>
  <c r="BS17" i="13" s="1"/>
  <c r="BE88" i="13"/>
  <c r="BK88" i="13" s="1"/>
  <c r="BS19" i="13" s="1"/>
  <c r="BE90" i="13"/>
  <c r="BK90" i="13" s="1"/>
  <c r="BS21" i="13" s="1"/>
  <c r="AG98" i="13"/>
  <c r="AN98" i="13" s="1"/>
  <c r="H98" i="13" s="1"/>
  <c r="BN98" i="13"/>
  <c r="N100" i="13"/>
  <c r="L106" i="13"/>
  <c r="AP78" i="13"/>
  <c r="J78" i="13" s="1"/>
  <c r="AP82" i="13"/>
  <c r="J82" i="13" s="1"/>
  <c r="AG84" i="13"/>
  <c r="AN84" i="13" s="1"/>
  <c r="H84" i="13" s="1"/>
  <c r="AT84" i="13"/>
  <c r="AZ84" i="13" s="1"/>
  <c r="N84" i="13" s="1"/>
  <c r="BG84" i="13"/>
  <c r="BM84" i="13" s="1"/>
  <c r="AS85" i="13"/>
  <c r="AY85" i="13" s="1"/>
  <c r="M85" i="13" s="1"/>
  <c r="AR85" i="13"/>
  <c r="AX85" i="13" s="1"/>
  <c r="L85" i="13" s="1"/>
  <c r="AR86" i="13"/>
  <c r="AX86" i="13" s="1"/>
  <c r="L86" i="13" s="1"/>
  <c r="AR87" i="13"/>
  <c r="AX87" i="13" s="1"/>
  <c r="AR88" i="13"/>
  <c r="AX88" i="13" s="1"/>
  <c r="L88" i="13" s="1"/>
  <c r="AR89" i="13"/>
  <c r="AX89" i="13" s="1"/>
  <c r="L89" i="13" s="1"/>
  <c r="AR90" i="13"/>
  <c r="AX90" i="13" s="1"/>
  <c r="AV98" i="13"/>
  <c r="BB98" i="13" s="1"/>
  <c r="AH98" i="13"/>
  <c r="AO98" i="13" s="1"/>
  <c r="I98" i="13" s="1"/>
  <c r="AT101" i="13"/>
  <c r="AZ101" i="13" s="1"/>
  <c r="AF101" i="13"/>
  <c r="AM101" i="13" s="1"/>
  <c r="F101" i="13" s="1"/>
  <c r="G101" i="13" s="1"/>
  <c r="D101" i="13"/>
  <c r="BE102" i="13"/>
  <c r="BK102" i="13" s="1"/>
  <c r="AE102" i="13"/>
  <c r="AL102" i="13" s="1"/>
  <c r="E102" i="13" s="1"/>
  <c r="AD83" i="13"/>
  <c r="AK83" i="13" s="1"/>
  <c r="D83" i="13" s="1"/>
  <c r="L83" i="13" s="1"/>
  <c r="BH84" i="13"/>
  <c r="BN84" i="13" s="1"/>
  <c r="AT85" i="13"/>
  <c r="AZ85" i="13" s="1"/>
  <c r="AT86" i="13"/>
  <c r="AZ86" i="13" s="1"/>
  <c r="AD87" i="13"/>
  <c r="AK87" i="13" s="1"/>
  <c r="D87" i="13" s="1"/>
  <c r="BG87" i="13"/>
  <c r="BM87" i="13" s="1"/>
  <c r="AT87" i="13"/>
  <c r="AZ87" i="13" s="1"/>
  <c r="N87" i="13" s="1"/>
  <c r="AT88" i="13"/>
  <c r="AZ88" i="13" s="1"/>
  <c r="AD89" i="13"/>
  <c r="AK89" i="13" s="1"/>
  <c r="D89" i="13" s="1"/>
  <c r="BG89" i="13"/>
  <c r="BM89" i="13" s="1"/>
  <c r="AT89" i="13"/>
  <c r="AZ89" i="13" s="1"/>
  <c r="N89" i="13" s="1"/>
  <c r="AT90" i="13"/>
  <c r="AZ90" i="13" s="1"/>
  <c r="AF99" i="13"/>
  <c r="AM99" i="13" s="1"/>
  <c r="F99" i="13" s="1"/>
  <c r="G99" i="13" s="1"/>
  <c r="AT99" i="13"/>
  <c r="AZ99" i="13" s="1"/>
  <c r="AT106" i="13"/>
  <c r="AZ106" i="13" s="1"/>
  <c r="AF106" i="13"/>
  <c r="AM106" i="13" s="1"/>
  <c r="F106" i="13" s="1"/>
  <c r="AP112" i="13"/>
  <c r="J112" i="13" s="1"/>
  <c r="AP108" i="13"/>
  <c r="J108" i="13" s="1"/>
  <c r="AP104" i="13"/>
  <c r="J104" i="13" s="1"/>
  <c r="BH112" i="13"/>
  <c r="BN112" i="13" s="1"/>
  <c r="BF111" i="13"/>
  <c r="BL111" i="13" s="1"/>
  <c r="BD110" i="13"/>
  <c r="BJ110" i="13" s="1"/>
  <c r="BH108" i="13"/>
  <c r="BN108" i="13" s="1"/>
  <c r="BF107" i="13"/>
  <c r="BL107" i="13" s="1"/>
  <c r="BD106" i="13"/>
  <c r="BJ106" i="13" s="1"/>
  <c r="BH104" i="13"/>
  <c r="BN104" i="13" s="1"/>
  <c r="AP110" i="13"/>
  <c r="J110" i="13" s="1"/>
  <c r="AP106" i="13"/>
  <c r="J106" i="13" s="1"/>
  <c r="AP102" i="13"/>
  <c r="J102" i="13" s="1"/>
  <c r="BD112" i="13"/>
  <c r="BJ112" i="13" s="1"/>
  <c r="AS106" i="13"/>
  <c r="AY106" i="13" s="1"/>
  <c r="BE105" i="13"/>
  <c r="BK105" i="13" s="1"/>
  <c r="BT13" i="13" s="1"/>
  <c r="BH102" i="13"/>
  <c r="BN102" i="13" s="1"/>
  <c r="AP99" i="13"/>
  <c r="J99" i="13" s="1"/>
  <c r="AP111" i="13"/>
  <c r="J111" i="13" s="1"/>
  <c r="AS108" i="13"/>
  <c r="AY108" i="13" s="1"/>
  <c r="BE107" i="13"/>
  <c r="BK107" i="13" s="1"/>
  <c r="BT15" i="13" s="1"/>
  <c r="BG104" i="13"/>
  <c r="BM104" i="13" s="1"/>
  <c r="AU103" i="13"/>
  <c r="BA103" i="13" s="1"/>
  <c r="O103" i="13" s="1"/>
  <c r="BG102" i="13"/>
  <c r="BM102" i="13" s="1"/>
  <c r="AT112" i="13"/>
  <c r="AZ112" i="13" s="1"/>
  <c r="AS110" i="13"/>
  <c r="AY110" i="13" s="1"/>
  <c r="BE109" i="13"/>
  <c r="BK109" i="13" s="1"/>
  <c r="BT17" i="13" s="1"/>
  <c r="BH106" i="13"/>
  <c r="BN106" i="13" s="1"/>
  <c r="AU105" i="13"/>
  <c r="BA105" i="13" s="1"/>
  <c r="AP103" i="13"/>
  <c r="J103" i="13" s="1"/>
  <c r="AR101" i="13"/>
  <c r="AX101" i="13" s="1"/>
  <c r="AS112" i="13"/>
  <c r="AY112" i="13" s="1"/>
  <c r="BE111" i="13"/>
  <c r="BK111" i="13" s="1"/>
  <c r="BT19" i="13" s="1"/>
  <c r="BG108" i="13"/>
  <c r="BM108" i="13" s="1"/>
  <c r="AU107" i="13"/>
  <c r="BA107" i="13" s="1"/>
  <c r="BG106" i="13"/>
  <c r="BM106" i="13" s="1"/>
  <c r="AP105" i="13"/>
  <c r="J105" i="13" s="1"/>
  <c r="AP101" i="13"/>
  <c r="J101" i="13" s="1"/>
  <c r="AS98" i="13"/>
  <c r="AY98" i="13" s="1"/>
  <c r="BF99" i="13"/>
  <c r="BL99" i="13" s="1"/>
  <c r="AU101" i="13"/>
  <c r="BA101" i="13" s="1"/>
  <c r="AG101" i="13"/>
  <c r="AN101" i="13" s="1"/>
  <c r="H101" i="13" s="1"/>
  <c r="AN104" i="13"/>
  <c r="H104" i="13" s="1"/>
  <c r="AN108" i="13"/>
  <c r="H108" i="13" s="1"/>
  <c r="AD111" i="13"/>
  <c r="AK111" i="13" s="1"/>
  <c r="D111" i="13" s="1"/>
  <c r="AR111" i="13"/>
  <c r="AX111" i="13" s="1"/>
  <c r="BG111" i="13"/>
  <c r="BM111" i="13" s="1"/>
  <c r="AG111" i="13"/>
  <c r="AN111" i="13" s="1"/>
  <c r="H111" i="13" s="1"/>
  <c r="AV112" i="13"/>
  <c r="BB112" i="13" s="1"/>
  <c r="P112" i="13" s="1"/>
  <c r="AK112" i="13"/>
  <c r="D112" i="13" s="1"/>
  <c r="AR113" i="13"/>
  <c r="AX113" i="13" s="1"/>
  <c r="AD113" i="13"/>
  <c r="AK113" i="13" s="1"/>
  <c r="D113" i="13" s="1"/>
  <c r="AG113" i="13"/>
  <c r="AN113" i="13" s="1"/>
  <c r="H113" i="13" s="1"/>
  <c r="O113" i="13" s="1"/>
  <c r="BG113" i="13"/>
  <c r="BM113" i="13" s="1"/>
  <c r="AV126" i="13"/>
  <c r="BB126" i="13" s="1"/>
  <c r="AH126" i="13"/>
  <c r="AO126" i="13" s="1"/>
  <c r="I126" i="13" s="1"/>
  <c r="BH111" i="13"/>
  <c r="BN111" i="13" s="1"/>
  <c r="AS113" i="13"/>
  <c r="AY113" i="13" s="1"/>
  <c r="AE113" i="13"/>
  <c r="AL113" i="13" s="1"/>
  <c r="E113" i="13" s="1"/>
  <c r="BH113" i="13"/>
  <c r="BN113" i="13" s="1"/>
  <c r="N124" i="13"/>
  <c r="AE99" i="13"/>
  <c r="AL99" i="13" s="1"/>
  <c r="E99" i="13" s="1"/>
  <c r="M99" i="13" s="1"/>
  <c r="BH99" i="13"/>
  <c r="BN99" i="13" s="1"/>
  <c r="AH100" i="13"/>
  <c r="AO100" i="13" s="1"/>
  <c r="I100" i="13" s="1"/>
  <c r="P100" i="13" s="1"/>
  <c r="BE100" i="13"/>
  <c r="BK100" i="13" s="1"/>
  <c r="BT8" i="13" s="1"/>
  <c r="BD101" i="13"/>
  <c r="BJ101" i="13" s="1"/>
  <c r="BF101" i="13"/>
  <c r="BL101" i="13" s="1"/>
  <c r="BD102" i="13"/>
  <c r="BJ102" i="13" s="1"/>
  <c r="AS102" i="13"/>
  <c r="AY102" i="13" s="1"/>
  <c r="AT103" i="13"/>
  <c r="AZ103" i="13" s="1"/>
  <c r="AM103" i="13"/>
  <c r="F103" i="13" s="1"/>
  <c r="G103" i="13" s="1"/>
  <c r="AE104" i="13"/>
  <c r="AL104" i="13" s="1"/>
  <c r="E104" i="13" s="1"/>
  <c r="M104" i="13" s="1"/>
  <c r="BE104" i="13"/>
  <c r="BK104" i="13" s="1"/>
  <c r="BT12" i="13" s="1"/>
  <c r="AT105" i="13"/>
  <c r="AZ105" i="13" s="1"/>
  <c r="BH107" i="13"/>
  <c r="BN107" i="13" s="1"/>
  <c r="BG110" i="13"/>
  <c r="BM110" i="13" s="1"/>
  <c r="AT113" i="13"/>
  <c r="AZ113" i="13" s="1"/>
  <c r="AM113" i="13"/>
  <c r="F113" i="13" s="1"/>
  <c r="G113" i="13" s="1"/>
  <c r="AT125" i="13"/>
  <c r="AZ125" i="13" s="1"/>
  <c r="AF125" i="13"/>
  <c r="AM125" i="13" s="1"/>
  <c r="F125" i="13" s="1"/>
  <c r="G125" i="13" s="1"/>
  <c r="AE123" i="13"/>
  <c r="AL123" i="13" s="1"/>
  <c r="E123" i="13" s="1"/>
  <c r="M123" i="13" s="1"/>
  <c r="BE123" i="13"/>
  <c r="BK123" i="13" s="1"/>
  <c r="AH124" i="13"/>
  <c r="AO124" i="13" s="1"/>
  <c r="I124" i="13" s="1"/>
  <c r="AV124" i="13"/>
  <c r="BB124" i="13" s="1"/>
  <c r="AV132" i="13"/>
  <c r="BB132" i="13" s="1"/>
  <c r="P132" i="13" s="1"/>
  <c r="BF98" i="13"/>
  <c r="BL98" i="13" s="1"/>
  <c r="AP100" i="13"/>
  <c r="J100" i="13" s="1"/>
  <c r="BH101" i="13"/>
  <c r="BN101" i="13" s="1"/>
  <c r="BF102" i="13"/>
  <c r="BL102" i="13" s="1"/>
  <c r="AR103" i="13"/>
  <c r="AX103" i="13" s="1"/>
  <c r="AM105" i="13"/>
  <c r="F105" i="13" s="1"/>
  <c r="G105" i="13" s="1"/>
  <c r="AR108" i="13"/>
  <c r="AX108" i="13" s="1"/>
  <c r="AP109" i="13"/>
  <c r="J109" i="13" s="1"/>
  <c r="AV111" i="13"/>
  <c r="BB111" i="13" s="1"/>
  <c r="AH111" i="13"/>
  <c r="AO111" i="13" s="1"/>
  <c r="I111" i="13" s="1"/>
  <c r="AU111" i="13"/>
  <c r="BA111" i="13" s="1"/>
  <c r="AR112" i="13"/>
  <c r="AX112" i="13" s="1"/>
  <c r="L112" i="13" s="1"/>
  <c r="AU129" i="13"/>
  <c r="BA129" i="13" s="1"/>
  <c r="AG129" i="13"/>
  <c r="AN129" i="13" s="1"/>
  <c r="H129" i="13" s="1"/>
  <c r="AD130" i="13"/>
  <c r="AK130" i="13" s="1"/>
  <c r="D130" i="13" s="1"/>
  <c r="AR130" i="13"/>
  <c r="AX130" i="13" s="1"/>
  <c r="BG130" i="13"/>
  <c r="BM130" i="13" s="1"/>
  <c r="AG130" i="13"/>
  <c r="AN130" i="13" s="1"/>
  <c r="H130" i="13" s="1"/>
  <c r="O130" i="13" s="1"/>
  <c r="AP98" i="13"/>
  <c r="J98" i="13" s="1"/>
  <c r="J114" i="13" s="1"/>
  <c r="AV99" i="13"/>
  <c r="BB99" i="13" s="1"/>
  <c r="P99" i="13" s="1"/>
  <c r="AR100" i="13"/>
  <c r="AX100" i="13" s="1"/>
  <c r="AD100" i="13"/>
  <c r="AK100" i="13" s="1"/>
  <c r="D100" i="13" s="1"/>
  <c r="BG100" i="13"/>
  <c r="BM100" i="13" s="1"/>
  <c r="AU100" i="13"/>
  <c r="BA100" i="13" s="1"/>
  <c r="O100" i="13" s="1"/>
  <c r="AV101" i="13"/>
  <c r="BB101" i="13" s="1"/>
  <c r="P101" i="13" s="1"/>
  <c r="BE103" i="13"/>
  <c r="BK103" i="13" s="1"/>
  <c r="BT11" i="13" s="1"/>
  <c r="AF104" i="13"/>
  <c r="AM104" i="13" s="1"/>
  <c r="F104" i="13" s="1"/>
  <c r="G104" i="13" s="1"/>
  <c r="AK104" i="13"/>
  <c r="D104" i="13" s="1"/>
  <c r="BF105" i="13"/>
  <c r="BL105" i="13" s="1"/>
  <c r="BD107" i="13"/>
  <c r="BJ107" i="13" s="1"/>
  <c r="AR107" i="13"/>
  <c r="AX107" i="13" s="1"/>
  <c r="AF108" i="13"/>
  <c r="AM108" i="13" s="1"/>
  <c r="F108" i="13" s="1"/>
  <c r="G108" i="13" s="1"/>
  <c r="AT108" i="13"/>
  <c r="AZ108" i="13" s="1"/>
  <c r="AK108" i="13"/>
  <c r="D108" i="13" s="1"/>
  <c r="BD109" i="13"/>
  <c r="BJ109" i="13" s="1"/>
  <c r="AV109" i="13"/>
  <c r="BB109" i="13" s="1"/>
  <c r="AU110" i="13"/>
  <c r="BA110" i="13" s="1"/>
  <c r="AG110" i="13"/>
  <c r="AN110" i="13" s="1"/>
  <c r="H110" i="13" s="1"/>
  <c r="AL110" i="13"/>
  <c r="E110" i="13" s="1"/>
  <c r="BF113" i="13"/>
  <c r="BL113" i="13" s="1"/>
  <c r="BE121" i="13"/>
  <c r="BK121" i="13" s="1"/>
  <c r="AE121" i="13"/>
  <c r="AL121" i="13" s="1"/>
  <c r="E121" i="13" s="1"/>
  <c r="M121" i="13" s="1"/>
  <c r="AR133" i="13"/>
  <c r="AX133" i="13" s="1"/>
  <c r="L133" i="13" s="1"/>
  <c r="AD133" i="13"/>
  <c r="AK133" i="13" s="1"/>
  <c r="D133" i="13" s="1"/>
  <c r="BF149" i="13"/>
  <c r="BL149" i="13" s="1"/>
  <c r="AF149" i="13"/>
  <c r="AM149" i="13" s="1"/>
  <c r="F149" i="13" s="1"/>
  <c r="G149" i="13" s="1"/>
  <c r="AR102" i="13"/>
  <c r="AX102" i="13" s="1"/>
  <c r="L102" i="13" s="1"/>
  <c r="AV103" i="13"/>
  <c r="BB103" i="13" s="1"/>
  <c r="AH103" i="13"/>
  <c r="AO103" i="13" s="1"/>
  <c r="I103" i="13" s="1"/>
  <c r="AR104" i="13"/>
  <c r="AX104" i="13" s="1"/>
  <c r="BD105" i="13"/>
  <c r="BJ105" i="13" s="1"/>
  <c r="AU106" i="13"/>
  <c r="BA106" i="13" s="1"/>
  <c r="AG106" i="13"/>
  <c r="AN106" i="13" s="1"/>
  <c r="H106" i="13" s="1"/>
  <c r="AL106" i="13"/>
  <c r="E106" i="13" s="1"/>
  <c r="AO108" i="13"/>
  <c r="I108" i="13" s="1"/>
  <c r="AR109" i="13"/>
  <c r="AX109" i="13" s="1"/>
  <c r="AD109" i="13"/>
  <c r="AK109" i="13" s="1"/>
  <c r="D109" i="13" s="1"/>
  <c r="AG109" i="13"/>
  <c r="AN109" i="13" s="1"/>
  <c r="H109" i="13" s="1"/>
  <c r="O109" i="13" s="1"/>
  <c r="BG109" i="13"/>
  <c r="BM109" i="13" s="1"/>
  <c r="BE110" i="13"/>
  <c r="BK110" i="13" s="1"/>
  <c r="BT18" i="13" s="1"/>
  <c r="AT111" i="13"/>
  <c r="AZ111" i="13" s="1"/>
  <c r="AM111" i="13"/>
  <c r="F111" i="13" s="1"/>
  <c r="G111" i="13" s="1"/>
  <c r="AE112" i="13"/>
  <c r="AL112" i="13" s="1"/>
  <c r="E112" i="13" s="1"/>
  <c r="BE112" i="13"/>
  <c r="BK112" i="13" s="1"/>
  <c r="BT20" i="13" s="1"/>
  <c r="AV122" i="13"/>
  <c r="BB122" i="13" s="1"/>
  <c r="P122" i="13" s="1"/>
  <c r="AH122" i="13"/>
  <c r="AO122" i="13" s="1"/>
  <c r="I122" i="13" s="1"/>
  <c r="AR123" i="13"/>
  <c r="AX123" i="13" s="1"/>
  <c r="L123" i="13" s="1"/>
  <c r="BD124" i="13"/>
  <c r="BJ124" i="13" s="1"/>
  <c r="AP124" i="13"/>
  <c r="J124" i="13" s="1"/>
  <c r="AU125" i="13"/>
  <c r="BA125" i="13" s="1"/>
  <c r="AG125" i="13"/>
  <c r="AN125" i="13" s="1"/>
  <c r="H125" i="13" s="1"/>
  <c r="AL125" i="13"/>
  <c r="E125" i="13" s="1"/>
  <c r="BG125" i="13"/>
  <c r="BM125" i="13" s="1"/>
  <c r="AU126" i="13"/>
  <c r="BA126" i="13" s="1"/>
  <c r="AO127" i="13"/>
  <c r="I127" i="13" s="1"/>
  <c r="BG127" i="13"/>
  <c r="BM127" i="13" s="1"/>
  <c r="AR128" i="13"/>
  <c r="AX128" i="13" s="1"/>
  <c r="AD128" i="13"/>
  <c r="AK128" i="13" s="1"/>
  <c r="D128" i="13" s="1"/>
  <c r="AG128" i="13"/>
  <c r="AN128" i="13" s="1"/>
  <c r="H128" i="13" s="1"/>
  <c r="O128" i="13" s="1"/>
  <c r="BG128" i="13"/>
  <c r="BM128" i="13" s="1"/>
  <c r="BE129" i="13"/>
  <c r="BK129" i="13" s="1"/>
  <c r="AM130" i="13"/>
  <c r="F130" i="13" s="1"/>
  <c r="G130" i="13" s="1"/>
  <c r="BE130" i="13"/>
  <c r="BK130" i="13" s="1"/>
  <c r="AE131" i="13"/>
  <c r="AL131" i="13" s="1"/>
  <c r="E131" i="13" s="1"/>
  <c r="BE131" i="13"/>
  <c r="BK131" i="13" s="1"/>
  <c r="AT131" i="13"/>
  <c r="AZ131" i="13" s="1"/>
  <c r="BF132" i="13"/>
  <c r="BL132" i="13" s="1"/>
  <c r="BF135" i="13"/>
  <c r="BL135" i="13" s="1"/>
  <c r="AY146" i="13"/>
  <c r="M146" i="13" s="1"/>
  <c r="BD103" i="13"/>
  <c r="BJ103" i="13" s="1"/>
  <c r="AV106" i="13"/>
  <c r="BB106" i="13" s="1"/>
  <c r="P106" i="13" s="1"/>
  <c r="AD107" i="13"/>
  <c r="AK107" i="13" s="1"/>
  <c r="D107" i="13" s="1"/>
  <c r="BG107" i="13"/>
  <c r="BM107" i="13" s="1"/>
  <c r="AV108" i="13"/>
  <c r="BB108" i="13" s="1"/>
  <c r="AS109" i="13"/>
  <c r="AY109" i="13" s="1"/>
  <c r="AE109" i="13"/>
  <c r="AL109" i="13" s="1"/>
  <c r="E109" i="13" s="1"/>
  <c r="BH109" i="13"/>
  <c r="BN109" i="13" s="1"/>
  <c r="BF110" i="13"/>
  <c r="BL110" i="13" s="1"/>
  <c r="BF112" i="13"/>
  <c r="BL112" i="13" s="1"/>
  <c r="AH113" i="13"/>
  <c r="AO113" i="13" s="1"/>
  <c r="I113" i="13" s="1"/>
  <c r="BD122" i="13"/>
  <c r="BJ122" i="13" s="1"/>
  <c r="AP122" i="13"/>
  <c r="J122" i="13" s="1"/>
  <c r="AU124" i="13"/>
  <c r="BA124" i="13" s="1"/>
  <c r="AV125" i="13"/>
  <c r="BB125" i="13" s="1"/>
  <c r="P125" i="13" s="1"/>
  <c r="BH125" i="13"/>
  <c r="BN125" i="13" s="1"/>
  <c r="AD126" i="13"/>
  <c r="AK126" i="13" s="1"/>
  <c r="D126" i="13" s="1"/>
  <c r="L126" i="13" s="1"/>
  <c r="BG126" i="13"/>
  <c r="BM126" i="13" s="1"/>
  <c r="AS128" i="13"/>
  <c r="AY128" i="13" s="1"/>
  <c r="AE128" i="13"/>
  <c r="AL128" i="13" s="1"/>
  <c r="E128" i="13" s="1"/>
  <c r="BH128" i="13"/>
  <c r="BN128" i="13" s="1"/>
  <c r="BE128" i="13"/>
  <c r="BK128" i="13" s="1"/>
  <c r="BF129" i="13"/>
  <c r="BL129" i="13" s="1"/>
  <c r="BF131" i="13"/>
  <c r="BL131" i="13" s="1"/>
  <c r="AR132" i="13"/>
  <c r="AX132" i="13" s="1"/>
  <c r="AN136" i="13"/>
  <c r="H136" i="13" s="1"/>
  <c r="AZ146" i="13"/>
  <c r="AP135" i="13"/>
  <c r="J135" i="13" s="1"/>
  <c r="AP136" i="13"/>
  <c r="J136" i="13" s="1"/>
  <c r="AU134" i="13"/>
  <c r="BA134" i="13" s="1"/>
  <c r="BH135" i="13"/>
  <c r="BN135" i="13" s="1"/>
  <c r="AR134" i="13"/>
  <c r="AX134" i="13" s="1"/>
  <c r="BE132" i="13"/>
  <c r="BK132" i="13" s="1"/>
  <c r="AU132" i="13"/>
  <c r="BA132" i="13" s="1"/>
  <c r="AS131" i="13"/>
  <c r="AY131" i="13" s="1"/>
  <c r="AV136" i="13"/>
  <c r="BB136" i="13" s="1"/>
  <c r="BD135" i="13"/>
  <c r="BJ135" i="13" s="1"/>
  <c r="AP134" i="13"/>
  <c r="J134" i="13" s="1"/>
  <c r="AU136" i="13"/>
  <c r="BA136" i="13" s="1"/>
  <c r="BH133" i="13"/>
  <c r="BN133" i="13" s="1"/>
  <c r="AP131" i="13"/>
  <c r="J131" i="13" s="1"/>
  <c r="AP127" i="13"/>
  <c r="J127" i="13" s="1"/>
  <c r="AP123" i="13"/>
  <c r="J123" i="13" s="1"/>
  <c r="AP133" i="13"/>
  <c r="J133" i="13" s="1"/>
  <c r="BH131" i="13"/>
  <c r="BN131" i="13" s="1"/>
  <c r="BF130" i="13"/>
  <c r="BL130" i="13" s="1"/>
  <c r="BD129" i="13"/>
  <c r="BJ129" i="13" s="1"/>
  <c r="BH127" i="13"/>
  <c r="BN127" i="13" s="1"/>
  <c r="BF126" i="13"/>
  <c r="BL126" i="13" s="1"/>
  <c r="BD125" i="13"/>
  <c r="BJ125" i="13" s="1"/>
  <c r="BH123" i="13"/>
  <c r="BN123" i="13" s="1"/>
  <c r="BF122" i="13"/>
  <c r="BL122" i="13" s="1"/>
  <c r="BD121" i="13"/>
  <c r="BJ121" i="13" s="1"/>
  <c r="AS135" i="13"/>
  <c r="AY135" i="13" s="1"/>
  <c r="AV131" i="13"/>
  <c r="BB131" i="13" s="1"/>
  <c r="P131" i="13" s="1"/>
  <c r="AT130" i="13"/>
  <c r="AZ130" i="13" s="1"/>
  <c r="N130" i="13" s="1"/>
  <c r="AR129" i="13"/>
  <c r="AX129" i="13" s="1"/>
  <c r="AV127" i="13"/>
  <c r="BB127" i="13" s="1"/>
  <c r="AT126" i="13"/>
  <c r="AZ126" i="13" s="1"/>
  <c r="AR125" i="13"/>
  <c r="AX125" i="13" s="1"/>
  <c r="L125" i="13" s="1"/>
  <c r="AV123" i="13"/>
  <c r="BB123" i="13" s="1"/>
  <c r="AT122" i="13"/>
  <c r="AZ122" i="13" s="1"/>
  <c r="N122" i="13" s="1"/>
  <c r="AR121" i="13"/>
  <c r="AX121" i="13" s="1"/>
  <c r="BF136" i="13"/>
  <c r="BL136" i="13" s="1"/>
  <c r="AU131" i="13"/>
  <c r="BA131" i="13" s="1"/>
  <c r="O131" i="13" s="1"/>
  <c r="AS130" i="13"/>
  <c r="AY130" i="13" s="1"/>
  <c r="M130" i="13" s="1"/>
  <c r="AP129" i="13"/>
  <c r="J129" i="13" s="1"/>
  <c r="AP125" i="13"/>
  <c r="J125" i="13" s="1"/>
  <c r="AP121" i="13"/>
  <c r="J121" i="13" s="1"/>
  <c r="AT121" i="13"/>
  <c r="AZ121" i="13" s="1"/>
  <c r="AF121" i="13"/>
  <c r="AM121" i="13" s="1"/>
  <c r="F121" i="13" s="1"/>
  <c r="AK121" i="13"/>
  <c r="D121" i="13" s="1"/>
  <c r="AR122" i="13"/>
  <c r="AX122" i="13" s="1"/>
  <c r="AF123" i="13"/>
  <c r="AM123" i="13" s="1"/>
  <c r="F123" i="13" s="1"/>
  <c r="G123" i="13" s="1"/>
  <c r="BD123" i="13"/>
  <c r="BJ123" i="13" s="1"/>
  <c r="BH126" i="13"/>
  <c r="BN126" i="13" s="1"/>
  <c r="AN127" i="13"/>
  <c r="H127" i="13" s="1"/>
  <c r="AT128" i="13"/>
  <c r="AZ128" i="13" s="1"/>
  <c r="N128" i="13" s="1"/>
  <c r="BF128" i="13"/>
  <c r="BL128" i="13" s="1"/>
  <c r="AV130" i="13"/>
  <c r="BB130" i="13" s="1"/>
  <c r="AH130" i="13"/>
  <c r="AO130" i="13" s="1"/>
  <c r="I130" i="13" s="1"/>
  <c r="AR131" i="13"/>
  <c r="AX131" i="13" s="1"/>
  <c r="L131" i="13" s="1"/>
  <c r="BD131" i="13"/>
  <c r="BJ131" i="13" s="1"/>
  <c r="AS132" i="13"/>
  <c r="AY132" i="13" s="1"/>
  <c r="AE132" i="13"/>
  <c r="AL132" i="13" s="1"/>
  <c r="E132" i="13" s="1"/>
  <c r="BH132" i="13"/>
  <c r="BN132" i="13" s="1"/>
  <c r="AT134" i="13"/>
  <c r="AZ134" i="13" s="1"/>
  <c r="AM134" i="13"/>
  <c r="F134" i="13" s="1"/>
  <c r="G134" i="13" s="1"/>
  <c r="AS136" i="13"/>
  <c r="AY136" i="13" s="1"/>
  <c r="AE136" i="13"/>
  <c r="AL136" i="13" s="1"/>
  <c r="E136" i="13" s="1"/>
  <c r="BH136" i="13"/>
  <c r="BN136" i="13" s="1"/>
  <c r="BK146" i="13"/>
  <c r="AU102" i="13"/>
  <c r="BA102" i="13" s="1"/>
  <c r="AG102" i="13"/>
  <c r="AN102" i="13" s="1"/>
  <c r="H102" i="13" s="1"/>
  <c r="BF103" i="13"/>
  <c r="BL103" i="13" s="1"/>
  <c r="AO104" i="13"/>
  <c r="I104" i="13" s="1"/>
  <c r="AR105" i="13"/>
  <c r="AX105" i="13" s="1"/>
  <c r="AD105" i="13"/>
  <c r="AK105" i="13" s="1"/>
  <c r="D105" i="13" s="1"/>
  <c r="AG105" i="13"/>
  <c r="AN105" i="13" s="1"/>
  <c r="H105" i="13" s="1"/>
  <c r="BG105" i="13"/>
  <c r="BM105" i="13" s="1"/>
  <c r="BE106" i="13"/>
  <c r="BK106" i="13" s="1"/>
  <c r="AT107" i="13"/>
  <c r="AZ107" i="13" s="1"/>
  <c r="AM107" i="13"/>
  <c r="F107" i="13" s="1"/>
  <c r="G107" i="13" s="1"/>
  <c r="AE108" i="13"/>
  <c r="AL108" i="13" s="1"/>
  <c r="E108" i="13" s="1"/>
  <c r="BE108" i="13"/>
  <c r="BK108" i="13" s="1"/>
  <c r="BT16" i="13" s="1"/>
  <c r="BD111" i="13"/>
  <c r="BJ111" i="13" s="1"/>
  <c r="B137" i="13"/>
  <c r="AU121" i="13"/>
  <c r="BA121" i="13" s="1"/>
  <c r="AG121" i="13"/>
  <c r="AN121" i="13" s="1"/>
  <c r="H121" i="13" s="1"/>
  <c r="BG121" i="13"/>
  <c r="BM121" i="13" s="1"/>
  <c r="AU122" i="13"/>
  <c r="BA122" i="13" s="1"/>
  <c r="O122" i="13" s="1"/>
  <c r="AO123" i="13"/>
  <c r="I123" i="13" s="1"/>
  <c r="BG123" i="13"/>
  <c r="BM123" i="13" s="1"/>
  <c r="AR124" i="13"/>
  <c r="AX124" i="13" s="1"/>
  <c r="AD124" i="13"/>
  <c r="AK124" i="13" s="1"/>
  <c r="D124" i="13" s="1"/>
  <c r="AG124" i="13"/>
  <c r="AN124" i="13" s="1"/>
  <c r="H124" i="13" s="1"/>
  <c r="BG124" i="13"/>
  <c r="BM124" i="13" s="1"/>
  <c r="BE125" i="13"/>
  <c r="BK125" i="13" s="1"/>
  <c r="AM126" i="13"/>
  <c r="F126" i="13" s="1"/>
  <c r="G126" i="13" s="1"/>
  <c r="BE126" i="13"/>
  <c r="BK126" i="13" s="1"/>
  <c r="AE127" i="13"/>
  <c r="AL127" i="13" s="1"/>
  <c r="E127" i="13" s="1"/>
  <c r="BE127" i="13"/>
  <c r="BK127" i="13" s="1"/>
  <c r="AS127" i="13"/>
  <c r="AY127" i="13" s="1"/>
  <c r="BD130" i="13"/>
  <c r="BJ130" i="13" s="1"/>
  <c r="AP130" i="13"/>
  <c r="J130" i="13" s="1"/>
  <c r="BG131" i="13"/>
  <c r="BM131" i="13" s="1"/>
  <c r="AT132" i="13"/>
  <c r="AZ132" i="13" s="1"/>
  <c r="N132" i="13" s="1"/>
  <c r="BD133" i="13"/>
  <c r="BJ133" i="13" s="1"/>
  <c r="AO135" i="13"/>
  <c r="I135" i="13" s="1"/>
  <c r="P135" i="13" s="1"/>
  <c r="BL146" i="13"/>
  <c r="AV102" i="13"/>
  <c r="BB102" i="13" s="1"/>
  <c r="AH102" i="13"/>
  <c r="AO102" i="13" s="1"/>
  <c r="I102" i="13" s="1"/>
  <c r="AD103" i="13"/>
  <c r="AK103" i="13" s="1"/>
  <c r="D103" i="13" s="1"/>
  <c r="BG103" i="13"/>
  <c r="BM103" i="13" s="1"/>
  <c r="AV104" i="13"/>
  <c r="BB104" i="13" s="1"/>
  <c r="AS105" i="13"/>
  <c r="AY105" i="13" s="1"/>
  <c r="M105" i="13" s="1"/>
  <c r="AE105" i="13"/>
  <c r="AL105" i="13" s="1"/>
  <c r="E105" i="13" s="1"/>
  <c r="BH105" i="13"/>
  <c r="BN105" i="13" s="1"/>
  <c r="BF106" i="13"/>
  <c r="BL106" i="13" s="1"/>
  <c r="AG107" i="13"/>
  <c r="AN107" i="13" s="1"/>
  <c r="H107" i="13" s="1"/>
  <c r="BF108" i="13"/>
  <c r="BL108" i="13" s="1"/>
  <c r="AH109" i="13"/>
  <c r="AO109" i="13" s="1"/>
  <c r="I109" i="13" s="1"/>
  <c r="AT110" i="13"/>
  <c r="AZ110" i="13" s="1"/>
  <c r="AF110" i="13"/>
  <c r="AM110" i="13" s="1"/>
  <c r="F110" i="13" s="1"/>
  <c r="G110" i="13" s="1"/>
  <c r="AK110" i="13"/>
  <c r="D110" i="13" s="1"/>
  <c r="L110" i="13" s="1"/>
  <c r="AF112" i="13"/>
  <c r="AM112" i="13" s="1"/>
  <c r="F112" i="13" s="1"/>
  <c r="G112" i="13" s="1"/>
  <c r="AV113" i="13"/>
  <c r="BB113" i="13" s="1"/>
  <c r="P113" i="13" s="1"/>
  <c r="AV121" i="13"/>
  <c r="BB121" i="13" s="1"/>
  <c r="BH121" i="13"/>
  <c r="BN121" i="13" s="1"/>
  <c r="AD122" i="13"/>
  <c r="AK122" i="13" s="1"/>
  <c r="D122" i="13" s="1"/>
  <c r="BG122" i="13"/>
  <c r="BM122" i="13" s="1"/>
  <c r="AS124" i="13"/>
  <c r="AY124" i="13" s="1"/>
  <c r="M124" i="13" s="1"/>
  <c r="AE124" i="13"/>
  <c r="AL124" i="13" s="1"/>
  <c r="E124" i="13" s="1"/>
  <c r="BH124" i="13"/>
  <c r="BN124" i="13" s="1"/>
  <c r="BE124" i="13"/>
  <c r="BK124" i="13" s="1"/>
  <c r="BF125" i="13"/>
  <c r="BL125" i="13" s="1"/>
  <c r="AS125" i="13"/>
  <c r="AY125" i="13" s="1"/>
  <c r="AG126" i="13"/>
  <c r="AN126" i="13" s="1"/>
  <c r="H126" i="13" s="1"/>
  <c r="BF127" i="13"/>
  <c r="BL127" i="13" s="1"/>
  <c r="AH128" i="13"/>
  <c r="AO128" i="13" s="1"/>
  <c r="I128" i="13" s="1"/>
  <c r="P128" i="13" s="1"/>
  <c r="AT129" i="13"/>
  <c r="AZ129" i="13" s="1"/>
  <c r="AF129" i="13"/>
  <c r="AM129" i="13" s="1"/>
  <c r="F129" i="13" s="1"/>
  <c r="G129" i="13" s="1"/>
  <c r="AK129" i="13"/>
  <c r="D129" i="13" s="1"/>
  <c r="AF131" i="13"/>
  <c r="AM131" i="13" s="1"/>
  <c r="F131" i="13" s="1"/>
  <c r="G131" i="13" s="1"/>
  <c r="AV134" i="13"/>
  <c r="BB134" i="13" s="1"/>
  <c r="BE136" i="13"/>
  <c r="BK136" i="13" s="1"/>
  <c r="AH136" i="13"/>
  <c r="AO136" i="13" s="1"/>
  <c r="I136" i="13" s="1"/>
  <c r="AS103" i="13"/>
  <c r="AY103" i="13" s="1"/>
  <c r="M103" i="13" s="1"/>
  <c r="AU104" i="13"/>
  <c r="BA104" i="13" s="1"/>
  <c r="O104" i="13" s="1"/>
  <c r="AS107" i="13"/>
  <c r="AY107" i="13" s="1"/>
  <c r="AU108" i="13"/>
  <c r="BA108" i="13" s="1"/>
  <c r="O108" i="13" s="1"/>
  <c r="AS111" i="13"/>
  <c r="AY111" i="13" s="1"/>
  <c r="M111" i="13" s="1"/>
  <c r="AU112" i="13"/>
  <c r="BA112" i="13" s="1"/>
  <c r="O112" i="13" s="1"/>
  <c r="AS122" i="13"/>
  <c r="AY122" i="13" s="1"/>
  <c r="M122" i="13" s="1"/>
  <c r="AU123" i="13"/>
  <c r="BA123" i="13" s="1"/>
  <c r="O123" i="13" s="1"/>
  <c r="AS126" i="13"/>
  <c r="AY126" i="13" s="1"/>
  <c r="M126" i="13" s="1"/>
  <c r="AU127" i="13"/>
  <c r="BA127" i="13" s="1"/>
  <c r="O127" i="13" s="1"/>
  <c r="AD132" i="13"/>
  <c r="AK132" i="13" s="1"/>
  <c r="D132" i="13" s="1"/>
  <c r="BG132" i="13"/>
  <c r="BM132" i="13" s="1"/>
  <c r="BE133" i="13"/>
  <c r="BK133" i="13" s="1"/>
  <c r="AK134" i="13"/>
  <c r="D134" i="13" s="1"/>
  <c r="BG134" i="13"/>
  <c r="BM134" i="13" s="1"/>
  <c r="AT136" i="13"/>
  <c r="AZ136" i="13" s="1"/>
  <c r="AR146" i="13"/>
  <c r="AX146" i="13" s="1"/>
  <c r="BG146" i="13"/>
  <c r="BM146" i="13" s="1"/>
  <c r="BF148" i="13"/>
  <c r="BL148" i="13" s="1"/>
  <c r="AT151" i="13"/>
  <c r="AZ151" i="13" s="1"/>
  <c r="N151" i="13" s="1"/>
  <c r="BG153" i="13"/>
  <c r="BM153" i="13" s="1"/>
  <c r="AO155" i="13"/>
  <c r="I155" i="13" s="1"/>
  <c r="AT156" i="13"/>
  <c r="AZ156" i="13" s="1"/>
  <c r="AF156" i="13"/>
  <c r="AM156" i="13" s="1"/>
  <c r="F156" i="13" s="1"/>
  <c r="G156" i="13" s="1"/>
  <c r="AK156" i="13"/>
  <c r="D156" i="13" s="1"/>
  <c r="BG157" i="13"/>
  <c r="BM157" i="13" s="1"/>
  <c r="AK158" i="13"/>
  <c r="D158" i="13" s="1"/>
  <c r="BF133" i="13"/>
  <c r="BL133" i="13" s="1"/>
  <c r="AE134" i="13"/>
  <c r="AL134" i="13" s="1"/>
  <c r="E134" i="13" s="1"/>
  <c r="AS134" i="13"/>
  <c r="AY134" i="13" s="1"/>
  <c r="BH134" i="13"/>
  <c r="BN134" i="13" s="1"/>
  <c r="BE135" i="13"/>
  <c r="BK135" i="13" s="1"/>
  <c r="AH145" i="13"/>
  <c r="AO145" i="13" s="1"/>
  <c r="I145" i="13" s="1"/>
  <c r="BD146" i="13"/>
  <c r="BJ146" i="13" s="1"/>
  <c r="AD147" i="13"/>
  <c r="AK147" i="13" s="1"/>
  <c r="D147" i="13" s="1"/>
  <c r="L147" i="13" s="1"/>
  <c r="BG147" i="13"/>
  <c r="BM147" i="13" s="1"/>
  <c r="BG148" i="13"/>
  <c r="BM148" i="13" s="1"/>
  <c r="BD151" i="13"/>
  <c r="BJ151" i="13" s="1"/>
  <c r="AU152" i="13"/>
  <c r="BA152" i="13" s="1"/>
  <c r="AN152" i="13"/>
  <c r="H152" i="13" s="1"/>
  <c r="AU156" i="13"/>
  <c r="BA156" i="13" s="1"/>
  <c r="AN156" i="13"/>
  <c r="H156" i="13" s="1"/>
  <c r="AN134" i="13"/>
  <c r="H134" i="13" s="1"/>
  <c r="AR135" i="13"/>
  <c r="AX135" i="13" s="1"/>
  <c r="BG135" i="13"/>
  <c r="BM135" i="13" s="1"/>
  <c r="BD136" i="13"/>
  <c r="BJ136" i="13" s="1"/>
  <c r="AR136" i="13"/>
  <c r="AX136" i="13" s="1"/>
  <c r="AP158" i="13"/>
  <c r="J158" i="13" s="1"/>
  <c r="AP154" i="13"/>
  <c r="J154" i="13" s="1"/>
  <c r="AP150" i="13"/>
  <c r="J150" i="13" s="1"/>
  <c r="AP159" i="13"/>
  <c r="J159" i="13" s="1"/>
  <c r="AP155" i="13"/>
  <c r="J155" i="13" s="1"/>
  <c r="AP151" i="13"/>
  <c r="J151" i="13" s="1"/>
  <c r="AU158" i="13"/>
  <c r="BA158" i="13" s="1"/>
  <c r="AS157" i="13"/>
  <c r="AY157" i="13" s="1"/>
  <c r="AP156" i="13"/>
  <c r="J156" i="13" s="1"/>
  <c r="AU154" i="13"/>
  <c r="BA154" i="13" s="1"/>
  <c r="AS153" i="13"/>
  <c r="AY153" i="13" s="1"/>
  <c r="AP152" i="13"/>
  <c r="J152" i="13" s="1"/>
  <c r="AU150" i="13"/>
  <c r="BA150" i="13" s="1"/>
  <c r="AT158" i="13"/>
  <c r="AZ158" i="13" s="1"/>
  <c r="AR157" i="13"/>
  <c r="AX157" i="13" s="1"/>
  <c r="L157" i="13" s="1"/>
  <c r="AV155" i="13"/>
  <c r="BB155" i="13" s="1"/>
  <c r="AT154" i="13"/>
  <c r="AZ154" i="13" s="1"/>
  <c r="N154" i="13" s="1"/>
  <c r="AR153" i="13"/>
  <c r="AX153" i="13" s="1"/>
  <c r="L153" i="13" s="1"/>
  <c r="AV151" i="13"/>
  <c r="BB151" i="13" s="1"/>
  <c r="AT150" i="13"/>
  <c r="AZ150" i="13" s="1"/>
  <c r="N150" i="13" s="1"/>
  <c r="AR149" i="13"/>
  <c r="AX149" i="13" s="1"/>
  <c r="AT157" i="13"/>
  <c r="AZ157" i="13" s="1"/>
  <c r="BG158" i="13"/>
  <c r="BM158" i="13" s="1"/>
  <c r="AP157" i="13"/>
  <c r="J157" i="13" s="1"/>
  <c r="BD153" i="13"/>
  <c r="BJ153" i="13" s="1"/>
  <c r="BF150" i="13"/>
  <c r="BL150" i="13" s="1"/>
  <c r="AS149" i="13"/>
  <c r="AY149" i="13" s="1"/>
  <c r="M149" i="13" s="1"/>
  <c r="AP148" i="13"/>
  <c r="J148" i="13" s="1"/>
  <c r="AP147" i="13"/>
  <c r="J147" i="13" s="1"/>
  <c r="BH155" i="13"/>
  <c r="BN155" i="13" s="1"/>
  <c r="AR154" i="13"/>
  <c r="AX154" i="13" s="1"/>
  <c r="AP149" i="13"/>
  <c r="J149" i="13" s="1"/>
  <c r="AP146" i="13"/>
  <c r="J146" i="13" s="1"/>
  <c r="AT159" i="13"/>
  <c r="AZ159" i="13" s="1"/>
  <c r="AV158" i="13"/>
  <c r="BB158" i="13" s="1"/>
  <c r="BH157" i="13"/>
  <c r="BN157" i="13" s="1"/>
  <c r="AR156" i="13"/>
  <c r="AX156" i="13" s="1"/>
  <c r="BD155" i="13"/>
  <c r="BJ155" i="13" s="1"/>
  <c r="AT153" i="13"/>
  <c r="AZ153" i="13" s="1"/>
  <c r="BF152" i="13"/>
  <c r="BL152" i="13" s="1"/>
  <c r="AO151" i="13"/>
  <c r="I151" i="13" s="1"/>
  <c r="AV150" i="13"/>
  <c r="BB150" i="13" s="1"/>
  <c r="P150" i="13" s="1"/>
  <c r="BH149" i="13"/>
  <c r="BN149" i="13" s="1"/>
  <c r="BH146" i="13"/>
  <c r="BN146" i="13" s="1"/>
  <c r="AU145" i="13"/>
  <c r="BA145" i="13" s="1"/>
  <c r="O145" i="13" s="1"/>
  <c r="AS144" i="13"/>
  <c r="AY144" i="13" s="1"/>
  <c r="AS158" i="13"/>
  <c r="AY158" i="13" s="1"/>
  <c r="BD157" i="13"/>
  <c r="BJ157" i="13" s="1"/>
  <c r="BF154" i="13"/>
  <c r="BL154" i="13" s="1"/>
  <c r="AP153" i="13"/>
  <c r="J153" i="13" s="1"/>
  <c r="AS150" i="13"/>
  <c r="AY150" i="13" s="1"/>
  <c r="AV146" i="13"/>
  <c r="BB146" i="13" s="1"/>
  <c r="P146" i="13" s="1"/>
  <c r="AT145" i="13"/>
  <c r="AZ145" i="13" s="1"/>
  <c r="N145" i="13" s="1"/>
  <c r="AR144" i="13"/>
  <c r="AX144" i="13" s="1"/>
  <c r="AR158" i="13"/>
  <c r="AX158" i="13" s="1"/>
  <c r="AU155" i="13"/>
  <c r="BA155" i="13" s="1"/>
  <c r="BH151" i="13"/>
  <c r="BN151" i="13" s="1"/>
  <c r="AR150" i="13"/>
  <c r="AX150" i="13" s="1"/>
  <c r="BF147" i="13"/>
  <c r="BL147" i="13" s="1"/>
  <c r="AU147" i="13"/>
  <c r="BA147" i="13" s="1"/>
  <c r="O147" i="13" s="1"/>
  <c r="AP144" i="13"/>
  <c r="J144" i="13" s="1"/>
  <c r="AF144" i="13"/>
  <c r="AM144" i="13" s="1"/>
  <c r="F144" i="13" s="1"/>
  <c r="N144" i="13" s="1"/>
  <c r="BD144" i="13"/>
  <c r="BJ144" i="13" s="1"/>
  <c r="BE145" i="13"/>
  <c r="BK145" i="13" s="1"/>
  <c r="AR145" i="13"/>
  <c r="AX145" i="13" s="1"/>
  <c r="L145" i="13" s="1"/>
  <c r="AG146" i="13"/>
  <c r="AN146" i="13" s="1"/>
  <c r="H146" i="13" s="1"/>
  <c r="AU146" i="13"/>
  <c r="BA146" i="13" s="1"/>
  <c r="AM147" i="13"/>
  <c r="F147" i="13" s="1"/>
  <c r="G147" i="13" s="1"/>
  <c r="AL148" i="13"/>
  <c r="E148" i="13" s="1"/>
  <c r="AU149" i="13"/>
  <c r="BA149" i="13" s="1"/>
  <c r="AG149" i="13"/>
  <c r="AN149" i="13" s="1"/>
  <c r="H149" i="13" s="1"/>
  <c r="AK150" i="13"/>
  <c r="D150" i="13" s="1"/>
  <c r="BG150" i="13"/>
  <c r="BM150" i="13" s="1"/>
  <c r="AV152" i="13"/>
  <c r="BB152" i="13" s="1"/>
  <c r="AU153" i="13"/>
  <c r="BA153" i="13" s="1"/>
  <c r="AG153" i="13"/>
  <c r="AN153" i="13" s="1"/>
  <c r="H153" i="13" s="1"/>
  <c r="AM153" i="13"/>
  <c r="F153" i="13" s="1"/>
  <c r="G153" i="13" s="1"/>
  <c r="AK154" i="13"/>
  <c r="D154" i="13" s="1"/>
  <c r="BG154" i="13"/>
  <c r="BM154" i="13" s="1"/>
  <c r="BF156" i="13"/>
  <c r="BL156" i="13" s="1"/>
  <c r="AN159" i="13"/>
  <c r="H159" i="13" s="1"/>
  <c r="AS168" i="13"/>
  <c r="AY168" i="13" s="1"/>
  <c r="AE168" i="13"/>
  <c r="AL168" i="13" s="1"/>
  <c r="E168" i="13" s="1"/>
  <c r="AS133" i="13"/>
  <c r="AY133" i="13" s="1"/>
  <c r="M133" i="13" s="1"/>
  <c r="AH134" i="13"/>
  <c r="AO134" i="13" s="1"/>
  <c r="I134" i="13" s="1"/>
  <c r="AU144" i="13"/>
  <c r="BA144" i="13" s="1"/>
  <c r="AG144" i="13"/>
  <c r="AN144" i="13" s="1"/>
  <c r="H144" i="13" s="1"/>
  <c r="AL144" i="13"/>
  <c r="E144" i="13" s="1"/>
  <c r="BG144" i="13"/>
  <c r="BM144" i="13" s="1"/>
  <c r="AV145" i="13"/>
  <c r="BB145" i="13" s="1"/>
  <c r="P145" i="13" s="1"/>
  <c r="AU148" i="13"/>
  <c r="BA148" i="13" s="1"/>
  <c r="AG148" i="13"/>
  <c r="AN148" i="13" s="1"/>
  <c r="H148" i="13" s="1"/>
  <c r="AM148" i="13"/>
  <c r="F148" i="13" s="1"/>
  <c r="G148" i="13" s="1"/>
  <c r="BE152" i="13"/>
  <c r="BK152" i="13" s="1"/>
  <c r="BG152" i="13"/>
  <c r="BM152" i="13" s="1"/>
  <c r="AV153" i="13"/>
  <c r="BB153" i="13" s="1"/>
  <c r="AH153" i="13"/>
  <c r="AO153" i="13" s="1"/>
  <c r="I153" i="13" s="1"/>
  <c r="BG156" i="13"/>
  <c r="BM156" i="13" s="1"/>
  <c r="AV157" i="13"/>
  <c r="BB157" i="13" s="1"/>
  <c r="AH157" i="13"/>
  <c r="AO157" i="13" s="1"/>
  <c r="I157" i="13" s="1"/>
  <c r="AM158" i="13"/>
  <c r="F158" i="13" s="1"/>
  <c r="G158" i="13" s="1"/>
  <c r="AU133" i="13"/>
  <c r="BA133" i="13" s="1"/>
  <c r="AG133" i="13"/>
  <c r="AN133" i="13" s="1"/>
  <c r="H133" i="13" s="1"/>
  <c r="BD134" i="13"/>
  <c r="BJ134" i="13" s="1"/>
  <c r="AF135" i="13"/>
  <c r="AM135" i="13" s="1"/>
  <c r="F135" i="13" s="1"/>
  <c r="G135" i="13" s="1"/>
  <c r="AE135" i="13"/>
  <c r="AL135" i="13" s="1"/>
  <c r="E135" i="13" s="1"/>
  <c r="AV144" i="13"/>
  <c r="BB144" i="13" s="1"/>
  <c r="BH144" i="13"/>
  <c r="BN144" i="13" s="1"/>
  <c r="AD145" i="13"/>
  <c r="AK145" i="13" s="1"/>
  <c r="D145" i="13" s="1"/>
  <c r="BG145" i="13"/>
  <c r="BM145" i="13" s="1"/>
  <c r="AH147" i="13"/>
  <c r="AO147" i="13" s="1"/>
  <c r="I147" i="13" s="1"/>
  <c r="AV147" i="13"/>
  <c r="BB147" i="13" s="1"/>
  <c r="AH148" i="13"/>
  <c r="AO148" i="13" s="1"/>
  <c r="I148" i="13" s="1"/>
  <c r="AV148" i="13"/>
  <c r="BB148" i="13" s="1"/>
  <c r="BD149" i="13"/>
  <c r="BJ149" i="13" s="1"/>
  <c r="AT149" i="13"/>
  <c r="AZ149" i="13" s="1"/>
  <c r="N149" i="13" s="1"/>
  <c r="AU159" i="13"/>
  <c r="BA159" i="13" s="1"/>
  <c r="AU169" i="13"/>
  <c r="BA169" i="13" s="1"/>
  <c r="AG169" i="13"/>
  <c r="AN169" i="13" s="1"/>
  <c r="H169" i="13" s="1"/>
  <c r="AV133" i="13"/>
  <c r="BB133" i="13" s="1"/>
  <c r="P133" i="13" s="1"/>
  <c r="BE134" i="13"/>
  <c r="BK134" i="13" s="1"/>
  <c r="AG135" i="13"/>
  <c r="AN135" i="13" s="1"/>
  <c r="H135" i="13" s="1"/>
  <c r="AU135" i="13"/>
  <c r="BA135" i="13" s="1"/>
  <c r="AK136" i="13"/>
  <c r="D136" i="13" s="1"/>
  <c r="BG136" i="13"/>
  <c r="BM136" i="13" s="1"/>
  <c r="AE145" i="13"/>
  <c r="AL145" i="13" s="1"/>
  <c r="E145" i="13" s="1"/>
  <c r="AS145" i="13"/>
  <c r="AY145" i="13" s="1"/>
  <c r="M151" i="13"/>
  <c r="BD148" i="13"/>
  <c r="BJ148" i="13" s="1"/>
  <c r="AV149" i="13"/>
  <c r="BB149" i="13" s="1"/>
  <c r="P149" i="13" s="1"/>
  <c r="BD150" i="13"/>
  <c r="BJ150" i="13" s="1"/>
  <c r="AN151" i="13"/>
  <c r="H151" i="13" s="1"/>
  <c r="AL154" i="13"/>
  <c r="E154" i="13" s="1"/>
  <c r="BH154" i="13"/>
  <c r="BN154" i="13" s="1"/>
  <c r="BF155" i="13"/>
  <c r="BL155" i="13" s="1"/>
  <c r="AO156" i="13"/>
  <c r="I156" i="13" s="1"/>
  <c r="P156" i="13" s="1"/>
  <c r="BD158" i="13"/>
  <c r="BJ158" i="13" s="1"/>
  <c r="AO159" i="13"/>
  <c r="I159" i="13" s="1"/>
  <c r="F168" i="13"/>
  <c r="G168" i="13" s="1"/>
  <c r="O172" i="13"/>
  <c r="BE148" i="13"/>
  <c r="BK148" i="13" s="1"/>
  <c r="AH149" i="13"/>
  <c r="AO149" i="13" s="1"/>
  <c r="I149" i="13" s="1"/>
  <c r="BE150" i="13"/>
  <c r="BK150" i="13" s="1"/>
  <c r="AS152" i="13"/>
  <c r="AY152" i="13" s="1"/>
  <c r="AE152" i="13"/>
  <c r="AL152" i="13" s="1"/>
  <c r="E152" i="13" s="1"/>
  <c r="BH152" i="13"/>
  <c r="BN152" i="13" s="1"/>
  <c r="BE153" i="13"/>
  <c r="BK153" i="13" s="1"/>
  <c r="AN154" i="13"/>
  <c r="H154" i="13" s="1"/>
  <c r="AR155" i="13"/>
  <c r="AX155" i="13" s="1"/>
  <c r="AD155" i="13"/>
  <c r="AK155" i="13" s="1"/>
  <c r="D155" i="13" s="1"/>
  <c r="BG155" i="13"/>
  <c r="BM155" i="13" s="1"/>
  <c r="BD156" i="13"/>
  <c r="BJ156" i="13" s="1"/>
  <c r="AL157" i="13"/>
  <c r="E157" i="13" s="1"/>
  <c r="BE158" i="13"/>
  <c r="BK158" i="13" s="1"/>
  <c r="AV159" i="13"/>
  <c r="BB159" i="13" s="1"/>
  <c r="AG168" i="13"/>
  <c r="AN168" i="13" s="1"/>
  <c r="H168" i="13" s="1"/>
  <c r="AD135" i="13"/>
  <c r="AK135" i="13" s="1"/>
  <c r="D135" i="13" s="1"/>
  <c r="AF136" i="13"/>
  <c r="AM136" i="13" s="1"/>
  <c r="F136" i="13" s="1"/>
  <c r="G136" i="13" s="1"/>
  <c r="AH144" i="13"/>
  <c r="AO144" i="13" s="1"/>
  <c r="I144" i="13" s="1"/>
  <c r="AD146" i="13"/>
  <c r="AK146" i="13" s="1"/>
  <c r="D146" i="13" s="1"/>
  <c r="BE149" i="13"/>
  <c r="BK149" i="13" s="1"/>
  <c r="AT152" i="13"/>
  <c r="AZ152" i="13" s="1"/>
  <c r="N152" i="13" s="1"/>
  <c r="AF152" i="13"/>
  <c r="AM152" i="13" s="1"/>
  <c r="F152" i="13" s="1"/>
  <c r="G152" i="13" s="1"/>
  <c r="AK152" i="13"/>
  <c r="D152" i="13" s="1"/>
  <c r="L152" i="13" s="1"/>
  <c r="BF153" i="13"/>
  <c r="BL153" i="13" s="1"/>
  <c r="AH154" i="13"/>
  <c r="AO154" i="13" s="1"/>
  <c r="I154" i="13" s="1"/>
  <c r="P154" i="13" s="1"/>
  <c r="AS155" i="13"/>
  <c r="AY155" i="13" s="1"/>
  <c r="M155" i="13" s="1"/>
  <c r="BE156" i="13"/>
  <c r="BK156" i="13" s="1"/>
  <c r="AU157" i="13"/>
  <c r="BA157" i="13" s="1"/>
  <c r="AG157" i="13"/>
  <c r="AN157" i="13" s="1"/>
  <c r="H157" i="13" s="1"/>
  <c r="AF157" i="13"/>
  <c r="AM157" i="13" s="1"/>
  <c r="F157" i="13" s="1"/>
  <c r="G157" i="13" s="1"/>
  <c r="BD159" i="13"/>
  <c r="BJ159" i="13" s="1"/>
  <c r="AH168" i="13"/>
  <c r="AO168" i="13" s="1"/>
  <c r="I168" i="13" s="1"/>
  <c r="AV168" i="13"/>
  <c r="BB168" i="13" s="1"/>
  <c r="J168" i="13"/>
  <c r="AH167" i="13"/>
  <c r="AO167" i="13" s="1"/>
  <c r="I167" i="13" s="1"/>
  <c r="BH167" i="13"/>
  <c r="BN167" i="13" s="1"/>
  <c r="AX168" i="13"/>
  <c r="L168" i="13" s="1"/>
  <c r="AG180" i="13"/>
  <c r="AN180" i="13" s="1"/>
  <c r="H180" i="13" s="1"/>
  <c r="AU180" i="13"/>
  <c r="BA180" i="13" s="1"/>
  <c r="BA190" i="13"/>
  <c r="AS148" i="13"/>
  <c r="AY148" i="13" s="1"/>
  <c r="AD149" i="13"/>
  <c r="AK149" i="13" s="1"/>
  <c r="D149" i="13" s="1"/>
  <c r="BG149" i="13"/>
  <c r="BM149" i="13" s="1"/>
  <c r="AE150" i="13"/>
  <c r="AL150" i="13" s="1"/>
  <c r="E150" i="13" s="1"/>
  <c r="BH150" i="13"/>
  <c r="BN150" i="13" s="1"/>
  <c r="BF151" i="13"/>
  <c r="BL151" i="13" s="1"/>
  <c r="AU151" i="13"/>
  <c r="BA151" i="13" s="1"/>
  <c r="O151" i="13" s="1"/>
  <c r="AH152" i="13"/>
  <c r="AO152" i="13" s="1"/>
  <c r="I152" i="13" s="1"/>
  <c r="BD154" i="13"/>
  <c r="BJ154" i="13" s="1"/>
  <c r="AG155" i="13"/>
  <c r="AN155" i="13" s="1"/>
  <c r="H155" i="13" s="1"/>
  <c r="AE158" i="13"/>
  <c r="AL158" i="13" s="1"/>
  <c r="E158" i="13" s="1"/>
  <c r="BH158" i="13"/>
  <c r="BN158" i="13" s="1"/>
  <c r="BF159" i="13"/>
  <c r="BL159" i="13" s="1"/>
  <c r="AF159" i="13"/>
  <c r="AM159" i="13" s="1"/>
  <c r="F159" i="13" s="1"/>
  <c r="G159" i="13" s="1"/>
  <c r="AT173" i="13"/>
  <c r="AZ173" i="13" s="1"/>
  <c r="AF173" i="13"/>
  <c r="AM173" i="13" s="1"/>
  <c r="F173" i="13" s="1"/>
  <c r="G173" i="13" s="1"/>
  <c r="AD148" i="13"/>
  <c r="AK148" i="13" s="1"/>
  <c r="D148" i="13" s="1"/>
  <c r="L148" i="13" s="1"/>
  <c r="AN150" i="13"/>
  <c r="H150" i="13" s="1"/>
  <c r="AR151" i="13"/>
  <c r="AX151" i="13" s="1"/>
  <c r="AD151" i="13"/>
  <c r="AK151" i="13" s="1"/>
  <c r="D151" i="13" s="1"/>
  <c r="BG151" i="13"/>
  <c r="BM151" i="13" s="1"/>
  <c r="BD152" i="13"/>
  <c r="BJ152" i="13" s="1"/>
  <c r="AL153" i="13"/>
  <c r="E153" i="13" s="1"/>
  <c r="BE154" i="13"/>
  <c r="BK154" i="13" s="1"/>
  <c r="AS154" i="13"/>
  <c r="AY154" i="13" s="1"/>
  <c r="AS156" i="13"/>
  <c r="AY156" i="13" s="1"/>
  <c r="AE156" i="13"/>
  <c r="AL156" i="13" s="1"/>
  <c r="E156" i="13" s="1"/>
  <c r="BH156" i="13"/>
  <c r="BN156" i="13" s="1"/>
  <c r="BE157" i="13"/>
  <c r="BK157" i="13" s="1"/>
  <c r="AN158" i="13"/>
  <c r="H158" i="13" s="1"/>
  <c r="BL168" i="13"/>
  <c r="AU182" i="13"/>
  <c r="BA182" i="13" s="1"/>
  <c r="AG182" i="13"/>
  <c r="AN182" i="13" s="1"/>
  <c r="H182" i="13" s="1"/>
  <c r="AO158" i="13"/>
  <c r="I158" i="13" s="1"/>
  <c r="BM168" i="13"/>
  <c r="AT169" i="13"/>
  <c r="AZ169" i="13" s="1"/>
  <c r="AF169" i="13"/>
  <c r="AM169" i="13" s="1"/>
  <c r="F169" i="13" s="1"/>
  <c r="G169" i="13" s="1"/>
  <c r="BF158" i="13"/>
  <c r="BL158" i="13" s="1"/>
  <c r="AP180" i="13"/>
  <c r="J180" i="13" s="1"/>
  <c r="AP176" i="13"/>
  <c r="J176" i="13" s="1"/>
  <c r="AS182" i="13"/>
  <c r="AY182" i="13" s="1"/>
  <c r="M182" i="13" s="1"/>
  <c r="AP181" i="13"/>
  <c r="J181" i="13" s="1"/>
  <c r="AU179" i="13"/>
  <c r="BA179" i="13" s="1"/>
  <c r="O179" i="13" s="1"/>
  <c r="AS178" i="13"/>
  <c r="AY178" i="13" s="1"/>
  <c r="AP177" i="13"/>
  <c r="J177" i="13" s="1"/>
  <c r="AR182" i="13"/>
  <c r="AX182" i="13" s="1"/>
  <c r="AV180" i="13"/>
  <c r="BB180" i="13" s="1"/>
  <c r="AT179" i="13"/>
  <c r="AZ179" i="13" s="1"/>
  <c r="BE177" i="13"/>
  <c r="BK177" i="13" s="1"/>
  <c r="BU16" i="13" s="1"/>
  <c r="BG176" i="13"/>
  <c r="BM176" i="13" s="1"/>
  <c r="AS176" i="13"/>
  <c r="AY176" i="13" s="1"/>
  <c r="AV181" i="13"/>
  <c r="BB181" i="13" s="1"/>
  <c r="AP171" i="13"/>
  <c r="J171" i="13" s="1"/>
  <c r="AP167" i="13"/>
  <c r="J167" i="13" s="1"/>
  <c r="AP182" i="13"/>
  <c r="J182" i="13" s="1"/>
  <c r="AU181" i="13"/>
  <c r="BA181" i="13" s="1"/>
  <c r="AT180" i="13"/>
  <c r="AZ180" i="13" s="1"/>
  <c r="AS179" i="13"/>
  <c r="AY179" i="13" s="1"/>
  <c r="BD176" i="13"/>
  <c r="BJ176" i="13" s="1"/>
  <c r="BH182" i="13"/>
  <c r="BN182" i="13" s="1"/>
  <c r="AR181" i="13"/>
  <c r="AX181" i="13" s="1"/>
  <c r="AS180" i="13"/>
  <c r="AY180" i="13" s="1"/>
  <c r="AR179" i="13"/>
  <c r="AX179" i="13" s="1"/>
  <c r="AT178" i="13"/>
  <c r="AZ178" i="13" s="1"/>
  <c r="N178" i="13" s="1"/>
  <c r="AV177" i="13"/>
  <c r="BB177" i="13" s="1"/>
  <c r="AV175" i="13"/>
  <c r="BB175" i="13" s="1"/>
  <c r="BH174" i="13"/>
  <c r="BN174" i="13" s="1"/>
  <c r="AS174" i="13"/>
  <c r="AY174" i="13" s="1"/>
  <c r="AS173" i="13"/>
  <c r="AY173" i="13" s="1"/>
  <c r="AP172" i="13"/>
  <c r="J172" i="13" s="1"/>
  <c r="BG171" i="13"/>
  <c r="BM171" i="13" s="1"/>
  <c r="BG182" i="13"/>
  <c r="BM182" i="13" s="1"/>
  <c r="BG181" i="13"/>
  <c r="BM181" i="13" s="1"/>
  <c r="BH180" i="13"/>
  <c r="BN180" i="13" s="1"/>
  <c r="AP179" i="13"/>
  <c r="J179" i="13" s="1"/>
  <c r="AP178" i="13"/>
  <c r="J178" i="13" s="1"/>
  <c r="AU177" i="13"/>
  <c r="BA177" i="13" s="1"/>
  <c r="O177" i="13" s="1"/>
  <c r="AU175" i="13"/>
  <c r="BA175" i="13" s="1"/>
  <c r="BG174" i="13"/>
  <c r="BM174" i="13" s="1"/>
  <c r="AP174" i="13"/>
  <c r="J174" i="13" s="1"/>
  <c r="AR173" i="13"/>
  <c r="AX173" i="13" s="1"/>
  <c r="L173" i="13" s="1"/>
  <c r="AV171" i="13"/>
  <c r="BB171" i="13" s="1"/>
  <c r="P171" i="13" s="1"/>
  <c r="AT170" i="13"/>
  <c r="AZ170" i="13" s="1"/>
  <c r="N170" i="13" s="1"/>
  <c r="AR169" i="13"/>
  <c r="AX169" i="13" s="1"/>
  <c r="L169" i="13" s="1"/>
  <c r="BD182" i="13"/>
  <c r="BJ182" i="13" s="1"/>
  <c r="AK182" i="13"/>
  <c r="D182" i="13" s="1"/>
  <c r="BF181" i="13"/>
  <c r="BL181" i="13" s="1"/>
  <c r="BF179" i="13"/>
  <c r="BL179" i="13" s="1"/>
  <c r="AM179" i="13"/>
  <c r="F179" i="13" s="1"/>
  <c r="G179" i="13" s="1"/>
  <c r="BH178" i="13"/>
  <c r="BN178" i="13" s="1"/>
  <c r="BD174" i="13"/>
  <c r="BJ174" i="13" s="1"/>
  <c r="AO174" i="13"/>
  <c r="I174" i="13" s="1"/>
  <c r="AP173" i="13"/>
  <c r="J173" i="13" s="1"/>
  <c r="AP169" i="13"/>
  <c r="J169" i="13" s="1"/>
  <c r="BE181" i="13"/>
  <c r="BK181" i="13" s="1"/>
  <c r="BU20" i="13" s="1"/>
  <c r="BD180" i="13"/>
  <c r="BJ180" i="13" s="1"/>
  <c r="BG178" i="13"/>
  <c r="BM178" i="13" s="1"/>
  <c r="BG177" i="13"/>
  <c r="BM177" i="13" s="1"/>
  <c r="BF175" i="13"/>
  <c r="BL175" i="13" s="1"/>
  <c r="BH173" i="13"/>
  <c r="BN173" i="13" s="1"/>
  <c r="BF172" i="13"/>
  <c r="BL172" i="13" s="1"/>
  <c r="BD171" i="13"/>
  <c r="BJ171" i="13" s="1"/>
  <c r="BH169" i="13"/>
  <c r="BN169" i="13" s="1"/>
  <c r="BN8" i="13" s="1"/>
  <c r="BD167" i="13"/>
  <c r="BJ167" i="13" s="1"/>
  <c r="AT168" i="13"/>
  <c r="AZ168" i="13" s="1"/>
  <c r="AU168" i="13"/>
  <c r="BA168" i="13" s="1"/>
  <c r="O168" i="13" s="1"/>
  <c r="AV169" i="13"/>
  <c r="BB169" i="13" s="1"/>
  <c r="P169" i="13" s="1"/>
  <c r="BE171" i="13"/>
  <c r="BK171" i="13" s="1"/>
  <c r="BU10" i="13" s="1"/>
  <c r="BD172" i="13"/>
  <c r="BJ172" i="13" s="1"/>
  <c r="BE172" i="13"/>
  <c r="BK172" i="13" s="1"/>
  <c r="BU11" i="13" s="1"/>
  <c r="AV173" i="13"/>
  <c r="BB173" i="13" s="1"/>
  <c r="P173" i="13" s="1"/>
  <c r="AM175" i="13"/>
  <c r="F175" i="13" s="1"/>
  <c r="G175" i="13" s="1"/>
  <c r="AM176" i="13"/>
  <c r="F176" i="13" s="1"/>
  <c r="G176" i="13" s="1"/>
  <c r="AK176" i="13"/>
  <c r="D176" i="13" s="1"/>
  <c r="AK178" i="13"/>
  <c r="D178" i="13" s="1"/>
  <c r="AV179" i="13"/>
  <c r="BB179" i="13" s="1"/>
  <c r="B183" i="13"/>
  <c r="AR167" i="13"/>
  <c r="AX167" i="13" s="1"/>
  <c r="BD169" i="13"/>
  <c r="BJ169" i="13" s="1"/>
  <c r="AV170" i="13"/>
  <c r="BB170" i="13" s="1"/>
  <c r="AH170" i="13"/>
  <c r="AO170" i="13" s="1"/>
  <c r="I170" i="13" s="1"/>
  <c r="AP170" i="13"/>
  <c r="J170" i="13" s="1"/>
  <c r="BF171" i="13"/>
  <c r="BL171" i="13" s="1"/>
  <c r="BD173" i="13"/>
  <c r="BJ173" i="13" s="1"/>
  <c r="BJ12" i="13" s="1"/>
  <c r="AN176" i="13"/>
  <c r="H176" i="13" s="1"/>
  <c r="AO176" i="13"/>
  <c r="I176" i="13" s="1"/>
  <c r="BF177" i="13"/>
  <c r="BL177" i="13" s="1"/>
  <c r="BD178" i="13"/>
  <c r="BJ178" i="13" s="1"/>
  <c r="AL180" i="13"/>
  <c r="E180" i="13" s="1"/>
  <c r="AK181" i="13"/>
  <c r="D181" i="13" s="1"/>
  <c r="AT182" i="13"/>
  <c r="AZ182" i="13" s="1"/>
  <c r="N182" i="13" s="1"/>
  <c r="E190" i="13"/>
  <c r="AD159" i="13"/>
  <c r="AK159" i="13" s="1"/>
  <c r="D159" i="13" s="1"/>
  <c r="BG159" i="13"/>
  <c r="BM159" i="13" s="1"/>
  <c r="AF167" i="13"/>
  <c r="AM167" i="13" s="1"/>
  <c r="F167" i="13" s="1"/>
  <c r="AT167" i="13"/>
  <c r="AZ167" i="13" s="1"/>
  <c r="BD168" i="13"/>
  <c r="BJ168" i="13" s="1"/>
  <c r="BF169" i="13"/>
  <c r="BL169" i="13" s="1"/>
  <c r="BL8" i="13" s="1"/>
  <c r="AS169" i="13"/>
  <c r="AY169" i="13" s="1"/>
  <c r="M169" i="13" s="1"/>
  <c r="AE171" i="13"/>
  <c r="AL171" i="13" s="1"/>
  <c r="E171" i="13" s="1"/>
  <c r="BH171" i="13"/>
  <c r="BN171" i="13" s="1"/>
  <c r="AR172" i="13"/>
  <c r="AX172" i="13" s="1"/>
  <c r="AD172" i="13"/>
  <c r="AK172" i="13" s="1"/>
  <c r="D172" i="13" s="1"/>
  <c r="BG172" i="13"/>
  <c r="BM172" i="13" s="1"/>
  <c r="BF173" i="13"/>
  <c r="BL173" i="13" s="1"/>
  <c r="BE175" i="13"/>
  <c r="BK175" i="13" s="1"/>
  <c r="BU14" i="13" s="1"/>
  <c r="BH176" i="13"/>
  <c r="BN176" i="13" s="1"/>
  <c r="BD177" i="13"/>
  <c r="BJ177" i="13" s="1"/>
  <c r="AN181" i="13"/>
  <c r="H181" i="13" s="1"/>
  <c r="AE159" i="13"/>
  <c r="AL159" i="13" s="1"/>
  <c r="E159" i="13" s="1"/>
  <c r="BH159" i="13"/>
  <c r="BN159" i="13" s="1"/>
  <c r="AR159" i="13"/>
  <c r="AX159" i="13" s="1"/>
  <c r="AG167" i="13"/>
  <c r="AN167" i="13" s="1"/>
  <c r="H167" i="13" s="1"/>
  <c r="AU167" i="13"/>
  <c r="BA167" i="13" s="1"/>
  <c r="AV167" i="13"/>
  <c r="BB167" i="13" s="1"/>
  <c r="BF170" i="13"/>
  <c r="BL170" i="13" s="1"/>
  <c r="BE170" i="13"/>
  <c r="BK170" i="13" s="1"/>
  <c r="BU9" i="13" s="1"/>
  <c r="AM171" i="13"/>
  <c r="F171" i="13" s="1"/>
  <c r="G171" i="13" s="1"/>
  <c r="AK171" i="13"/>
  <c r="D171" i="13" s="1"/>
  <c r="L171" i="13" s="1"/>
  <c r="AS172" i="13"/>
  <c r="AY172" i="13" s="1"/>
  <c r="BH172" i="13"/>
  <c r="BN172" i="13" s="1"/>
  <c r="BE174" i="13"/>
  <c r="BK174" i="13" s="1"/>
  <c r="BU13" i="13" s="1"/>
  <c r="AE174" i="13"/>
  <c r="AL174" i="13" s="1"/>
  <c r="E174" i="13" s="1"/>
  <c r="BE176" i="13"/>
  <c r="BK176" i="13" s="1"/>
  <c r="BU15" i="13" s="1"/>
  <c r="BJ190" i="13"/>
  <c r="AS159" i="13"/>
  <c r="AY159" i="13" s="1"/>
  <c r="M159" i="13" s="1"/>
  <c r="BE168" i="13"/>
  <c r="BK168" i="13" s="1"/>
  <c r="BU7" i="13" s="1"/>
  <c r="AD170" i="13"/>
  <c r="AK170" i="13" s="1"/>
  <c r="D170" i="13" s="1"/>
  <c r="AR170" i="13"/>
  <c r="AX170" i="13" s="1"/>
  <c r="BG170" i="13"/>
  <c r="BM170" i="13" s="1"/>
  <c r="AG170" i="13"/>
  <c r="AN170" i="13" s="1"/>
  <c r="H170" i="13" s="1"/>
  <c r="O170" i="13" s="1"/>
  <c r="AN171" i="13"/>
  <c r="H171" i="13" s="1"/>
  <c r="AO171" i="13"/>
  <c r="I171" i="13" s="1"/>
  <c r="AT172" i="13"/>
  <c r="AZ172" i="13" s="1"/>
  <c r="AO180" i="13"/>
  <c r="I180" i="13" s="1"/>
  <c r="AT171" i="13"/>
  <c r="AZ171" i="13" s="1"/>
  <c r="AV172" i="13"/>
  <c r="BB172" i="13" s="1"/>
  <c r="P172" i="13" s="1"/>
  <c r="AE173" i="13"/>
  <c r="AL173" i="13" s="1"/>
  <c r="E173" i="13" s="1"/>
  <c r="BF174" i="13"/>
  <c r="BL174" i="13" s="1"/>
  <c r="AK175" i="13"/>
  <c r="D175" i="13" s="1"/>
  <c r="BG175" i="13"/>
  <c r="BM175" i="13" s="1"/>
  <c r="AR175" i="13"/>
  <c r="AX175" i="13" s="1"/>
  <c r="AE176" i="13"/>
  <c r="AL176" i="13" s="1"/>
  <c r="E176" i="13" s="1"/>
  <c r="AU176" i="13"/>
  <c r="BA176" i="13" s="1"/>
  <c r="O176" i="13" s="1"/>
  <c r="BE178" i="13"/>
  <c r="BK178" i="13" s="1"/>
  <c r="BU17" i="13" s="1"/>
  <c r="AH179" i="13"/>
  <c r="AO179" i="13" s="1"/>
  <c r="I179" i="13" s="1"/>
  <c r="AO181" i="13"/>
  <c r="I181" i="13" s="1"/>
  <c r="AV182" i="13"/>
  <c r="BB182" i="13" s="1"/>
  <c r="AH182" i="13"/>
  <c r="AO182" i="13" s="1"/>
  <c r="I182" i="13" s="1"/>
  <c r="F190" i="13"/>
  <c r="AS170" i="13"/>
  <c r="AY170" i="13" s="1"/>
  <c r="M170" i="13" s="1"/>
  <c r="AU171" i="13"/>
  <c r="BA171" i="13" s="1"/>
  <c r="AR174" i="13"/>
  <c r="AX174" i="13" s="1"/>
  <c r="L174" i="13" s="1"/>
  <c r="BH175" i="13"/>
  <c r="BN175" i="13" s="1"/>
  <c r="AS175" i="13"/>
  <c r="AY175" i="13" s="1"/>
  <c r="M175" i="13" s="1"/>
  <c r="AV176" i="13"/>
  <c r="BB176" i="13" s="1"/>
  <c r="P176" i="13" s="1"/>
  <c r="AR177" i="13"/>
  <c r="AX177" i="13" s="1"/>
  <c r="BF178" i="13"/>
  <c r="BL178" i="13" s="1"/>
  <c r="BD179" i="13"/>
  <c r="BJ179" i="13" s="1"/>
  <c r="BE180" i="13"/>
  <c r="BK180" i="13" s="1"/>
  <c r="BU19" i="13" s="1"/>
  <c r="BD181" i="13"/>
  <c r="BJ181" i="13" s="1"/>
  <c r="AV190" i="13"/>
  <c r="BB190" i="13" s="1"/>
  <c r="AH190" i="13"/>
  <c r="AO190" i="13" s="1"/>
  <c r="I190" i="13" s="1"/>
  <c r="H190" i="13"/>
  <c r="O204" i="13"/>
  <c r="AE172" i="13"/>
  <c r="AL172" i="13" s="1"/>
  <c r="E172" i="13" s="1"/>
  <c r="AG173" i="13"/>
  <c r="AN173" i="13" s="1"/>
  <c r="H173" i="13" s="1"/>
  <c r="O173" i="13" s="1"/>
  <c r="AT175" i="13"/>
  <c r="AZ175" i="13" s="1"/>
  <c r="AR178" i="13"/>
  <c r="AX178" i="13" s="1"/>
  <c r="BE179" i="13"/>
  <c r="BK179" i="13" s="1"/>
  <c r="BU18" i="13" s="1"/>
  <c r="BE182" i="13"/>
  <c r="BK182" i="13" s="1"/>
  <c r="BU21" i="13" s="1"/>
  <c r="J190" i="13"/>
  <c r="AN175" i="13"/>
  <c r="H175" i="13" s="1"/>
  <c r="AS177" i="13"/>
  <c r="AY177" i="13" s="1"/>
  <c r="AE177" i="13"/>
  <c r="AL177" i="13" s="1"/>
  <c r="E177" i="13" s="1"/>
  <c r="BH177" i="13"/>
  <c r="BN177" i="13" s="1"/>
  <c r="BF180" i="13"/>
  <c r="BL180" i="13" s="1"/>
  <c r="BF182" i="13"/>
  <c r="BL182" i="13" s="1"/>
  <c r="AX190" i="13"/>
  <c r="AV203" i="13"/>
  <c r="BB203" i="13" s="1"/>
  <c r="AH203" i="13"/>
  <c r="AO203" i="13" s="1"/>
  <c r="I203" i="13" s="1"/>
  <c r="AU174" i="13"/>
  <c r="BA174" i="13" s="1"/>
  <c r="AG174" i="13"/>
  <c r="AN174" i="13" s="1"/>
  <c r="H174" i="13" s="1"/>
  <c r="AT174" i="13"/>
  <c r="AZ174" i="13" s="1"/>
  <c r="BF176" i="13"/>
  <c r="BL176" i="13" s="1"/>
  <c r="AT177" i="13"/>
  <c r="AZ177" i="13" s="1"/>
  <c r="N177" i="13" s="1"/>
  <c r="AF177" i="13"/>
  <c r="AM177" i="13" s="1"/>
  <c r="F177" i="13" s="1"/>
  <c r="G177" i="13" s="1"/>
  <c r="AK179" i="13"/>
  <c r="D179" i="13" s="1"/>
  <c r="BG179" i="13"/>
  <c r="BM179" i="13" s="1"/>
  <c r="AR180" i="13"/>
  <c r="AX180" i="13" s="1"/>
  <c r="AD180" i="13"/>
  <c r="AK180" i="13" s="1"/>
  <c r="D180" i="13" s="1"/>
  <c r="BG180" i="13"/>
  <c r="BM180" i="13" s="1"/>
  <c r="BL190" i="13"/>
  <c r="AR201" i="13"/>
  <c r="AX201" i="13" s="1"/>
  <c r="L201" i="13" s="1"/>
  <c r="AD201" i="13"/>
  <c r="AK201" i="13" s="1"/>
  <c r="D201" i="13" s="1"/>
  <c r="AV174" i="13"/>
  <c r="BB174" i="13" s="1"/>
  <c r="P174" i="13" s="1"/>
  <c r="BD175" i="13"/>
  <c r="BJ175" i="13" s="1"/>
  <c r="AR176" i="13"/>
  <c r="AX176" i="13" s="1"/>
  <c r="AU178" i="13"/>
  <c r="BA178" i="13" s="1"/>
  <c r="AG178" i="13"/>
  <c r="AN178" i="13" s="1"/>
  <c r="H178" i="13" s="1"/>
  <c r="AL178" i="13"/>
  <c r="E178" i="13" s="1"/>
  <c r="AE179" i="13"/>
  <c r="AL179" i="13" s="1"/>
  <c r="E179" i="13" s="1"/>
  <c r="BH179" i="13"/>
  <c r="BN179" i="13" s="1"/>
  <c r="AS181" i="13"/>
  <c r="AY181" i="13" s="1"/>
  <c r="AE181" i="13"/>
  <c r="AL181" i="13" s="1"/>
  <c r="E181" i="13" s="1"/>
  <c r="BH181" i="13"/>
  <c r="BN181" i="13" s="1"/>
  <c r="AD190" i="13"/>
  <c r="AK190" i="13" s="1"/>
  <c r="D190" i="13" s="1"/>
  <c r="BM190" i="13"/>
  <c r="BG202" i="13"/>
  <c r="BM202" i="13" s="1"/>
  <c r="AN205" i="13"/>
  <c r="H205" i="13" s="1"/>
  <c r="AH177" i="13"/>
  <c r="AO177" i="13" s="1"/>
  <c r="I177" i="13" s="1"/>
  <c r="AV178" i="13"/>
  <c r="BB178" i="13" s="1"/>
  <c r="AH178" i="13"/>
  <c r="AO178" i="13" s="1"/>
  <c r="I178" i="13" s="1"/>
  <c r="AF180" i="13"/>
  <c r="AM180" i="13" s="1"/>
  <c r="F180" i="13" s="1"/>
  <c r="G180" i="13" s="1"/>
  <c r="AT181" i="13"/>
  <c r="AZ181" i="13" s="1"/>
  <c r="AF181" i="13"/>
  <c r="AM181" i="13" s="1"/>
  <c r="F181" i="13" s="1"/>
  <c r="G181" i="13" s="1"/>
  <c r="AR193" i="13"/>
  <c r="AX193" i="13" s="1"/>
  <c r="AD193" i="13"/>
  <c r="AK193" i="13" s="1"/>
  <c r="D193" i="13" s="1"/>
  <c r="O198" i="13"/>
  <c r="BD205" i="13"/>
  <c r="BJ205" i="13" s="1"/>
  <c r="AT205" i="13"/>
  <c r="AZ205" i="13" s="1"/>
  <c r="N205" i="13" s="1"/>
  <c r="AR204" i="13"/>
  <c r="AX204" i="13" s="1"/>
  <c r="BH203" i="13"/>
  <c r="BN203" i="13" s="1"/>
  <c r="BF202" i="13"/>
  <c r="BL202" i="13" s="1"/>
  <c r="AV202" i="13"/>
  <c r="BB202" i="13" s="1"/>
  <c r="BD201" i="13"/>
  <c r="BJ201" i="13" s="1"/>
  <c r="AT201" i="13"/>
  <c r="AZ201" i="13" s="1"/>
  <c r="AR200" i="13"/>
  <c r="AX200" i="13" s="1"/>
  <c r="L200" i="13" s="1"/>
  <c r="BH199" i="13"/>
  <c r="BN199" i="13" s="1"/>
  <c r="BF198" i="13"/>
  <c r="BL198" i="13" s="1"/>
  <c r="AV198" i="13"/>
  <c r="BB198" i="13" s="1"/>
  <c r="P198" i="13" s="1"/>
  <c r="BD197" i="13"/>
  <c r="BJ197" i="13" s="1"/>
  <c r="AT197" i="13"/>
  <c r="AZ197" i="13" s="1"/>
  <c r="AR196" i="13"/>
  <c r="AX196" i="13" s="1"/>
  <c r="BH195" i="13"/>
  <c r="BN195" i="13" s="1"/>
  <c r="AV194" i="13"/>
  <c r="BB194" i="13" s="1"/>
  <c r="AP204" i="13"/>
  <c r="J204" i="13" s="1"/>
  <c r="AP200" i="13"/>
  <c r="J200" i="13" s="1"/>
  <c r="AP196" i="13"/>
  <c r="J196" i="13" s="1"/>
  <c r="AS193" i="13"/>
  <c r="AY193" i="13" s="1"/>
  <c r="AP192" i="13"/>
  <c r="J192" i="13" s="1"/>
  <c r="AP205" i="13"/>
  <c r="J205" i="13" s="1"/>
  <c r="AP201" i="13"/>
  <c r="J201" i="13" s="1"/>
  <c r="AP197" i="13"/>
  <c r="J197" i="13" s="1"/>
  <c r="AP193" i="13"/>
  <c r="J193" i="13" s="1"/>
  <c r="BH205" i="13"/>
  <c r="BN205" i="13" s="1"/>
  <c r="BF204" i="13"/>
  <c r="BL204" i="13" s="1"/>
  <c r="AV204" i="13"/>
  <c r="BB204" i="13" s="1"/>
  <c r="P204" i="13" s="1"/>
  <c r="BD203" i="13"/>
  <c r="BJ203" i="13" s="1"/>
  <c r="AT203" i="13"/>
  <c r="AZ203" i="13" s="1"/>
  <c r="AR202" i="13"/>
  <c r="AX202" i="13" s="1"/>
  <c r="BH201" i="13"/>
  <c r="BN201" i="13" s="1"/>
  <c r="BF200" i="13"/>
  <c r="BL200" i="13" s="1"/>
  <c r="AV200" i="13"/>
  <c r="BB200" i="13" s="1"/>
  <c r="BD199" i="13"/>
  <c r="BJ199" i="13" s="1"/>
  <c r="AT199" i="13"/>
  <c r="AZ199" i="13" s="1"/>
  <c r="AR198" i="13"/>
  <c r="AX198" i="13" s="1"/>
  <c r="BH197" i="13"/>
  <c r="BN197" i="13" s="1"/>
  <c r="BF196" i="13"/>
  <c r="BL196" i="13" s="1"/>
  <c r="AV196" i="13"/>
  <c r="BB196" i="13" s="1"/>
  <c r="AT195" i="13"/>
  <c r="AZ195" i="13" s="1"/>
  <c r="AP202" i="13"/>
  <c r="J202" i="13" s="1"/>
  <c r="AP198" i="13"/>
  <c r="J198" i="13" s="1"/>
  <c r="AP194" i="13"/>
  <c r="J194" i="13" s="1"/>
  <c r="AL197" i="13"/>
  <c r="E197" i="13" s="1"/>
  <c r="BH190" i="13"/>
  <c r="BN190" i="13" s="1"/>
  <c r="AN202" i="13"/>
  <c r="H202" i="13" s="1"/>
  <c r="BE201" i="13"/>
  <c r="BK201" i="13" s="1"/>
  <c r="BV17" i="13" s="1"/>
  <c r="AP195" i="13"/>
  <c r="J195" i="13" s="1"/>
  <c r="BG194" i="13"/>
  <c r="BM194" i="13" s="1"/>
  <c r="AU201" i="13"/>
  <c r="BA201" i="13" s="1"/>
  <c r="AS200" i="13"/>
  <c r="AY200" i="13" s="1"/>
  <c r="BE193" i="13"/>
  <c r="BK193" i="13" s="1"/>
  <c r="BV9" i="13" s="1"/>
  <c r="AL201" i="13"/>
  <c r="E201" i="13" s="1"/>
  <c r="AU193" i="13"/>
  <c r="BA193" i="13" s="1"/>
  <c r="AS192" i="13"/>
  <c r="AY192" i="13" s="1"/>
  <c r="M192" i="13" s="1"/>
  <c r="BE190" i="13"/>
  <c r="BK190" i="13" s="1"/>
  <c r="BE205" i="13"/>
  <c r="BK205" i="13" s="1"/>
  <c r="BV21" i="13" s="1"/>
  <c r="AP199" i="13"/>
  <c r="J199" i="13" s="1"/>
  <c r="BG198" i="13"/>
  <c r="BM198" i="13" s="1"/>
  <c r="AL193" i="13"/>
  <c r="E193" i="13" s="1"/>
  <c r="BG191" i="13"/>
  <c r="BM191" i="13" s="1"/>
  <c r="AT190" i="13"/>
  <c r="AZ190" i="13" s="1"/>
  <c r="AU205" i="13"/>
  <c r="BA205" i="13" s="1"/>
  <c r="AS204" i="13"/>
  <c r="AY204" i="13" s="1"/>
  <c r="AS190" i="13"/>
  <c r="AY190" i="13" s="1"/>
  <c r="AR191" i="13"/>
  <c r="AX191" i="13" s="1"/>
  <c r="L191" i="13" s="1"/>
  <c r="AT192" i="13"/>
  <c r="AZ192" i="13" s="1"/>
  <c r="AM192" i="13"/>
  <c r="F192" i="13" s="1"/>
  <c r="G192" i="13" s="1"/>
  <c r="AT193" i="13"/>
  <c r="AZ193" i="13" s="1"/>
  <c r="AS194" i="13"/>
  <c r="AY194" i="13" s="1"/>
  <c r="BH194" i="13"/>
  <c r="BN194" i="13" s="1"/>
  <c r="AK195" i="13"/>
  <c r="D195" i="13" s="1"/>
  <c r="BG195" i="13"/>
  <c r="BM195" i="13" s="1"/>
  <c r="BE196" i="13"/>
  <c r="BK196" i="13" s="1"/>
  <c r="BV12" i="13" s="1"/>
  <c r="BD198" i="13"/>
  <c r="BJ198" i="13" s="1"/>
  <c r="AU199" i="13"/>
  <c r="BA199" i="13" s="1"/>
  <c r="AM199" i="13"/>
  <c r="F199" i="13" s="1"/>
  <c r="G199" i="13" s="1"/>
  <c r="AE200" i="13"/>
  <c r="AL200" i="13" s="1"/>
  <c r="E200" i="13" s="1"/>
  <c r="BH200" i="13"/>
  <c r="BN200" i="13" s="1"/>
  <c r="AS201" i="13"/>
  <c r="AY201" i="13" s="1"/>
  <c r="BE203" i="13"/>
  <c r="BK203" i="13" s="1"/>
  <c r="BV19" i="13" s="1"/>
  <c r="AO205" i="13"/>
  <c r="I205" i="13" s="1"/>
  <c r="AE191" i="13"/>
  <c r="AL191" i="13" s="1"/>
  <c r="E191" i="13" s="1"/>
  <c r="AS191" i="13"/>
  <c r="AY191" i="13" s="1"/>
  <c r="M191" i="13" s="1"/>
  <c r="BH191" i="13"/>
  <c r="BN191" i="13" s="1"/>
  <c r="AN192" i="13"/>
  <c r="H192" i="13" s="1"/>
  <c r="AO192" i="13"/>
  <c r="I192" i="13" s="1"/>
  <c r="AG193" i="13"/>
  <c r="AN193" i="13" s="1"/>
  <c r="H193" i="13" s="1"/>
  <c r="AT194" i="13"/>
  <c r="AZ194" i="13" s="1"/>
  <c r="AF194" i="13"/>
  <c r="AM194" i="13" s="1"/>
  <c r="F194" i="13" s="1"/>
  <c r="G194" i="13" s="1"/>
  <c r="AK194" i="13"/>
  <c r="D194" i="13" s="1"/>
  <c r="L194" i="13" s="1"/>
  <c r="AS195" i="13"/>
  <c r="AY195" i="13" s="1"/>
  <c r="BF197" i="13"/>
  <c r="BL197" i="13" s="1"/>
  <c r="BE198" i="13"/>
  <c r="BK198" i="13" s="1"/>
  <c r="BV14" i="13" s="1"/>
  <c r="AV199" i="13"/>
  <c r="BB199" i="13" s="1"/>
  <c r="AH199" i="13"/>
  <c r="AO199" i="13" s="1"/>
  <c r="I199" i="13" s="1"/>
  <c r="AM200" i="13"/>
  <c r="F200" i="13" s="1"/>
  <c r="G200" i="13" s="1"/>
  <c r="AN200" i="13"/>
  <c r="H200" i="13" s="1"/>
  <c r="AM201" i="13"/>
  <c r="F201" i="13" s="1"/>
  <c r="G201" i="13" s="1"/>
  <c r="AS202" i="13"/>
  <c r="AY202" i="13" s="1"/>
  <c r="AO202" i="13"/>
  <c r="I202" i="13" s="1"/>
  <c r="BF203" i="13"/>
  <c r="BL203" i="13" s="1"/>
  <c r="BD204" i="13"/>
  <c r="BJ204" i="13" s="1"/>
  <c r="AT191" i="13"/>
  <c r="AZ191" i="13" s="1"/>
  <c r="AV192" i="13"/>
  <c r="BB192" i="13" s="1"/>
  <c r="AV193" i="13"/>
  <c r="BB193" i="13" s="1"/>
  <c r="AU194" i="13"/>
  <c r="BA194" i="13" s="1"/>
  <c r="AL195" i="13"/>
  <c r="E195" i="13" s="1"/>
  <c r="AK196" i="13"/>
  <c r="D196" i="13" s="1"/>
  <c r="BG196" i="13"/>
  <c r="BM196" i="13" s="1"/>
  <c r="AR197" i="13"/>
  <c r="AX197" i="13" s="1"/>
  <c r="AD197" i="13"/>
  <c r="AK197" i="13" s="1"/>
  <c r="D197" i="13" s="1"/>
  <c r="BG197" i="13"/>
  <c r="BM197" i="13" s="1"/>
  <c r="AU200" i="13"/>
  <c r="BA200" i="13" s="1"/>
  <c r="O200" i="13" s="1"/>
  <c r="AO200" i="13"/>
  <c r="I200" i="13" s="1"/>
  <c r="AG201" i="13"/>
  <c r="AN201" i="13" s="1"/>
  <c r="H201" i="13" s="1"/>
  <c r="AT202" i="13"/>
  <c r="AZ202" i="13" s="1"/>
  <c r="AF202" i="13"/>
  <c r="AM202" i="13" s="1"/>
  <c r="F202" i="13" s="1"/>
  <c r="G202" i="13" s="1"/>
  <c r="AK202" i="13"/>
  <c r="D202" i="13" s="1"/>
  <c r="AK203" i="13"/>
  <c r="D203" i="13" s="1"/>
  <c r="BG203" i="13"/>
  <c r="BM203" i="13" s="1"/>
  <c r="BE204" i="13"/>
  <c r="BK204" i="13" s="1"/>
  <c r="BV20" i="13" s="1"/>
  <c r="AU191" i="13"/>
  <c r="BA191" i="13" s="1"/>
  <c r="AF191" i="13"/>
  <c r="AM191" i="13" s="1"/>
  <c r="F191" i="13" s="1"/>
  <c r="G191" i="13" s="1"/>
  <c r="BD192" i="13"/>
  <c r="BJ192" i="13" s="1"/>
  <c r="BD193" i="13"/>
  <c r="BJ193" i="13" s="1"/>
  <c r="AU195" i="13"/>
  <c r="BA195" i="13" s="1"/>
  <c r="AM195" i="13"/>
  <c r="F195" i="13" s="1"/>
  <c r="G195" i="13" s="1"/>
  <c r="AE196" i="13"/>
  <c r="AL196" i="13" s="1"/>
  <c r="E196" i="13" s="1"/>
  <c r="M196" i="13" s="1"/>
  <c r="BH196" i="13"/>
  <c r="BN196" i="13" s="1"/>
  <c r="AS197" i="13"/>
  <c r="AY197" i="13" s="1"/>
  <c r="BE199" i="13"/>
  <c r="BK199" i="13" s="1"/>
  <c r="BV15" i="13" s="1"/>
  <c r="AO201" i="13"/>
  <c r="I201" i="13" s="1"/>
  <c r="AU202" i="13"/>
  <c r="BA202" i="13" s="1"/>
  <c r="AS203" i="13"/>
  <c r="AY203" i="13" s="1"/>
  <c r="BF205" i="13"/>
  <c r="BL205" i="13" s="1"/>
  <c r="AV191" i="13"/>
  <c r="BB191" i="13" s="1"/>
  <c r="AH191" i="13"/>
  <c r="AO191" i="13" s="1"/>
  <c r="I191" i="13" s="1"/>
  <c r="BE192" i="13"/>
  <c r="BK192" i="13" s="1"/>
  <c r="BV8" i="13" s="1"/>
  <c r="BD194" i="13"/>
  <c r="BJ194" i="13" s="1"/>
  <c r="AV195" i="13"/>
  <c r="BB195" i="13" s="1"/>
  <c r="AH195" i="13"/>
  <c r="AO195" i="13" s="1"/>
  <c r="I195" i="13" s="1"/>
  <c r="AM196" i="13"/>
  <c r="F196" i="13" s="1"/>
  <c r="G196" i="13" s="1"/>
  <c r="AN196" i="13"/>
  <c r="H196" i="13" s="1"/>
  <c r="AM197" i="13"/>
  <c r="F197" i="13" s="1"/>
  <c r="G197" i="13" s="1"/>
  <c r="AS198" i="13"/>
  <c r="AY198" i="13" s="1"/>
  <c r="BH198" i="13"/>
  <c r="BN198" i="13" s="1"/>
  <c r="BF199" i="13"/>
  <c r="BL199" i="13" s="1"/>
  <c r="BD200" i="13"/>
  <c r="BJ200" i="13" s="1"/>
  <c r="AL203" i="13"/>
  <c r="E203" i="13" s="1"/>
  <c r="AK204" i="13"/>
  <c r="D204" i="13" s="1"/>
  <c r="BG204" i="13"/>
  <c r="BM204" i="13" s="1"/>
  <c r="AR205" i="13"/>
  <c r="AX205" i="13" s="1"/>
  <c r="AD205" i="13"/>
  <c r="AK205" i="13" s="1"/>
  <c r="D205" i="13" s="1"/>
  <c r="BG205" i="13"/>
  <c r="BM205" i="13" s="1"/>
  <c r="BD191" i="13"/>
  <c r="BJ191" i="13" s="1"/>
  <c r="BF192" i="13"/>
  <c r="BL192" i="13" s="1"/>
  <c r="BF193" i="13"/>
  <c r="BL193" i="13" s="1"/>
  <c r="BE194" i="13"/>
  <c r="BK194" i="13" s="1"/>
  <c r="BV10" i="13" s="1"/>
  <c r="BD195" i="13"/>
  <c r="BJ195" i="13" s="1"/>
  <c r="AU196" i="13"/>
  <c r="BA196" i="13" s="1"/>
  <c r="AO196" i="13"/>
  <c r="I196" i="13" s="1"/>
  <c r="AN197" i="13"/>
  <c r="H197" i="13" s="1"/>
  <c r="O197" i="13" s="1"/>
  <c r="AT198" i="13"/>
  <c r="AZ198" i="13" s="1"/>
  <c r="AF198" i="13"/>
  <c r="AM198" i="13" s="1"/>
  <c r="F198" i="13" s="1"/>
  <c r="G198" i="13" s="1"/>
  <c r="AK198" i="13"/>
  <c r="D198" i="13" s="1"/>
  <c r="AK199" i="13"/>
  <c r="D199" i="13" s="1"/>
  <c r="BG199" i="13"/>
  <c r="BM199" i="13" s="1"/>
  <c r="BE200" i="13"/>
  <c r="BK200" i="13" s="1"/>
  <c r="BV16" i="13" s="1"/>
  <c r="BD202" i="13"/>
  <c r="BJ202" i="13" s="1"/>
  <c r="AU203" i="13"/>
  <c r="BA203" i="13" s="1"/>
  <c r="AM203" i="13"/>
  <c r="F203" i="13" s="1"/>
  <c r="G203" i="13" s="1"/>
  <c r="AE204" i="13"/>
  <c r="AL204" i="13" s="1"/>
  <c r="E204" i="13" s="1"/>
  <c r="BH204" i="13"/>
  <c r="BN204" i="13" s="1"/>
  <c r="AS205" i="13"/>
  <c r="AY205" i="13" s="1"/>
  <c r="M205" i="13" s="1"/>
  <c r="AG191" i="13"/>
  <c r="AN191" i="13" s="1"/>
  <c r="H191" i="13" s="1"/>
  <c r="AE194" i="13"/>
  <c r="AL194" i="13" s="1"/>
  <c r="E194" i="13" s="1"/>
  <c r="AG195" i="13"/>
  <c r="AN195" i="13" s="1"/>
  <c r="H195" i="13" s="1"/>
  <c r="AR195" i="13"/>
  <c r="AX195" i="13" s="1"/>
  <c r="AT196" i="13"/>
  <c r="AZ196" i="13" s="1"/>
  <c r="AV197" i="13"/>
  <c r="BB197" i="13" s="1"/>
  <c r="P197" i="13" s="1"/>
  <c r="AE198" i="13"/>
  <c r="AL198" i="13" s="1"/>
  <c r="E198" i="13" s="1"/>
  <c r="AG199" i="13"/>
  <c r="AN199" i="13" s="1"/>
  <c r="H199" i="13" s="1"/>
  <c r="AR199" i="13"/>
  <c r="AX199" i="13" s="1"/>
  <c r="AT200" i="13"/>
  <c r="AZ200" i="13" s="1"/>
  <c r="AV201" i="13"/>
  <c r="BB201" i="13" s="1"/>
  <c r="AE202" i="13"/>
  <c r="AL202" i="13" s="1"/>
  <c r="E202" i="13" s="1"/>
  <c r="BH202" i="13"/>
  <c r="BN202" i="13" s="1"/>
  <c r="AG203" i="13"/>
  <c r="AN203" i="13" s="1"/>
  <c r="H203" i="13" s="1"/>
  <c r="AR203" i="13"/>
  <c r="AX203" i="13" s="1"/>
  <c r="AT204" i="13"/>
  <c r="AZ204" i="13" s="1"/>
  <c r="N204" i="13" s="1"/>
  <c r="AV205" i="13"/>
  <c r="BB205" i="13" s="1"/>
  <c r="AU192" i="13"/>
  <c r="BA192" i="13" s="1"/>
  <c r="AG194" i="13"/>
  <c r="AN194" i="13" s="1"/>
  <c r="H194" i="13" s="1"/>
  <c r="AD192" i="13"/>
  <c r="AK192" i="13" s="1"/>
  <c r="D192" i="13" s="1"/>
  <c r="L192" i="13" s="1"/>
  <c r="AF193" i="13"/>
  <c r="AM193" i="13" s="1"/>
  <c r="F193" i="13" s="1"/>
  <c r="G193" i="13" s="1"/>
  <c r="K6" i="11"/>
  <c r="P6" i="11"/>
  <c r="Q6" i="11"/>
  <c r="U50" i="26" l="1"/>
  <c r="M197" i="13"/>
  <c r="N192" i="13"/>
  <c r="M193" i="13"/>
  <c r="L178" i="13"/>
  <c r="M154" i="13"/>
  <c r="N153" i="13"/>
  <c r="L154" i="13"/>
  <c r="O158" i="13"/>
  <c r="M134" i="13"/>
  <c r="N107" i="13"/>
  <c r="N101" i="13"/>
  <c r="O89" i="13"/>
  <c r="M167" i="13"/>
  <c r="L82" i="13"/>
  <c r="M125" i="13"/>
  <c r="N85" i="13"/>
  <c r="L205" i="13"/>
  <c r="P191" i="13"/>
  <c r="P200" i="13"/>
  <c r="N173" i="13"/>
  <c r="O180" i="13"/>
  <c r="M132" i="13"/>
  <c r="N105" i="13"/>
  <c r="H9" i="13"/>
  <c r="O62" i="13"/>
  <c r="L56" i="13"/>
  <c r="BL7" i="13"/>
  <c r="BJ8" i="13"/>
  <c r="L175" i="13"/>
  <c r="O135" i="13"/>
  <c r="M127" i="13"/>
  <c r="N146" i="13"/>
  <c r="BJ10" i="13"/>
  <c r="P90" i="13"/>
  <c r="BA7" i="13"/>
  <c r="M203" i="13"/>
  <c r="O195" i="13"/>
  <c r="L177" i="13"/>
  <c r="I21" i="13"/>
  <c r="BN10" i="13"/>
  <c r="BA19" i="13"/>
  <c r="BN12" i="13"/>
  <c r="BB9" i="13"/>
  <c r="BM45" i="13"/>
  <c r="N201" i="13"/>
  <c r="N125" i="13"/>
  <c r="N127" i="13"/>
  <c r="BL19" i="13"/>
  <c r="H21" i="13"/>
  <c r="H17" i="13"/>
  <c r="L64" i="13"/>
  <c r="L60" i="13"/>
  <c r="L196" i="13"/>
  <c r="L111" i="13"/>
  <c r="BJ18" i="13"/>
  <c r="N99" i="13"/>
  <c r="BM18" i="13"/>
  <c r="L87" i="13"/>
  <c r="D21" i="13"/>
  <c r="N63" i="13"/>
  <c r="L54" i="13"/>
  <c r="P33" i="23"/>
  <c r="P47" i="23" s="1"/>
  <c r="P48" i="23" s="1"/>
  <c r="BN183" i="13"/>
  <c r="P175" i="13"/>
  <c r="BM13" i="13"/>
  <c r="E15" i="13"/>
  <c r="D183" i="13"/>
  <c r="L159" i="13"/>
  <c r="P170" i="13"/>
  <c r="N168" i="13"/>
  <c r="P177" i="13"/>
  <c r="N180" i="13"/>
  <c r="AY183" i="13"/>
  <c r="P152" i="13"/>
  <c r="L150" i="13"/>
  <c r="N159" i="13"/>
  <c r="O156" i="13"/>
  <c r="L105" i="13"/>
  <c r="O106" i="13"/>
  <c r="O110" i="13"/>
  <c r="L100" i="13"/>
  <c r="O129" i="13"/>
  <c r="N113" i="13"/>
  <c r="D19" i="13"/>
  <c r="BA6" i="13"/>
  <c r="U6" i="13" s="1"/>
  <c r="H7" i="13"/>
  <c r="O7" i="13" s="1"/>
  <c r="BL91" i="13"/>
  <c r="AZ6" i="13"/>
  <c r="T6" i="13" s="1"/>
  <c r="M56" i="13"/>
  <c r="BM20" i="13"/>
  <c r="P62" i="13"/>
  <c r="N65" i="13"/>
  <c r="BM183" i="13"/>
  <c r="H13" i="13"/>
  <c r="BS22" i="13"/>
  <c r="O174" i="13"/>
  <c r="P54" i="13"/>
  <c r="BL183" i="13"/>
  <c r="BU22" i="13"/>
  <c r="BM160" i="13"/>
  <c r="E16" i="13"/>
  <c r="BJ21" i="13"/>
  <c r="BJ9" i="13"/>
  <c r="H12" i="13"/>
  <c r="AY18" i="13"/>
  <c r="D13" i="13"/>
  <c r="D114" i="13"/>
  <c r="P65" i="13"/>
  <c r="E8" i="13"/>
  <c r="N196" i="13"/>
  <c r="N198" i="13"/>
  <c r="N202" i="13"/>
  <c r="O193" i="13"/>
  <c r="L202" i="13"/>
  <c r="BN18" i="13"/>
  <c r="N172" i="13"/>
  <c r="L172" i="13"/>
  <c r="L179" i="13"/>
  <c r="L155" i="13"/>
  <c r="M145" i="13"/>
  <c r="P147" i="13"/>
  <c r="BK160" i="13"/>
  <c r="P104" i="13"/>
  <c r="N134" i="13"/>
  <c r="O136" i="13"/>
  <c r="I137" i="13"/>
  <c r="L104" i="13"/>
  <c r="N123" i="13"/>
  <c r="BL9" i="13"/>
  <c r="N82" i="13"/>
  <c r="E20" i="13"/>
  <c r="BL18" i="13"/>
  <c r="BL17" i="13"/>
  <c r="BL10" i="13"/>
  <c r="D11" i="13"/>
  <c r="L176" i="13"/>
  <c r="L151" i="13"/>
  <c r="M107" i="13"/>
  <c r="N193" i="13"/>
  <c r="N203" i="13"/>
  <c r="N176" i="13"/>
  <c r="L158" i="13"/>
  <c r="M158" i="13"/>
  <c r="M135" i="13"/>
  <c r="O134" i="13"/>
  <c r="I19" i="13"/>
  <c r="BN91" i="13"/>
  <c r="BM91" i="13"/>
  <c r="N102" i="13"/>
  <c r="L81" i="13"/>
  <c r="BM17" i="13"/>
  <c r="P58" i="13"/>
  <c r="L79" i="13"/>
  <c r="BM10" i="13"/>
  <c r="BJ14" i="13"/>
  <c r="P59" i="13"/>
  <c r="AY6" i="13"/>
  <c r="S6" i="13" s="1"/>
  <c r="N53" i="13"/>
  <c r="I16" i="13"/>
  <c r="E7" i="13"/>
  <c r="L77" i="13"/>
  <c r="N109" i="13"/>
  <c r="M152" i="13"/>
  <c r="BL160" i="13"/>
  <c r="L36" i="13"/>
  <c r="L195" i="13"/>
  <c r="O199" i="13"/>
  <c r="P201" i="13"/>
  <c r="BJ16" i="13"/>
  <c r="E183" i="13"/>
  <c r="P179" i="13"/>
  <c r="M173" i="13"/>
  <c r="L181" i="13"/>
  <c r="P159" i="13"/>
  <c r="O169" i="13"/>
  <c r="O133" i="13"/>
  <c r="H137" i="13"/>
  <c r="O124" i="13"/>
  <c r="M109" i="13"/>
  <c r="N108" i="13"/>
  <c r="O101" i="13"/>
  <c r="L90" i="13"/>
  <c r="BJ91" i="13"/>
  <c r="P66" i="13"/>
  <c r="M88" i="13"/>
  <c r="M57" i="13"/>
  <c r="H14" i="13"/>
  <c r="BM21" i="13"/>
  <c r="BM68" i="13"/>
  <c r="BN9" i="13"/>
  <c r="P56" i="13"/>
  <c r="M83" i="13"/>
  <c r="BL21" i="13"/>
  <c r="L180" i="13"/>
  <c r="O132" i="13"/>
  <c r="BJ20" i="13"/>
  <c r="O203" i="13"/>
  <c r="O192" i="13"/>
  <c r="N200" i="13"/>
  <c r="O196" i="13"/>
  <c r="P193" i="13"/>
  <c r="M200" i="13"/>
  <c r="N199" i="13"/>
  <c r="N174" i="13"/>
  <c r="M171" i="13"/>
  <c r="D160" i="13"/>
  <c r="BL137" i="13"/>
  <c r="M112" i="13"/>
  <c r="BM114" i="13"/>
  <c r="N88" i="13"/>
  <c r="BM9" i="13"/>
  <c r="BL16" i="13"/>
  <c r="BN21" i="13"/>
  <c r="P64" i="13"/>
  <c r="BN20" i="13"/>
  <c r="N67" i="13"/>
  <c r="U19" i="13"/>
  <c r="V9" i="13"/>
  <c r="S18" i="13"/>
  <c r="BB19" i="13"/>
  <c r="H15" i="13"/>
  <c r="V13" i="13"/>
  <c r="AX17" i="13"/>
  <c r="M198" i="13"/>
  <c r="O191" i="13"/>
  <c r="O194" i="13"/>
  <c r="L198" i="13"/>
  <c r="N197" i="13"/>
  <c r="P202" i="13"/>
  <c r="L193" i="13"/>
  <c r="BL206" i="13"/>
  <c r="AX206" i="13"/>
  <c r="L190" i="13"/>
  <c r="F206" i="13"/>
  <c r="G190" i="13"/>
  <c r="G206" i="13" s="1"/>
  <c r="F183" i="13"/>
  <c r="G167" i="13"/>
  <c r="G183" i="13" s="1"/>
  <c r="BJ183" i="13"/>
  <c r="O181" i="13"/>
  <c r="N179" i="13"/>
  <c r="O182" i="13"/>
  <c r="M156" i="13"/>
  <c r="I183" i="13"/>
  <c r="O157" i="13"/>
  <c r="P153" i="13"/>
  <c r="E160" i="13"/>
  <c r="O155" i="13"/>
  <c r="P155" i="13"/>
  <c r="M157" i="13"/>
  <c r="L136" i="13"/>
  <c r="O152" i="13"/>
  <c r="N156" i="13"/>
  <c r="AZ160" i="13"/>
  <c r="P102" i="13"/>
  <c r="BA137" i="13"/>
  <c r="O137" i="13" s="1"/>
  <c r="O121" i="13"/>
  <c r="N147" i="13"/>
  <c r="J137" i="13"/>
  <c r="P123" i="13"/>
  <c r="BJ137" i="13"/>
  <c r="O126" i="13"/>
  <c r="P109" i="13"/>
  <c r="L130" i="13"/>
  <c r="P111" i="13"/>
  <c r="P126" i="13"/>
  <c r="AY114" i="13"/>
  <c r="M98" i="13"/>
  <c r="L101" i="13"/>
  <c r="AX9" i="13"/>
  <c r="M106" i="13"/>
  <c r="N106" i="13"/>
  <c r="BK10" i="13"/>
  <c r="BT10" i="13"/>
  <c r="O88" i="13"/>
  <c r="L53" i="13"/>
  <c r="AX7" i="13"/>
  <c r="BJ11" i="13"/>
  <c r="L66" i="13"/>
  <c r="M61" i="13"/>
  <c r="O57" i="13"/>
  <c r="BA11" i="13"/>
  <c r="E68" i="13"/>
  <c r="E45" i="13"/>
  <c r="M29" i="13"/>
  <c r="E6" i="13"/>
  <c r="I17" i="13"/>
  <c r="G91" i="13"/>
  <c r="H16" i="13"/>
  <c r="L58" i="13"/>
  <c r="E9" i="13"/>
  <c r="J7" i="13"/>
  <c r="BR18" i="13"/>
  <c r="BK18" i="13"/>
  <c r="O58" i="13"/>
  <c r="O53" i="13"/>
  <c r="G35" i="13"/>
  <c r="F12" i="13"/>
  <c r="G12" i="13" s="1"/>
  <c r="N42" i="13"/>
  <c r="AZ19" i="13"/>
  <c r="I68" i="13"/>
  <c r="P39" i="13"/>
  <c r="BB16" i="13"/>
  <c r="BB6" i="13"/>
  <c r="P29" i="13"/>
  <c r="BB45" i="13"/>
  <c r="P77" i="13"/>
  <c r="G39" i="13"/>
  <c r="F16" i="13"/>
  <c r="G16" i="13" s="1"/>
  <c r="I14" i="13"/>
  <c r="L35" i="13"/>
  <c r="AX12" i="13"/>
  <c r="O35" i="13"/>
  <c r="BA12" i="13"/>
  <c r="I8" i="13"/>
  <c r="G31" i="13"/>
  <c r="F8" i="13"/>
  <c r="G8" i="13" s="1"/>
  <c r="D68" i="13"/>
  <c r="BM16" i="13"/>
  <c r="D45" i="13"/>
  <c r="D6" i="13"/>
  <c r="N135" i="13"/>
  <c r="BA13" i="13"/>
  <c r="AX15" i="13"/>
  <c r="M195" i="13"/>
  <c r="BN206" i="13"/>
  <c r="M172" i="13"/>
  <c r="BB137" i="13"/>
  <c r="P121" i="13"/>
  <c r="N136" i="13"/>
  <c r="BN13" i="13"/>
  <c r="N148" i="13"/>
  <c r="P136" i="13"/>
  <c r="AY137" i="13"/>
  <c r="J21" i="13"/>
  <c r="J16" i="13"/>
  <c r="BK15" i="13"/>
  <c r="BR15" i="13"/>
  <c r="N56" i="13"/>
  <c r="AZ10" i="13"/>
  <c r="E17" i="13"/>
  <c r="F91" i="13"/>
  <c r="BJ15" i="13"/>
  <c r="BJ68" i="13"/>
  <c r="P52" i="13"/>
  <c r="BB68" i="13"/>
  <c r="P68" i="13" s="1"/>
  <c r="M38" i="13"/>
  <c r="AY15" i="13"/>
  <c r="I45" i="13"/>
  <c r="I6" i="13"/>
  <c r="N58" i="13"/>
  <c r="BM12" i="13"/>
  <c r="I12" i="13"/>
  <c r="M55" i="13"/>
  <c r="D12" i="13"/>
  <c r="G68" i="13"/>
  <c r="BL12" i="13"/>
  <c r="P31" i="13"/>
  <c r="BB8" i="13"/>
  <c r="AY45" i="13"/>
  <c r="M45" i="13" s="1"/>
  <c r="I20" i="13"/>
  <c r="L52" i="13"/>
  <c r="AX68" i="13"/>
  <c r="L39" i="13"/>
  <c r="AX16" i="13"/>
  <c r="L29" i="13"/>
  <c r="AX45" i="13"/>
  <c r="AX6" i="13"/>
  <c r="AZ18" i="13"/>
  <c r="AX11" i="13"/>
  <c r="AZ183" i="13"/>
  <c r="N183" i="13" s="1"/>
  <c r="N167" i="13"/>
  <c r="G106" i="13"/>
  <c r="F14" i="13"/>
  <c r="G14" i="13" s="1"/>
  <c r="F114" i="13"/>
  <c r="G98" i="13"/>
  <c r="G114" i="13" s="1"/>
  <c r="J68" i="13"/>
  <c r="J6" i="13"/>
  <c r="N62" i="13"/>
  <c r="N30" i="13"/>
  <c r="AZ7" i="13"/>
  <c r="BB14" i="13"/>
  <c r="P37" i="13"/>
  <c r="BK8" i="13"/>
  <c r="BQ8" i="13"/>
  <c r="P205" i="13"/>
  <c r="L199" i="13"/>
  <c r="P192" i="13"/>
  <c r="N194" i="13"/>
  <c r="O201" i="13"/>
  <c r="N181" i="13"/>
  <c r="D206" i="13"/>
  <c r="O178" i="13"/>
  <c r="I206" i="13"/>
  <c r="P182" i="13"/>
  <c r="BJ206" i="13"/>
  <c r="O175" i="13"/>
  <c r="M180" i="13"/>
  <c r="J183" i="13"/>
  <c r="L182" i="13"/>
  <c r="M148" i="13"/>
  <c r="P168" i="13"/>
  <c r="I160" i="13"/>
  <c r="O159" i="13"/>
  <c r="BA160" i="13"/>
  <c r="O144" i="13"/>
  <c r="O149" i="13"/>
  <c r="F160" i="13"/>
  <c r="G144" i="13"/>
  <c r="G160" i="13" s="1"/>
  <c r="AX160" i="13"/>
  <c r="L144" i="13"/>
  <c r="AY160" i="13"/>
  <c r="M144" i="13"/>
  <c r="N157" i="13"/>
  <c r="N158" i="13"/>
  <c r="N129" i="13"/>
  <c r="L124" i="13"/>
  <c r="N126" i="13"/>
  <c r="M131" i="13"/>
  <c r="P108" i="13"/>
  <c r="L109" i="13"/>
  <c r="P103" i="13"/>
  <c r="BB11" i="13"/>
  <c r="E137" i="13"/>
  <c r="L108" i="13"/>
  <c r="BL114" i="13"/>
  <c r="BL6" i="13"/>
  <c r="M113" i="13"/>
  <c r="O105" i="13"/>
  <c r="M100" i="13"/>
  <c r="O87" i="13"/>
  <c r="L62" i="13"/>
  <c r="O85" i="13"/>
  <c r="J17" i="13"/>
  <c r="H68" i="13"/>
  <c r="H6" i="13"/>
  <c r="H91" i="13"/>
  <c r="BN19" i="13"/>
  <c r="N55" i="13"/>
  <c r="H19" i="13"/>
  <c r="O19" i="13" s="1"/>
  <c r="M86" i="13"/>
  <c r="BM14" i="13"/>
  <c r="BL11" i="13"/>
  <c r="BK68" i="13"/>
  <c r="BR6" i="13"/>
  <c r="BK6" i="13"/>
  <c r="N66" i="13"/>
  <c r="BA21" i="13"/>
  <c r="O44" i="13"/>
  <c r="BN11" i="13"/>
  <c r="BN68" i="13"/>
  <c r="D10" i="13"/>
  <c r="AZ68" i="13"/>
  <c r="BQ12" i="13"/>
  <c r="BK12" i="13"/>
  <c r="O43" i="13"/>
  <c r="BA20" i="13"/>
  <c r="I11" i="13"/>
  <c r="O52" i="13"/>
  <c r="G34" i="13"/>
  <c r="F11" i="13"/>
  <c r="G11" i="13" s="1"/>
  <c r="P35" i="13"/>
  <c r="BB12" i="13"/>
  <c r="AY11" i="13"/>
  <c r="F68" i="13"/>
  <c r="P34" i="13"/>
  <c r="M30" i="13"/>
  <c r="BK19" i="13"/>
  <c r="P43" i="13"/>
  <c r="BB20" i="13"/>
  <c r="AY21" i="13"/>
  <c r="D16" i="13"/>
  <c r="BB17" i="13"/>
  <c r="BK21" i="13"/>
  <c r="AZ20" i="13"/>
  <c r="M31" i="13"/>
  <c r="BK9" i="13"/>
  <c r="E12" i="13"/>
  <c r="M202" i="13"/>
  <c r="BN17" i="13"/>
  <c r="G42" i="13"/>
  <c r="F19" i="13"/>
  <c r="G19" i="13" s="1"/>
  <c r="U7" i="13"/>
  <c r="H206" i="13"/>
  <c r="AX183" i="13"/>
  <c r="L183" i="13" s="1"/>
  <c r="L167" i="13"/>
  <c r="P180" i="13"/>
  <c r="N191" i="13"/>
  <c r="M201" i="13"/>
  <c r="L204" i="13"/>
  <c r="BB206" i="13"/>
  <c r="P190" i="13"/>
  <c r="E206" i="13"/>
  <c r="BA206" i="13"/>
  <c r="O190" i="13"/>
  <c r="I7" i="13"/>
  <c r="BK183" i="13"/>
  <c r="BN160" i="13"/>
  <c r="J160" i="13"/>
  <c r="L156" i="13"/>
  <c r="L149" i="13"/>
  <c r="O150" i="13"/>
  <c r="L135" i="13"/>
  <c r="P127" i="13"/>
  <c r="BK137" i="13"/>
  <c r="M108" i="13"/>
  <c r="J14" i="13"/>
  <c r="N90" i="13"/>
  <c r="N86" i="13"/>
  <c r="BA114" i="13"/>
  <c r="O98" i="13"/>
  <c r="AZ91" i="13"/>
  <c r="P89" i="13"/>
  <c r="BL15" i="13"/>
  <c r="BA91" i="13"/>
  <c r="O91" i="13" s="1"/>
  <c r="J13" i="13"/>
  <c r="BM19" i="13"/>
  <c r="M59" i="13"/>
  <c r="AY13" i="13"/>
  <c r="BN14" i="13"/>
  <c r="M41" i="13"/>
  <c r="E18" i="13"/>
  <c r="M18" i="13" s="1"/>
  <c r="H18" i="13"/>
  <c r="M54" i="13"/>
  <c r="AY8" i="13"/>
  <c r="P67" i="13"/>
  <c r="M43" i="13"/>
  <c r="AY20" i="13"/>
  <c r="AY68" i="13"/>
  <c r="M52" i="13"/>
  <c r="L33" i="13"/>
  <c r="AX10" i="13"/>
  <c r="P75" i="13"/>
  <c r="BB91" i="13"/>
  <c r="BL20" i="13"/>
  <c r="D9" i="13"/>
  <c r="BK20" i="13"/>
  <c r="BA68" i="13"/>
  <c r="O68" i="13" s="1"/>
  <c r="N34" i="13"/>
  <c r="AZ11" i="13"/>
  <c r="BL45" i="13"/>
  <c r="P88" i="13"/>
  <c r="E11" i="13"/>
  <c r="BK45" i="13"/>
  <c r="I15" i="13"/>
  <c r="D91" i="13"/>
  <c r="G38" i="13"/>
  <c r="F15" i="13"/>
  <c r="G15" i="13" s="1"/>
  <c r="BA16" i="13"/>
  <c r="AY12" i="13"/>
  <c r="BB21" i="13"/>
  <c r="AZ45" i="13"/>
  <c r="N121" i="13"/>
  <c r="AZ137" i="13"/>
  <c r="L37" i="13"/>
  <c r="AX14" i="13"/>
  <c r="L41" i="13"/>
  <c r="AX18" i="13"/>
  <c r="BM206" i="13"/>
  <c r="BM6" i="13"/>
  <c r="J206" i="13"/>
  <c r="O202" i="13"/>
  <c r="L197" i="13"/>
  <c r="P199" i="13"/>
  <c r="M204" i="13"/>
  <c r="BK206" i="13"/>
  <c r="BV6" i="13"/>
  <c r="BV22" i="13" s="1"/>
  <c r="N195" i="13"/>
  <c r="BB183" i="13"/>
  <c r="P183" i="13" s="1"/>
  <c r="P167" i="13"/>
  <c r="M174" i="13"/>
  <c r="P181" i="13"/>
  <c r="M178" i="13"/>
  <c r="N169" i="13"/>
  <c r="BB160" i="13"/>
  <c r="P144" i="13"/>
  <c r="N110" i="13"/>
  <c r="M136" i="13"/>
  <c r="L122" i="13"/>
  <c r="L129" i="13"/>
  <c r="M128" i="13"/>
  <c r="N131" i="13"/>
  <c r="O125" i="13"/>
  <c r="BN7" i="13"/>
  <c r="L113" i="13"/>
  <c r="O107" i="13"/>
  <c r="I114" i="13"/>
  <c r="BN114" i="13"/>
  <c r="BJ114" i="13"/>
  <c r="E91" i="13"/>
  <c r="M75" i="13"/>
  <c r="O90" i="13"/>
  <c r="O86" i="13"/>
  <c r="P107" i="13"/>
  <c r="N104" i="13"/>
  <c r="BN15" i="13"/>
  <c r="J9" i="13"/>
  <c r="BL13" i="13"/>
  <c r="I9" i="13"/>
  <c r="P9" i="13" s="1"/>
  <c r="AX114" i="13"/>
  <c r="L114" i="13" s="1"/>
  <c r="M60" i="13"/>
  <c r="AY14" i="13"/>
  <c r="E14" i="13"/>
  <c r="M37" i="13"/>
  <c r="M63" i="13"/>
  <c r="AY17" i="13"/>
  <c r="O55" i="13"/>
  <c r="BA9" i="13"/>
  <c r="M66" i="13"/>
  <c r="J19" i="13"/>
  <c r="BK91" i="13"/>
  <c r="L31" i="13"/>
  <c r="AX8" i="13"/>
  <c r="AX20" i="13"/>
  <c r="L43" i="13"/>
  <c r="I91" i="13"/>
  <c r="E19" i="13"/>
  <c r="N32" i="13"/>
  <c r="AZ9" i="13"/>
  <c r="AY19" i="13"/>
  <c r="E21" i="13"/>
  <c r="P33" i="13"/>
  <c r="BB10" i="13"/>
  <c r="F45" i="13"/>
  <c r="G29" i="13"/>
  <c r="F6" i="13"/>
  <c r="N36" i="13"/>
  <c r="AZ13" i="13"/>
  <c r="D17" i="13"/>
  <c r="AX91" i="13"/>
  <c r="L75" i="13"/>
  <c r="G43" i="13"/>
  <c r="F20" i="13"/>
  <c r="G20" i="13" s="1"/>
  <c r="N38" i="13"/>
  <c r="AZ15" i="13"/>
  <c r="AX13" i="13"/>
  <c r="BA45" i="13"/>
  <c r="BB7" i="13"/>
  <c r="AY16" i="13"/>
  <c r="N29" i="13"/>
  <c r="BK14" i="13"/>
  <c r="BT14" i="13"/>
  <c r="N31" i="13"/>
  <c r="AZ8" i="13"/>
  <c r="H160" i="13"/>
  <c r="BJ160" i="13"/>
  <c r="AY206" i="13"/>
  <c r="M190" i="13"/>
  <c r="L203" i="13"/>
  <c r="P195" i="13"/>
  <c r="M194" i="13"/>
  <c r="O205" i="13"/>
  <c r="P196" i="13"/>
  <c r="P194" i="13"/>
  <c r="P178" i="13"/>
  <c r="M181" i="13"/>
  <c r="P203" i="13"/>
  <c r="M177" i="13"/>
  <c r="N175" i="13"/>
  <c r="O171" i="13"/>
  <c r="BA183" i="13"/>
  <c r="O167" i="13"/>
  <c r="M176" i="13"/>
  <c r="BM7" i="13"/>
  <c r="P148" i="13"/>
  <c r="P157" i="13"/>
  <c r="O148" i="13"/>
  <c r="O153" i="13"/>
  <c r="O146" i="13"/>
  <c r="M150" i="13"/>
  <c r="P158" i="13"/>
  <c r="P151" i="13"/>
  <c r="M153" i="13"/>
  <c r="P130" i="13"/>
  <c r="D137" i="13"/>
  <c r="L134" i="13"/>
  <c r="L128" i="13"/>
  <c r="N111" i="13"/>
  <c r="L107" i="13"/>
  <c r="P124" i="13"/>
  <c r="N103" i="13"/>
  <c r="M110" i="13"/>
  <c r="BB114" i="13"/>
  <c r="P114" i="13" s="1"/>
  <c r="P98" i="13"/>
  <c r="BM15" i="13"/>
  <c r="H114" i="13"/>
  <c r="O84" i="13"/>
  <c r="BA15" i="13"/>
  <c r="J18" i="13"/>
  <c r="M101" i="13"/>
  <c r="AY9" i="13"/>
  <c r="E114" i="13"/>
  <c r="N61" i="13"/>
  <c r="P81" i="13"/>
  <c r="O65" i="13"/>
  <c r="P55" i="13"/>
  <c r="BJ13" i="13"/>
  <c r="O34" i="13"/>
  <c r="H11" i="13"/>
  <c r="I13" i="13"/>
  <c r="P13" i="13" s="1"/>
  <c r="N57" i="13"/>
  <c r="O40" i="13"/>
  <c r="BA17" i="13"/>
  <c r="AY91" i="13"/>
  <c r="M91" i="13" s="1"/>
  <c r="O60" i="13"/>
  <c r="BA14" i="13"/>
  <c r="M89" i="13"/>
  <c r="AZ17" i="13"/>
  <c r="N40" i="13"/>
  <c r="D8" i="13"/>
  <c r="D20" i="13"/>
  <c r="BB18" i="13"/>
  <c r="P41" i="13"/>
  <c r="G32" i="13"/>
  <c r="F9" i="13"/>
  <c r="G9" i="13" s="1"/>
  <c r="AY10" i="13"/>
  <c r="AZ21" i="13"/>
  <c r="N44" i="13"/>
  <c r="BA18" i="13"/>
  <c r="M87" i="13"/>
  <c r="G41" i="13"/>
  <c r="F18" i="13"/>
  <c r="G18" i="13" s="1"/>
  <c r="I10" i="13"/>
  <c r="G36" i="13"/>
  <c r="F13" i="13"/>
  <c r="G13" i="13" s="1"/>
  <c r="BJ17" i="13"/>
  <c r="H10" i="13"/>
  <c r="H20" i="13"/>
  <c r="E13" i="13"/>
  <c r="BK11" i="13"/>
  <c r="BA8" i="13"/>
  <c r="AZ12" i="13"/>
  <c r="BK7" i="13"/>
  <c r="AX19" i="13"/>
  <c r="O102" i="13"/>
  <c r="BA10" i="13"/>
  <c r="AZ206" i="13"/>
  <c r="N190" i="13"/>
  <c r="N171" i="13"/>
  <c r="L170" i="13"/>
  <c r="H183" i="13"/>
  <c r="M179" i="13"/>
  <c r="M168" i="13"/>
  <c r="AY7" i="13"/>
  <c r="O154" i="13"/>
  <c r="L146" i="13"/>
  <c r="P134" i="13"/>
  <c r="BN137" i="13"/>
  <c r="BM137" i="13"/>
  <c r="F137" i="13"/>
  <c r="G121" i="13"/>
  <c r="G137" i="13" s="1"/>
  <c r="AX137" i="13"/>
  <c r="L137" i="13" s="1"/>
  <c r="L121" i="13"/>
  <c r="L132" i="13"/>
  <c r="O111" i="13"/>
  <c r="L103" i="13"/>
  <c r="M102" i="13"/>
  <c r="N133" i="13"/>
  <c r="N112" i="13"/>
  <c r="BJ19" i="13"/>
  <c r="N83" i="13"/>
  <c r="AZ14" i="13"/>
  <c r="AZ114" i="13"/>
  <c r="N98" i="13"/>
  <c r="BK114" i="13"/>
  <c r="BT6" i="13"/>
  <c r="P60" i="13"/>
  <c r="BM8" i="13"/>
  <c r="D15" i="13"/>
  <c r="BM11" i="13"/>
  <c r="BJ7" i="13"/>
  <c r="E10" i="13"/>
  <c r="BN16" i="13"/>
  <c r="J10" i="13"/>
  <c r="J15" i="13"/>
  <c r="BL14" i="13"/>
  <c r="G40" i="13"/>
  <c r="F17" i="13"/>
  <c r="G17" i="13" s="1"/>
  <c r="G30" i="13"/>
  <c r="F7" i="13"/>
  <c r="G7" i="13" s="1"/>
  <c r="I18" i="13"/>
  <c r="J8" i="13"/>
  <c r="BJ6" i="13"/>
  <c r="G44" i="13"/>
  <c r="F21" i="13"/>
  <c r="G21" i="13" s="1"/>
  <c r="N59" i="13"/>
  <c r="D14" i="13"/>
  <c r="L84" i="13"/>
  <c r="BK16" i="13"/>
  <c r="BQ16" i="13"/>
  <c r="BB15" i="13"/>
  <c r="J12" i="13"/>
  <c r="AX21" i="13"/>
  <c r="H8" i="13"/>
  <c r="D18" i="13"/>
  <c r="G33" i="13"/>
  <c r="F10" i="13"/>
  <c r="G10" i="13" s="1"/>
  <c r="BK17" i="13"/>
  <c r="BK13" i="13"/>
  <c r="N35" i="13"/>
  <c r="BN6" i="13"/>
  <c r="H45" i="13"/>
  <c r="AZ16" i="13"/>
  <c r="N6" i="11"/>
  <c r="T6" i="11" s="1"/>
  <c r="M6" i="11"/>
  <c r="S6" i="11" s="1"/>
  <c r="L6" i="11"/>
  <c r="R6" i="11" s="1"/>
  <c r="M9" i="28"/>
  <c r="L9" i="28"/>
  <c r="K9" i="28"/>
  <c r="D7" i="28"/>
  <c r="R8" i="21"/>
  <c r="P8" i="21"/>
  <c r="O8" i="21"/>
  <c r="G7" i="28"/>
  <c r="F7" i="28"/>
  <c r="E7" i="28"/>
  <c r="P7" i="21"/>
  <c r="O7" i="21"/>
  <c r="D37" i="21"/>
  <c r="F5" i="21"/>
  <c r="E5" i="21"/>
  <c r="D5" i="21"/>
  <c r="P5" i="21"/>
  <c r="P5" i="28" s="1"/>
  <c r="N5" i="21"/>
  <c r="N18" i="21" s="1"/>
  <c r="D4" i="21"/>
  <c r="F42" i="21" l="1"/>
  <c r="E42" i="21" s="1"/>
  <c r="T8" i="21"/>
  <c r="S8" i="28" s="1"/>
  <c r="D18" i="21"/>
  <c r="O7" i="28"/>
  <c r="X7" i="21"/>
  <c r="W7" i="28" s="1"/>
  <c r="O22" i="21"/>
  <c r="D23" i="21"/>
  <c r="W7" i="21"/>
  <c r="V7" i="28" s="1"/>
  <c r="W9" i="21"/>
  <c r="V9" i="28" s="1"/>
  <c r="E23" i="21"/>
  <c r="X9" i="21"/>
  <c r="W9" i="28" s="1"/>
  <c r="F23" i="21"/>
  <c r="Y9" i="21"/>
  <c r="X9" i="28" s="1"/>
  <c r="O8" i="28"/>
  <c r="X8" i="21"/>
  <c r="W8" i="28" s="1"/>
  <c r="G23" i="21"/>
  <c r="Z9" i="21"/>
  <c r="Y9" i="28" s="1"/>
  <c r="P8" i="28"/>
  <c r="Y8" i="21"/>
  <c r="X8" i="28" s="1"/>
  <c r="R8" i="28"/>
  <c r="Z8" i="21"/>
  <c r="Y8" i="28" s="1"/>
  <c r="P7" i="28"/>
  <c r="Y7" i="21"/>
  <c r="X7" i="28" s="1"/>
  <c r="P22" i="21"/>
  <c r="D19" i="21"/>
  <c r="D4" i="28"/>
  <c r="D22" i="21"/>
  <c r="D13" i="27"/>
  <c r="E13" i="27" s="1"/>
  <c r="N5" i="28"/>
  <c r="F13" i="27"/>
  <c r="H13" i="27" s="1"/>
  <c r="I13" i="27" s="1"/>
  <c r="R5" i="28"/>
  <c r="D5" i="28"/>
  <c r="X5" i="21"/>
  <c r="W5" i="28" s="1"/>
  <c r="E5" i="28"/>
  <c r="F5" i="28"/>
  <c r="G5" i="28"/>
  <c r="E8" i="28"/>
  <c r="F8" i="28"/>
  <c r="D8" i="28"/>
  <c r="G8" i="28"/>
  <c r="F16" i="27"/>
  <c r="D16" i="27"/>
  <c r="E16" i="27" s="1"/>
  <c r="I5" i="21"/>
  <c r="L37" i="21" s="1"/>
  <c r="H5" i="21"/>
  <c r="H37" i="21" s="1"/>
  <c r="H7" i="28"/>
  <c r="I7" i="28"/>
  <c r="V8" i="21"/>
  <c r="U8" i="21"/>
  <c r="V5" i="21"/>
  <c r="U5" i="21"/>
  <c r="V50" i="26"/>
  <c r="Y6" i="13"/>
  <c r="M160" i="13"/>
  <c r="L68" i="13"/>
  <c r="N114" i="13"/>
  <c r="L160" i="13"/>
  <c r="P45" i="13"/>
  <c r="BQ22" i="13"/>
  <c r="M7" i="28"/>
  <c r="Q33" i="23"/>
  <c r="Q47" i="23" s="1"/>
  <c r="Q48" i="23" s="1"/>
  <c r="BJ22" i="13"/>
  <c r="P137" i="13"/>
  <c r="O45" i="13"/>
  <c r="M137" i="13"/>
  <c r="M6" i="13"/>
  <c r="N160" i="13"/>
  <c r="BR22" i="13"/>
  <c r="M183" i="13"/>
  <c r="K5" i="21"/>
  <c r="K23" i="21" s="1"/>
  <c r="BA22" i="13"/>
  <c r="P206" i="13"/>
  <c r="AA7" i="13"/>
  <c r="O6" i="13"/>
  <c r="N137" i="13"/>
  <c r="M114" i="13"/>
  <c r="L7" i="28"/>
  <c r="L5" i="21"/>
  <c r="L23" i="21" s="1"/>
  <c r="W5" i="21"/>
  <c r="V5" i="28" s="1"/>
  <c r="J7" i="28"/>
  <c r="K7" i="28"/>
  <c r="J5" i="21"/>
  <c r="J23" i="21" s="1"/>
  <c r="M5" i="21"/>
  <c r="M23" i="21" s="1"/>
  <c r="Y5" i="21"/>
  <c r="X5" i="28" s="1"/>
  <c r="U22" i="13"/>
  <c r="AA22" i="13" s="1"/>
  <c r="BM23" i="13" s="1"/>
  <c r="G6" i="13"/>
  <c r="G22" i="13" s="1"/>
  <c r="F22" i="13"/>
  <c r="O13" i="13"/>
  <c r="U13" i="13"/>
  <c r="AA13" i="13" s="1"/>
  <c r="BN22" i="13"/>
  <c r="L21" i="13"/>
  <c r="R21" i="13"/>
  <c r="X21" i="13" s="1"/>
  <c r="N206" i="13"/>
  <c r="G45" i="13"/>
  <c r="M68" i="13"/>
  <c r="J22" i="13"/>
  <c r="L11" i="13"/>
  <c r="R11" i="13"/>
  <c r="X11" i="13" s="1"/>
  <c r="U12" i="13"/>
  <c r="AA12" i="13" s="1"/>
  <c r="O12" i="13"/>
  <c r="U11" i="13"/>
  <c r="AA11" i="13" s="1"/>
  <c r="O11" i="13"/>
  <c r="AA6" i="13"/>
  <c r="T16" i="13"/>
  <c r="Z16" i="13" s="1"/>
  <c r="N16" i="13"/>
  <c r="N14" i="13"/>
  <c r="T14" i="13"/>
  <c r="Z14" i="13" s="1"/>
  <c r="O14" i="13"/>
  <c r="U14" i="13"/>
  <c r="AA14" i="13" s="1"/>
  <c r="S14" i="13"/>
  <c r="Y14" i="13" s="1"/>
  <c r="M14" i="13"/>
  <c r="M7" i="13"/>
  <c r="S7" i="13"/>
  <c r="Y7" i="13" s="1"/>
  <c r="U10" i="13"/>
  <c r="AA10" i="13" s="1"/>
  <c r="O10" i="13"/>
  <c r="V18" i="13"/>
  <c r="AB18" i="13" s="1"/>
  <c r="P18" i="13"/>
  <c r="O15" i="13"/>
  <c r="U15" i="13"/>
  <c r="AA15" i="13" s="1"/>
  <c r="O9" i="13"/>
  <c r="U9" i="13"/>
  <c r="AA9" i="13" s="1"/>
  <c r="BM22" i="13"/>
  <c r="N45" i="13"/>
  <c r="S20" i="13"/>
  <c r="Y20" i="13" s="1"/>
  <c r="M20" i="13"/>
  <c r="N91" i="13"/>
  <c r="V17" i="13"/>
  <c r="AB17" i="13" s="1"/>
  <c r="P17" i="13"/>
  <c r="O20" i="13"/>
  <c r="U20" i="13"/>
  <c r="AA20" i="13" s="1"/>
  <c r="N18" i="13"/>
  <c r="T18" i="13"/>
  <c r="Z18" i="13" s="1"/>
  <c r="D22" i="13"/>
  <c r="L206" i="13"/>
  <c r="AY22" i="13"/>
  <c r="BL22" i="13"/>
  <c r="AZ22" i="13"/>
  <c r="U18" i="13"/>
  <c r="AA18" i="13" s="1"/>
  <c r="O18" i="13"/>
  <c r="U17" i="13"/>
  <c r="AA17" i="13" s="1"/>
  <c r="O17" i="13"/>
  <c r="M206" i="13"/>
  <c r="P10" i="13"/>
  <c r="V10" i="13"/>
  <c r="AB10" i="13" s="1"/>
  <c r="P160" i="13"/>
  <c r="P21" i="13"/>
  <c r="V21" i="13"/>
  <c r="AB21" i="13" s="1"/>
  <c r="M13" i="13"/>
  <c r="S13" i="13"/>
  <c r="Y13" i="13" s="1"/>
  <c r="M11" i="13"/>
  <c r="S11" i="13"/>
  <c r="Y11" i="13" s="1"/>
  <c r="U21" i="13"/>
  <c r="AA21" i="13" s="1"/>
  <c r="O21" i="13"/>
  <c r="AX22" i="13"/>
  <c r="L6" i="13"/>
  <c r="R6" i="13"/>
  <c r="X6" i="13" s="1"/>
  <c r="L12" i="13"/>
  <c r="R12" i="13"/>
  <c r="X12" i="13" s="1"/>
  <c r="P6" i="13"/>
  <c r="BB22" i="13"/>
  <c r="V6" i="13"/>
  <c r="AB6" i="13" s="1"/>
  <c r="L17" i="13"/>
  <c r="R17" i="13"/>
  <c r="X17" i="13" s="1"/>
  <c r="T21" i="13"/>
  <c r="Z21" i="13" s="1"/>
  <c r="N21" i="13"/>
  <c r="T20" i="13"/>
  <c r="Z20" i="13" s="1"/>
  <c r="N20" i="13"/>
  <c r="P15" i="13"/>
  <c r="V15" i="13"/>
  <c r="AB15" i="13" s="1"/>
  <c r="S16" i="13"/>
  <c r="Y16" i="13" s="1"/>
  <c r="M16" i="13"/>
  <c r="BT22" i="13"/>
  <c r="R19" i="13"/>
  <c r="X19" i="13" s="1"/>
  <c r="L19" i="13"/>
  <c r="P7" i="13"/>
  <c r="V7" i="13"/>
  <c r="AB7" i="13" s="1"/>
  <c r="L91" i="13"/>
  <c r="R20" i="13"/>
  <c r="X20" i="13" s="1"/>
  <c r="L20" i="13"/>
  <c r="M17" i="13"/>
  <c r="S17" i="13"/>
  <c r="Y17" i="13" s="1"/>
  <c r="L18" i="13"/>
  <c r="R18" i="13"/>
  <c r="X18" i="13" s="1"/>
  <c r="M12" i="13"/>
  <c r="S12" i="13"/>
  <c r="Y12" i="13" s="1"/>
  <c r="P91" i="13"/>
  <c r="O114" i="13"/>
  <c r="O206" i="13"/>
  <c r="S21" i="13"/>
  <c r="Y21" i="13" s="1"/>
  <c r="M21" i="13"/>
  <c r="V12" i="13"/>
  <c r="AB12" i="13" s="1"/>
  <c r="P12" i="13"/>
  <c r="V11" i="13"/>
  <c r="AB11" i="13" s="1"/>
  <c r="P11" i="13"/>
  <c r="L45" i="13"/>
  <c r="P8" i="13"/>
  <c r="V8" i="13"/>
  <c r="AB8" i="13" s="1"/>
  <c r="P16" i="13"/>
  <c r="V16" i="13"/>
  <c r="AB16" i="13" s="1"/>
  <c r="AB13" i="13"/>
  <c r="Y18" i="13"/>
  <c r="AB9" i="13"/>
  <c r="O183" i="13"/>
  <c r="R8" i="13"/>
  <c r="X8" i="13" s="1"/>
  <c r="L8" i="13"/>
  <c r="U16" i="13"/>
  <c r="AA16" i="13" s="1"/>
  <c r="O16" i="13"/>
  <c r="S8" i="13"/>
  <c r="Y8" i="13" s="1"/>
  <c r="M8" i="13"/>
  <c r="P20" i="13"/>
  <c r="V20" i="13"/>
  <c r="AB20" i="13" s="1"/>
  <c r="BK22" i="13"/>
  <c r="P14" i="13"/>
  <c r="V14" i="13"/>
  <c r="AB14" i="13" s="1"/>
  <c r="I22" i="13"/>
  <c r="E22" i="13"/>
  <c r="R9" i="13"/>
  <c r="X9" i="13" s="1"/>
  <c r="L9" i="13"/>
  <c r="N12" i="13"/>
  <c r="T12" i="13"/>
  <c r="Z12" i="13" s="1"/>
  <c r="S10" i="13"/>
  <c r="Y10" i="13" s="1"/>
  <c r="M10" i="13"/>
  <c r="T17" i="13"/>
  <c r="Z17" i="13" s="1"/>
  <c r="N17" i="13"/>
  <c r="N8" i="13"/>
  <c r="T8" i="13"/>
  <c r="Z8" i="13" s="1"/>
  <c r="R13" i="13"/>
  <c r="X13" i="13" s="1"/>
  <c r="L13" i="13"/>
  <c r="N13" i="13"/>
  <c r="T13" i="13"/>
  <c r="Z13" i="13" s="1"/>
  <c r="S19" i="13"/>
  <c r="Y19" i="13" s="1"/>
  <c r="M19" i="13"/>
  <c r="R14" i="13"/>
  <c r="X14" i="13" s="1"/>
  <c r="L14" i="13"/>
  <c r="T11" i="13"/>
  <c r="Z11" i="13" s="1"/>
  <c r="N11" i="13"/>
  <c r="L10" i="13"/>
  <c r="R10" i="13"/>
  <c r="X10" i="13" s="1"/>
  <c r="N68" i="13"/>
  <c r="O160" i="13"/>
  <c r="N7" i="13"/>
  <c r="T7" i="13"/>
  <c r="Z7" i="13" s="1"/>
  <c r="L16" i="13"/>
  <c r="R16" i="13"/>
  <c r="X16" i="13" s="1"/>
  <c r="R7" i="13"/>
  <c r="X7" i="13" s="1"/>
  <c r="L7" i="13"/>
  <c r="Z6" i="13"/>
  <c r="AA19" i="13"/>
  <c r="O8" i="13"/>
  <c r="U8" i="13"/>
  <c r="AA8" i="13" s="1"/>
  <c r="S9" i="13"/>
  <c r="Y9" i="13" s="1"/>
  <c r="M9" i="13"/>
  <c r="T15" i="13"/>
  <c r="Z15" i="13" s="1"/>
  <c r="N15" i="13"/>
  <c r="T9" i="13"/>
  <c r="Z9" i="13" s="1"/>
  <c r="N9" i="13"/>
  <c r="H22" i="13"/>
  <c r="O22" i="13" s="1"/>
  <c r="S15" i="13"/>
  <c r="Y15" i="13" s="1"/>
  <c r="M15" i="13"/>
  <c r="T10" i="13"/>
  <c r="Z10" i="13" s="1"/>
  <c r="N10" i="13"/>
  <c r="R15" i="13"/>
  <c r="X15" i="13" s="1"/>
  <c r="L15" i="13"/>
  <c r="N19" i="13"/>
  <c r="T19" i="13"/>
  <c r="Z19" i="13" s="1"/>
  <c r="V19" i="13"/>
  <c r="AB19" i="13" s="1"/>
  <c r="P19" i="13"/>
  <c r="N6" i="13"/>
  <c r="V8" i="28"/>
  <c r="Y5" i="28"/>
  <c r="D25" i="21" l="1"/>
  <c r="D26" i="21" s="1"/>
  <c r="T5" i="28"/>
  <c r="U5" i="28"/>
  <c r="T8" i="28"/>
  <c r="AA8" i="21"/>
  <c r="Z8" i="28" s="1"/>
  <c r="H23" i="21"/>
  <c r="AA9" i="21"/>
  <c r="Z9" i="28" s="1"/>
  <c r="U8" i="28"/>
  <c r="AB8" i="21"/>
  <c r="AA8" i="28" s="1"/>
  <c r="I23" i="21"/>
  <c r="AB9" i="21"/>
  <c r="AA9" i="28" s="1"/>
  <c r="G13" i="27"/>
  <c r="M5" i="28"/>
  <c r="L5" i="28"/>
  <c r="J5" i="28"/>
  <c r="K5" i="28"/>
  <c r="I5" i="28"/>
  <c r="H5" i="28"/>
  <c r="H8" i="28"/>
  <c r="M8" i="28"/>
  <c r="K8" i="28"/>
  <c r="L8" i="28"/>
  <c r="J8" i="28"/>
  <c r="I8" i="28"/>
  <c r="AB5" i="21"/>
  <c r="AA5" i="28" s="1"/>
  <c r="AA5" i="21"/>
  <c r="Z5" i="28" s="1"/>
  <c r="H16" i="27"/>
  <c r="I16" i="27" s="1"/>
  <c r="G16" i="27"/>
  <c r="W50" i="26"/>
  <c r="R33" i="23"/>
  <c r="R47" i="23" s="1"/>
  <c r="R48" i="23" s="1"/>
  <c r="L22" i="13"/>
  <c r="R22" i="13"/>
  <c r="T22" i="13"/>
  <c r="N22" i="13"/>
  <c r="M22" i="13"/>
  <c r="S22" i="13"/>
  <c r="V22" i="13"/>
  <c r="P22" i="13"/>
  <c r="I44" i="19"/>
  <c r="R7" i="21"/>
  <c r="Y293" i="19"/>
  <c r="U293" i="19"/>
  <c r="S293" i="19"/>
  <c r="X292" i="19"/>
  <c r="W292" i="19"/>
  <c r="V292" i="19"/>
  <c r="N292" i="19"/>
  <c r="M292" i="19"/>
  <c r="L292" i="19"/>
  <c r="K292" i="19"/>
  <c r="X291" i="19"/>
  <c r="W291" i="19"/>
  <c r="V291" i="19"/>
  <c r="N291" i="19"/>
  <c r="M291" i="19"/>
  <c r="L291" i="19"/>
  <c r="K291" i="19"/>
  <c r="X290" i="19"/>
  <c r="W290" i="19"/>
  <c r="V290" i="19"/>
  <c r="N290" i="19"/>
  <c r="M290" i="19"/>
  <c r="L290" i="19"/>
  <c r="K290" i="19"/>
  <c r="X289" i="19"/>
  <c r="W289" i="19"/>
  <c r="V289" i="19"/>
  <c r="N289" i="19"/>
  <c r="M289" i="19"/>
  <c r="L289" i="19"/>
  <c r="K289" i="19"/>
  <c r="X288" i="19"/>
  <c r="W288" i="19"/>
  <c r="V288" i="19"/>
  <c r="N288" i="19"/>
  <c r="M288" i="19"/>
  <c r="L288" i="19"/>
  <c r="K288" i="19"/>
  <c r="X287" i="19"/>
  <c r="W287" i="19"/>
  <c r="V287" i="19"/>
  <c r="N287" i="19"/>
  <c r="M287" i="19"/>
  <c r="L287" i="19"/>
  <c r="K287" i="19"/>
  <c r="X286" i="19"/>
  <c r="W286" i="19"/>
  <c r="V286" i="19"/>
  <c r="N286" i="19"/>
  <c r="M286" i="19"/>
  <c r="L286" i="19"/>
  <c r="K286" i="19"/>
  <c r="X285" i="19"/>
  <c r="W285" i="19"/>
  <c r="V285" i="19"/>
  <c r="N285" i="19"/>
  <c r="M285" i="19"/>
  <c r="L285" i="19"/>
  <c r="K285" i="19"/>
  <c r="X284" i="19"/>
  <c r="W284" i="19"/>
  <c r="V284" i="19"/>
  <c r="N284" i="19"/>
  <c r="M284" i="19"/>
  <c r="L284" i="19"/>
  <c r="K284" i="19"/>
  <c r="X283" i="19"/>
  <c r="W283" i="19"/>
  <c r="V283" i="19"/>
  <c r="N283" i="19"/>
  <c r="M283" i="19"/>
  <c r="L283" i="19"/>
  <c r="K283" i="19"/>
  <c r="X282" i="19"/>
  <c r="W282" i="19"/>
  <c r="V282" i="19"/>
  <c r="N282" i="19"/>
  <c r="M282" i="19"/>
  <c r="L282" i="19"/>
  <c r="K282" i="19"/>
  <c r="X281" i="19"/>
  <c r="W281" i="19"/>
  <c r="V281" i="19"/>
  <c r="N281" i="19"/>
  <c r="M281" i="19"/>
  <c r="L281" i="19"/>
  <c r="K281" i="19"/>
  <c r="X280" i="19"/>
  <c r="W280" i="19"/>
  <c r="V280" i="19"/>
  <c r="N280" i="19"/>
  <c r="M280" i="19"/>
  <c r="L280" i="19"/>
  <c r="K280" i="19"/>
  <c r="X279" i="19"/>
  <c r="W279" i="19"/>
  <c r="V279" i="19"/>
  <c r="N279" i="19"/>
  <c r="M279" i="19"/>
  <c r="L279" i="19"/>
  <c r="K279" i="19"/>
  <c r="X278" i="19"/>
  <c r="X293" i="19" s="1"/>
  <c r="W278" i="19"/>
  <c r="V278" i="19"/>
  <c r="N278" i="19"/>
  <c r="M278" i="19"/>
  <c r="L278" i="19"/>
  <c r="K278" i="19"/>
  <c r="X277" i="19"/>
  <c r="W277" i="19"/>
  <c r="W293" i="19" s="1"/>
  <c r="V277" i="19"/>
  <c r="V293" i="19" s="1"/>
  <c r="N277" i="19"/>
  <c r="M277" i="19"/>
  <c r="L277" i="19"/>
  <c r="K277" i="19"/>
  <c r="K293" i="19" s="1"/>
  <c r="Y271" i="19"/>
  <c r="U271" i="19"/>
  <c r="S271" i="19"/>
  <c r="X270" i="19"/>
  <c r="W270" i="19"/>
  <c r="V270" i="19"/>
  <c r="N270" i="19"/>
  <c r="M270" i="19"/>
  <c r="L270" i="19"/>
  <c r="K270" i="19"/>
  <c r="X269" i="19"/>
  <c r="W269" i="19"/>
  <c r="V269" i="19"/>
  <c r="N269" i="19"/>
  <c r="M269" i="19"/>
  <c r="L269" i="19"/>
  <c r="K269" i="19"/>
  <c r="X268" i="19"/>
  <c r="W268" i="19"/>
  <c r="V268" i="19"/>
  <c r="N268" i="19"/>
  <c r="M268" i="19"/>
  <c r="L268" i="19"/>
  <c r="K268" i="19"/>
  <c r="X267" i="19"/>
  <c r="W267" i="19"/>
  <c r="V267" i="19"/>
  <c r="N267" i="19"/>
  <c r="M267" i="19"/>
  <c r="L267" i="19"/>
  <c r="K267" i="19"/>
  <c r="X266" i="19"/>
  <c r="W266" i="19"/>
  <c r="V266" i="19"/>
  <c r="N266" i="19"/>
  <c r="M266" i="19"/>
  <c r="L266" i="19"/>
  <c r="K266" i="19"/>
  <c r="X265" i="19"/>
  <c r="W265" i="19"/>
  <c r="V265" i="19"/>
  <c r="N265" i="19"/>
  <c r="M265" i="19"/>
  <c r="L265" i="19"/>
  <c r="K265" i="19"/>
  <c r="X264" i="19"/>
  <c r="W264" i="19"/>
  <c r="V264" i="19"/>
  <c r="N264" i="19"/>
  <c r="M264" i="19"/>
  <c r="L264" i="19"/>
  <c r="K264" i="19"/>
  <c r="X263" i="19"/>
  <c r="W263" i="19"/>
  <c r="V263" i="19"/>
  <c r="N263" i="19"/>
  <c r="M263" i="19"/>
  <c r="L263" i="19"/>
  <c r="K263" i="19"/>
  <c r="X262" i="19"/>
  <c r="W262" i="19"/>
  <c r="V262" i="19"/>
  <c r="N262" i="19"/>
  <c r="M262" i="19"/>
  <c r="L262" i="19"/>
  <c r="K262" i="19"/>
  <c r="X261" i="19"/>
  <c r="W261" i="19"/>
  <c r="V261" i="19"/>
  <c r="N261" i="19"/>
  <c r="M261" i="19"/>
  <c r="L261" i="19"/>
  <c r="K261" i="19"/>
  <c r="X260" i="19"/>
  <c r="W260" i="19"/>
  <c r="V260" i="19"/>
  <c r="N260" i="19"/>
  <c r="M260" i="19"/>
  <c r="L260" i="19"/>
  <c r="K260" i="19"/>
  <c r="X259" i="19"/>
  <c r="W259" i="19"/>
  <c r="V259" i="19"/>
  <c r="N259" i="19"/>
  <c r="M259" i="19"/>
  <c r="L259" i="19"/>
  <c r="K259" i="19"/>
  <c r="X258" i="19"/>
  <c r="W258" i="19"/>
  <c r="V258" i="19"/>
  <c r="N258" i="19"/>
  <c r="M258" i="19"/>
  <c r="L258" i="19"/>
  <c r="K258" i="19"/>
  <c r="X257" i="19"/>
  <c r="W257" i="19"/>
  <c r="V257" i="19"/>
  <c r="N257" i="19"/>
  <c r="M257" i="19"/>
  <c r="L257" i="19"/>
  <c r="K257" i="19"/>
  <c r="X256" i="19"/>
  <c r="W256" i="19"/>
  <c r="W271" i="19" s="1"/>
  <c r="V256" i="19"/>
  <c r="N256" i="19"/>
  <c r="M256" i="19"/>
  <c r="L256" i="19"/>
  <c r="K256" i="19"/>
  <c r="X255" i="19"/>
  <c r="X271" i="19" s="1"/>
  <c r="W255" i="19"/>
  <c r="V255" i="19"/>
  <c r="V271" i="19" s="1"/>
  <c r="N255" i="19"/>
  <c r="N271" i="19" s="1"/>
  <c r="M255" i="19"/>
  <c r="L255" i="19"/>
  <c r="K255" i="19"/>
  <c r="K271" i="19" s="1"/>
  <c r="Y249" i="19"/>
  <c r="U249" i="19"/>
  <c r="S249" i="19"/>
  <c r="X248" i="19"/>
  <c r="W248" i="19"/>
  <c r="V248" i="19"/>
  <c r="N248" i="19"/>
  <c r="M248" i="19"/>
  <c r="L248" i="19"/>
  <c r="K248" i="19"/>
  <c r="X247" i="19"/>
  <c r="W247" i="19"/>
  <c r="V247" i="19"/>
  <c r="N247" i="19"/>
  <c r="M247" i="19"/>
  <c r="L247" i="19"/>
  <c r="K247" i="19"/>
  <c r="X246" i="19"/>
  <c r="W246" i="19"/>
  <c r="V246" i="19"/>
  <c r="N246" i="19"/>
  <c r="M246" i="19"/>
  <c r="L246" i="19"/>
  <c r="K246" i="19"/>
  <c r="X245" i="19"/>
  <c r="W245" i="19"/>
  <c r="V245" i="19"/>
  <c r="N245" i="19"/>
  <c r="M245" i="19"/>
  <c r="L245" i="19"/>
  <c r="K245" i="19"/>
  <c r="X244" i="19"/>
  <c r="W244" i="19"/>
  <c r="V244" i="19"/>
  <c r="N244" i="19"/>
  <c r="M244" i="19"/>
  <c r="L244" i="19"/>
  <c r="K244" i="19"/>
  <c r="X243" i="19"/>
  <c r="W243" i="19"/>
  <c r="V243" i="19"/>
  <c r="N243" i="19"/>
  <c r="M243" i="19"/>
  <c r="L243" i="19"/>
  <c r="K243" i="19"/>
  <c r="X242" i="19"/>
  <c r="W242" i="19"/>
  <c r="V242" i="19"/>
  <c r="N242" i="19"/>
  <c r="M242" i="19"/>
  <c r="L242" i="19"/>
  <c r="K242" i="19"/>
  <c r="X241" i="19"/>
  <c r="W241" i="19"/>
  <c r="V241" i="19"/>
  <c r="N241" i="19"/>
  <c r="M241" i="19"/>
  <c r="L241" i="19"/>
  <c r="K241" i="19"/>
  <c r="X240" i="19"/>
  <c r="W240" i="19"/>
  <c r="V240" i="19"/>
  <c r="N240" i="19"/>
  <c r="M240" i="19"/>
  <c r="L240" i="19"/>
  <c r="K240" i="19"/>
  <c r="X239" i="19"/>
  <c r="W239" i="19"/>
  <c r="V239" i="19"/>
  <c r="N239" i="19"/>
  <c r="M239" i="19"/>
  <c r="L239" i="19"/>
  <c r="K239" i="19"/>
  <c r="X238" i="19"/>
  <c r="W238" i="19"/>
  <c r="V238" i="19"/>
  <c r="N238" i="19"/>
  <c r="M238" i="19"/>
  <c r="L238" i="19"/>
  <c r="K238" i="19"/>
  <c r="X237" i="19"/>
  <c r="W237" i="19"/>
  <c r="V237" i="19"/>
  <c r="N237" i="19"/>
  <c r="M237" i="19"/>
  <c r="L237" i="19"/>
  <c r="K237" i="19"/>
  <c r="X236" i="19"/>
  <c r="W236" i="19"/>
  <c r="V236" i="19"/>
  <c r="N236" i="19"/>
  <c r="M236" i="19"/>
  <c r="L236" i="19"/>
  <c r="K236" i="19"/>
  <c r="X235" i="19"/>
  <c r="W235" i="19"/>
  <c r="V235" i="19"/>
  <c r="N235" i="19"/>
  <c r="M235" i="19"/>
  <c r="L235" i="19"/>
  <c r="K235" i="19"/>
  <c r="X234" i="19"/>
  <c r="W234" i="19"/>
  <c r="V234" i="19"/>
  <c r="V249" i="19" s="1"/>
  <c r="N234" i="19"/>
  <c r="M234" i="19"/>
  <c r="L234" i="19"/>
  <c r="K234" i="19"/>
  <c r="X233" i="19"/>
  <c r="X249" i="19" s="1"/>
  <c r="W233" i="19"/>
  <c r="W249" i="19" s="1"/>
  <c r="V233" i="19"/>
  <c r="N233" i="19"/>
  <c r="M233" i="19"/>
  <c r="L233" i="19"/>
  <c r="K233" i="19"/>
  <c r="Y227" i="19"/>
  <c r="U227" i="19"/>
  <c r="S227" i="19"/>
  <c r="X226" i="19"/>
  <c r="W226" i="19"/>
  <c r="V226" i="19"/>
  <c r="N226" i="19"/>
  <c r="M226" i="19"/>
  <c r="L226" i="19"/>
  <c r="K226" i="19"/>
  <c r="X225" i="19"/>
  <c r="W225" i="19"/>
  <c r="V225" i="19"/>
  <c r="N225" i="19"/>
  <c r="M225" i="19"/>
  <c r="L225" i="19"/>
  <c r="K225" i="19"/>
  <c r="X224" i="19"/>
  <c r="W224" i="19"/>
  <c r="V224" i="19"/>
  <c r="N224" i="19"/>
  <c r="M224" i="19"/>
  <c r="L224" i="19"/>
  <c r="K224" i="19"/>
  <c r="X223" i="19"/>
  <c r="W223" i="19"/>
  <c r="V223" i="19"/>
  <c r="N223" i="19"/>
  <c r="M223" i="19"/>
  <c r="L223" i="19"/>
  <c r="K223" i="19"/>
  <c r="X222" i="19"/>
  <c r="W222" i="19"/>
  <c r="V222" i="19"/>
  <c r="N222" i="19"/>
  <c r="M222" i="19"/>
  <c r="L222" i="19"/>
  <c r="K222" i="19"/>
  <c r="X221" i="19"/>
  <c r="W221" i="19"/>
  <c r="V221" i="19"/>
  <c r="N221" i="19"/>
  <c r="M221" i="19"/>
  <c r="L221" i="19"/>
  <c r="K221" i="19"/>
  <c r="X220" i="19"/>
  <c r="W220" i="19"/>
  <c r="V220" i="19"/>
  <c r="N220" i="19"/>
  <c r="M220" i="19"/>
  <c r="L220" i="19"/>
  <c r="K220" i="19"/>
  <c r="X219" i="19"/>
  <c r="W219" i="19"/>
  <c r="V219" i="19"/>
  <c r="N219" i="19"/>
  <c r="M219" i="19"/>
  <c r="L219" i="19"/>
  <c r="K219" i="19"/>
  <c r="X218" i="19"/>
  <c r="W218" i="19"/>
  <c r="V218" i="19"/>
  <c r="N218" i="19"/>
  <c r="M218" i="19"/>
  <c r="L218" i="19"/>
  <c r="K218" i="19"/>
  <c r="X217" i="19"/>
  <c r="W217" i="19"/>
  <c r="W227" i="19" s="1"/>
  <c r="V217" i="19"/>
  <c r="N217" i="19"/>
  <c r="M217" i="19"/>
  <c r="L217" i="19"/>
  <c r="K217" i="19"/>
  <c r="X216" i="19"/>
  <c r="W216" i="19"/>
  <c r="V216" i="19"/>
  <c r="N216" i="19"/>
  <c r="M216" i="19"/>
  <c r="L216" i="19"/>
  <c r="K216" i="19"/>
  <c r="X215" i="19"/>
  <c r="W215" i="19"/>
  <c r="V215" i="19"/>
  <c r="N215" i="19"/>
  <c r="M215" i="19"/>
  <c r="L215" i="19"/>
  <c r="K215" i="19"/>
  <c r="X214" i="19"/>
  <c r="W214" i="19"/>
  <c r="V214" i="19"/>
  <c r="N214" i="19"/>
  <c r="M214" i="19"/>
  <c r="L214" i="19"/>
  <c r="K214" i="19"/>
  <c r="X213" i="19"/>
  <c r="W213" i="19"/>
  <c r="V213" i="19"/>
  <c r="N213" i="19"/>
  <c r="M213" i="19"/>
  <c r="L213" i="19"/>
  <c r="K213" i="19"/>
  <c r="X212" i="19"/>
  <c r="X227" i="19" s="1"/>
  <c r="W212" i="19"/>
  <c r="V212" i="19"/>
  <c r="N212" i="19"/>
  <c r="M212" i="19"/>
  <c r="L212" i="19"/>
  <c r="K212" i="19"/>
  <c r="X211" i="19"/>
  <c r="W211" i="19"/>
  <c r="V211" i="19"/>
  <c r="V227" i="19" s="1"/>
  <c r="N211" i="19"/>
  <c r="M211" i="19"/>
  <c r="L211" i="19"/>
  <c r="L227" i="19" s="1"/>
  <c r="K211" i="19"/>
  <c r="K227" i="19" s="1"/>
  <c r="Y205" i="19"/>
  <c r="U205" i="19"/>
  <c r="S205" i="19"/>
  <c r="X204" i="19"/>
  <c r="W204" i="19"/>
  <c r="V204" i="19"/>
  <c r="N204" i="19"/>
  <c r="M204" i="19"/>
  <c r="L204" i="19"/>
  <c r="K204" i="19"/>
  <c r="X203" i="19"/>
  <c r="W203" i="19"/>
  <c r="V203" i="19"/>
  <c r="N203" i="19"/>
  <c r="M203" i="19"/>
  <c r="L203" i="19"/>
  <c r="K203" i="19"/>
  <c r="X202" i="19"/>
  <c r="W202" i="19"/>
  <c r="V202" i="19"/>
  <c r="N202" i="19"/>
  <c r="M202" i="19"/>
  <c r="L202" i="19"/>
  <c r="K202" i="19"/>
  <c r="X201" i="19"/>
  <c r="W201" i="19"/>
  <c r="V201" i="19"/>
  <c r="N201" i="19"/>
  <c r="M201" i="19"/>
  <c r="L201" i="19"/>
  <c r="K201" i="19"/>
  <c r="X200" i="19"/>
  <c r="W200" i="19"/>
  <c r="V200" i="19"/>
  <c r="N200" i="19"/>
  <c r="M200" i="19"/>
  <c r="L200" i="19"/>
  <c r="K200" i="19"/>
  <c r="X199" i="19"/>
  <c r="W199" i="19"/>
  <c r="V199" i="19"/>
  <c r="N199" i="19"/>
  <c r="M199" i="19"/>
  <c r="L199" i="19"/>
  <c r="K199" i="19"/>
  <c r="X198" i="19"/>
  <c r="W198" i="19"/>
  <c r="V198" i="19"/>
  <c r="N198" i="19"/>
  <c r="M198" i="19"/>
  <c r="L198" i="19"/>
  <c r="K198" i="19"/>
  <c r="X197" i="19"/>
  <c r="W197" i="19"/>
  <c r="V197" i="19"/>
  <c r="N197" i="19"/>
  <c r="M197" i="19"/>
  <c r="L197" i="19"/>
  <c r="K197" i="19"/>
  <c r="X196" i="19"/>
  <c r="W196" i="19"/>
  <c r="V196" i="19"/>
  <c r="N196" i="19"/>
  <c r="M196" i="19"/>
  <c r="L196" i="19"/>
  <c r="K196" i="19"/>
  <c r="X195" i="19"/>
  <c r="W195" i="19"/>
  <c r="V195" i="19"/>
  <c r="N195" i="19"/>
  <c r="M195" i="19"/>
  <c r="L195" i="19"/>
  <c r="K195" i="19"/>
  <c r="X194" i="19"/>
  <c r="W194" i="19"/>
  <c r="V194" i="19"/>
  <c r="N194" i="19"/>
  <c r="M194" i="19"/>
  <c r="L194" i="19"/>
  <c r="K194" i="19"/>
  <c r="X193" i="19"/>
  <c r="W193" i="19"/>
  <c r="V193" i="19"/>
  <c r="N193" i="19"/>
  <c r="M193" i="19"/>
  <c r="L193" i="19"/>
  <c r="K193" i="19"/>
  <c r="X192" i="19"/>
  <c r="W192" i="19"/>
  <c r="V192" i="19"/>
  <c r="N192" i="19"/>
  <c r="M192" i="19"/>
  <c r="L192" i="19"/>
  <c r="K192" i="19"/>
  <c r="X191" i="19"/>
  <c r="W191" i="19"/>
  <c r="V191" i="19"/>
  <c r="N191" i="19"/>
  <c r="M191" i="19"/>
  <c r="L191" i="19"/>
  <c r="K191" i="19"/>
  <c r="X190" i="19"/>
  <c r="W190" i="19"/>
  <c r="V190" i="19"/>
  <c r="N190" i="19"/>
  <c r="M190" i="19"/>
  <c r="L190" i="19"/>
  <c r="K190" i="19"/>
  <c r="X189" i="19"/>
  <c r="X205" i="19" s="1"/>
  <c r="W189" i="19"/>
  <c r="W205" i="19" s="1"/>
  <c r="V189" i="19"/>
  <c r="V205" i="19" s="1"/>
  <c r="N189" i="19"/>
  <c r="M189" i="19"/>
  <c r="L189" i="19"/>
  <c r="K189" i="19"/>
  <c r="K205" i="19" s="1"/>
  <c r="Y183" i="19"/>
  <c r="U183" i="19"/>
  <c r="S183" i="19"/>
  <c r="X182" i="19"/>
  <c r="W182" i="19"/>
  <c r="V182" i="19"/>
  <c r="N182" i="19"/>
  <c r="M182" i="19"/>
  <c r="L182" i="19"/>
  <c r="K182" i="19"/>
  <c r="X181" i="19"/>
  <c r="W181" i="19"/>
  <c r="V181" i="19"/>
  <c r="N181" i="19"/>
  <c r="M181" i="19"/>
  <c r="L181" i="19"/>
  <c r="K181" i="19"/>
  <c r="X180" i="19"/>
  <c r="W180" i="19"/>
  <c r="V180" i="19"/>
  <c r="N180" i="19"/>
  <c r="M180" i="19"/>
  <c r="L180" i="19"/>
  <c r="K180" i="19"/>
  <c r="X179" i="19"/>
  <c r="W179" i="19"/>
  <c r="V179" i="19"/>
  <c r="N179" i="19"/>
  <c r="M179" i="19"/>
  <c r="L179" i="19"/>
  <c r="K179" i="19"/>
  <c r="X178" i="19"/>
  <c r="W178" i="19"/>
  <c r="V178" i="19"/>
  <c r="N178" i="19"/>
  <c r="M178" i="19"/>
  <c r="L178" i="19"/>
  <c r="K178" i="19"/>
  <c r="X177" i="19"/>
  <c r="W177" i="19"/>
  <c r="V177" i="19"/>
  <c r="N177" i="19"/>
  <c r="M177" i="19"/>
  <c r="L177" i="19"/>
  <c r="K177" i="19"/>
  <c r="X176" i="19"/>
  <c r="W176" i="19"/>
  <c r="V176" i="19"/>
  <c r="N176" i="19"/>
  <c r="M176" i="19"/>
  <c r="L176" i="19"/>
  <c r="K176" i="19"/>
  <c r="X175" i="19"/>
  <c r="W175" i="19"/>
  <c r="V175" i="19"/>
  <c r="N175" i="19"/>
  <c r="M175" i="19"/>
  <c r="L175" i="19"/>
  <c r="K175" i="19"/>
  <c r="X174" i="19"/>
  <c r="W174" i="19"/>
  <c r="V174" i="19"/>
  <c r="N174" i="19"/>
  <c r="M174" i="19"/>
  <c r="L174" i="19"/>
  <c r="K174" i="19"/>
  <c r="X173" i="19"/>
  <c r="W173" i="19"/>
  <c r="V173" i="19"/>
  <c r="N173" i="19"/>
  <c r="M173" i="19"/>
  <c r="L173" i="19"/>
  <c r="K173" i="19"/>
  <c r="X172" i="19"/>
  <c r="W172" i="19"/>
  <c r="V172" i="19"/>
  <c r="N172" i="19"/>
  <c r="M172" i="19"/>
  <c r="L172" i="19"/>
  <c r="K172" i="19"/>
  <c r="X171" i="19"/>
  <c r="W171" i="19"/>
  <c r="V171" i="19"/>
  <c r="N171" i="19"/>
  <c r="M171" i="19"/>
  <c r="L171" i="19"/>
  <c r="K171" i="19"/>
  <c r="X170" i="19"/>
  <c r="W170" i="19"/>
  <c r="V170" i="19"/>
  <c r="N170" i="19"/>
  <c r="M170" i="19"/>
  <c r="L170" i="19"/>
  <c r="K170" i="19"/>
  <c r="X169" i="19"/>
  <c r="W169" i="19"/>
  <c r="V169" i="19"/>
  <c r="N169" i="19"/>
  <c r="M169" i="19"/>
  <c r="L169" i="19"/>
  <c r="K169" i="19"/>
  <c r="X168" i="19"/>
  <c r="W168" i="19"/>
  <c r="V168" i="19"/>
  <c r="N168" i="19"/>
  <c r="M168" i="19"/>
  <c r="L168" i="19"/>
  <c r="K168" i="19"/>
  <c r="X167" i="19"/>
  <c r="X183" i="19" s="1"/>
  <c r="W167" i="19"/>
  <c r="W183" i="19" s="1"/>
  <c r="V167" i="19"/>
  <c r="V183" i="19" s="1"/>
  <c r="N167" i="19"/>
  <c r="M167" i="19"/>
  <c r="L167" i="19"/>
  <c r="K167" i="19"/>
  <c r="K183" i="19" s="1"/>
  <c r="Y160" i="19"/>
  <c r="U160" i="19"/>
  <c r="S160" i="19"/>
  <c r="X159" i="19"/>
  <c r="W159" i="19"/>
  <c r="V159" i="19"/>
  <c r="N159" i="19"/>
  <c r="M159" i="19"/>
  <c r="L159" i="19"/>
  <c r="K159" i="19"/>
  <c r="X158" i="19"/>
  <c r="W158" i="19"/>
  <c r="V158" i="19"/>
  <c r="N158" i="19"/>
  <c r="M158" i="19"/>
  <c r="L158" i="19"/>
  <c r="K158" i="19"/>
  <c r="X157" i="19"/>
  <c r="W157" i="19"/>
  <c r="V157" i="19"/>
  <c r="N157" i="19"/>
  <c r="M157" i="19"/>
  <c r="L157" i="19"/>
  <c r="K157" i="19"/>
  <c r="X156" i="19"/>
  <c r="W156" i="19"/>
  <c r="V156" i="19"/>
  <c r="N156" i="19"/>
  <c r="M156" i="19"/>
  <c r="L156" i="19"/>
  <c r="K156" i="19"/>
  <c r="X155" i="19"/>
  <c r="W155" i="19"/>
  <c r="V155" i="19"/>
  <c r="N155" i="19"/>
  <c r="M155" i="19"/>
  <c r="L155" i="19"/>
  <c r="K155" i="19"/>
  <c r="X154" i="19"/>
  <c r="W154" i="19"/>
  <c r="V154" i="19"/>
  <c r="N154" i="19"/>
  <c r="M154" i="19"/>
  <c r="L154" i="19"/>
  <c r="K154" i="19"/>
  <c r="X153" i="19"/>
  <c r="W153" i="19"/>
  <c r="V153" i="19"/>
  <c r="N153" i="19"/>
  <c r="M153" i="19"/>
  <c r="L153" i="19"/>
  <c r="K153" i="19"/>
  <c r="X152" i="19"/>
  <c r="W152" i="19"/>
  <c r="V152" i="19"/>
  <c r="N152" i="19"/>
  <c r="M152" i="19"/>
  <c r="L152" i="19"/>
  <c r="K152" i="19"/>
  <c r="X151" i="19"/>
  <c r="W151" i="19"/>
  <c r="V151" i="19"/>
  <c r="N151" i="19"/>
  <c r="M151" i="19"/>
  <c r="L151" i="19"/>
  <c r="K151" i="19"/>
  <c r="X150" i="19"/>
  <c r="W150" i="19"/>
  <c r="V150" i="19"/>
  <c r="N150" i="19"/>
  <c r="M150" i="19"/>
  <c r="L150" i="19"/>
  <c r="K150" i="19"/>
  <c r="X149" i="19"/>
  <c r="W149" i="19"/>
  <c r="V149" i="19"/>
  <c r="N149" i="19"/>
  <c r="M149" i="19"/>
  <c r="L149" i="19"/>
  <c r="K149" i="19"/>
  <c r="X148" i="19"/>
  <c r="W148" i="19"/>
  <c r="V148" i="19"/>
  <c r="N148" i="19"/>
  <c r="M148" i="19"/>
  <c r="L148" i="19"/>
  <c r="K148" i="19"/>
  <c r="X147" i="19"/>
  <c r="W147" i="19"/>
  <c r="V147" i="19"/>
  <c r="N147" i="19"/>
  <c r="M147" i="19"/>
  <c r="L147" i="19"/>
  <c r="K147" i="19"/>
  <c r="X146" i="19"/>
  <c r="W146" i="19"/>
  <c r="V146" i="19"/>
  <c r="N146" i="19"/>
  <c r="M146" i="19"/>
  <c r="L146" i="19"/>
  <c r="K146" i="19"/>
  <c r="X145" i="19"/>
  <c r="W145" i="19"/>
  <c r="V145" i="19"/>
  <c r="V160" i="19" s="1"/>
  <c r="N145" i="19"/>
  <c r="M145" i="19"/>
  <c r="L145" i="19"/>
  <c r="K145" i="19"/>
  <c r="X144" i="19"/>
  <c r="X160" i="19" s="1"/>
  <c r="W144" i="19"/>
  <c r="W160" i="19" s="1"/>
  <c r="V144" i="19"/>
  <c r="N144" i="19"/>
  <c r="M144" i="19"/>
  <c r="M160" i="19" s="1"/>
  <c r="L144" i="19"/>
  <c r="K144" i="19"/>
  <c r="K160" i="19" s="1"/>
  <c r="Y137" i="19"/>
  <c r="U137" i="19"/>
  <c r="S137" i="19"/>
  <c r="X136" i="19"/>
  <c r="W136" i="19"/>
  <c r="V136" i="19"/>
  <c r="N136" i="19"/>
  <c r="M136" i="19"/>
  <c r="L136" i="19"/>
  <c r="K136" i="19"/>
  <c r="X135" i="19"/>
  <c r="W135" i="19"/>
  <c r="V135" i="19"/>
  <c r="N135" i="19"/>
  <c r="M135" i="19"/>
  <c r="L135" i="19"/>
  <c r="K135" i="19"/>
  <c r="X134" i="19"/>
  <c r="W134" i="19"/>
  <c r="V134" i="19"/>
  <c r="N134" i="19"/>
  <c r="M134" i="19"/>
  <c r="L134" i="19"/>
  <c r="K134" i="19"/>
  <c r="X133" i="19"/>
  <c r="W133" i="19"/>
  <c r="V133" i="19"/>
  <c r="N133" i="19"/>
  <c r="M133" i="19"/>
  <c r="L133" i="19"/>
  <c r="K133" i="19"/>
  <c r="X132" i="19"/>
  <c r="W132" i="19"/>
  <c r="V132" i="19"/>
  <c r="N132" i="19"/>
  <c r="M132" i="19"/>
  <c r="L132" i="19"/>
  <c r="K132" i="19"/>
  <c r="X131" i="19"/>
  <c r="W131" i="19"/>
  <c r="V131" i="19"/>
  <c r="N131" i="19"/>
  <c r="M131" i="19"/>
  <c r="L131" i="19"/>
  <c r="K131" i="19"/>
  <c r="X130" i="19"/>
  <c r="W130" i="19"/>
  <c r="V130" i="19"/>
  <c r="N130" i="19"/>
  <c r="M130" i="19"/>
  <c r="L130" i="19"/>
  <c r="K130" i="19"/>
  <c r="X129" i="19"/>
  <c r="W129" i="19"/>
  <c r="V129" i="19"/>
  <c r="N129" i="19"/>
  <c r="M129" i="19"/>
  <c r="L129" i="19"/>
  <c r="K129" i="19"/>
  <c r="X128" i="19"/>
  <c r="W128" i="19"/>
  <c r="V128" i="19"/>
  <c r="N128" i="19"/>
  <c r="M128" i="19"/>
  <c r="L128" i="19"/>
  <c r="K128" i="19"/>
  <c r="X127" i="19"/>
  <c r="W127" i="19"/>
  <c r="W137" i="19" s="1"/>
  <c r="V127" i="19"/>
  <c r="N127" i="19"/>
  <c r="M127" i="19"/>
  <c r="L127" i="19"/>
  <c r="K127" i="19"/>
  <c r="X126" i="19"/>
  <c r="W126" i="19"/>
  <c r="V126" i="19"/>
  <c r="N126" i="19"/>
  <c r="M126" i="19"/>
  <c r="L126" i="19"/>
  <c r="K126" i="19"/>
  <c r="X125" i="19"/>
  <c r="W125" i="19"/>
  <c r="V125" i="19"/>
  <c r="N125" i="19"/>
  <c r="M125" i="19"/>
  <c r="L125" i="19"/>
  <c r="K125" i="19"/>
  <c r="X124" i="19"/>
  <c r="W124" i="19"/>
  <c r="V124" i="19"/>
  <c r="N124" i="19"/>
  <c r="M124" i="19"/>
  <c r="L124" i="19"/>
  <c r="K124" i="19"/>
  <c r="X123" i="19"/>
  <c r="W123" i="19"/>
  <c r="V123" i="19"/>
  <c r="N123" i="19"/>
  <c r="M123" i="19"/>
  <c r="L123" i="19"/>
  <c r="K123" i="19"/>
  <c r="X122" i="19"/>
  <c r="X137" i="19" s="1"/>
  <c r="W122" i="19"/>
  <c r="V122" i="19"/>
  <c r="N122" i="19"/>
  <c r="M122" i="19"/>
  <c r="L122" i="19"/>
  <c r="K122" i="19"/>
  <c r="X121" i="19"/>
  <c r="W121" i="19"/>
  <c r="V121" i="19"/>
  <c r="V137" i="19" s="1"/>
  <c r="N121" i="19"/>
  <c r="M121" i="19"/>
  <c r="L121" i="19"/>
  <c r="K121" i="19"/>
  <c r="K137" i="19" s="1"/>
  <c r="Y115" i="19"/>
  <c r="U115" i="19"/>
  <c r="S115" i="19"/>
  <c r="N114" i="19"/>
  <c r="M114" i="19"/>
  <c r="L114" i="19"/>
  <c r="K114" i="19"/>
  <c r="N113" i="19"/>
  <c r="M113" i="19"/>
  <c r="L113" i="19"/>
  <c r="K113" i="19"/>
  <c r="N112" i="19"/>
  <c r="M112" i="19"/>
  <c r="L112" i="19"/>
  <c r="K112" i="19"/>
  <c r="N111" i="19"/>
  <c r="M111" i="19"/>
  <c r="L111" i="19"/>
  <c r="K111" i="19"/>
  <c r="N110" i="19"/>
  <c r="M110" i="19"/>
  <c r="L110" i="19"/>
  <c r="K110" i="19"/>
  <c r="N109" i="19"/>
  <c r="M109" i="19"/>
  <c r="L109" i="19"/>
  <c r="K109" i="19"/>
  <c r="N108" i="19"/>
  <c r="M108" i="19"/>
  <c r="L108" i="19"/>
  <c r="K108" i="19"/>
  <c r="N107" i="19"/>
  <c r="M107" i="19"/>
  <c r="L107" i="19"/>
  <c r="K107" i="19"/>
  <c r="N106" i="19"/>
  <c r="M106" i="19"/>
  <c r="L106" i="19"/>
  <c r="K106" i="19"/>
  <c r="N105" i="19"/>
  <c r="M105" i="19"/>
  <c r="L105" i="19"/>
  <c r="K105" i="19"/>
  <c r="N104" i="19"/>
  <c r="M104" i="19"/>
  <c r="L104" i="19"/>
  <c r="K104" i="19"/>
  <c r="N103" i="19"/>
  <c r="M103" i="19"/>
  <c r="L103" i="19"/>
  <c r="K103" i="19"/>
  <c r="N102" i="19"/>
  <c r="M102" i="19"/>
  <c r="L102" i="19"/>
  <c r="K102" i="19"/>
  <c r="N101" i="19"/>
  <c r="M101" i="19"/>
  <c r="L101" i="19"/>
  <c r="K101" i="19"/>
  <c r="N100" i="19"/>
  <c r="M100" i="19"/>
  <c r="L100" i="19"/>
  <c r="K100" i="19"/>
  <c r="X115" i="19"/>
  <c r="W115" i="19"/>
  <c r="V115" i="19"/>
  <c r="N99" i="19"/>
  <c r="M99" i="19"/>
  <c r="L99" i="19"/>
  <c r="K99" i="19"/>
  <c r="K115" i="19" s="1"/>
  <c r="Y92" i="19"/>
  <c r="U92" i="19"/>
  <c r="S92" i="19"/>
  <c r="X91" i="19"/>
  <c r="W91" i="19"/>
  <c r="V91" i="19"/>
  <c r="N91" i="19"/>
  <c r="M91" i="19"/>
  <c r="L91" i="19"/>
  <c r="K91" i="19"/>
  <c r="X90" i="19"/>
  <c r="W90" i="19"/>
  <c r="V90" i="19"/>
  <c r="N90" i="19"/>
  <c r="M90" i="19"/>
  <c r="L90" i="19"/>
  <c r="K90" i="19"/>
  <c r="X89" i="19"/>
  <c r="W89" i="19"/>
  <c r="V89" i="19"/>
  <c r="N89" i="19"/>
  <c r="M89" i="19"/>
  <c r="L89" i="19"/>
  <c r="K89" i="19"/>
  <c r="X88" i="19"/>
  <c r="W88" i="19"/>
  <c r="V88" i="19"/>
  <c r="N88" i="19"/>
  <c r="M88" i="19"/>
  <c r="L88" i="19"/>
  <c r="K88" i="19"/>
  <c r="X87" i="19"/>
  <c r="W87" i="19"/>
  <c r="V87" i="19"/>
  <c r="N87" i="19"/>
  <c r="M87" i="19"/>
  <c r="L87" i="19"/>
  <c r="K87" i="19"/>
  <c r="X86" i="19"/>
  <c r="W86" i="19"/>
  <c r="V86" i="19"/>
  <c r="N86" i="19"/>
  <c r="M86" i="19"/>
  <c r="L86" i="19"/>
  <c r="K86" i="19"/>
  <c r="X85" i="19"/>
  <c r="W85" i="19"/>
  <c r="V85" i="19"/>
  <c r="N85" i="19"/>
  <c r="M85" i="19"/>
  <c r="L85" i="19"/>
  <c r="K85" i="19"/>
  <c r="X84" i="19"/>
  <c r="W84" i="19"/>
  <c r="V84" i="19"/>
  <c r="N84" i="19"/>
  <c r="M84" i="19"/>
  <c r="L84" i="19"/>
  <c r="K84" i="19"/>
  <c r="X83" i="19"/>
  <c r="W83" i="19"/>
  <c r="V83" i="19"/>
  <c r="N83" i="19"/>
  <c r="M83" i="19"/>
  <c r="L83" i="19"/>
  <c r="K83" i="19"/>
  <c r="X82" i="19"/>
  <c r="W82" i="19"/>
  <c r="V82" i="19"/>
  <c r="N82" i="19"/>
  <c r="M82" i="19"/>
  <c r="L82" i="19"/>
  <c r="K82" i="19"/>
  <c r="X81" i="19"/>
  <c r="W81" i="19"/>
  <c r="V81" i="19"/>
  <c r="N81" i="19"/>
  <c r="M81" i="19"/>
  <c r="L81" i="19"/>
  <c r="K81" i="19"/>
  <c r="X80" i="19"/>
  <c r="W80" i="19"/>
  <c r="V80" i="19"/>
  <c r="N80" i="19"/>
  <c r="M80" i="19"/>
  <c r="L80" i="19"/>
  <c r="K80" i="19"/>
  <c r="X79" i="19"/>
  <c r="W79" i="19"/>
  <c r="V79" i="19"/>
  <c r="N79" i="19"/>
  <c r="M79" i="19"/>
  <c r="L79" i="19"/>
  <c r="K79" i="19"/>
  <c r="X78" i="19"/>
  <c r="W78" i="19"/>
  <c r="V78" i="19"/>
  <c r="N78" i="19"/>
  <c r="M78" i="19"/>
  <c r="L78" i="19"/>
  <c r="K78" i="19"/>
  <c r="X77" i="19"/>
  <c r="W77" i="19"/>
  <c r="V77" i="19"/>
  <c r="N77" i="19"/>
  <c r="M77" i="19"/>
  <c r="L77" i="19"/>
  <c r="K77" i="19"/>
  <c r="X76" i="19"/>
  <c r="X92" i="19" s="1"/>
  <c r="W76" i="19"/>
  <c r="W92" i="19" s="1"/>
  <c r="V76" i="19"/>
  <c r="V92" i="19" s="1"/>
  <c r="N76" i="19"/>
  <c r="N92" i="19" s="1"/>
  <c r="M76" i="19"/>
  <c r="L76" i="19"/>
  <c r="K76" i="19"/>
  <c r="K92" i="19" s="1"/>
  <c r="Y70" i="19"/>
  <c r="U70" i="19"/>
  <c r="S70" i="19"/>
  <c r="N69" i="19"/>
  <c r="M69" i="19"/>
  <c r="L69" i="19"/>
  <c r="K69" i="19"/>
  <c r="N68" i="19"/>
  <c r="M68" i="19"/>
  <c r="L68" i="19"/>
  <c r="K68" i="19"/>
  <c r="N67" i="19"/>
  <c r="M67" i="19"/>
  <c r="L67" i="19"/>
  <c r="K67" i="19"/>
  <c r="N66" i="19"/>
  <c r="M66" i="19"/>
  <c r="L66" i="19"/>
  <c r="K66" i="19"/>
  <c r="N65" i="19"/>
  <c r="M65" i="19"/>
  <c r="L65" i="19"/>
  <c r="K65" i="19"/>
  <c r="N64" i="19"/>
  <c r="M64" i="19"/>
  <c r="L64" i="19"/>
  <c r="K64" i="19"/>
  <c r="N63" i="19"/>
  <c r="M63" i="19"/>
  <c r="L63" i="19"/>
  <c r="K63" i="19"/>
  <c r="N62" i="19"/>
  <c r="M62" i="19"/>
  <c r="L62" i="19"/>
  <c r="K62" i="19"/>
  <c r="N61" i="19"/>
  <c r="M61" i="19"/>
  <c r="L61" i="19"/>
  <c r="K61" i="19"/>
  <c r="N60" i="19"/>
  <c r="M60" i="19"/>
  <c r="L60" i="19"/>
  <c r="K60" i="19"/>
  <c r="N59" i="19"/>
  <c r="M59" i="19"/>
  <c r="L59" i="19"/>
  <c r="K59" i="19"/>
  <c r="N58" i="19"/>
  <c r="M58" i="19"/>
  <c r="L58" i="19"/>
  <c r="K58" i="19"/>
  <c r="N57" i="19"/>
  <c r="M57" i="19"/>
  <c r="L57" i="19"/>
  <c r="K57" i="19"/>
  <c r="N56" i="19"/>
  <c r="M56" i="19"/>
  <c r="L56" i="19"/>
  <c r="K56" i="19"/>
  <c r="N55" i="19"/>
  <c r="M55" i="19"/>
  <c r="L55" i="19"/>
  <c r="K55" i="19"/>
  <c r="X70" i="19"/>
  <c r="W70" i="19"/>
  <c r="N54" i="19"/>
  <c r="M54" i="19"/>
  <c r="K54" i="19"/>
  <c r="K70" i="19" s="1"/>
  <c r="D27" i="21" l="1"/>
  <c r="T7" i="21"/>
  <c r="S7" i="28" s="1"/>
  <c r="F37" i="21"/>
  <c r="E37" i="21" s="1"/>
  <c r="R7" i="28"/>
  <c r="D34" i="26"/>
  <c r="D33" i="26"/>
  <c r="V7" i="21"/>
  <c r="D14" i="23"/>
  <c r="AA14" i="23" s="1"/>
  <c r="U7" i="21"/>
  <c r="F15" i="27"/>
  <c r="Z7" i="21"/>
  <c r="Y7" i="28" s="1"/>
  <c r="D15" i="27"/>
  <c r="E15" i="27" s="1"/>
  <c r="K249" i="19"/>
  <c r="X50" i="26"/>
  <c r="S33" i="23"/>
  <c r="S47" i="23" s="1"/>
  <c r="S48" i="23" s="1"/>
  <c r="AB22" i="13"/>
  <c r="Y22" i="13"/>
  <c r="Z22" i="13"/>
  <c r="X22" i="13"/>
  <c r="N70" i="19"/>
  <c r="M137" i="19"/>
  <c r="L205" i="19"/>
  <c r="N249" i="19"/>
  <c r="L92" i="19"/>
  <c r="N137" i="19"/>
  <c r="M205" i="19"/>
  <c r="L271" i="19"/>
  <c r="M92" i="19"/>
  <c r="L160" i="19"/>
  <c r="N205" i="19"/>
  <c r="M271" i="19"/>
  <c r="L115" i="19"/>
  <c r="N160" i="19"/>
  <c r="M115" i="19"/>
  <c r="L183" i="19"/>
  <c r="M227" i="19"/>
  <c r="L293" i="19"/>
  <c r="N227" i="19"/>
  <c r="M293" i="19"/>
  <c r="N115" i="19"/>
  <c r="M183" i="19"/>
  <c r="L249" i="19"/>
  <c r="N293" i="19"/>
  <c r="M70" i="19"/>
  <c r="L137" i="19"/>
  <c r="N183" i="19"/>
  <c r="M249" i="19"/>
  <c r="AA7" i="21" l="1"/>
  <c r="Z7" i="28" s="1"/>
  <c r="T7" i="28"/>
  <c r="J37" i="21"/>
  <c r="I37" i="21" s="1"/>
  <c r="E14" i="23"/>
  <c r="R14" i="23"/>
  <c r="O14" i="23"/>
  <c r="V14" i="23"/>
  <c r="J14" i="23"/>
  <c r="W14" i="23"/>
  <c r="K14" i="23"/>
  <c r="S14" i="23"/>
  <c r="L14" i="23"/>
  <c r="I14" i="23"/>
  <c r="M14" i="23"/>
  <c r="H14" i="23"/>
  <c r="T14" i="23"/>
  <c r="X14" i="23"/>
  <c r="N14" i="23"/>
  <c r="Z14" i="23"/>
  <c r="U14" i="23"/>
  <c r="Q14" i="23"/>
  <c r="G14" i="23"/>
  <c r="Y14" i="23"/>
  <c r="P14" i="23"/>
  <c r="F14" i="23"/>
  <c r="G15" i="27"/>
  <c r="H15" i="27"/>
  <c r="I15" i="27" s="1"/>
  <c r="U34" i="26"/>
  <c r="F34" i="26"/>
  <c r="G34" i="26"/>
  <c r="N34" i="26"/>
  <c r="L34" i="26"/>
  <c r="R34" i="26"/>
  <c r="T34" i="26"/>
  <c r="S34" i="26"/>
  <c r="E34" i="26"/>
  <c r="H34" i="26"/>
  <c r="V34" i="26"/>
  <c r="J34" i="26"/>
  <c r="X34" i="26"/>
  <c r="O34" i="26"/>
  <c r="W34" i="26"/>
  <c r="Z34" i="26"/>
  <c r="Y34" i="26"/>
  <c r="AA34" i="26"/>
  <c r="I34" i="26"/>
  <c r="Q34" i="26"/>
  <c r="P34" i="26"/>
  <c r="K34" i="26"/>
  <c r="M34" i="26"/>
  <c r="N37" i="21"/>
  <c r="M37" i="21" s="1"/>
  <c r="U7" i="28"/>
  <c r="AB7" i="21"/>
  <c r="AA7" i="28" s="1"/>
  <c r="H33" i="26"/>
  <c r="P33" i="26"/>
  <c r="M33" i="26"/>
  <c r="Y33" i="26"/>
  <c r="G33" i="26"/>
  <c r="K33" i="26"/>
  <c r="L33" i="26"/>
  <c r="X33" i="26"/>
  <c r="Q33" i="26"/>
  <c r="I33" i="26"/>
  <c r="S33" i="26"/>
  <c r="N33" i="26"/>
  <c r="U33" i="26"/>
  <c r="J33" i="26"/>
  <c r="V33" i="26"/>
  <c r="E33" i="26"/>
  <c r="F33" i="26"/>
  <c r="T33" i="26"/>
  <c r="W33" i="26"/>
  <c r="O33" i="26"/>
  <c r="AA33" i="26"/>
  <c r="Z33" i="26"/>
  <c r="R33" i="26"/>
  <c r="D18" i="28"/>
  <c r="D6" i="28"/>
  <c r="D19" i="28"/>
  <c r="F6" i="28"/>
  <c r="G6" i="28"/>
  <c r="E6" i="28"/>
  <c r="Y50" i="26"/>
  <c r="T33" i="23"/>
  <c r="T47" i="23" s="1"/>
  <c r="T48" i="23" s="1"/>
  <c r="BK23" i="13"/>
  <c r="BJ23" i="13"/>
  <c r="BL23" i="13"/>
  <c r="BN23" i="13"/>
  <c r="L6" i="28" l="1"/>
  <c r="H6" i="28"/>
  <c r="K6" i="28"/>
  <c r="J6" i="28"/>
  <c r="M6" i="28"/>
  <c r="I6" i="28"/>
  <c r="Z50" i="26"/>
  <c r="U33" i="23"/>
  <c r="U47" i="23" s="1"/>
  <c r="U48" i="23" s="1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A8" i="19"/>
  <c r="AA7" i="19"/>
  <c r="AA6" i="19"/>
  <c r="R6" i="28" l="1"/>
  <c r="U6" i="21"/>
  <c r="J42" i="21" s="1"/>
  <c r="I42" i="21" s="1"/>
  <c r="V6" i="21"/>
  <c r="N42" i="21" s="1"/>
  <c r="M42" i="21" s="1"/>
  <c r="F14" i="27"/>
  <c r="G14" i="27" s="1"/>
  <c r="D14" i="27"/>
  <c r="E14" i="27" s="1"/>
  <c r="N6" i="28"/>
  <c r="V6" i="28"/>
  <c r="W6" i="28"/>
  <c r="O6" i="28"/>
  <c r="Y6" i="28"/>
  <c r="X6" i="28"/>
  <c r="P6" i="28"/>
  <c r="AA50" i="26"/>
  <c r="V33" i="23"/>
  <c r="V47" i="23" s="1"/>
  <c r="V48" i="23" s="1"/>
  <c r="R124" i="12"/>
  <c r="R125" i="12" s="1"/>
  <c r="T120" i="12"/>
  <c r="T119" i="12"/>
  <c r="T121" i="12" s="1"/>
  <c r="T6" i="28" l="1"/>
  <c r="AA6" i="21"/>
  <c r="Z6" i="28" s="1"/>
  <c r="AB6" i="21"/>
  <c r="AA6" i="28" s="1"/>
  <c r="U6" i="28"/>
  <c r="H14" i="27"/>
  <c r="I14" i="27" s="1"/>
  <c r="W33" i="23"/>
  <c r="W47" i="23" s="1"/>
  <c r="W48" i="23" s="1"/>
  <c r="J45" i="11"/>
  <c r="G45" i="11"/>
  <c r="F45" i="11"/>
  <c r="E45" i="11"/>
  <c r="D45" i="11"/>
  <c r="C45" i="11"/>
  <c r="F22" i="11"/>
  <c r="E22" i="11"/>
  <c r="D22" i="11"/>
  <c r="C22" i="11"/>
  <c r="J22" i="11"/>
  <c r="I22" i="11"/>
  <c r="G22" i="11"/>
  <c r="X33" i="23" l="1"/>
  <c r="X47" i="23" s="1"/>
  <c r="X48" i="23" s="1"/>
  <c r="E78" i="11"/>
  <c r="E67" i="11"/>
  <c r="Y67" i="11" s="1"/>
  <c r="E66" i="11"/>
  <c r="Y66" i="11" s="1"/>
  <c r="E65" i="11"/>
  <c r="Y65" i="11" s="1"/>
  <c r="E64" i="11"/>
  <c r="Y64" i="11" s="1"/>
  <c r="E63" i="11"/>
  <c r="Y63" i="11" s="1"/>
  <c r="E62" i="11"/>
  <c r="Y62" i="11" s="1"/>
  <c r="E61" i="11"/>
  <c r="Y61" i="11" s="1"/>
  <c r="E60" i="11"/>
  <c r="Y60" i="11" s="1"/>
  <c r="E59" i="11"/>
  <c r="Y59" i="11" s="1"/>
  <c r="E58" i="11"/>
  <c r="Y58" i="11" s="1"/>
  <c r="E57" i="11"/>
  <c r="Y57" i="11" s="1"/>
  <c r="E56" i="11"/>
  <c r="Y56" i="11" s="1"/>
  <c r="E55" i="11"/>
  <c r="Y55" i="11" s="1"/>
  <c r="E54" i="11"/>
  <c r="Y54" i="11" s="1"/>
  <c r="E53" i="11"/>
  <c r="Y53" i="11" s="1"/>
  <c r="E52" i="11"/>
  <c r="M21" i="11"/>
  <c r="M20" i="11"/>
  <c r="S20" i="11" s="1"/>
  <c r="M19" i="11"/>
  <c r="M18" i="11"/>
  <c r="S18" i="11" s="1"/>
  <c r="M17" i="11"/>
  <c r="M16" i="11"/>
  <c r="S16" i="11" s="1"/>
  <c r="M15" i="11"/>
  <c r="M14" i="11"/>
  <c r="S14" i="11" s="1"/>
  <c r="M13" i="11"/>
  <c r="S13" i="11" s="1"/>
  <c r="M12" i="11"/>
  <c r="M10" i="11"/>
  <c r="S10" i="11" s="1"/>
  <c r="M9" i="11"/>
  <c r="M8" i="11"/>
  <c r="M7" i="11"/>
  <c r="Q4" i="11"/>
  <c r="G4" i="11"/>
  <c r="C4" i="11"/>
  <c r="K50" i="11"/>
  <c r="Q27" i="11"/>
  <c r="G27" i="11"/>
  <c r="C27" i="11"/>
  <c r="Y33" i="23" l="1"/>
  <c r="Y47" i="23" s="1"/>
  <c r="Y48" i="23" s="1"/>
  <c r="S11" i="11"/>
  <c r="S12" i="11"/>
  <c r="S21" i="11"/>
  <c r="S17" i="11"/>
  <c r="M22" i="11"/>
  <c r="Y52" i="11"/>
  <c r="Y68" i="11" s="1"/>
  <c r="E68" i="11"/>
  <c r="S7" i="11"/>
  <c r="S9" i="11"/>
  <c r="S15" i="11"/>
  <c r="S8" i="11"/>
  <c r="S19" i="11"/>
  <c r="Z33" i="23" l="1"/>
  <c r="Z47" i="23" s="1"/>
  <c r="Z48" i="23" s="1"/>
  <c r="F4" i="21"/>
  <c r="F18" i="21" s="1"/>
  <c r="S22" i="11"/>
  <c r="T43" i="11"/>
  <c r="Q43" i="11"/>
  <c r="Q36" i="11"/>
  <c r="T35" i="11"/>
  <c r="T33" i="11"/>
  <c r="Q33" i="11"/>
  <c r="T29" i="11"/>
  <c r="P67" i="11"/>
  <c r="P66" i="11"/>
  <c r="P65" i="1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J67" i="11"/>
  <c r="G67" i="11"/>
  <c r="J66" i="11"/>
  <c r="G66" i="11"/>
  <c r="J65" i="11"/>
  <c r="G65" i="11"/>
  <c r="J64" i="11"/>
  <c r="G64" i="11"/>
  <c r="J63" i="11"/>
  <c r="G63" i="11"/>
  <c r="J62" i="11"/>
  <c r="G62" i="11"/>
  <c r="J61" i="11"/>
  <c r="G61" i="11"/>
  <c r="J60" i="11"/>
  <c r="G60" i="11"/>
  <c r="J59" i="11"/>
  <c r="G59" i="11"/>
  <c r="J58" i="11"/>
  <c r="G58" i="11"/>
  <c r="J57" i="11"/>
  <c r="G57" i="11"/>
  <c r="J56" i="11"/>
  <c r="G56" i="11"/>
  <c r="J55" i="11"/>
  <c r="G55" i="11"/>
  <c r="J54" i="11"/>
  <c r="G54" i="11"/>
  <c r="J53" i="11"/>
  <c r="G53" i="11"/>
  <c r="J52" i="11"/>
  <c r="G52" i="11"/>
  <c r="F67" i="11"/>
  <c r="AA67" i="11" s="1"/>
  <c r="F66" i="11"/>
  <c r="AA66" i="11" s="1"/>
  <c r="F65" i="11"/>
  <c r="AA65" i="11" s="1"/>
  <c r="F64" i="11"/>
  <c r="AA64" i="11" s="1"/>
  <c r="F63" i="11"/>
  <c r="AA63" i="11" s="1"/>
  <c r="F62" i="11"/>
  <c r="AA62" i="11" s="1"/>
  <c r="F61" i="11"/>
  <c r="AA61" i="11" s="1"/>
  <c r="F60" i="11"/>
  <c r="AA60" i="11" s="1"/>
  <c r="F59" i="11"/>
  <c r="AA59" i="11" s="1"/>
  <c r="F58" i="11"/>
  <c r="AA58" i="11" s="1"/>
  <c r="F57" i="11"/>
  <c r="AA57" i="11" s="1"/>
  <c r="F56" i="11"/>
  <c r="AA56" i="11" s="1"/>
  <c r="F55" i="11"/>
  <c r="AA55" i="11" s="1"/>
  <c r="F54" i="11"/>
  <c r="AA54" i="11" s="1"/>
  <c r="F53" i="11"/>
  <c r="AA53" i="11" s="1"/>
  <c r="F52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W53" i="11" s="1"/>
  <c r="D52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U53" i="11" s="1"/>
  <c r="C52" i="11"/>
  <c r="P44" i="11"/>
  <c r="N44" i="11"/>
  <c r="T44" i="11" s="1"/>
  <c r="K44" i="11"/>
  <c r="Q44" i="11" s="1"/>
  <c r="P43" i="11"/>
  <c r="N43" i="11"/>
  <c r="K43" i="11"/>
  <c r="P42" i="11"/>
  <c r="N42" i="11"/>
  <c r="T42" i="11" s="1"/>
  <c r="K42" i="11"/>
  <c r="Q42" i="11" s="1"/>
  <c r="P41" i="11"/>
  <c r="N41" i="11"/>
  <c r="T41" i="11" s="1"/>
  <c r="K41" i="11"/>
  <c r="Q41" i="11" s="1"/>
  <c r="P40" i="11"/>
  <c r="N40" i="11"/>
  <c r="T40" i="11" s="1"/>
  <c r="K40" i="11"/>
  <c r="Q40" i="11" s="1"/>
  <c r="P39" i="11"/>
  <c r="N39" i="11"/>
  <c r="T39" i="11" s="1"/>
  <c r="K39" i="11"/>
  <c r="Q39" i="11" s="1"/>
  <c r="P38" i="11"/>
  <c r="N38" i="11"/>
  <c r="T38" i="11" s="1"/>
  <c r="K38" i="11"/>
  <c r="Q38" i="11" s="1"/>
  <c r="P37" i="11"/>
  <c r="N37" i="11"/>
  <c r="T37" i="11" s="1"/>
  <c r="K37" i="11"/>
  <c r="Q37" i="11" s="1"/>
  <c r="P36" i="11"/>
  <c r="N36" i="11"/>
  <c r="T36" i="11" s="1"/>
  <c r="K36" i="11"/>
  <c r="P35" i="11"/>
  <c r="N35" i="11"/>
  <c r="K35" i="11"/>
  <c r="Q35" i="11" s="1"/>
  <c r="P34" i="11"/>
  <c r="N34" i="11"/>
  <c r="T34" i="11" s="1"/>
  <c r="K34" i="11"/>
  <c r="Q34" i="11" s="1"/>
  <c r="P33" i="11"/>
  <c r="N33" i="11"/>
  <c r="K33" i="11"/>
  <c r="P32" i="11"/>
  <c r="N32" i="11"/>
  <c r="T32" i="11" s="1"/>
  <c r="K32" i="11"/>
  <c r="Q32" i="11" s="1"/>
  <c r="P31" i="11"/>
  <c r="N31" i="11"/>
  <c r="T31" i="11" s="1"/>
  <c r="K31" i="11"/>
  <c r="Q31" i="11" s="1"/>
  <c r="P30" i="11"/>
  <c r="N30" i="11"/>
  <c r="K30" i="11"/>
  <c r="Q30" i="11" s="1"/>
  <c r="P29" i="11"/>
  <c r="N29" i="11"/>
  <c r="K29" i="11"/>
  <c r="P21" i="11"/>
  <c r="P20" i="11"/>
  <c r="P19" i="11"/>
  <c r="P18" i="11"/>
  <c r="P17" i="11"/>
  <c r="P16" i="11"/>
  <c r="P15" i="11"/>
  <c r="P14" i="11"/>
  <c r="P13" i="11"/>
  <c r="P22" i="11" s="1"/>
  <c r="P12" i="11"/>
  <c r="P11" i="11"/>
  <c r="P10" i="11"/>
  <c r="P9" i="11"/>
  <c r="P8" i="11"/>
  <c r="P7" i="11"/>
  <c r="F22" i="21" l="1"/>
  <c r="F25" i="21" s="1"/>
  <c r="F18" i="28"/>
  <c r="F19" i="21"/>
  <c r="F4" i="28"/>
  <c r="AA33" i="23"/>
  <c r="AA47" i="23" s="1"/>
  <c r="AA48" i="23" s="1"/>
  <c r="K45" i="11"/>
  <c r="W52" i="11"/>
  <c r="D68" i="11"/>
  <c r="AA52" i="11"/>
  <c r="F68" i="11"/>
  <c r="N45" i="11"/>
  <c r="P68" i="11"/>
  <c r="U52" i="11"/>
  <c r="C68" i="11"/>
  <c r="G68" i="11"/>
  <c r="P45" i="11"/>
  <c r="J68" i="11"/>
  <c r="Q29" i="11"/>
  <c r="Q45" i="11"/>
  <c r="AA68" i="11"/>
  <c r="W62" i="11"/>
  <c r="U55" i="11"/>
  <c r="U64" i="11"/>
  <c r="U54" i="11"/>
  <c r="U65" i="11"/>
  <c r="W63" i="11"/>
  <c r="W57" i="11"/>
  <c r="U66" i="11"/>
  <c r="W66" i="11"/>
  <c r="U63" i="11"/>
  <c r="W64" i="11"/>
  <c r="U57" i="11"/>
  <c r="W65" i="11"/>
  <c r="U58" i="11"/>
  <c r="W58" i="11"/>
  <c r="U59" i="11"/>
  <c r="U67" i="11"/>
  <c r="W59" i="11"/>
  <c r="W67" i="11"/>
  <c r="W54" i="11"/>
  <c r="W55" i="11"/>
  <c r="W56" i="11"/>
  <c r="U60" i="11"/>
  <c r="W60" i="11"/>
  <c r="U62" i="11"/>
  <c r="U56" i="11"/>
  <c r="U61" i="11"/>
  <c r="W61" i="11"/>
  <c r="T45" i="11"/>
  <c r="N21" i="11"/>
  <c r="N20" i="11"/>
  <c r="N19" i="11"/>
  <c r="N18" i="11"/>
  <c r="N17" i="11"/>
  <c r="T17" i="11" s="1"/>
  <c r="N16" i="11"/>
  <c r="N15" i="11"/>
  <c r="N14" i="11"/>
  <c r="N13" i="11"/>
  <c r="N12" i="11"/>
  <c r="N11" i="11"/>
  <c r="N10" i="11"/>
  <c r="N9" i="11"/>
  <c r="N8" i="11"/>
  <c r="N7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L19" i="11"/>
  <c r="L18" i="11"/>
  <c r="L15" i="11"/>
  <c r="L9" i="11"/>
  <c r="L8" i="11"/>
  <c r="AB33" i="23" l="1"/>
  <c r="AB47" i="23" s="1"/>
  <c r="AB48" i="23" s="1"/>
  <c r="F19" i="28"/>
  <c r="F26" i="21"/>
  <c r="F27" i="21"/>
  <c r="D36" i="21"/>
  <c r="L7" i="11"/>
  <c r="L11" i="11"/>
  <c r="L10" i="11"/>
  <c r="R10" i="11" s="1"/>
  <c r="L17" i="11"/>
  <c r="R17" i="11" s="1"/>
  <c r="T20" i="11"/>
  <c r="K57" i="11"/>
  <c r="Q57" i="11" s="1"/>
  <c r="Q11" i="11"/>
  <c r="V64" i="11"/>
  <c r="K58" i="11"/>
  <c r="Q58" i="11" s="1"/>
  <c r="Q12" i="11"/>
  <c r="K60" i="11"/>
  <c r="Q60" i="11" s="1"/>
  <c r="V60" i="11" s="1"/>
  <c r="Q14" i="11"/>
  <c r="V66" i="11"/>
  <c r="K66" i="11"/>
  <c r="Q66" i="11" s="1"/>
  <c r="Q20" i="11"/>
  <c r="Q21" i="11"/>
  <c r="K67" i="11"/>
  <c r="Q67" i="11" s="1"/>
  <c r="V67" i="11" s="1"/>
  <c r="N22" i="11"/>
  <c r="H22" i="11"/>
  <c r="L13" i="11"/>
  <c r="Q7" i="11"/>
  <c r="K53" i="11"/>
  <c r="Q53" i="11" s="1"/>
  <c r="V53" i="11" s="1"/>
  <c r="T7" i="11"/>
  <c r="L21" i="11"/>
  <c r="V58" i="11"/>
  <c r="K22" i="11"/>
  <c r="K52" i="11"/>
  <c r="L20" i="11"/>
  <c r="L14" i="11"/>
  <c r="Q8" i="11"/>
  <c r="K54" i="11"/>
  <c r="Q54" i="11" s="1"/>
  <c r="Q16" i="11"/>
  <c r="K62" i="11"/>
  <c r="Q62" i="11" s="1"/>
  <c r="V62" i="11" s="1"/>
  <c r="T16" i="11"/>
  <c r="T12" i="11"/>
  <c r="T13" i="11"/>
  <c r="T21" i="11"/>
  <c r="L12" i="11"/>
  <c r="T14" i="11"/>
  <c r="Q9" i="11"/>
  <c r="K55" i="11"/>
  <c r="Q55" i="11" s="1"/>
  <c r="V55" i="11" s="1"/>
  <c r="Q17" i="11"/>
  <c r="K63" i="11"/>
  <c r="Q63" i="11" s="1"/>
  <c r="V63" i="11" s="1"/>
  <c r="V57" i="11"/>
  <c r="Q13" i="11"/>
  <c r="K59" i="11"/>
  <c r="Q59" i="11" s="1"/>
  <c r="V59" i="11"/>
  <c r="L16" i="11"/>
  <c r="Q10" i="11"/>
  <c r="K56" i="11"/>
  <c r="Q56" i="11" s="1"/>
  <c r="V56" i="11" s="1"/>
  <c r="Q18" i="11"/>
  <c r="K64" i="11"/>
  <c r="Q64" i="11" s="1"/>
  <c r="T10" i="11"/>
  <c r="V54" i="11"/>
  <c r="Q19" i="11"/>
  <c r="K65" i="11"/>
  <c r="Q65" i="11" s="1"/>
  <c r="T18" i="11"/>
  <c r="R18" i="11"/>
  <c r="T15" i="11"/>
  <c r="R15" i="11"/>
  <c r="K61" i="11"/>
  <c r="Q61" i="11" s="1"/>
  <c r="Q15" i="11"/>
  <c r="T8" i="11"/>
  <c r="T9" i="11"/>
  <c r="R9" i="11"/>
  <c r="R8" i="11"/>
  <c r="T19" i="11"/>
  <c r="R19" i="11"/>
  <c r="W68" i="11"/>
  <c r="T11" i="11"/>
  <c r="U68" i="11"/>
  <c r="AC33" i="23" l="1"/>
  <c r="AC47" i="23" s="1"/>
  <c r="AC48" i="23" s="1"/>
  <c r="D35" i="21"/>
  <c r="D49" i="21" s="1"/>
  <c r="G22" i="21"/>
  <c r="G25" i="21" s="1"/>
  <c r="G19" i="21"/>
  <c r="G18" i="28"/>
  <c r="G4" i="28"/>
  <c r="I4" i="21"/>
  <c r="H4" i="21"/>
  <c r="R7" i="11"/>
  <c r="R11" i="11"/>
  <c r="E4" i="21"/>
  <c r="E18" i="21" s="1"/>
  <c r="R13" i="11"/>
  <c r="R16" i="11"/>
  <c r="R14" i="11"/>
  <c r="L22" i="11"/>
  <c r="R21" i="11"/>
  <c r="T52" i="11"/>
  <c r="AB52" i="11" s="1"/>
  <c r="Q52" i="11"/>
  <c r="V52" i="11" s="1"/>
  <c r="K68" i="11"/>
  <c r="R12" i="11"/>
  <c r="R20" i="11"/>
  <c r="V65" i="11"/>
  <c r="Q22" i="11"/>
  <c r="Q68" i="11"/>
  <c r="V61" i="11"/>
  <c r="T22" i="11"/>
  <c r="AD33" i="23" l="1"/>
  <c r="AD47" i="23" s="1"/>
  <c r="AD48" i="23" s="1"/>
  <c r="H36" i="21"/>
  <c r="H18" i="21"/>
  <c r="H18" i="28" s="1"/>
  <c r="L36" i="21"/>
  <c r="L35" i="21" s="1"/>
  <c r="L49" i="21" s="1"/>
  <c r="L50" i="21" s="1"/>
  <c r="I18" i="21"/>
  <c r="G19" i="28"/>
  <c r="D50" i="21"/>
  <c r="H35" i="21"/>
  <c r="H49" i="21" s="1"/>
  <c r="H50" i="21" s="1"/>
  <c r="I22" i="21"/>
  <c r="I25" i="21" s="1"/>
  <c r="I19" i="21"/>
  <c r="C61" i="26" s="1"/>
  <c r="H22" i="21"/>
  <c r="H25" i="21" s="1"/>
  <c r="H19" i="21"/>
  <c r="E22" i="21"/>
  <c r="E25" i="21" s="1"/>
  <c r="E18" i="28"/>
  <c r="E19" i="21"/>
  <c r="E19" i="28" s="1"/>
  <c r="G27" i="21"/>
  <c r="G26" i="21"/>
  <c r="H4" i="28"/>
  <c r="I4" i="28"/>
  <c r="E4" i="28"/>
  <c r="V68" i="11"/>
  <c r="R22" i="11"/>
  <c r="AE33" i="23" l="1"/>
  <c r="AE47" i="23" s="1"/>
  <c r="AE48" i="23" s="1"/>
  <c r="I19" i="28"/>
  <c r="H19" i="28"/>
  <c r="C60" i="26"/>
  <c r="E27" i="21"/>
  <c r="E26" i="21"/>
  <c r="H26" i="21"/>
  <c r="H27" i="21"/>
  <c r="I27" i="21"/>
  <c r="I26" i="21"/>
  <c r="I18" i="28"/>
  <c r="AF33" i="23" l="1"/>
  <c r="AF47" i="23" s="1"/>
  <c r="AF48" i="23" s="1"/>
  <c r="AG33" i="23" l="1"/>
  <c r="AG47" i="23" s="1"/>
  <c r="AG48" i="23" s="1"/>
  <c r="L38" i="11"/>
  <c r="R38" i="11" s="1"/>
  <c r="H52" i="11"/>
  <c r="R63" i="11"/>
  <c r="X63" i="11" s="1"/>
  <c r="L40" i="11"/>
  <c r="R40" i="11" s="1"/>
  <c r="R55" i="11"/>
  <c r="X55" i="11" s="1"/>
  <c r="L32" i="11"/>
  <c r="R32" i="11" s="1"/>
  <c r="L29" i="11"/>
  <c r="L45" i="11" s="1"/>
  <c r="L42" i="11"/>
  <c r="R42" i="11" s="1"/>
  <c r="R44" i="11"/>
  <c r="L44" i="11"/>
  <c r="R67" i="11"/>
  <c r="X67" i="11" s="1"/>
  <c r="L35" i="11"/>
  <c r="R35" i="11" s="1"/>
  <c r="R58" i="11"/>
  <c r="X58" i="11" s="1"/>
  <c r="R64" i="11"/>
  <c r="X64" i="11" s="1"/>
  <c r="L41" i="11"/>
  <c r="R41" i="11"/>
  <c r="L37" i="11"/>
  <c r="R60" i="11" s="1"/>
  <c r="X60" i="11" s="1"/>
  <c r="R39" i="11"/>
  <c r="L39" i="11"/>
  <c r="R62" i="11"/>
  <c r="X62" i="11" s="1"/>
  <c r="H67" i="11"/>
  <c r="H61" i="11"/>
  <c r="L34" i="11"/>
  <c r="R34" i="11" s="1"/>
  <c r="H57" i="11"/>
  <c r="H63" i="11"/>
  <c r="R66" i="11"/>
  <c r="X66" i="11" s="1"/>
  <c r="L43" i="11"/>
  <c r="R43" i="11"/>
  <c r="R33" i="11"/>
  <c r="L33" i="11"/>
  <c r="R56" i="11" s="1"/>
  <c r="X56" i="11" s="1"/>
  <c r="H53" i="11"/>
  <c r="H68" i="11" s="1"/>
  <c r="H58" i="11"/>
  <c r="H55" i="11"/>
  <c r="R36" i="11"/>
  <c r="L36" i="11"/>
  <c r="R59" i="11" s="1"/>
  <c r="X59" i="11" s="1"/>
  <c r="H65" i="11"/>
  <c r="H45" i="11"/>
  <c r="L30" i="11"/>
  <c r="R30" i="11" s="1"/>
  <c r="H62" i="11"/>
  <c r="L31" i="11"/>
  <c r="R54" i="11" s="1"/>
  <c r="X54" i="11" s="1"/>
  <c r="H54" i="11"/>
  <c r="H59" i="11"/>
  <c r="H64" i="11"/>
  <c r="H66" i="11"/>
  <c r="H56" i="11"/>
  <c r="H60" i="11"/>
  <c r="AH33" i="23" l="1"/>
  <c r="AH47" i="23" s="1"/>
  <c r="AH48" i="23" s="1"/>
  <c r="R57" i="11"/>
  <c r="X57" i="11" s="1"/>
  <c r="R65" i="11"/>
  <c r="X65" i="11" s="1"/>
  <c r="R31" i="11"/>
  <c r="R37" i="11"/>
  <c r="R61" i="11"/>
  <c r="X61" i="11" s="1"/>
  <c r="R29" i="11"/>
  <c r="R53" i="11"/>
  <c r="X53" i="11" s="1"/>
  <c r="R45" i="11" l="1"/>
  <c r="R52" i="11"/>
  <c r="R68" i="11" l="1"/>
  <c r="X52" i="11"/>
  <c r="O4" i="21" l="1"/>
  <c r="O18" i="21" s="1"/>
  <c r="X68" i="11"/>
  <c r="R74" i="11"/>
  <c r="R75" i="11" s="1"/>
  <c r="O4" i="28" l="1"/>
  <c r="X4" i="21"/>
  <c r="W4" i="28" s="1"/>
  <c r="K4" i="21"/>
  <c r="K18" i="21" s="1"/>
  <c r="K22" i="21" l="1"/>
  <c r="K25" i="21" s="1"/>
  <c r="K26" i="21" s="1"/>
  <c r="K18" i="28"/>
  <c r="K4" i="28"/>
  <c r="X18" i="21"/>
  <c r="W18" i="28" s="1"/>
  <c r="O18" i="28"/>
  <c r="M37" i="11"/>
  <c r="S37" i="11" s="1"/>
  <c r="M31" i="11"/>
  <c r="S29" i="11"/>
  <c r="M38" i="11"/>
  <c r="S38" i="11" s="1"/>
  <c r="M36" i="11"/>
  <c r="S34" i="11"/>
  <c r="M44" i="11"/>
  <c r="S44" i="11" s="1"/>
  <c r="M34" i="11"/>
  <c r="M39" i="11"/>
  <c r="S39" i="11"/>
  <c r="M29" i="11"/>
  <c r="M35" i="11"/>
  <c r="S35" i="11" s="1"/>
  <c r="M41" i="11"/>
  <c r="S41" i="11"/>
  <c r="I52" i="11"/>
  <c r="M40" i="11"/>
  <c r="S40" i="11"/>
  <c r="M43" i="11"/>
  <c r="M42" i="11"/>
  <c r="S42" i="11" s="1"/>
  <c r="M33" i="11"/>
  <c r="S33" i="11" s="1"/>
  <c r="M32" i="11"/>
  <c r="S32" i="11" s="1"/>
  <c r="M30" i="11"/>
  <c r="I53" i="11"/>
  <c r="I61" i="11"/>
  <c r="I54" i="11"/>
  <c r="I62" i="11"/>
  <c r="I55" i="11"/>
  <c r="I63" i="11"/>
  <c r="I56" i="11"/>
  <c r="I68" i="11" s="1"/>
  <c r="I64" i="11"/>
  <c r="I57" i="11"/>
  <c r="I65" i="11"/>
  <c r="I58" i="11"/>
  <c r="I66" i="11"/>
  <c r="I59" i="11"/>
  <c r="I67" i="11"/>
  <c r="I45" i="11"/>
  <c r="I60" i="11"/>
  <c r="S52" i="11" l="1"/>
  <c r="S30" i="11"/>
  <c r="S45" i="11" s="1"/>
  <c r="S43" i="11"/>
  <c r="M45" i="11"/>
  <c r="S36" i="11"/>
  <c r="S31" i="11"/>
  <c r="Z52" i="11" l="1"/>
  <c r="H27" i="26" l="1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G27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F26" i="26"/>
  <c r="E26" i="26"/>
  <c r="F27" i="26"/>
  <c r="D10" i="23"/>
  <c r="D27" i="26"/>
  <c r="D26" i="26"/>
  <c r="W4" i="21"/>
  <c r="V4" i="28" s="1"/>
  <c r="N4" i="28"/>
  <c r="N19" i="21"/>
  <c r="N19" i="28" s="1"/>
  <c r="N18" i="28"/>
  <c r="J4" i="21"/>
  <c r="J18" i="21" l="1"/>
  <c r="J18" i="28" s="1"/>
  <c r="AA10" i="23"/>
  <c r="J10" i="23"/>
  <c r="AD10" i="23"/>
  <c r="AB10" i="23"/>
  <c r="AH10" i="23"/>
  <c r="AG10" i="23"/>
  <c r="AE10" i="23"/>
  <c r="AC10" i="23"/>
  <c r="AF10" i="23"/>
  <c r="J19" i="21"/>
  <c r="J19" i="28" s="1"/>
  <c r="K10" i="23"/>
  <c r="J22" i="21"/>
  <c r="J25" i="21" s="1"/>
  <c r="J27" i="21" s="1"/>
  <c r="W10" i="23"/>
  <c r="E10" i="23"/>
  <c r="S10" i="23"/>
  <c r="O10" i="23"/>
  <c r="W19" i="21"/>
  <c r="V19" i="28" s="1"/>
  <c r="W18" i="21"/>
  <c r="V18" i="28" s="1"/>
  <c r="N21" i="21"/>
  <c r="G10" i="23"/>
  <c r="X10" i="23"/>
  <c r="T10" i="23"/>
  <c r="P10" i="23"/>
  <c r="L10" i="23"/>
  <c r="H10" i="23"/>
  <c r="J4" i="28"/>
  <c r="F10" i="23"/>
  <c r="Y10" i="23"/>
  <c r="U10" i="23"/>
  <c r="Q10" i="23"/>
  <c r="M10" i="23"/>
  <c r="I10" i="23"/>
  <c r="Z10" i="23"/>
  <c r="V10" i="23"/>
  <c r="R10" i="23"/>
  <c r="N10" i="23"/>
  <c r="J26" i="21" l="1"/>
  <c r="O19" i="21"/>
  <c r="I42" i="26"/>
  <c r="I44" i="26" s="1"/>
  <c r="J42" i="26"/>
  <c r="J44" i="26" s="1"/>
  <c r="K42" i="26"/>
  <c r="K44" i="26" s="1"/>
  <c r="L42" i="26"/>
  <c r="L44" i="26" s="1"/>
  <c r="M42" i="26"/>
  <c r="M44" i="26" s="1"/>
  <c r="N42" i="26"/>
  <c r="N44" i="26" s="1"/>
  <c r="O42" i="26"/>
  <c r="O44" i="26" s="1"/>
  <c r="P42" i="26"/>
  <c r="P44" i="26" s="1"/>
  <c r="Q42" i="26"/>
  <c r="Q44" i="26" s="1"/>
  <c r="R42" i="26"/>
  <c r="R44" i="26" s="1"/>
  <c r="S42" i="26"/>
  <c r="S44" i="26" s="1"/>
  <c r="T42" i="26"/>
  <c r="T44" i="26" s="1"/>
  <c r="U42" i="26"/>
  <c r="U44" i="26" s="1"/>
  <c r="V42" i="26"/>
  <c r="V44" i="26" s="1"/>
  <c r="W42" i="26"/>
  <c r="W44" i="26" s="1"/>
  <c r="X42" i="26"/>
  <c r="X44" i="26" s="1"/>
  <c r="Y42" i="26"/>
  <c r="Y44" i="26" s="1"/>
  <c r="Z42" i="26"/>
  <c r="Z44" i="26" s="1"/>
  <c r="AA42" i="26"/>
  <c r="AA44" i="26" s="1"/>
  <c r="H42" i="26"/>
  <c r="H44" i="26" s="1"/>
  <c r="G42" i="26"/>
  <c r="G44" i="26" s="1"/>
  <c r="G26" i="23"/>
  <c r="G27" i="23" s="1"/>
  <c r="H26" i="23"/>
  <c r="H27" i="23" s="1"/>
  <c r="I26" i="23"/>
  <c r="I27" i="23" s="1"/>
  <c r="J26" i="23"/>
  <c r="J27" i="23" s="1"/>
  <c r="K26" i="23"/>
  <c r="K27" i="23" s="1"/>
  <c r="L26" i="23"/>
  <c r="L27" i="23" s="1"/>
  <c r="M26" i="23"/>
  <c r="M27" i="23" s="1"/>
  <c r="N26" i="23"/>
  <c r="N27" i="23" s="1"/>
  <c r="O26" i="23"/>
  <c r="O27" i="23" s="1"/>
  <c r="P26" i="23"/>
  <c r="P27" i="23" s="1"/>
  <c r="Q26" i="23"/>
  <c r="Q27" i="23" s="1"/>
  <c r="R26" i="23"/>
  <c r="R27" i="23" s="1"/>
  <c r="S26" i="23"/>
  <c r="S27" i="23" s="1"/>
  <c r="T26" i="23"/>
  <c r="T27" i="23" s="1"/>
  <c r="U26" i="23"/>
  <c r="U27" i="23" s="1"/>
  <c r="V26" i="23"/>
  <c r="V27" i="23" s="1"/>
  <c r="W26" i="23"/>
  <c r="W27" i="23" s="1"/>
  <c r="X26" i="23"/>
  <c r="X27" i="23" s="1"/>
  <c r="Y26" i="23"/>
  <c r="Y27" i="23" s="1"/>
  <c r="Z26" i="23"/>
  <c r="Z27" i="23" s="1"/>
  <c r="AA26" i="23"/>
  <c r="AA27" i="23" s="1"/>
  <c r="F26" i="23"/>
  <c r="F27" i="23" s="1"/>
  <c r="R16" i="21"/>
  <c r="I43" i="26"/>
  <c r="I45" i="26" s="1"/>
  <c r="J43" i="26"/>
  <c r="J45" i="26" s="1"/>
  <c r="K43" i="26"/>
  <c r="K45" i="26" s="1"/>
  <c r="L43" i="26"/>
  <c r="L45" i="26" s="1"/>
  <c r="M43" i="26"/>
  <c r="M45" i="26" s="1"/>
  <c r="N43" i="26"/>
  <c r="N45" i="26" s="1"/>
  <c r="O43" i="26"/>
  <c r="O45" i="26" s="1"/>
  <c r="P43" i="26"/>
  <c r="P45" i="26" s="1"/>
  <c r="Q43" i="26"/>
  <c r="Q45" i="26" s="1"/>
  <c r="R43" i="26"/>
  <c r="R45" i="26" s="1"/>
  <c r="S43" i="26"/>
  <c r="S45" i="26" s="1"/>
  <c r="T43" i="26"/>
  <c r="T45" i="26" s="1"/>
  <c r="U43" i="26"/>
  <c r="U45" i="26" s="1"/>
  <c r="V43" i="26"/>
  <c r="V45" i="26" s="1"/>
  <c r="W43" i="26"/>
  <c r="W45" i="26" s="1"/>
  <c r="X43" i="26"/>
  <c r="X45" i="26" s="1"/>
  <c r="Y43" i="26"/>
  <c r="Y45" i="26" s="1"/>
  <c r="Z43" i="26"/>
  <c r="Z45" i="26" s="1"/>
  <c r="AA43" i="26"/>
  <c r="AA45" i="26" s="1"/>
  <c r="H43" i="26"/>
  <c r="H45" i="26" s="1"/>
  <c r="V16" i="21"/>
  <c r="AB16" i="21" s="1"/>
  <c r="AA16" i="28" s="1"/>
  <c r="G43" i="26"/>
  <c r="G45" i="26" s="1"/>
  <c r="U16" i="21"/>
  <c r="F42" i="26"/>
  <c r="F44" i="26" s="1"/>
  <c r="D42" i="26"/>
  <c r="D44" i="26" s="1"/>
  <c r="D26" i="23"/>
  <c r="D27" i="23" s="1"/>
  <c r="D19" i="27"/>
  <c r="E19" i="27" s="1"/>
  <c r="O16" i="28"/>
  <c r="F43" i="26"/>
  <c r="F45" i="26" s="1"/>
  <c r="X16" i="21"/>
  <c r="W16" i="28" s="1"/>
  <c r="E26" i="23"/>
  <c r="E27" i="23" s="1"/>
  <c r="E42" i="26"/>
  <c r="E44" i="26" s="1"/>
  <c r="D43" i="26"/>
  <c r="D45" i="26" s="1"/>
  <c r="E43" i="26"/>
  <c r="E45" i="26" s="1"/>
  <c r="K16" i="21"/>
  <c r="K19" i="21" s="1"/>
  <c r="T16" i="21" l="1"/>
  <c r="AA16" i="21"/>
  <c r="Z16" i="28" s="1"/>
  <c r="T16" i="28"/>
  <c r="O19" i="28"/>
  <c r="O21" i="21"/>
  <c r="K19" i="28"/>
  <c r="R17" i="21"/>
  <c r="K27" i="21"/>
  <c r="U16" i="28"/>
  <c r="F19" i="27"/>
  <c r="K16" i="28"/>
  <c r="X19" i="21"/>
  <c r="W19" i="28" s="1"/>
  <c r="R16" i="28"/>
  <c r="T17" i="21" l="1"/>
  <c r="S16" i="28"/>
  <c r="F48" i="21"/>
  <c r="F45" i="21" s="1"/>
  <c r="F20" i="27"/>
  <c r="R17" i="28"/>
  <c r="H19" i="27"/>
  <c r="G19" i="27"/>
  <c r="S17" i="28" l="1"/>
  <c r="E48" i="21"/>
  <c r="E45" i="21" s="1"/>
  <c r="I19" i="27"/>
  <c r="G20" i="27"/>
  <c r="H20" i="27"/>
  <c r="I20" i="27" l="1"/>
  <c r="V70" i="19"/>
  <c r="L54" i="19"/>
  <c r="L70" i="19" s="1"/>
  <c r="AB57" i="11" l="1"/>
  <c r="T57" i="11"/>
  <c r="T65" i="11"/>
  <c r="AB65" i="11" s="1"/>
  <c r="AB61" i="11"/>
  <c r="T61" i="11"/>
  <c r="T58" i="11"/>
  <c r="AB58" i="11" s="1"/>
  <c r="AB63" i="11"/>
  <c r="T63" i="11"/>
  <c r="T54" i="11"/>
  <c r="AB54" i="11" s="1"/>
  <c r="AB64" i="11"/>
  <c r="T64" i="11"/>
  <c r="T55" i="11"/>
  <c r="AB55" i="11" s="1"/>
  <c r="AB56" i="11"/>
  <c r="T56" i="11"/>
  <c r="T60" i="11"/>
  <c r="AB60" i="11" s="1"/>
  <c r="AB59" i="11"/>
  <c r="T59" i="11"/>
  <c r="T62" i="11"/>
  <c r="AB62" i="11" s="1"/>
  <c r="AB66" i="11"/>
  <c r="T66" i="11"/>
  <c r="T53" i="11"/>
  <c r="T68" i="11" s="1"/>
  <c r="AB67" i="11"/>
  <c r="T67" i="11"/>
  <c r="S67" i="11"/>
  <c r="Z67" i="11" s="1"/>
  <c r="Z53" i="11"/>
  <c r="S53" i="11"/>
  <c r="S55" i="11"/>
  <c r="Z55" i="11" s="1"/>
  <c r="Z57" i="11"/>
  <c r="S57" i="11"/>
  <c r="S59" i="11"/>
  <c r="Z59" i="11" s="1"/>
  <c r="Z61" i="11"/>
  <c r="S61" i="11"/>
  <c r="S63" i="11"/>
  <c r="Z63" i="11" s="1"/>
  <c r="Z65" i="11"/>
  <c r="S65" i="11"/>
  <c r="S54" i="11"/>
  <c r="Z54" i="11" s="1"/>
  <c r="Z56" i="11"/>
  <c r="S56" i="11"/>
  <c r="S58" i="11"/>
  <c r="Z58" i="11" s="1"/>
  <c r="Z60" i="11"/>
  <c r="S60" i="11"/>
  <c r="S62" i="11"/>
  <c r="Z62" i="11" s="1"/>
  <c r="Z64" i="11"/>
  <c r="S64" i="11"/>
  <c r="S66" i="11"/>
  <c r="Z66" i="11" s="1"/>
  <c r="AB53" i="11" l="1"/>
  <c r="R4" i="21"/>
  <c r="T70" i="11"/>
  <c r="T69" i="11"/>
  <c r="T71" i="11" s="1"/>
  <c r="AB68" i="11"/>
  <c r="S68" i="11"/>
  <c r="Z68" i="11" l="1"/>
  <c r="P4" i="21"/>
  <c r="T4" i="21"/>
  <c r="F36" i="21"/>
  <c r="M4" i="21"/>
  <c r="F12" i="27"/>
  <c r="R4" i="28"/>
  <c r="U4" i="21"/>
  <c r="D12" i="27"/>
  <c r="V4" i="21"/>
  <c r="D11" i="23"/>
  <c r="R19" i="21"/>
  <c r="R18" i="21"/>
  <c r="R18" i="28" s="1"/>
  <c r="L11" i="23" l="1"/>
  <c r="AH11" i="23"/>
  <c r="U11" i="23"/>
  <c r="G11" i="23"/>
  <c r="E11" i="23"/>
  <c r="K11" i="23"/>
  <c r="Y11" i="23"/>
  <c r="V11" i="23"/>
  <c r="X11" i="23"/>
  <c r="Z11" i="23"/>
  <c r="AG11" i="23"/>
  <c r="D28" i="26"/>
  <c r="D30" i="26" s="1"/>
  <c r="D36" i="26" s="1"/>
  <c r="D47" i="26" s="1"/>
  <c r="AE11" i="23"/>
  <c r="AF11" i="23"/>
  <c r="O11" i="23"/>
  <c r="W11" i="23"/>
  <c r="M11" i="23"/>
  <c r="T11" i="23"/>
  <c r="H11" i="23"/>
  <c r="J11" i="23"/>
  <c r="P11" i="23"/>
  <c r="S11" i="23"/>
  <c r="I11" i="23"/>
  <c r="N11" i="23"/>
  <c r="AC11" i="23"/>
  <c r="AD11" i="23"/>
  <c r="D29" i="26"/>
  <c r="D31" i="26" s="1"/>
  <c r="D37" i="26" s="1"/>
  <c r="D48" i="26" s="1"/>
  <c r="Q11" i="23"/>
  <c r="AA11" i="23"/>
  <c r="AB11" i="23"/>
  <c r="D12" i="23"/>
  <c r="D16" i="23" s="1"/>
  <c r="D31" i="23" s="1"/>
  <c r="F11" i="23"/>
  <c r="R11" i="23"/>
  <c r="S4" i="28"/>
  <c r="Z4" i="21"/>
  <c r="Y4" i="28" s="1"/>
  <c r="T19" i="21"/>
  <c r="S19" i="28" s="1"/>
  <c r="T18" i="21"/>
  <c r="V18" i="21"/>
  <c r="N36" i="21"/>
  <c r="AB4" i="21"/>
  <c r="AA4" i="28" s="1"/>
  <c r="U4" i="28"/>
  <c r="V19" i="21"/>
  <c r="G12" i="27"/>
  <c r="H12" i="27"/>
  <c r="F26" i="27"/>
  <c r="F25" i="27"/>
  <c r="P18" i="21"/>
  <c r="P19" i="21"/>
  <c r="P4" i="28"/>
  <c r="L4" i="21"/>
  <c r="Y4" i="21"/>
  <c r="X4" i="28" s="1"/>
  <c r="Z19" i="21"/>
  <c r="Y19" i="28" s="1"/>
  <c r="R19" i="28"/>
  <c r="U18" i="21"/>
  <c r="T4" i="28"/>
  <c r="J36" i="21"/>
  <c r="AA4" i="21"/>
  <c r="Z4" i="28" s="1"/>
  <c r="U19" i="21"/>
  <c r="F35" i="21"/>
  <c r="F49" i="21" s="1"/>
  <c r="F50" i="21" s="1"/>
  <c r="E36" i="21"/>
  <c r="E35" i="21" s="1"/>
  <c r="E49" i="21" s="1"/>
  <c r="E50" i="21" s="1"/>
  <c r="E12" i="27"/>
  <c r="D25" i="27"/>
  <c r="D26" i="27"/>
  <c r="M18" i="21"/>
  <c r="M18" i="28" s="1"/>
  <c r="M22" i="21"/>
  <c r="M25" i="21" s="1"/>
  <c r="M19" i="21"/>
  <c r="M19" i="28" s="1"/>
  <c r="M4" i="28"/>
  <c r="I36" i="21" l="1"/>
  <c r="I35" i="21" s="1"/>
  <c r="I49" i="21" s="1"/>
  <c r="J35" i="21"/>
  <c r="J49" i="21" s="1"/>
  <c r="J50" i="21" s="1"/>
  <c r="P19" i="28"/>
  <c r="Y19" i="21"/>
  <c r="X19" i="28" s="1"/>
  <c r="I12" i="27"/>
  <c r="H26" i="27"/>
  <c r="H25" i="27"/>
  <c r="F12" i="23"/>
  <c r="F16" i="23" s="1"/>
  <c r="F29" i="26"/>
  <c r="F31" i="26" s="1"/>
  <c r="F37" i="26" s="1"/>
  <c r="F48" i="26" s="1"/>
  <c r="F53" i="26" s="1"/>
  <c r="F61" i="26" s="1"/>
  <c r="F28" i="26"/>
  <c r="F30" i="26" s="1"/>
  <c r="F36" i="26" s="1"/>
  <c r="F47" i="26" s="1"/>
  <c r="F52" i="26" s="1"/>
  <c r="F60" i="26" s="1"/>
  <c r="Q12" i="23"/>
  <c r="Q16" i="23" s="1"/>
  <c r="Q28" i="26"/>
  <c r="Q30" i="26" s="1"/>
  <c r="Q36" i="26" s="1"/>
  <c r="Q47" i="26" s="1"/>
  <c r="Q52" i="26" s="1"/>
  <c r="Q60" i="26" s="1"/>
  <c r="Q29" i="26"/>
  <c r="Q31" i="26" s="1"/>
  <c r="Q37" i="26" s="1"/>
  <c r="Q48" i="26" s="1"/>
  <c r="Q53" i="26" s="1"/>
  <c r="Q61" i="26" s="1"/>
  <c r="N29" i="26"/>
  <c r="N31" i="26" s="1"/>
  <c r="N37" i="26" s="1"/>
  <c r="N48" i="26" s="1"/>
  <c r="N53" i="26" s="1"/>
  <c r="N61" i="26" s="1"/>
  <c r="N28" i="26"/>
  <c r="N30" i="26" s="1"/>
  <c r="N36" i="26" s="1"/>
  <c r="N47" i="26" s="1"/>
  <c r="N52" i="26" s="1"/>
  <c r="N60" i="26" s="1"/>
  <c r="N12" i="23"/>
  <c r="N16" i="23" s="1"/>
  <c r="J28" i="26"/>
  <c r="J30" i="26" s="1"/>
  <c r="J36" i="26" s="1"/>
  <c r="J47" i="26" s="1"/>
  <c r="J52" i="26" s="1"/>
  <c r="J60" i="26" s="1"/>
  <c r="J12" i="23"/>
  <c r="J16" i="23" s="1"/>
  <c r="J29" i="26"/>
  <c r="J31" i="26" s="1"/>
  <c r="J37" i="26" s="1"/>
  <c r="J48" i="26" s="1"/>
  <c r="J53" i="26" s="1"/>
  <c r="J61" i="26" s="1"/>
  <c r="W12" i="23"/>
  <c r="W16" i="23" s="1"/>
  <c r="W28" i="26"/>
  <c r="W30" i="26" s="1"/>
  <c r="W36" i="26" s="1"/>
  <c r="W47" i="26" s="1"/>
  <c r="W52" i="26" s="1"/>
  <c r="W60" i="26" s="1"/>
  <c r="W29" i="26"/>
  <c r="W31" i="26" s="1"/>
  <c r="W37" i="26" s="1"/>
  <c r="W48" i="26" s="1"/>
  <c r="W53" i="26" s="1"/>
  <c r="W61" i="26" s="1"/>
  <c r="V29" i="26"/>
  <c r="V31" i="26" s="1"/>
  <c r="V37" i="26" s="1"/>
  <c r="V48" i="26" s="1"/>
  <c r="V53" i="26" s="1"/>
  <c r="V61" i="26" s="1"/>
  <c r="V28" i="26"/>
  <c r="V30" i="26" s="1"/>
  <c r="V36" i="26" s="1"/>
  <c r="V47" i="26" s="1"/>
  <c r="V52" i="26" s="1"/>
  <c r="V60" i="26" s="1"/>
  <c r="V12" i="23"/>
  <c r="V16" i="23" s="1"/>
  <c r="G29" i="26"/>
  <c r="G31" i="26" s="1"/>
  <c r="G37" i="26" s="1"/>
  <c r="G48" i="26" s="1"/>
  <c r="G53" i="26" s="1"/>
  <c r="G61" i="26" s="1"/>
  <c r="G28" i="26"/>
  <c r="G30" i="26" s="1"/>
  <c r="G36" i="26" s="1"/>
  <c r="G47" i="26" s="1"/>
  <c r="G52" i="26" s="1"/>
  <c r="G60" i="26" s="1"/>
  <c r="G12" i="23"/>
  <c r="G16" i="23" s="1"/>
  <c r="P18" i="28"/>
  <c r="Y18" i="21"/>
  <c r="X18" i="28" s="1"/>
  <c r="G26" i="27"/>
  <c r="G25" i="27"/>
  <c r="M36" i="21"/>
  <c r="M35" i="21" s="1"/>
  <c r="M49" i="21" s="1"/>
  <c r="M50" i="21" s="1"/>
  <c r="N35" i="21"/>
  <c r="N49" i="21" s="1"/>
  <c r="N50" i="21" s="1"/>
  <c r="I12" i="23"/>
  <c r="I16" i="23" s="1"/>
  <c r="I28" i="26"/>
  <c r="I30" i="26" s="1"/>
  <c r="I36" i="26" s="1"/>
  <c r="I47" i="26" s="1"/>
  <c r="I52" i="26" s="1"/>
  <c r="I60" i="26" s="1"/>
  <c r="I29" i="26"/>
  <c r="I31" i="26" s="1"/>
  <c r="I37" i="26" s="1"/>
  <c r="I48" i="26" s="1"/>
  <c r="I53" i="26" s="1"/>
  <c r="I61" i="26" s="1"/>
  <c r="H12" i="23"/>
  <c r="H16" i="23" s="1"/>
  <c r="H29" i="26"/>
  <c r="H31" i="26" s="1"/>
  <c r="H37" i="26" s="1"/>
  <c r="H48" i="26" s="1"/>
  <c r="H53" i="26" s="1"/>
  <c r="H61" i="26" s="1"/>
  <c r="H28" i="26"/>
  <c r="H30" i="26" s="1"/>
  <c r="H36" i="26" s="1"/>
  <c r="H47" i="26" s="1"/>
  <c r="H52" i="26" s="1"/>
  <c r="H60" i="26" s="1"/>
  <c r="O28" i="26"/>
  <c r="O30" i="26" s="1"/>
  <c r="O36" i="26" s="1"/>
  <c r="O47" i="26" s="1"/>
  <c r="O52" i="26" s="1"/>
  <c r="O60" i="26" s="1"/>
  <c r="O29" i="26"/>
  <c r="O31" i="26" s="1"/>
  <c r="O37" i="26" s="1"/>
  <c r="O48" i="26" s="1"/>
  <c r="O53" i="26" s="1"/>
  <c r="O61" i="26" s="1"/>
  <c r="O12" i="23"/>
  <c r="O16" i="23" s="1"/>
  <c r="AG29" i="26"/>
  <c r="AG31" i="26" s="1"/>
  <c r="AG37" i="26" s="1"/>
  <c r="AG48" i="26" s="1"/>
  <c r="AG53" i="26" s="1"/>
  <c r="AG61" i="26" s="1"/>
  <c r="AG28" i="26"/>
  <c r="AG30" i="26" s="1"/>
  <c r="AG36" i="26" s="1"/>
  <c r="AG47" i="26" s="1"/>
  <c r="AG52" i="26" s="1"/>
  <c r="AG60" i="26" s="1"/>
  <c r="Y12" i="23"/>
  <c r="Y16" i="23" s="1"/>
  <c r="Y29" i="26"/>
  <c r="Y31" i="26" s="1"/>
  <c r="Y37" i="26" s="1"/>
  <c r="Y48" i="26" s="1"/>
  <c r="Y53" i="26" s="1"/>
  <c r="Y61" i="26" s="1"/>
  <c r="Y28" i="26"/>
  <c r="Y30" i="26" s="1"/>
  <c r="Y36" i="26" s="1"/>
  <c r="Y47" i="26" s="1"/>
  <c r="Y52" i="26" s="1"/>
  <c r="Y60" i="26" s="1"/>
  <c r="U12" i="23"/>
  <c r="U16" i="23" s="1"/>
  <c r="U29" i="26"/>
  <c r="U31" i="26" s="1"/>
  <c r="U37" i="26" s="1"/>
  <c r="U48" i="26" s="1"/>
  <c r="U53" i="26" s="1"/>
  <c r="U61" i="26" s="1"/>
  <c r="U28" i="26"/>
  <c r="U30" i="26" s="1"/>
  <c r="U36" i="26" s="1"/>
  <c r="U47" i="26" s="1"/>
  <c r="U52" i="26" s="1"/>
  <c r="U60" i="26" s="1"/>
  <c r="AA19" i="21"/>
  <c r="Z19" i="28" s="1"/>
  <c r="T19" i="28"/>
  <c r="AA18" i="21"/>
  <c r="Z18" i="28" s="1"/>
  <c r="T18" i="28"/>
  <c r="L18" i="21"/>
  <c r="L18" i="28" s="1"/>
  <c r="L22" i="21"/>
  <c r="L25" i="21" s="1"/>
  <c r="L4" i="28"/>
  <c r="L19" i="21"/>
  <c r="AB19" i="21"/>
  <c r="AA19" i="28" s="1"/>
  <c r="U19" i="28"/>
  <c r="U18" i="28"/>
  <c r="AB18" i="21"/>
  <c r="AA18" i="28" s="1"/>
  <c r="AB28" i="26"/>
  <c r="AB30" i="26" s="1"/>
  <c r="AB36" i="26" s="1"/>
  <c r="AB47" i="26" s="1"/>
  <c r="AB52" i="26" s="1"/>
  <c r="AB60" i="26" s="1"/>
  <c r="AB29" i="26"/>
  <c r="AB31" i="26" s="1"/>
  <c r="AB37" i="26" s="1"/>
  <c r="AB48" i="26" s="1"/>
  <c r="AB53" i="26" s="1"/>
  <c r="AB61" i="26" s="1"/>
  <c r="AD28" i="26"/>
  <c r="AD30" i="26" s="1"/>
  <c r="AD36" i="26" s="1"/>
  <c r="AD47" i="26" s="1"/>
  <c r="AD52" i="26" s="1"/>
  <c r="AD60" i="26" s="1"/>
  <c r="AD29" i="26"/>
  <c r="AD31" i="26" s="1"/>
  <c r="AD37" i="26" s="1"/>
  <c r="AD48" i="26" s="1"/>
  <c r="AD53" i="26" s="1"/>
  <c r="AD61" i="26" s="1"/>
  <c r="S12" i="23"/>
  <c r="S16" i="23" s="1"/>
  <c r="S28" i="26"/>
  <c r="S30" i="26" s="1"/>
  <c r="S36" i="26" s="1"/>
  <c r="S47" i="26" s="1"/>
  <c r="S52" i="26" s="1"/>
  <c r="S60" i="26" s="1"/>
  <c r="S29" i="26"/>
  <c r="S31" i="26" s="1"/>
  <c r="S37" i="26" s="1"/>
  <c r="S48" i="26" s="1"/>
  <c r="S53" i="26" s="1"/>
  <c r="S61" i="26" s="1"/>
  <c r="T12" i="23"/>
  <c r="T16" i="23" s="1"/>
  <c r="T29" i="26"/>
  <c r="T31" i="26" s="1"/>
  <c r="T37" i="26" s="1"/>
  <c r="T48" i="26" s="1"/>
  <c r="T53" i="26" s="1"/>
  <c r="T61" i="26" s="1"/>
  <c r="T28" i="26"/>
  <c r="T30" i="26" s="1"/>
  <c r="T36" i="26" s="1"/>
  <c r="T47" i="26" s="1"/>
  <c r="T52" i="26" s="1"/>
  <c r="T60" i="26" s="1"/>
  <c r="AF29" i="26"/>
  <c r="AF31" i="26" s="1"/>
  <c r="AF37" i="26" s="1"/>
  <c r="AF48" i="26" s="1"/>
  <c r="AF53" i="26" s="1"/>
  <c r="AF61" i="26" s="1"/>
  <c r="AF28" i="26"/>
  <c r="AF30" i="26" s="1"/>
  <c r="AF36" i="26" s="1"/>
  <c r="AF47" i="26" s="1"/>
  <c r="AF52" i="26" s="1"/>
  <c r="AF60" i="26" s="1"/>
  <c r="Z29" i="26"/>
  <c r="Z31" i="26" s="1"/>
  <c r="Z37" i="26" s="1"/>
  <c r="Z48" i="26" s="1"/>
  <c r="Z53" i="26" s="1"/>
  <c r="Z61" i="26" s="1"/>
  <c r="Z28" i="26"/>
  <c r="Z30" i="26" s="1"/>
  <c r="Z36" i="26" s="1"/>
  <c r="Z47" i="26" s="1"/>
  <c r="Z52" i="26" s="1"/>
  <c r="Z60" i="26" s="1"/>
  <c r="Z12" i="23"/>
  <c r="Z16" i="23" s="1"/>
  <c r="K28" i="26"/>
  <c r="K30" i="26" s="1"/>
  <c r="K36" i="26" s="1"/>
  <c r="K47" i="26" s="1"/>
  <c r="K52" i="26" s="1"/>
  <c r="K60" i="26" s="1"/>
  <c r="K12" i="23"/>
  <c r="K16" i="23" s="1"/>
  <c r="K29" i="26"/>
  <c r="K31" i="26" s="1"/>
  <c r="K37" i="26" s="1"/>
  <c r="K48" i="26" s="1"/>
  <c r="K53" i="26" s="1"/>
  <c r="K61" i="26" s="1"/>
  <c r="AH28" i="26"/>
  <c r="AH30" i="26" s="1"/>
  <c r="AH36" i="26" s="1"/>
  <c r="AH47" i="26" s="1"/>
  <c r="AH52" i="26" s="1"/>
  <c r="AH60" i="26" s="1"/>
  <c r="AH29" i="26"/>
  <c r="AH31" i="26" s="1"/>
  <c r="AH37" i="26" s="1"/>
  <c r="AH48" i="26" s="1"/>
  <c r="AH53" i="26" s="1"/>
  <c r="AH61" i="26" s="1"/>
  <c r="M26" i="21"/>
  <c r="M27" i="21"/>
  <c r="E25" i="27"/>
  <c r="E26" i="27"/>
  <c r="Z18" i="21"/>
  <c r="Y18" i="28" s="1"/>
  <c r="S18" i="28"/>
  <c r="R12" i="23"/>
  <c r="R16" i="23" s="1"/>
  <c r="R28" i="26"/>
  <c r="R30" i="26" s="1"/>
  <c r="R36" i="26" s="1"/>
  <c r="R47" i="26" s="1"/>
  <c r="R52" i="26" s="1"/>
  <c r="R60" i="26" s="1"/>
  <c r="R29" i="26"/>
  <c r="R31" i="26" s="1"/>
  <c r="R37" i="26" s="1"/>
  <c r="R48" i="26" s="1"/>
  <c r="R53" i="26" s="1"/>
  <c r="R61" i="26" s="1"/>
  <c r="AA29" i="26"/>
  <c r="AA31" i="26" s="1"/>
  <c r="AA37" i="26" s="1"/>
  <c r="AA48" i="26" s="1"/>
  <c r="AA53" i="26" s="1"/>
  <c r="AA61" i="26" s="1"/>
  <c r="AE12" i="23"/>
  <c r="AE16" i="23" s="1"/>
  <c r="AA12" i="23"/>
  <c r="AA16" i="23" s="1"/>
  <c r="AH12" i="23"/>
  <c r="AH16" i="23" s="1"/>
  <c r="AC12" i="23"/>
  <c r="AC16" i="23" s="1"/>
  <c r="AD12" i="23"/>
  <c r="AD16" i="23" s="1"/>
  <c r="AF12" i="23"/>
  <c r="AF16" i="23" s="1"/>
  <c r="AA28" i="26"/>
  <c r="AA30" i="26" s="1"/>
  <c r="AA36" i="26" s="1"/>
  <c r="AA47" i="26" s="1"/>
  <c r="AA52" i="26" s="1"/>
  <c r="AA60" i="26" s="1"/>
  <c r="AG12" i="23"/>
  <c r="AG16" i="23" s="1"/>
  <c r="AB12" i="23"/>
  <c r="AB16" i="23" s="1"/>
  <c r="AC28" i="26"/>
  <c r="AC30" i="26" s="1"/>
  <c r="AC36" i="26" s="1"/>
  <c r="AC47" i="26" s="1"/>
  <c r="AC52" i="26" s="1"/>
  <c r="AC60" i="26" s="1"/>
  <c r="AC29" i="26"/>
  <c r="AC31" i="26" s="1"/>
  <c r="AC37" i="26" s="1"/>
  <c r="AC48" i="26" s="1"/>
  <c r="AC53" i="26" s="1"/>
  <c r="AC61" i="26" s="1"/>
  <c r="P12" i="23"/>
  <c r="P16" i="23" s="1"/>
  <c r="P28" i="26"/>
  <c r="P30" i="26" s="1"/>
  <c r="P36" i="26" s="1"/>
  <c r="P47" i="26" s="1"/>
  <c r="P52" i="26" s="1"/>
  <c r="P60" i="26" s="1"/>
  <c r="P29" i="26"/>
  <c r="P31" i="26" s="1"/>
  <c r="P37" i="26" s="1"/>
  <c r="P48" i="26" s="1"/>
  <c r="P53" i="26" s="1"/>
  <c r="P61" i="26" s="1"/>
  <c r="M29" i="26"/>
  <c r="M31" i="26" s="1"/>
  <c r="M37" i="26" s="1"/>
  <c r="M48" i="26" s="1"/>
  <c r="M53" i="26" s="1"/>
  <c r="M61" i="26" s="1"/>
  <c r="M12" i="23"/>
  <c r="M16" i="23" s="1"/>
  <c r="M28" i="26"/>
  <c r="M30" i="26" s="1"/>
  <c r="M36" i="26" s="1"/>
  <c r="M47" i="26" s="1"/>
  <c r="M52" i="26" s="1"/>
  <c r="M60" i="26" s="1"/>
  <c r="AE28" i="26"/>
  <c r="AE30" i="26" s="1"/>
  <c r="AE36" i="26" s="1"/>
  <c r="AE47" i="26" s="1"/>
  <c r="AE52" i="26" s="1"/>
  <c r="AE60" i="26" s="1"/>
  <c r="AE29" i="26"/>
  <c r="AE31" i="26" s="1"/>
  <c r="AE37" i="26" s="1"/>
  <c r="AE48" i="26" s="1"/>
  <c r="AE53" i="26" s="1"/>
  <c r="AE61" i="26" s="1"/>
  <c r="X12" i="23"/>
  <c r="X16" i="23" s="1"/>
  <c r="X29" i="26"/>
  <c r="X31" i="26" s="1"/>
  <c r="X37" i="26" s="1"/>
  <c r="X48" i="26" s="1"/>
  <c r="X53" i="26" s="1"/>
  <c r="X61" i="26" s="1"/>
  <c r="X28" i="26"/>
  <c r="X30" i="26" s="1"/>
  <c r="X36" i="26" s="1"/>
  <c r="X47" i="26" s="1"/>
  <c r="X52" i="26" s="1"/>
  <c r="X60" i="26" s="1"/>
  <c r="E12" i="23"/>
  <c r="E16" i="23" s="1"/>
  <c r="E29" i="26"/>
  <c r="E31" i="26" s="1"/>
  <c r="E37" i="26" s="1"/>
  <c r="E48" i="26" s="1"/>
  <c r="E53" i="26" s="1"/>
  <c r="E28" i="26"/>
  <c r="E30" i="26" s="1"/>
  <c r="E36" i="26" s="1"/>
  <c r="E47" i="26" s="1"/>
  <c r="E52" i="26" s="1"/>
  <c r="L12" i="23"/>
  <c r="L16" i="23" s="1"/>
  <c r="L29" i="26"/>
  <c r="L31" i="26" s="1"/>
  <c r="L37" i="26" s="1"/>
  <c r="L48" i="26" s="1"/>
  <c r="L53" i="26" s="1"/>
  <c r="L61" i="26" s="1"/>
  <c r="L28" i="26"/>
  <c r="L30" i="26" s="1"/>
  <c r="L36" i="26" s="1"/>
  <c r="L47" i="26" s="1"/>
  <c r="L52" i="26" s="1"/>
  <c r="L60" i="26" s="1"/>
  <c r="E17" i="23" l="1"/>
  <c r="D56" i="23" s="1"/>
  <c r="E56" i="23" s="1"/>
  <c r="E38" i="23"/>
  <c r="E39" i="23" s="1"/>
  <c r="E31" i="23"/>
  <c r="E35" i="23" s="1"/>
  <c r="AH17" i="23"/>
  <c r="D58" i="23" s="1"/>
  <c r="E58" i="23" s="1"/>
  <c r="AH31" i="23"/>
  <c r="AH35" i="23" s="1"/>
  <c r="D63" i="23" s="1"/>
  <c r="E63" i="23" s="1"/>
  <c r="AH38" i="23"/>
  <c r="AH39" i="23" s="1"/>
  <c r="AH43" i="23" s="1"/>
  <c r="K38" i="23"/>
  <c r="K39" i="23" s="1"/>
  <c r="K43" i="23" s="1"/>
  <c r="K17" i="23"/>
  <c r="K31" i="23"/>
  <c r="K35" i="23" s="1"/>
  <c r="S17" i="23"/>
  <c r="S31" i="23"/>
  <c r="S35" i="23" s="1"/>
  <c r="S38" i="23"/>
  <c r="S39" i="23" s="1"/>
  <c r="S43" i="23" s="1"/>
  <c r="G31" i="23"/>
  <c r="G35" i="23" s="1"/>
  <c r="G17" i="23"/>
  <c r="D57" i="23" s="1"/>
  <c r="E57" i="23" s="1"/>
  <c r="G38" i="23"/>
  <c r="G39" i="23" s="1"/>
  <c r="G43" i="23" s="1"/>
  <c r="W17" i="23"/>
  <c r="W38" i="23"/>
  <c r="W39" i="23" s="1"/>
  <c r="W43" i="23" s="1"/>
  <c r="W31" i="23"/>
  <c r="W35" i="23" s="1"/>
  <c r="N31" i="23"/>
  <c r="N35" i="23" s="1"/>
  <c r="N17" i="23"/>
  <c r="N38" i="23"/>
  <c r="N39" i="23" s="1"/>
  <c r="N43" i="23" s="1"/>
  <c r="F17" i="23"/>
  <c r="F31" i="23"/>
  <c r="F35" i="23" s="1"/>
  <c r="F38" i="23"/>
  <c r="F39" i="23" s="1"/>
  <c r="F43" i="23" s="1"/>
  <c r="L17" i="23"/>
  <c r="L38" i="23"/>
  <c r="L39" i="23" s="1"/>
  <c r="L43" i="23" s="1"/>
  <c r="L31" i="23"/>
  <c r="L35" i="23" s="1"/>
  <c r="AF17" i="23"/>
  <c r="AF31" i="23"/>
  <c r="AF35" i="23" s="1"/>
  <c r="AF38" i="23"/>
  <c r="AF39" i="23" s="1"/>
  <c r="AF43" i="23" s="1"/>
  <c r="AA17" i="23"/>
  <c r="AA38" i="23"/>
  <c r="AA39" i="23" s="1"/>
  <c r="AA43" i="23" s="1"/>
  <c r="AA31" i="23"/>
  <c r="AA35" i="23" s="1"/>
  <c r="T17" i="23"/>
  <c r="T38" i="23"/>
  <c r="T39" i="23" s="1"/>
  <c r="T43" i="23" s="1"/>
  <c r="T31" i="23"/>
  <c r="T35" i="23" s="1"/>
  <c r="P21" i="21"/>
  <c r="L19" i="28"/>
  <c r="O17" i="23"/>
  <c r="O31" i="23"/>
  <c r="O35" i="23" s="1"/>
  <c r="O38" i="23"/>
  <c r="O39" i="23" s="1"/>
  <c r="O43" i="23" s="1"/>
  <c r="I17" i="23"/>
  <c r="I38" i="23"/>
  <c r="I39" i="23" s="1"/>
  <c r="I43" i="23" s="1"/>
  <c r="I31" i="23"/>
  <c r="I35" i="23" s="1"/>
  <c r="Q17" i="23"/>
  <c r="Q31" i="23"/>
  <c r="Q35" i="23" s="1"/>
  <c r="Q38" i="23"/>
  <c r="Q39" i="23" s="1"/>
  <c r="Q43" i="23" s="1"/>
  <c r="E60" i="26"/>
  <c r="E54" i="26"/>
  <c r="F54" i="26" s="1"/>
  <c r="G54" i="26" s="1"/>
  <c r="H54" i="26" s="1"/>
  <c r="I54" i="26" s="1"/>
  <c r="J54" i="26" s="1"/>
  <c r="K54" i="26" s="1"/>
  <c r="L54" i="26" s="1"/>
  <c r="M54" i="26" s="1"/>
  <c r="N54" i="26" s="1"/>
  <c r="O54" i="26" s="1"/>
  <c r="P54" i="26" s="1"/>
  <c r="Q54" i="26" s="1"/>
  <c r="R54" i="26" s="1"/>
  <c r="S54" i="26" s="1"/>
  <c r="T54" i="26" s="1"/>
  <c r="U54" i="26" s="1"/>
  <c r="V54" i="26" s="1"/>
  <c r="W54" i="26" s="1"/>
  <c r="X54" i="26" s="1"/>
  <c r="Y54" i="26" s="1"/>
  <c r="Z54" i="26" s="1"/>
  <c r="AA54" i="26" s="1"/>
  <c r="AB54" i="26" s="1"/>
  <c r="AC54" i="26" s="1"/>
  <c r="AD54" i="26" s="1"/>
  <c r="AE54" i="26" s="1"/>
  <c r="AF54" i="26" s="1"/>
  <c r="AG54" i="26" s="1"/>
  <c r="AH54" i="26" s="1"/>
  <c r="AB17" i="23"/>
  <c r="AB38" i="23"/>
  <c r="AB39" i="23" s="1"/>
  <c r="AB43" i="23" s="1"/>
  <c r="AB31" i="23"/>
  <c r="AB35" i="23" s="1"/>
  <c r="AD17" i="23"/>
  <c r="AD38" i="23"/>
  <c r="AD39" i="23" s="1"/>
  <c r="AD43" i="23" s="1"/>
  <c r="AD31" i="23"/>
  <c r="AD35" i="23" s="1"/>
  <c r="AE17" i="23"/>
  <c r="AE31" i="23"/>
  <c r="AE35" i="23" s="1"/>
  <c r="AE38" i="23"/>
  <c r="AE39" i="23" s="1"/>
  <c r="AE43" i="23" s="1"/>
  <c r="R17" i="23"/>
  <c r="R31" i="23"/>
  <c r="R35" i="23" s="1"/>
  <c r="R38" i="23"/>
  <c r="R39" i="23" s="1"/>
  <c r="R43" i="23" s="1"/>
  <c r="Z38" i="23"/>
  <c r="Z39" i="23" s="1"/>
  <c r="Z43" i="23" s="1"/>
  <c r="Z17" i="23"/>
  <c r="Z31" i="23"/>
  <c r="Z35" i="23" s="1"/>
  <c r="Y17" i="23"/>
  <c r="Y31" i="23"/>
  <c r="Y35" i="23" s="1"/>
  <c r="Y38" i="23"/>
  <c r="Y39" i="23" s="1"/>
  <c r="Y43" i="23" s="1"/>
  <c r="H17" i="23"/>
  <c r="H38" i="23"/>
  <c r="H39" i="23" s="1"/>
  <c r="H43" i="23" s="1"/>
  <c r="H31" i="23"/>
  <c r="H35" i="23" s="1"/>
  <c r="J31" i="23"/>
  <c r="J35" i="23" s="1"/>
  <c r="J17" i="23"/>
  <c r="J38" i="23"/>
  <c r="J39" i="23" s="1"/>
  <c r="E61" i="26"/>
  <c r="E55" i="26"/>
  <c r="F55" i="26" s="1"/>
  <c r="G55" i="26" s="1"/>
  <c r="H55" i="26" s="1"/>
  <c r="I55" i="26" s="1"/>
  <c r="J55" i="26" s="1"/>
  <c r="K55" i="26" s="1"/>
  <c r="L55" i="26" s="1"/>
  <c r="M55" i="26" s="1"/>
  <c r="N55" i="26" s="1"/>
  <c r="O55" i="26" s="1"/>
  <c r="P55" i="26" s="1"/>
  <c r="Q55" i="26" s="1"/>
  <c r="R55" i="26" s="1"/>
  <c r="S55" i="26" s="1"/>
  <c r="T55" i="26" s="1"/>
  <c r="U55" i="26" s="1"/>
  <c r="V55" i="26" s="1"/>
  <c r="W55" i="26" s="1"/>
  <c r="X55" i="26" s="1"/>
  <c r="Y55" i="26" s="1"/>
  <c r="Z55" i="26" s="1"/>
  <c r="AA55" i="26" s="1"/>
  <c r="AB55" i="26" s="1"/>
  <c r="AC55" i="26" s="1"/>
  <c r="AD55" i="26" s="1"/>
  <c r="AE55" i="26" s="1"/>
  <c r="AF55" i="26" s="1"/>
  <c r="AG55" i="26" s="1"/>
  <c r="AH55" i="26" s="1"/>
  <c r="X31" i="23"/>
  <c r="X35" i="23" s="1"/>
  <c r="X17" i="23"/>
  <c r="X38" i="23"/>
  <c r="X39" i="23" s="1"/>
  <c r="X43" i="23" s="1"/>
  <c r="M17" i="23"/>
  <c r="M38" i="23"/>
  <c r="M39" i="23" s="1"/>
  <c r="M43" i="23" s="1"/>
  <c r="M31" i="23"/>
  <c r="M35" i="23" s="1"/>
  <c r="P17" i="23"/>
  <c r="P38" i="23"/>
  <c r="P39" i="23" s="1"/>
  <c r="P43" i="23" s="1"/>
  <c r="P31" i="23"/>
  <c r="P35" i="23" s="1"/>
  <c r="AG17" i="23"/>
  <c r="AG38" i="23"/>
  <c r="AG39" i="23" s="1"/>
  <c r="AG43" i="23" s="1"/>
  <c r="AG31" i="23"/>
  <c r="AG35" i="23" s="1"/>
  <c r="AC17" i="23"/>
  <c r="AC38" i="23"/>
  <c r="AC39" i="23" s="1"/>
  <c r="AC43" i="23" s="1"/>
  <c r="AC31" i="23"/>
  <c r="AC35" i="23" s="1"/>
  <c r="L26" i="21"/>
  <c r="L27" i="21"/>
  <c r="U17" i="23"/>
  <c r="U38" i="23"/>
  <c r="U39" i="23" s="1"/>
  <c r="U43" i="23" s="1"/>
  <c r="U31" i="23"/>
  <c r="U35" i="23" s="1"/>
  <c r="V38" i="23"/>
  <c r="V39" i="23" s="1"/>
  <c r="V43" i="23" s="1"/>
  <c r="V17" i="23"/>
  <c r="V31" i="23"/>
  <c r="V35" i="23" s="1"/>
  <c r="I26" i="27"/>
  <c r="I25" i="27"/>
  <c r="I50" i="21"/>
  <c r="K49" i="21"/>
  <c r="V44" i="23" l="1"/>
  <c r="V51" i="23" s="1"/>
  <c r="V50" i="23"/>
  <c r="M50" i="23"/>
  <c r="M44" i="23"/>
  <c r="M51" i="23" s="1"/>
  <c r="AA44" i="23"/>
  <c r="AA51" i="23" s="1"/>
  <c r="AA50" i="23"/>
  <c r="F44" i="23"/>
  <c r="F51" i="23" s="1"/>
  <c r="F50" i="23"/>
  <c r="S50" i="23"/>
  <c r="S44" i="23"/>
  <c r="S51" i="23" s="1"/>
  <c r="P44" i="23"/>
  <c r="P51" i="23" s="1"/>
  <c r="P50" i="23"/>
  <c r="Y50" i="23"/>
  <c r="Y44" i="23"/>
  <c r="Y51" i="23" s="1"/>
  <c r="AB50" i="23"/>
  <c r="AB44" i="23"/>
  <c r="AB51" i="23" s="1"/>
  <c r="Q44" i="23"/>
  <c r="Q51" i="23" s="1"/>
  <c r="Q50" i="23"/>
  <c r="I50" i="23"/>
  <c r="I44" i="23"/>
  <c r="I51" i="23" s="1"/>
  <c r="T44" i="23"/>
  <c r="T51" i="23" s="1"/>
  <c r="T50" i="23"/>
  <c r="G50" i="23"/>
  <c r="G44" i="23"/>
  <c r="G51" i="23" s="1"/>
  <c r="K44" i="23"/>
  <c r="K51" i="23" s="1"/>
  <c r="K50" i="23"/>
  <c r="E36" i="23"/>
  <c r="F36" i="23" s="1"/>
  <c r="G36" i="23" s="1"/>
  <c r="H36" i="23" s="1"/>
  <c r="I36" i="23" s="1"/>
  <c r="J36" i="23" s="1"/>
  <c r="K36" i="23" s="1"/>
  <c r="L36" i="23" s="1"/>
  <c r="M36" i="23" s="1"/>
  <c r="N36" i="23" s="1"/>
  <c r="O36" i="23" s="1"/>
  <c r="P36" i="23" s="1"/>
  <c r="Q36" i="23" s="1"/>
  <c r="R36" i="23" s="1"/>
  <c r="S36" i="23" s="1"/>
  <c r="T36" i="23" s="1"/>
  <c r="U36" i="23" s="1"/>
  <c r="V36" i="23" s="1"/>
  <c r="W36" i="23" s="1"/>
  <c r="X36" i="23" s="1"/>
  <c r="Y36" i="23" s="1"/>
  <c r="Z36" i="23" s="1"/>
  <c r="AA36" i="23" s="1"/>
  <c r="AB36" i="23" s="1"/>
  <c r="AC36" i="23" s="1"/>
  <c r="AD36" i="23" s="1"/>
  <c r="AE36" i="23" s="1"/>
  <c r="AF36" i="23" s="1"/>
  <c r="AG36" i="23" s="1"/>
  <c r="AH36" i="23" s="1"/>
  <c r="D65" i="23" s="1"/>
  <c r="E65" i="23" s="1"/>
  <c r="D61" i="23"/>
  <c r="E61" i="23" s="1"/>
  <c r="U50" i="23"/>
  <c r="U44" i="23"/>
  <c r="U51" i="23" s="1"/>
  <c r="AG44" i="23"/>
  <c r="AG51" i="23" s="1"/>
  <c r="AG50" i="23"/>
  <c r="X44" i="23"/>
  <c r="X51" i="23" s="1"/>
  <c r="X50" i="23"/>
  <c r="Z44" i="23"/>
  <c r="Z51" i="23" s="1"/>
  <c r="Z50" i="23"/>
  <c r="AE44" i="23"/>
  <c r="AE51" i="23" s="1"/>
  <c r="AE50" i="23"/>
  <c r="AD50" i="23"/>
  <c r="AD44" i="23"/>
  <c r="AD51" i="23" s="1"/>
  <c r="AF44" i="23"/>
  <c r="AF51" i="23" s="1"/>
  <c r="AF50" i="23"/>
  <c r="L44" i="23"/>
  <c r="L51" i="23" s="1"/>
  <c r="L50" i="23"/>
  <c r="AH44" i="23"/>
  <c r="AH51" i="23" s="1"/>
  <c r="AH50" i="23"/>
  <c r="E43" i="23"/>
  <c r="E40" i="23"/>
  <c r="F40" i="23" s="1"/>
  <c r="G40" i="23" s="1"/>
  <c r="H40" i="23" s="1"/>
  <c r="I40" i="23" s="1"/>
  <c r="AC44" i="23"/>
  <c r="AC51" i="23" s="1"/>
  <c r="AC50" i="23"/>
  <c r="J43" i="23"/>
  <c r="J40" i="23"/>
  <c r="K40" i="23" s="1"/>
  <c r="L40" i="23" s="1"/>
  <c r="M40" i="23" s="1"/>
  <c r="N40" i="23" s="1"/>
  <c r="O40" i="23" s="1"/>
  <c r="P40" i="23" s="1"/>
  <c r="Q40" i="23" s="1"/>
  <c r="R40" i="23" s="1"/>
  <c r="S40" i="23" s="1"/>
  <c r="T40" i="23" s="1"/>
  <c r="U40" i="23" s="1"/>
  <c r="V40" i="23" s="1"/>
  <c r="W40" i="23" s="1"/>
  <c r="X40" i="23" s="1"/>
  <c r="Y40" i="23" s="1"/>
  <c r="Z40" i="23" s="1"/>
  <c r="AA40" i="23" s="1"/>
  <c r="AB40" i="23" s="1"/>
  <c r="AC40" i="23" s="1"/>
  <c r="AD40" i="23" s="1"/>
  <c r="AE40" i="23" s="1"/>
  <c r="AF40" i="23" s="1"/>
  <c r="AG40" i="23" s="1"/>
  <c r="AH40" i="23" s="1"/>
  <c r="H50" i="23"/>
  <c r="H44" i="23"/>
  <c r="H51" i="23" s="1"/>
  <c r="R50" i="23"/>
  <c r="R44" i="23"/>
  <c r="R51" i="23" s="1"/>
  <c r="O50" i="23"/>
  <c r="O44" i="23"/>
  <c r="O51" i="23" s="1"/>
  <c r="N44" i="23"/>
  <c r="N51" i="23" s="1"/>
  <c r="N50" i="23"/>
  <c r="W50" i="23"/>
  <c r="W44" i="23"/>
  <c r="W51" i="23" s="1"/>
  <c r="D62" i="23"/>
  <c r="E62" i="23" s="1"/>
  <c r="J44" i="23" l="1"/>
  <c r="J51" i="23" s="1"/>
  <c r="J50" i="23"/>
  <c r="E44" i="23"/>
  <c r="E51" i="23" s="1"/>
  <c r="E5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tc={DD8F7AF6-7EB3-49CE-B0EF-647BBE73C5E6}</author>
    <author>tc={97F113E2-BE34-4F61-AB2E-3C99BE355219}</author>
    <author>tc={8232C5AC-CB6B-41FA-B4E8-A8749E67813C}</author>
    <author>tc={DDC06543-30DB-4A72-8C09-B20B263187B6}</author>
  </authors>
  <commentList>
    <comment ref="F134" authorId="0" shapeId="0" xr:uid="{DD8F7AF6-7EB3-49CE-B0EF-647BBE73C5E6}">
      <text>
        <t>[Threaded comment]
Your version of Excel allows you to read this threaded comment; however, any edits to it will get removed if the file is opened in a newer version of Excel. Learn more: https://go.microsoft.com/fwlink/?linkid=870924
Comment:
    CASE Calculator had 100%. Changing to 93% does not make impacts within sigfigs, kept at is.
Reply:
    Perfect.</t>
      </text>
    </comment>
    <comment ref="F135" authorId="1" shapeId="0" xr:uid="{97F113E2-BE34-4F61-AB2E-3C99BE355219}">
      <text>
        <t>[Threaded comment]
Your version of Excel allows you to read this threaded comment; however, any edits to it will get removed if the file is opened in a newer version of Excel. Learn more: https://go.microsoft.com/fwlink/?linkid=870924
Comment:
    Appendix A has 93% MRMU penetration numbers for high fire. Which is correct?
Reply:
    mistake in CASE report?
Reply:
    Edited with 55% for high fire</t>
      </text>
    </comment>
    <comment ref="F137" authorId="2" shapeId="0" xr:uid="{8232C5AC-CB6B-41FA-B4E8-A8749E6781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Different unit count in Appendix A and Statewide Savings Section of CASE Report for all HVAC measures; used Statewide Savings to align
Reply:
    Resolved found in CASE Calculator</t>
      </text>
    </comment>
    <comment ref="C138" authorId="3" shapeId="0" xr:uid="{DDC06543-30DB-4A72-8C09-B20B263187B6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there enough info in the memo Alea shared?
Reply:
    CZ01 is added</t>
      </text>
    </comment>
  </commentList>
</comments>
</file>

<file path=xl/sharedStrings.xml><?xml version="1.0" encoding="utf-8"?>
<sst xmlns="http://schemas.openxmlformats.org/spreadsheetml/2006/main" count="4096" uniqueCount="654">
  <si>
    <t>Building Type: Single Family</t>
  </si>
  <si>
    <t>Prototype: 2100 sf</t>
  </si>
  <si>
    <t>Proposed</t>
  </si>
  <si>
    <t>Savings (Increase) - Per Building</t>
  </si>
  <si>
    <t>Starts in Each CZ</t>
  </si>
  <si>
    <t>Climate Zone</t>
  </si>
  <si>
    <t>Therms</t>
  </si>
  <si>
    <t>kWh</t>
  </si>
  <si>
    <t>TDV</t>
  </si>
  <si>
    <t>CO2 Emissions, mTon/yr</t>
  </si>
  <si>
    <t>Numbers</t>
  </si>
  <si>
    <t>Percent</t>
  </si>
  <si>
    <t>Statewide Total</t>
  </si>
  <si>
    <t>Prototype: 2700 sf</t>
  </si>
  <si>
    <t>Prototype: Combined</t>
  </si>
  <si>
    <t>Savings - Weighted Average</t>
  </si>
  <si>
    <t>Fun Stats</t>
  </si>
  <si>
    <t>Therms Decrease</t>
  </si>
  <si>
    <t>kWh Increase</t>
  </si>
  <si>
    <t>TDV Decrease</t>
  </si>
  <si>
    <t>2019 CO2 Emissions - mTon/yr</t>
  </si>
  <si>
    <t>CO2 Decreas</t>
  </si>
  <si>
    <t>Statewide Average</t>
  </si>
  <si>
    <t>3rd Year CO2 Emissions, Tons/yr</t>
  </si>
  <si>
    <t>First year equivelant cars off the road</t>
  </si>
  <si>
    <t>2100 sf percentage</t>
  </si>
  <si>
    <t>Third year equivelant cars off the road</t>
  </si>
  <si>
    <t>2700 sf percentage</t>
  </si>
  <si>
    <t>Additional kWh for heatpumps:</t>
  </si>
  <si>
    <t>Car Emission Assumption:</t>
  </si>
  <si>
    <t>kWh, first year</t>
  </si>
  <si>
    <t>GWh</t>
  </si>
  <si>
    <t>Average 2018 CAFÉ MPG</t>
  </si>
  <si>
    <t>kWh, 3rd year</t>
  </si>
  <si>
    <t>Average Miles Driven/yr</t>
  </si>
  <si>
    <t>CO2 per gal of gas, kg/yr</t>
  </si>
  <si>
    <t>Ave Auto CO2 Emission, kg/year</t>
  </si>
  <si>
    <t>Building Type: Multifamily</t>
  </si>
  <si>
    <t>Prototype: 2-Story LRGS</t>
  </si>
  <si>
    <t>2019 Baseline</t>
  </si>
  <si>
    <t>Savings (Increase) - Per Unit</t>
  </si>
  <si>
    <t>Savings-Weighted Average</t>
  </si>
  <si>
    <t>TDV kBtu</t>
  </si>
  <si>
    <t>Prototype: 3-story LRLC</t>
  </si>
  <si>
    <t xml:space="preserve">Building Type: Multifamily </t>
  </si>
  <si>
    <t>Prototype: 5-story MRMU</t>
  </si>
  <si>
    <t>Prototype: 10-story HRMU</t>
  </si>
  <si>
    <t xml:space="preserve">Based on analysis conducted by TRC for the Statewide Utility Codes and Standards Team. </t>
  </si>
  <si>
    <t>Prototype: Combined (LRGS, LRLC, MUMR, HR)</t>
  </si>
  <si>
    <t>Values per dwelling unit (weighted average)</t>
  </si>
  <si>
    <t>Statewide</t>
  </si>
  <si>
    <t>Savings</t>
  </si>
  <si>
    <t>Weighted Ave. Savings</t>
  </si>
  <si>
    <t xml:space="preserve"> kWh</t>
  </si>
  <si>
    <t>CO2 Emissions (mTon/yr)</t>
  </si>
  <si>
    <t>2019 Baseline Statewide  - Therms</t>
  </si>
  <si>
    <t>Therms savings</t>
  </si>
  <si>
    <t>2019 Baseline Statewide - kWh</t>
  </si>
  <si>
    <t>kWh savings</t>
  </si>
  <si>
    <t>CO2 savings</t>
  </si>
  <si>
    <t>2019 Baseline Statewide - TDV kBtu</t>
  </si>
  <si>
    <t>Total TDV (building end uses) % Savings</t>
  </si>
  <si>
    <t>Total Incremental Cost ($2023PV)</t>
  </si>
  <si>
    <t>CZ01</t>
  </si>
  <si>
    <t>CZ02</t>
  </si>
  <si>
    <t>CZ03</t>
  </si>
  <si>
    <t>CZ04</t>
  </si>
  <si>
    <t>CZ05</t>
  </si>
  <si>
    <t>CZ06</t>
  </si>
  <si>
    <t>CZ07</t>
  </si>
  <si>
    <t>CZ08</t>
  </si>
  <si>
    <t>CZ09</t>
  </si>
  <si>
    <t>CZ10</t>
  </si>
  <si>
    <t>CZ11</t>
  </si>
  <si>
    <t>CZ12</t>
  </si>
  <si>
    <t>CZ13</t>
  </si>
  <si>
    <t>CZ14</t>
  </si>
  <si>
    <t>CZ15</t>
  </si>
  <si>
    <t>CZ16</t>
  </si>
  <si>
    <t>Total</t>
  </si>
  <si>
    <t>Supporting Infomration</t>
  </si>
  <si>
    <t>Mid-rise Residential HVAC heating (therms)</t>
  </si>
  <si>
    <t>Mid-rise NR HVAC heating (therms)</t>
  </si>
  <si>
    <t>Mid-rise Total Spc Heating (therms)</t>
  </si>
  <si>
    <t>Mid-rise DHW (therms)</t>
  </si>
  <si>
    <t>Mid-rise Total (therms)</t>
  </si>
  <si>
    <t>Statewide Average therms  Savings (%) from above</t>
  </si>
  <si>
    <t>Residential HVAC heating - Percent of total Mid-rise therms</t>
  </si>
  <si>
    <t>DHW - Percent of total Mid-rise therms</t>
  </si>
  <si>
    <t>NR HVAC - Percent of total Mid-rise therms</t>
  </si>
  <si>
    <t>Percent of New Cons. Starts</t>
  </si>
  <si>
    <t>LowRiseGarden</t>
  </si>
  <si>
    <t>LoadedCorridor</t>
  </si>
  <si>
    <t>MidRiseMixedUse</t>
  </si>
  <si>
    <t>HighRiseMixedUse</t>
  </si>
  <si>
    <t>*Other loads include receptacle and process</t>
  </si>
  <si>
    <t>CZ</t>
  </si>
  <si>
    <t>Prototype</t>
  </si>
  <si>
    <t>SpcHeat</t>
  </si>
  <si>
    <t>SpcCool</t>
  </si>
  <si>
    <t>Fans</t>
  </si>
  <si>
    <t>DHW</t>
  </si>
  <si>
    <t>Lighting</t>
  </si>
  <si>
    <t>Other</t>
  </si>
  <si>
    <t>Statewide Total - Nonres Heat Pump Space and DHW Heating</t>
  </si>
  <si>
    <t>New</t>
  </si>
  <si>
    <t>Savings - Statewide</t>
  </si>
  <si>
    <t>Baseline Consumption - Statewide</t>
  </si>
  <si>
    <t>Proposed Consumption - Statewide</t>
  </si>
  <si>
    <t>Construction</t>
  </si>
  <si>
    <t>Electric</t>
  </si>
  <si>
    <t>Gas</t>
  </si>
  <si>
    <t>Source</t>
  </si>
  <si>
    <r>
      <t>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>e</t>
    </r>
  </si>
  <si>
    <t>Incr. Cost</t>
  </si>
  <si>
    <r>
      <t>CO</t>
    </r>
    <r>
      <rPr>
        <vertAlign val="subscript"/>
        <sz val="11"/>
        <color rgb="FFA6A6A6"/>
        <rFont val="Calibri"/>
        <family val="2"/>
      </rPr>
      <t>2</t>
    </r>
    <r>
      <rPr>
        <sz val="11"/>
        <color rgb="FFA6A6A6"/>
        <rFont val="Calibri"/>
        <family val="2"/>
      </rPr>
      <t>e</t>
    </r>
  </si>
  <si>
    <r>
      <t>CO</t>
    </r>
    <r>
      <rPr>
        <vertAlign val="subscript"/>
        <sz val="11"/>
        <color rgb="FF9BC2E6"/>
        <rFont val="Calibri"/>
        <family val="2"/>
      </rPr>
      <t>2</t>
    </r>
    <r>
      <rPr>
        <sz val="11"/>
        <color rgb="FF9BC2E6"/>
        <rFont val="Calibri"/>
        <family val="2"/>
      </rPr>
      <t>e</t>
    </r>
  </si>
  <si>
    <t>Statewide Proposed Therms by Building Type</t>
  </si>
  <si>
    <t>Mft²</t>
  </si>
  <si>
    <t>therm</t>
  </si>
  <si>
    <t>kBtu</t>
  </si>
  <si>
    <t>$</t>
  </si>
  <si>
    <t>tonne</t>
  </si>
  <si>
    <t>%</t>
  </si>
  <si>
    <t>OffSml</t>
  </si>
  <si>
    <t>RetlLrg</t>
  </si>
  <si>
    <t>RetlMed</t>
  </si>
  <si>
    <t>RetlSml</t>
  </si>
  <si>
    <t>SchSml</t>
  </si>
  <si>
    <t>Whse</t>
  </si>
  <si>
    <t>Weighted Total</t>
  </si>
  <si>
    <t>Small Office - Space Heating</t>
  </si>
  <si>
    <t>ft²</t>
  </si>
  <si>
    <t>Savings - Per Building</t>
  </si>
  <si>
    <t>Savings - Per Unit Area</t>
  </si>
  <si>
    <t>Proposed Consumption - Per Unit Area</t>
  </si>
  <si>
    <t>kWh/ft²</t>
  </si>
  <si>
    <t>therm/ft²</t>
  </si>
  <si>
    <t>kBtu/ft²</t>
  </si>
  <si>
    <t>tonne/ft²</t>
  </si>
  <si>
    <t>$/ft²</t>
  </si>
  <si>
    <t>Large Retail - Space Heating</t>
  </si>
  <si>
    <t>Medium Retail - Space Heating</t>
  </si>
  <si>
    <t>Small Retail - Space Heating</t>
  </si>
  <si>
    <t>Small School - Space Heating</t>
  </si>
  <si>
    <t>Small School - DHW Heating</t>
  </si>
  <si>
    <t>Small School - Space and DHW Heating</t>
  </si>
  <si>
    <t>ft² office</t>
  </si>
  <si>
    <t>Warehouse - Space Heating</t>
  </si>
  <si>
    <t>ft² total</t>
  </si>
  <si>
    <t>Floor Area</t>
  </si>
  <si>
    <t>Sml Off +</t>
  </si>
  <si>
    <t>2023 Projected New Construction (Mft²)</t>
  </si>
  <si>
    <t>% of Retail</t>
  </si>
  <si>
    <t>% of College</t>
  </si>
  <si>
    <t>% of School</t>
  </si>
  <si>
    <t>Forecast Data</t>
  </si>
  <si>
    <t>Retail</t>
  </si>
  <si>
    <t>Small Office</t>
  </si>
  <si>
    <t>Schools</t>
  </si>
  <si>
    <t>Non-Ref. Warehse</t>
  </si>
  <si>
    <t>College</t>
  </si>
  <si>
    <t>Nonres Combined</t>
  </si>
  <si>
    <t>Savings (Increase)</t>
  </si>
  <si>
    <t>Construction Floor Area</t>
  </si>
  <si>
    <t>Statewide Impact</t>
  </si>
  <si>
    <t>Weighted Therms</t>
  </si>
  <si>
    <t>Weighted kWh</t>
  </si>
  <si>
    <t>Weighted TDV</t>
  </si>
  <si>
    <t>Weighted CO2 Emissions</t>
  </si>
  <si>
    <t>TDV, kBtu</t>
  </si>
  <si>
    <t>Area, sf</t>
  </si>
  <si>
    <t>Incremental Cost, $/sf</t>
  </si>
  <si>
    <t>NPV (30-yr nonres and high-rise res), $/sf</t>
  </si>
  <si>
    <t>B/C Ratio</t>
  </si>
  <si>
    <t>MF Combined</t>
  </si>
  <si>
    <t>HRR10Story</t>
  </si>
  <si>
    <t>PV Deration Factor</t>
  </si>
  <si>
    <t>MRMU5Story</t>
  </si>
  <si>
    <t>OffLrg</t>
  </si>
  <si>
    <t>OffMed</t>
  </si>
  <si>
    <t>SchLrg</t>
  </si>
  <si>
    <t>Savings per Dwelling</t>
  </si>
  <si>
    <t>*total number of new construction multifamily starts</t>
  </si>
  <si>
    <t>Starts in Each CZ*</t>
  </si>
  <si>
    <t>2022 Weighted Ave. Savings</t>
  </si>
  <si>
    <t>2019 Baselines and Percent Savings</t>
  </si>
  <si>
    <t>Multifamily EE Measures</t>
  </si>
  <si>
    <t>LRGS</t>
  </si>
  <si>
    <t>LRLC</t>
  </si>
  <si>
    <t>MRMU</t>
  </si>
  <si>
    <t>HRMU</t>
  </si>
  <si>
    <t>Added</t>
  </si>
  <si>
    <t>TDV Type</t>
  </si>
  <si>
    <t>Notes</t>
  </si>
  <si>
    <t>Area (ft2)</t>
  </si>
  <si>
    <t>Dwelling Units</t>
  </si>
  <si>
    <t>IAQ ERV/HRV</t>
  </si>
  <si>
    <t>applies only to balanced ventilation (consider market share in statewide savings)</t>
  </si>
  <si>
    <t>x</t>
  </si>
  <si>
    <t>2022 Res  30 year for low-rise, 2022 NR 30 yr for high-rise</t>
  </si>
  <si>
    <t>Impacts only a subset of climate zones</t>
  </si>
  <si>
    <t>IAQ central ventilation duct sealing</t>
  </si>
  <si>
    <t>applies only to central ducts (consider market share in statewide savings)</t>
  </si>
  <si>
    <t>Garden style was not modeled</t>
  </si>
  <si>
    <t>DHW pipe insulation</t>
  </si>
  <si>
    <t>central systems only (consider market share in statewide savings)</t>
  </si>
  <si>
    <t>Restructuring roof assemblies</t>
  </si>
  <si>
    <t>low-slope no attic only (consider market share in statewide savings</t>
  </si>
  <si>
    <t>15% low slope no attic
18% steep slope no attic</t>
  </si>
  <si>
    <t>56% low slope no attic, 15% steep slope no attic</t>
  </si>
  <si>
    <t>93%
ASR CZ 9-11, 13-15</t>
  </si>
  <si>
    <t>100%
ASR CZ 9-11, 13-15</t>
  </si>
  <si>
    <t>2022 Res, 30 yr</t>
  </si>
  <si>
    <t>Restructuring wall U-factor</t>
  </si>
  <si>
    <t>consideration of wall type distribution in statewide impact</t>
  </si>
  <si>
    <t>N/A</t>
  </si>
  <si>
    <t>3% market with high fire rating, CZs 1-5,8-10, 12, 13 (energy gain, not savings)</t>
  </si>
  <si>
    <t>39% market with low fire rating and savings CZs 1-5, 8-10, 12 and 13. 55% market with high fire rating and losses in 6,7,11,14-16</t>
  </si>
  <si>
    <t>30% market with high fire rating and losses in 6,7,11,14-16</t>
  </si>
  <si>
    <t>Impact has been fixed to 55%</t>
  </si>
  <si>
    <t>Restructuring fenestration properties</t>
  </si>
  <si>
    <t>slight impact to middle CZs in low-rise. Complex calculation in terms of which types of buildings have what type of windows.</t>
  </si>
  <si>
    <t>100% All others (losses) CZs 6 and 7</t>
  </si>
  <si>
    <t>84% all others (all CZs), 7% curtainwall (CZ 1 and 16)</t>
  </si>
  <si>
    <t>8% all others (all Czs), 70% curtainwall (CZ 1 ad 16)</t>
  </si>
  <si>
    <t>Restructuring duct sealing and testing</t>
  </si>
  <si>
    <t>CZs 1, 3, 5 and 7 excluded for NC</t>
  </si>
  <si>
    <t>38% ducted systems CZs 2,4,6,8-16</t>
  </si>
  <si>
    <t>23% ducted systems CZs 2,4,6,8-16</t>
  </si>
  <si>
    <t>Restructuring airflow and fan watt draw</t>
  </si>
  <si>
    <t>34% market share</t>
  </si>
  <si>
    <t>23% market share</t>
  </si>
  <si>
    <t>Restructuring refrigerant charge verification</t>
  </si>
  <si>
    <t>88% market share CZ 2, 8-15</t>
  </si>
  <si>
    <t>91% market share CZ 2, 8-15</t>
  </si>
  <si>
    <t>co2_per_gwh</t>
  </si>
  <si>
    <t>co2_per_Mmtherm</t>
  </si>
  <si>
    <t>Weighted by starts</t>
  </si>
  <si>
    <t>Savings per dwelling unit</t>
  </si>
  <si>
    <t>Savings Statewide</t>
  </si>
  <si>
    <t>Measure</t>
  </si>
  <si>
    <t>Starts</t>
  </si>
  <si>
    <t>Electric TDV (kBtu/sqft)</t>
  </si>
  <si>
    <t>NG TDV (kBtu/sqft)</t>
  </si>
  <si>
    <t>Therms Savings</t>
  </si>
  <si>
    <t>kWh Savings</t>
  </si>
  <si>
    <t>TDV Savings</t>
  </si>
  <si>
    <t>CO2 Savings</t>
  </si>
  <si>
    <t>IMC per dwelling unit (2023 $PV)</t>
  </si>
  <si>
    <t>Total IMC</t>
  </si>
  <si>
    <t>Statewide Energy and Emissions Impact</t>
  </si>
  <si>
    <t>2019 Weighted Energy Usage and Emissions</t>
  </si>
  <si>
    <t>2022 Weighted Energy Usage and Emissions</t>
  </si>
  <si>
    <t>2022 Statewide Savings - Weighted Totals</t>
  </si>
  <si>
    <t>Satewide Savings Weighted Percentages</t>
  </si>
  <si>
    <t>Buiding type &amp; Measure:</t>
  </si>
  <si>
    <t>2022 CO2 Emissions - mTon/yr</t>
  </si>
  <si>
    <t>TDVkBtu</t>
  </si>
  <si>
    <t>kWh Decrease (Increase)</t>
  </si>
  <si>
    <t>Nonres Efficiency - New Construction</t>
  </si>
  <si>
    <t>NR Alterations</t>
  </si>
  <si>
    <t>NR Expected Alterations (7% of existing buildings)</t>
  </si>
  <si>
    <t>Covered Processes</t>
  </si>
  <si>
    <t>Single Family Efficiency - Alterations</t>
  </si>
  <si>
    <t>SF Expected Alterations (7% of existing buildings)</t>
  </si>
  <si>
    <t>MF Efficiency - Alterations</t>
  </si>
  <si>
    <t>MF Expected Alterations (3.6% of existing buildings)</t>
  </si>
  <si>
    <t>Grand Totals</t>
  </si>
  <si>
    <t>First-Year Statewide Savings</t>
  </si>
  <si>
    <t>eGrid GHG Emission Factors</t>
  </si>
  <si>
    <t>Submeasure</t>
  </si>
  <si>
    <t>Electricity Savings 
(GWh)</t>
  </si>
  <si>
    <t>Peak Demand Reduction 
(MW)</t>
  </si>
  <si>
    <t>Natural Gas Savings 
(MMTherms)</t>
  </si>
  <si>
    <t>TDV Energy Savings 
(million TDVkBtu)</t>
  </si>
  <si>
    <t>GHG Savings (metric tons CO2e)</t>
  </si>
  <si>
    <t>metric tonnes CO2e/million therms</t>
  </si>
  <si>
    <t>Air Distribution</t>
  </si>
  <si>
    <t>Duct Leakage Testing</t>
  </si>
  <si>
    <t>metric tonnes CO2e/GWh</t>
  </si>
  <si>
    <t>Fan Energy Index</t>
  </si>
  <si>
    <t>Fan Power Budget</t>
  </si>
  <si>
    <t>Daylighting</t>
  </si>
  <si>
    <t>Automatic Daylight Dimming to 10%</t>
  </si>
  <si>
    <t>Prescriptive to Mandatory Automatic Daylighting Controls in the Secondary Sidelit Daylit Zone</t>
  </si>
  <si>
    <t>Nonresidential Grid Integration</t>
  </si>
  <si>
    <t>Communication Protocol Clean up</t>
  </si>
  <si>
    <t>Demand Responsive Lighting Systems</t>
  </si>
  <si>
    <t>Nonresidential High Performance Envelope</t>
  </si>
  <si>
    <t>Cool Roofs: Steep-Sloped</t>
  </si>
  <si>
    <t xml:space="preserve">Hotel/Motel Simplification </t>
  </si>
  <si>
    <t>Roof Recovers</t>
  </si>
  <si>
    <t>Roof Replacements</t>
  </si>
  <si>
    <t>Nonresidential HVAC Controls</t>
  </si>
  <si>
    <t>Dedicated Outdoor Air Systems (DOAS)</t>
  </si>
  <si>
    <t>Exhaust Air Heat Recovery</t>
  </si>
  <si>
    <t>Expand Economizer Requirements</t>
  </si>
  <si>
    <t>VAV Deadband Airflow</t>
  </si>
  <si>
    <t xml:space="preserve">Nonresidential Indoor Lighting </t>
  </si>
  <si>
    <t>Lighting Power Densities</t>
  </si>
  <si>
    <t>Multi-zone Occupancy Sensing in Large Offices</t>
  </si>
  <si>
    <t>Outdoor Lighting</t>
  </si>
  <si>
    <t xml:space="preserve">Nonresidential Lighting Power Allowances for General Hardscapes </t>
  </si>
  <si>
    <t xml:space="preserve">Nonresidential Lighting Zone Reclassification </t>
  </si>
  <si>
    <t>Reduce Infiltration</t>
  </si>
  <si>
    <t>Air barrier verification all climate zones</t>
  </si>
  <si>
    <t>Require air barrier where not currently required (CZ1-9 all buildings; hotel/motel all CZs)</t>
  </si>
  <si>
    <t>KEY INPUT ASSUMPTIONS</t>
  </si>
  <si>
    <t xml:space="preserve">Input Data </t>
  </si>
  <si>
    <t>Multifamily Dwelling Types</t>
  </si>
  <si>
    <t>Technology:</t>
  </si>
  <si>
    <t xml:space="preserve"> Unitary AC</t>
  </si>
  <si>
    <t xml:space="preserve">
ASHP</t>
  </si>
  <si>
    <t>HPWH</t>
  </si>
  <si>
    <t>Source:</t>
  </si>
  <si>
    <t>Space-type counts</t>
  </si>
  <si>
    <t>Low-rise Garden Style</t>
  </si>
  <si>
    <t>Low-Rise Loaded Corridor</t>
  </si>
  <si>
    <t>Mid-rise</t>
  </si>
  <si>
    <t>High-Rise</t>
  </si>
  <si>
    <t>HVAC
Unit Tonnage</t>
  </si>
  <si>
    <t>Refrigerant Shares</t>
  </si>
  <si>
    <t>Weighted</t>
  </si>
  <si>
    <t>Refrigerant charge (lbs):</t>
  </si>
  <si>
    <t>After Year 15</t>
  </si>
  <si>
    <t>ARB Database; HPWH charge data updated to reflect 2021 market data</t>
  </si>
  <si>
    <t>Total Units</t>
  </si>
  <si>
    <t>Original Building</t>
  </si>
  <si>
    <t>Annual leak rate (fraction):</t>
  </si>
  <si>
    <t>ARB Database</t>
  </si>
  <si>
    <t>Studio</t>
  </si>
  <si>
    <t>High GWP Refrigerant (410a, 134a)</t>
  </si>
  <si>
    <t>End-of-life leak rate (fraction):</t>
  </si>
  <si>
    <t>ARB Database and Primary data/input 5/3</t>
  </si>
  <si>
    <t>One-bedroom</t>
  </si>
  <si>
    <t>Low GWP (R32)</t>
  </si>
  <si>
    <t>Replacement Lifetime (years):</t>
  </si>
  <si>
    <t>Two-bedroom</t>
  </si>
  <si>
    <t>Replacement</t>
  </si>
  <si>
    <t>Generalized annual leak rate (fraction):</t>
  </si>
  <si>
    <t>ARB Calculation</t>
  </si>
  <si>
    <t>Three-bedroom</t>
  </si>
  <si>
    <t>Refrigerant type:</t>
  </si>
  <si>
    <t xml:space="preserve">R-410A </t>
  </si>
  <si>
    <t>R-32</t>
  </si>
  <si>
    <t>R-134a</t>
  </si>
  <si>
    <t>ARB Primary Data 4/21</t>
  </si>
  <si>
    <t>Unit Tonnage Weighted Average Across Building</t>
  </si>
  <si>
    <t>100-year GWP of refrigerant:</t>
  </si>
  <si>
    <t>20-year GWP of refrigerant:</t>
  </si>
  <si>
    <t>Lifecycle Analysis - Share of Refrigerant</t>
  </si>
  <si>
    <t>20-year GWP w/ R-32 in year 16</t>
  </si>
  <si>
    <t>High GWP</t>
  </si>
  <si>
    <t>Tonnage/Gallon Scalar</t>
  </si>
  <si>
    <t>Assumption of 3 ton residential unit; 50 gallons</t>
  </si>
  <si>
    <t>Low GWP</t>
  </si>
  <si>
    <t xml:space="preserve">* 50-gallon water heater </t>
  </si>
  <si>
    <t>lbs per ton</t>
  </si>
  <si>
    <t>SUMMARY RESULTS</t>
  </si>
  <si>
    <t>HPSH</t>
  </si>
  <si>
    <t>mTon/year</t>
  </si>
  <si>
    <t>Single Family HP Baseline</t>
  </si>
  <si>
    <t>Multifamily HP Baseline</t>
  </si>
  <si>
    <t>Nonres HP Baseline</t>
  </si>
  <si>
    <t>DETAILED RESULTS</t>
  </si>
  <si>
    <t>Res - 30-year</t>
  </si>
  <si>
    <t>2019 Refrigerant - Per dwelling</t>
  </si>
  <si>
    <r>
      <t>2022 Proposed Refrigerant -</t>
    </r>
    <r>
      <rPr>
        <sz val="11"/>
        <color rgb="FFFF0000"/>
        <rFont val="Calibri"/>
        <family val="2"/>
        <scheme val="minor"/>
      </rPr>
      <t>Water Heaters</t>
    </r>
    <r>
      <rPr>
        <sz val="11"/>
        <color theme="1"/>
        <rFont val="Calibri"/>
        <family val="2"/>
        <scheme val="minor"/>
      </rPr>
      <t xml:space="preserve"> Per dwelling </t>
    </r>
  </si>
  <si>
    <r>
      <t xml:space="preserve">2022 Proposed Refrigerant </t>
    </r>
    <r>
      <rPr>
        <sz val="11"/>
        <color rgb="FFFF0000"/>
        <rFont val="Calibri"/>
        <family val="2"/>
        <scheme val="minor"/>
      </rPr>
      <t xml:space="preserve">Space Heating/Cooling </t>
    </r>
    <r>
      <rPr>
        <sz val="11"/>
        <color theme="1"/>
        <rFont val="Calibri"/>
        <family val="2"/>
        <scheme val="minor"/>
      </rPr>
      <t xml:space="preserve">- Excludes pre-existing AC Per dwelling </t>
    </r>
  </si>
  <si>
    <t>Total GWP 2022</t>
  </si>
  <si>
    <t xml:space="preserve">Increase in GWP </t>
  </si>
  <si>
    <t>Incremental GWP due to Refrigerants</t>
  </si>
  <si>
    <t>2022 Proposed 
Technology</t>
  </si>
  <si>
    <t>AC Unit Tonnage if present</t>
  </si>
  <si>
    <t>Total Refrigerant Charge (lbs)</t>
  </si>
  <si>
    <t>Average Annual Leakage including end of life (lbs)</t>
  </si>
  <si>
    <t>Annual GWP lbs</t>
  </si>
  <si>
    <t>Annual GWP tonnes</t>
  </si>
  <si>
    <t>Unit Gallons</t>
  </si>
  <si>
    <t>Total Annual Leakage (lbs)</t>
  </si>
  <si>
    <t>Annual GWP (lbs CO2e)</t>
  </si>
  <si>
    <t xml:space="preserve">Unit Tonnage </t>
  </si>
  <si>
    <t>tonnes</t>
  </si>
  <si>
    <t>New Construction Numbers</t>
  </si>
  <si>
    <t>HP Market Share Percent</t>
  </si>
  <si>
    <t>Increase in GWP tonnes CO2e - All Starts</t>
  </si>
  <si>
    <t>ASHP</t>
  </si>
  <si>
    <r>
      <t xml:space="preserve">2022 Proposed Refrigerant </t>
    </r>
    <r>
      <rPr>
        <sz val="11"/>
        <color rgb="FFFF0000"/>
        <rFont val="Calibri"/>
        <family val="2"/>
        <scheme val="minor"/>
      </rPr>
      <t>Space Heating/Cooling</t>
    </r>
    <r>
      <rPr>
        <sz val="11"/>
        <color theme="1"/>
        <rFont val="Calibri"/>
        <family val="2"/>
        <scheme val="minor"/>
      </rPr>
      <t xml:space="preserve"> - Excludes pre-existing AC Per dwelling </t>
    </r>
  </si>
  <si>
    <t>Unit Tonnage or Gallons</t>
  </si>
  <si>
    <t>Average SQFT</t>
  </si>
  <si>
    <t>Wtd Avg</t>
  </si>
  <si>
    <t>Non-res 15 year</t>
  </si>
  <si>
    <t xml:space="preserve">2022 Proposed Refrigerant - Per dwelling </t>
  </si>
  <si>
    <t>Total CO2e</t>
  </si>
  <si>
    <t>Total GWP 2022 Code</t>
  </si>
  <si>
    <t>ASHP + HPWH</t>
  </si>
  <si>
    <t>Unit Tonnage</t>
  </si>
  <si>
    <t>Multi-family LoadedCorridor</t>
  </si>
  <si>
    <t>Dwellings per Building</t>
  </si>
  <si>
    <t>Building Area [ft2]</t>
  </si>
  <si>
    <t>Sqft/Dwelling</t>
  </si>
  <si>
    <t>Starts - Million Dwelling Units</t>
  </si>
  <si>
    <t>Area [ft2]</t>
  </si>
  <si>
    <t>Weighted Average Multifamily Dwelling</t>
  </si>
  <si>
    <t>2019 Standards Compliant Weighted Energy Usage and Emissions</t>
  </si>
  <si>
    <t>2022 Standards Compliant Weighted Energy Usage and Emissions</t>
  </si>
  <si>
    <t>2022 Compliant Standards Statewide Savings - Weighted Totals</t>
  </si>
  <si>
    <t>Building Types &amp; Measures:</t>
  </si>
  <si>
    <t>TDV, kBTU</t>
  </si>
  <si>
    <t>CO2e Emissions, mTon/yr - Shorterm, E-Grid</t>
  </si>
  <si>
    <t>NOx lbs/yr</t>
  </si>
  <si>
    <t>SO2 lbs/yr</t>
  </si>
  <si>
    <t>CO2e Decrease</t>
  </si>
  <si>
    <t>NOx Decrease</t>
  </si>
  <si>
    <t>SOx Decrease</t>
  </si>
  <si>
    <t>Newly Constructed</t>
  </si>
  <si>
    <t>Included in Nonres Efficiency New Construction  Baseline below</t>
  </si>
  <si>
    <t>Multifamily PV/Battery</t>
  </si>
  <si>
    <t>Included in Multifamily HP Baseline above</t>
  </si>
  <si>
    <t>Nonres PV/Battery</t>
  </si>
  <si>
    <t>Multifamily Efficiency-All Prototypes</t>
  </si>
  <si>
    <t>Nonres Efficiency-New Construction</t>
  </si>
  <si>
    <t>Process</t>
  </si>
  <si>
    <t>Alterations</t>
  </si>
  <si>
    <t>Single Family Alterations - Including All Existing Buildings</t>
  </si>
  <si>
    <t>Single Family Alterations - Altered Buildings Only (7% of existing buildings)</t>
  </si>
  <si>
    <t>Multifamily Alterations - Including All Existing Buildings</t>
  </si>
  <si>
    <t xml:space="preserve"> Nonres Alterations - Including All Existing Buildings</t>
  </si>
  <si>
    <t>Nonres Alterations - Altered Buildings Only (7% of existing buildings)</t>
  </si>
  <si>
    <t>Grand Totals - Newly Constructed, Altered Buildings, and Covered Process</t>
  </si>
  <si>
    <t>Grand Totals - Including All Unaltered Existing Buildings</t>
  </si>
  <si>
    <t>New Calculation for combined 2019 and 2022 numbers across measures</t>
  </si>
  <si>
    <t>Difference</t>
  </si>
  <si>
    <t>New Construction</t>
  </si>
  <si>
    <t>SF (Combined Measures)</t>
  </si>
  <si>
    <t>Explained</t>
  </si>
  <si>
    <t>MF (Combined Measures)</t>
  </si>
  <si>
    <t>Nonres (Combined Measures)</t>
  </si>
  <si>
    <t>Grand Totals - Newly Constructed</t>
  </si>
  <si>
    <t>Grand Totals - Newly Constructed and Altered Buildings</t>
  </si>
  <si>
    <t>Grand Totals - Including All Existing Buildings</t>
  </si>
  <si>
    <t>Shortterm to longterm conversion</t>
  </si>
  <si>
    <t>2023 GHG Emissions (metric tons)</t>
  </si>
  <si>
    <t>2023 NOx Emissions (lb/year)</t>
  </si>
  <si>
    <t>2023 SOx Emissions (lbs/year)</t>
  </si>
  <si>
    <t>BAU--2019 Stds</t>
  </si>
  <si>
    <t>2022 Stds</t>
  </si>
  <si>
    <t>Reductions in 2023</t>
  </si>
  <si>
    <t>New Construction:</t>
  </si>
  <si>
    <t>Single Family Heat Pumps (standard design)</t>
  </si>
  <si>
    <t>Multi-family Heat Pumps (standard design)</t>
  </si>
  <si>
    <t>Nonresidential Heat Pumps (standard design)</t>
  </si>
  <si>
    <t>Multi-family Photovoltaics &amp; Batteries</t>
  </si>
  <si>
    <t>Nonresidential Photovoltaics &amp; Batteries</t>
  </si>
  <si>
    <t>Multi Family Efficiency Upgrades</t>
  </si>
  <si>
    <t>Non-residential Efficiency Upgrades</t>
  </si>
  <si>
    <t>Existing Building Alterations:</t>
  </si>
  <si>
    <t xml:space="preserve">Single Family </t>
  </si>
  <si>
    <t>Multi Family</t>
  </si>
  <si>
    <t xml:space="preserve">Nonresidential </t>
  </si>
  <si>
    <t>Totals</t>
  </si>
  <si>
    <t>million metric tons</t>
  </si>
  <si>
    <t xml:space="preserve">[Note--values on rows 49/50 do not subtract because some program </t>
  </si>
  <si>
    <t xml:space="preserve">                elements are broken out in "reductions" and not in baseline.]</t>
  </si>
  <si>
    <t>Kool Graphs</t>
  </si>
  <si>
    <t>Single Family Alterations - All Buildings</t>
  </si>
  <si>
    <t>Multifamily Alterations - All Buildings</t>
  </si>
  <si>
    <t>Multifamily Alterations - Altered Buildings Only (7% of existing buildings)</t>
  </si>
  <si>
    <t xml:space="preserve"> Nonres Alterations - All Buildings</t>
  </si>
  <si>
    <t>Average Annual Emission Factors</t>
  </si>
  <si>
    <t>Category</t>
  </si>
  <si>
    <t>Year</t>
  </si>
  <si>
    <t>30-yr Lifetime Average (Currently in CBECC)</t>
  </si>
  <si>
    <t>Emissions Factors in CBECC (Long run marginal emissions)</t>
  </si>
  <si>
    <t>Electricity Emission Factor, Annual Average (tCO2e/kWh)</t>
  </si>
  <si>
    <t>Electricity Emisions Percent of 2023</t>
  </si>
  <si>
    <t>Electricity Percent of lifetime average</t>
  </si>
  <si>
    <t>CBECC Natural Gas Emisisons (tCO2e/th)</t>
  </si>
  <si>
    <t>Gas Emissions Percent of Lifetime Average</t>
  </si>
  <si>
    <t>Emissions for SF Baseline, MF Baseline, NR Baseline, MF PV/Battery, NR PV/Battery (originally calculated in CBECC)</t>
  </si>
  <si>
    <t>MF PV/Battery, NR PV/Battery Total Emissions Reductions (tCO2e/yr)</t>
  </si>
  <si>
    <t>Heat Pumps, PV/Battery Annual CO2e Emissions Savings-mTons/yr</t>
  </si>
  <si>
    <t>30-yr Lifetime Average</t>
  </si>
  <si>
    <t>eGRID and EPA to CBECC Conversion</t>
  </si>
  <si>
    <t>eGRID Electricity Emissions Factos (tCO2e/kWh)</t>
  </si>
  <si>
    <t>eGRID to CBECC/LR Marginal conversion</t>
  </si>
  <si>
    <t>EPA Natural Gas Emissions (tCO2e/th)</t>
  </si>
  <si>
    <t>EPA to CBECC Natural Gas Emissions Conversion</t>
  </si>
  <si>
    <t>Multifamily Efficiency-All Prototypes, Nonres Efficiency-New Construction, Nonres Efficiency-Alterations, Covered Processes</t>
  </si>
  <si>
    <t>Other Efficiency Measures Total Emissions Reductions-mTons/yr</t>
  </si>
  <si>
    <t>GWP Impact of Incremental Refrigerants (tCO2e/yr)</t>
  </si>
  <si>
    <t>Aggregated Results</t>
  </si>
  <si>
    <t>Total Annual CO2e Emissions Savings-mTons/yr</t>
  </si>
  <si>
    <t>Building Construction Factors</t>
  </si>
  <si>
    <t>Cumulative CO2e Savings</t>
  </si>
  <si>
    <t>CO2+CH4:</t>
  </si>
  <si>
    <t>Total Emissions savings/year (CO2+CH4):</t>
  </si>
  <si>
    <t>Cumulative CO2+CH4:</t>
  </si>
  <si>
    <t>CO2+CH4 (million metric tons):</t>
  </si>
  <si>
    <t>High GWP Refrigerant Emissions:</t>
  </si>
  <si>
    <t>Cumulative Emissions Additions:</t>
  </si>
  <si>
    <t>Million Metric Tons</t>
  </si>
  <si>
    <t>Totals CO2 + GWP</t>
  </si>
  <si>
    <t>Inflation</t>
  </si>
  <si>
    <t>Real Discount Rate</t>
  </si>
  <si>
    <t>Nominal Discont Rate</t>
  </si>
  <si>
    <t>Emissions Benefit Calc</t>
  </si>
  <si>
    <t>30-yr Levelized Value</t>
  </si>
  <si>
    <t>Cap and Trade Benefit - IEPR Carbon Price Forecast (Nominal $/tCO2e)</t>
  </si>
  <si>
    <t>Economywide Emissions Abatement Benefit (Nominal $/tCO2e)</t>
  </si>
  <si>
    <t>Total TDV Emissions Benefit (Nominal $/tCO2e)</t>
  </si>
  <si>
    <t>1st year Emissions Savings (tCO2e/yr)</t>
  </si>
  <si>
    <t>1st year Emissions Benefit ($/yr)</t>
  </si>
  <si>
    <t>Lifecycle Average Emissions Savings (tCO2e/yr)</t>
  </si>
  <si>
    <t>Lifecycle Annualized  Emissions Benefit ($/yr)</t>
  </si>
  <si>
    <t>2023 Install Year Lifecycle Total Emissions Savings (tCO2e/yr)</t>
  </si>
  <si>
    <t>2023 Install Year Lifecycle Total Emissions Benefit($/yr)</t>
  </si>
  <si>
    <t>Nonres Alterations - Including All Existing Buildings</t>
  </si>
  <si>
    <t>Single Family Alterations - Including All existing Buildings</t>
  </si>
  <si>
    <t>Electricity Sector</t>
  </si>
  <si>
    <t>Fleet Average Emissions Proportional to Carbon Emissions (lbs of criteria pollutant / metric ton CO2)</t>
  </si>
  <si>
    <t>NOx Emissions</t>
  </si>
  <si>
    <t xml:space="preserve"> lb NOx / metric ton CO2 of electricity emissions</t>
  </si>
  <si>
    <t>SOx Emissions</t>
  </si>
  <si>
    <t xml:space="preserve"> lb SO2 / metric ton CO2 of electricity emissions</t>
  </si>
  <si>
    <t>Natural Gas</t>
  </si>
  <si>
    <t>Criteria Pollutant Emissions (lbs/th)</t>
  </si>
  <si>
    <t>NOx Emissions (Controlled low-NOx burner)</t>
  </si>
  <si>
    <t xml:space="preserve"> lbs_NOx/therm</t>
  </si>
  <si>
    <t xml:space="preserve"> lbs_SOx/therm</t>
  </si>
  <si>
    <t>Electricity Emission Factor, Annual Average (tCO2/kWh)</t>
  </si>
  <si>
    <t>Electricity Emissions Percent of 2023</t>
  </si>
  <si>
    <t>Electricity NOx Emissions (lbs/kWh)</t>
  </si>
  <si>
    <t>Electricity SOx Emissions (lbs/kWh)</t>
  </si>
  <si>
    <t>CBECC Natural Gas Emissions (tCO2/th)</t>
  </si>
  <si>
    <t>Natural Gas NOx Emissions (lbs/th)</t>
  </si>
  <si>
    <t>Natural Gas SOx Emissions (lbs/th)</t>
  </si>
  <si>
    <t>MF PV/Battery, NR PV/Battery Total NOx Emissions Reductions (lbs/yr)</t>
  </si>
  <si>
    <t>MF PV/Battery, NR PV/Battery Total SOx Emissions Reductions (lbs/yr)</t>
  </si>
  <si>
    <t>Heat Pumps, PV/Battery Annual NOx Emissions Savings (lbs/yr)</t>
  </si>
  <si>
    <t>Heat Pumps, PV/Battery Annual SOx Emissions Savings (lbs/yr)</t>
  </si>
  <si>
    <t>Other Efficiency Measures Total NOx Emissions Reductions (lbs/yr)</t>
  </si>
  <si>
    <t>Other Efficiency Measures Total SOx Emissions Reductions (lbs/yr)</t>
  </si>
  <si>
    <t>Total Annual NOx Emissions Savings (lbs/yr)</t>
  </si>
  <si>
    <t>Total Annual SOx Emissions Savings (lbs/yr)</t>
  </si>
  <si>
    <t>Total NOx Emission Savings lbs/yr</t>
  </si>
  <si>
    <t>Total SOx Emission Savings lbs/yr</t>
  </si>
  <si>
    <t>Cumulative NOx Savings (lbs)</t>
  </si>
  <si>
    <t>Cumulative SOx Savings (lbs)</t>
  </si>
  <si>
    <t>2023--BAU (=2019 Standards)</t>
  </si>
  <si>
    <t>NOx Emissions (tons/yr)</t>
  </si>
  <si>
    <t>SOx Emissions (tons/yr)</t>
  </si>
  <si>
    <t>Assumptions on Refrigeration Replacement- Space Heating</t>
  </si>
  <si>
    <t>Assumptions on Refrigeration Replacement- Water Heating</t>
  </si>
  <si>
    <t>High GWP Refrigerant (410a)</t>
  </si>
  <si>
    <t>High GWP Refrigerant (34a)</t>
  </si>
  <si>
    <t>High GWP Refrigerant (134a)</t>
  </si>
  <si>
    <t>mTon CO2e/year</t>
  </si>
  <si>
    <t>Difference with no water heater switch = 0.1901</t>
  </si>
  <si>
    <t>Difference with R32 switch = 0.158</t>
  </si>
  <si>
    <t>Space heating incremental GWP</t>
  </si>
  <si>
    <t>Single Family Heat Pump Standard Design</t>
  </si>
  <si>
    <t>Multifamily Heat Pump Standard Design</t>
  </si>
  <si>
    <t>Nonres Heat Pump Standard Design</t>
  </si>
  <si>
    <t>2019 Code  Statewide Therms</t>
  </si>
  <si>
    <t>2019 Code Statewide kWh</t>
  </si>
  <si>
    <t>Emisson Savings</t>
  </si>
  <si>
    <t>Direct CO2e Emissions, mTon/yr - Longrun, CBECC</t>
  </si>
  <si>
    <t>HP Refrigerant CO2e GWP Impact, mTons/yr</t>
  </si>
  <si>
    <t>Winter Peak</t>
  </si>
  <si>
    <t>Net CO2e Emissions Savings Including GWP, mTons/yr</t>
  </si>
  <si>
    <t>Total Annual Baseline, PV/Battery CO2e Emissions Savings-mTons/yr</t>
  </si>
  <si>
    <t>1st year</t>
  </si>
  <si>
    <t>3rd year</t>
  </si>
  <si>
    <t>30th year</t>
  </si>
  <si>
    <t>mTons/yr</t>
  </si>
  <si>
    <t>Equivalent Gas Cars Taken Off the Road</t>
  </si>
  <si>
    <t>Total Annual Emission Savings/yr</t>
  </si>
  <si>
    <t>Total 2022 Standards Annual CO2e Emissions Savings</t>
  </si>
  <si>
    <t>Total 2022 Standards Cumulative CO2e Emissions Savings</t>
  </si>
  <si>
    <t>Heatpump Baseline and PV/Battery Annual CO2e Emissions Savings</t>
  </si>
  <si>
    <t>Prototype: 2100 sqft</t>
  </si>
  <si>
    <t>Prototype: 2700 sqft</t>
  </si>
  <si>
    <t>2019 Energy Code - Per Building</t>
  </si>
  <si>
    <t>2022 Energy Code - Per Building</t>
  </si>
  <si>
    <t>2019 Energy Code</t>
  </si>
  <si>
    <t>2022 Energy Code</t>
  </si>
  <si>
    <t xml:space="preserve"> 2019 Energy Code Consumption </t>
  </si>
  <si>
    <t>2022 Energy Code Consumption</t>
  </si>
  <si>
    <t>2019 Energy Code Statewide -  Therms</t>
  </si>
  <si>
    <t xml:space="preserve"> 2019 Energy Code Statewide -  kWh</t>
  </si>
  <si>
    <t>2019 Energy Code Statewide -  TDV</t>
  </si>
  <si>
    <t>2022 Energy Code Statewide -  TDV</t>
  </si>
  <si>
    <t>2022 Energy Code Statewide -  kWh</t>
  </si>
  <si>
    <t>2022 Energy Code Statewide -  Therms</t>
  </si>
  <si>
    <t>2019 Energy Code NOx lb/yr</t>
  </si>
  <si>
    <t>2019 Energy Code SOx lb/yr</t>
  </si>
  <si>
    <t>2022 Energy Code Statewide - Therms</t>
  </si>
  <si>
    <t>2022 Energy Code Statewide - kWh</t>
  </si>
  <si>
    <t>2022 Energy Code  - TDV, kBTU</t>
  </si>
  <si>
    <t>2022 Energy Code CO2e Emissions - mTon/yr</t>
  </si>
  <si>
    <t>2019 Energy Code Statewide TDV - kBTU</t>
  </si>
  <si>
    <t>2019 Energy Code CO2e Emissions - mTon/yr</t>
  </si>
  <si>
    <t>Nonresidential Heat Pump Standard Design</t>
  </si>
  <si>
    <t>Summary - Multifamily and Nonresidential PV and Battery Sotrage</t>
  </si>
  <si>
    <t>Multifamily Energy Efficiency</t>
  </si>
  <si>
    <t>Alterations Energy Efficiency</t>
  </si>
  <si>
    <t>Multifamily Heat Pump Space Heating Standard Design Savings Analysis</t>
  </si>
  <si>
    <t>2019 Energy Code Standard Design (tonnes/dwelling unit)</t>
  </si>
  <si>
    <t>Proposed 2022 Energy Code (tonnes/dwelling unit)</t>
  </si>
  <si>
    <t>Proposed 2022 Energy Code (tonnes statewide)</t>
  </si>
  <si>
    <t>Lowrise Garden Style</t>
  </si>
  <si>
    <t>2019 Energy Code Consumption - Statewide</t>
  </si>
  <si>
    <t>2019 Energy Code Consumption - Per Unit Area</t>
  </si>
  <si>
    <t>2019 Energy Code Standard Design</t>
  </si>
  <si>
    <t>2022 Energy Code Standard Design</t>
  </si>
  <si>
    <t>2019 Energy Code Standard Design - per dwelling unit</t>
  </si>
  <si>
    <t>2022 Energy Code Standard Design - per dwelling unit</t>
  </si>
  <si>
    <t>SF HPSD, MF HPSD, NR HPSD Electricity (tCO2e/yr)</t>
  </si>
  <si>
    <t>SF HPSD, MF HPSD, NR HPSD Total (tCO2e/yr)</t>
  </si>
  <si>
    <t>Other Efficiency Measures Electricity (tCO2e/yr)</t>
  </si>
  <si>
    <t>Single Family HP Standard Design</t>
  </si>
  <si>
    <t>Multifamily HP Standard Design</t>
  </si>
  <si>
    <t>Nonres HP Standard Design</t>
  </si>
  <si>
    <t>SF HPSD, MF HPSD, NR HPSD Electricity NOx (lbs/yr)</t>
  </si>
  <si>
    <t>SF HPSD, MF HPSD, NR HPSD Electricity SOx (lbs/yr)</t>
  </si>
  <si>
    <t>SF HPSD, MF HPSD, NR HPSD NOx Savings Total (lbs/yr)</t>
  </si>
  <si>
    <t>SF HPSD, MF HPSD, NR HPSD SOx Savings Total (lbs/yr)</t>
  </si>
  <si>
    <t>Emissions Savings for SF, MF, and NR Heat Pump Standard Design &amp; PV/Battery</t>
  </si>
  <si>
    <t>Other Efficiency Measures Electricity NOx (lbs/yr)</t>
  </si>
  <si>
    <t>Other Efficiency Measures Electricity SOx (lbs/yr)</t>
  </si>
  <si>
    <t>Other Efficiency Measures Natural Gas NOx (lbs/yr)</t>
  </si>
  <si>
    <t>Other Efficiency Measures Natural Gas SOx (lbs/yr)</t>
  </si>
  <si>
    <t>SF HPSD, MF HPSD, NR HPSD Natural Gas NOx (lbs/yr)</t>
  </si>
  <si>
    <t>SF HPSD, MF HPSD, NR HPSD Natural Gas SOx (lbs/yr)</t>
  </si>
  <si>
    <t>Midrise Mixed Use</t>
  </si>
  <si>
    <t>Highrise Mixed Use</t>
  </si>
  <si>
    <t>Lowrise Loaded Corridor</t>
  </si>
  <si>
    <t>HPSD = Heat Pump Standard Design</t>
  </si>
  <si>
    <t>SF HPSD, MF HPSD, NR HPSD Natural Gas (tCO2e/yr)</t>
  </si>
  <si>
    <t>Other Efficiency Measures Natural Gas (tCO2e/yr)</t>
  </si>
  <si>
    <t>Percentages</t>
  </si>
  <si>
    <t>2019 Standard Design Statewide -  Therms</t>
  </si>
  <si>
    <t>2019 Standard Design Statewide -  kWh</t>
  </si>
  <si>
    <t>2019 Standard Design Statewide -  TDV</t>
  </si>
  <si>
    <t>2019 Standard Design Statewide  - Therms</t>
  </si>
  <si>
    <t>2019 Standard Design Statewide - kWh</t>
  </si>
  <si>
    <t>2019 Standard Design Statewide - TDV kBtu</t>
  </si>
  <si>
    <t>2022 Energy Code Statewide Savings - Weighted Totals</t>
  </si>
  <si>
    <t>Climate 
Zone</t>
  </si>
  <si>
    <t>Single 
Family 
(Units)</t>
  </si>
  <si>
    <t>Single
Family
(Percent)</t>
  </si>
  <si>
    <t>2020 Single Family Permits from CIRB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</si>
</sst>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&quot;$&quot;* #,##0_);_(&quot;$&quot;* \(#,##0\);_(&quot;$&quot;* &quot;-&quot;??_);_(@_)"/>
    <numFmt numFmtId="169" formatCode="#,##0.0000"/>
    <numFmt numFmtId="170" formatCode="0.00;\-0.00;0"/>
    <numFmt numFmtId="171" formatCode="0.0000"/>
    <numFmt numFmtId="172" formatCode="&quot;$&quot;#,##0.0000"/>
    <numFmt numFmtId="173" formatCode="0.000000"/>
    <numFmt numFmtId="174" formatCode="0.000"/>
    <numFmt numFmtId="175" formatCode="0.0000000"/>
    <numFmt numFmtId="176" formatCode="0.00000"/>
    <numFmt numFmtId="177" formatCode="0.0000000000"/>
    <numFmt numFmtId="178" formatCode="_(* #,##0.0_);_(* \(#,##0.0\);_(* &quot;-&quot;?_);_(@_)"/>
    <numFmt numFmtId="179" formatCode="#,##0.00000"/>
    <numFmt numFmtId="180" formatCode="#,##0.000"/>
    <numFmt numFmtId="181" formatCode="_(* #,##0.000_);_(* \(#,##0.000\);_(* &quot;-&quot;??_);_(@_)"/>
    <numFmt numFmtId="182" formatCode="_(* #,##0.0000_);_(* \(#,##0.000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4472C4"/>
      <name val="Calibri"/>
      <family val="2"/>
    </font>
    <font>
      <sz val="11"/>
      <color theme="1"/>
      <name val="Calibri"/>
      <family val="2"/>
    </font>
    <font>
      <sz val="14"/>
      <color rgb="FF4472C4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rgb="FFA6A6A6"/>
      <name val="Calibri"/>
      <family val="2"/>
    </font>
    <font>
      <vertAlign val="subscript"/>
      <sz val="11"/>
      <color rgb="FF000000"/>
      <name val="Calibri"/>
      <family val="2"/>
    </font>
    <font>
      <sz val="11"/>
      <color rgb="FFA6A6A6"/>
      <name val="Calibri"/>
      <family val="2"/>
    </font>
    <font>
      <vertAlign val="subscript"/>
      <sz val="11"/>
      <color rgb="FFA6A6A6"/>
      <name val="Calibri"/>
      <family val="2"/>
    </font>
    <font>
      <b/>
      <sz val="2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9BC2E6"/>
      <name val="Calibri"/>
      <family val="2"/>
    </font>
    <font>
      <sz val="11"/>
      <color rgb="FF9BC2E6"/>
      <name val="Calibri"/>
      <family val="2"/>
    </font>
    <font>
      <vertAlign val="subscript"/>
      <sz val="11"/>
      <color rgb="FF9BC2E6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7AD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34E6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DFF"/>
        <bgColor rgb="FF000000"/>
      </patternFill>
    </fill>
    <fill>
      <patternFill patternType="solid">
        <fgColor rgb="FFDEDEE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34E6E"/>
      </left>
      <right/>
      <top style="medium">
        <color rgb="FF034E6E"/>
      </top>
      <bottom/>
      <diagonal/>
    </border>
    <border>
      <left/>
      <right style="medium">
        <color rgb="FF034E6E"/>
      </right>
      <top style="medium">
        <color rgb="FF034E6E"/>
      </top>
      <bottom/>
      <diagonal/>
    </border>
    <border>
      <left style="medium">
        <color rgb="FF034E6E"/>
      </left>
      <right/>
      <top style="medium">
        <color rgb="FF034E6E"/>
      </top>
      <bottom style="medium">
        <color rgb="FF034E6E"/>
      </bottom>
      <diagonal/>
    </border>
    <border>
      <left/>
      <right style="medium">
        <color rgb="FF034E6E"/>
      </right>
      <top style="medium">
        <color rgb="FF034E6E"/>
      </top>
      <bottom style="medium">
        <color rgb="FF034E6E"/>
      </bottom>
      <diagonal/>
    </border>
    <border>
      <left style="medium">
        <color rgb="FF034E6E"/>
      </left>
      <right/>
      <top/>
      <bottom style="medium">
        <color rgb="FF034E6E"/>
      </bottom>
      <diagonal/>
    </border>
    <border>
      <left/>
      <right style="medium">
        <color rgb="FF034E6E"/>
      </right>
      <top/>
      <bottom style="medium">
        <color rgb="FF034E6E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9D9DA8"/>
      </left>
      <right style="thin">
        <color rgb="FF9D9DA8"/>
      </right>
      <top style="thin">
        <color rgb="FF9D9DA8"/>
      </top>
      <bottom style="thin">
        <color rgb="FF9D9DA8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medium">
        <color indexed="64"/>
      </bottom>
      <diagonal/>
    </border>
    <border>
      <left style="thin">
        <color rgb="FF9D9DA8"/>
      </left>
      <right style="thin">
        <color rgb="FF9D9DA8"/>
      </right>
      <top style="thin">
        <color rgb="FF9D9DA8"/>
      </top>
      <bottom/>
      <diagonal/>
    </border>
    <border>
      <left style="thin">
        <color theme="3" tint="0.39997558519241921"/>
      </left>
      <right style="medium">
        <color indexed="64"/>
      </right>
      <top style="medium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indexed="64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3" tint="0.3999755851924192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308">
    <xf numFmtId="0" fontId="0" fillId="0" borderId="0" xfId="0"/>
    <xf numFmtId="0" fontId="0" fillId="0" borderId="5" xfId="0" applyBorder="1"/>
    <xf numFmtId="2" fontId="0" fillId="0" borderId="6" xfId="0" applyNumberFormat="1" applyBorder="1"/>
    <xf numFmtId="165" fontId="0" fillId="0" borderId="1" xfId="2" applyNumberFormat="1" applyFont="1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6" xfId="0" applyBorder="1"/>
    <xf numFmtId="166" fontId="0" fillId="0" borderId="5" xfId="2" applyNumberFormat="1" applyFont="1" applyBorder="1"/>
    <xf numFmtId="165" fontId="0" fillId="0" borderId="5" xfId="2" applyNumberFormat="1" applyFont="1" applyBorder="1"/>
    <xf numFmtId="0" fontId="0" fillId="0" borderId="0" xfId="0" applyAlignment="1">
      <alignment horizontal="center" wrapText="1"/>
    </xf>
    <xf numFmtId="10" fontId="0" fillId="0" borderId="6" xfId="1" applyNumberFormat="1" applyFont="1" applyBorder="1"/>
    <xf numFmtId="10" fontId="0" fillId="0" borderId="9" xfId="0" applyNumberFormat="1" applyBorder="1"/>
    <xf numFmtId="165" fontId="0" fillId="0" borderId="7" xfId="2" applyNumberFormat="1" applyFont="1" applyBorder="1"/>
    <xf numFmtId="0" fontId="0" fillId="3" borderId="5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166" fontId="0" fillId="3" borderId="5" xfId="2" applyNumberFormat="1" applyFont="1" applyFill="1" applyBorder="1"/>
    <xf numFmtId="2" fontId="0" fillId="3" borderId="6" xfId="0" applyNumberFormat="1" applyFill="1" applyBorder="1"/>
    <xf numFmtId="166" fontId="0" fillId="3" borderId="17" xfId="2" applyNumberFormat="1" applyFont="1" applyFill="1" applyBorder="1"/>
    <xf numFmtId="166" fontId="0" fillId="3" borderId="5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166" fontId="0" fillId="3" borderId="5" xfId="0" applyNumberFormat="1" applyFill="1" applyBorder="1"/>
    <xf numFmtId="165" fontId="0" fillId="3" borderId="1" xfId="0" applyNumberFormat="1" applyFill="1" applyBorder="1"/>
    <xf numFmtId="165" fontId="0" fillId="3" borderId="5" xfId="0" applyNumberFormat="1" applyFill="1" applyBorder="1"/>
    <xf numFmtId="165" fontId="0" fillId="3" borderId="6" xfId="2" applyNumberFormat="1" applyFont="1" applyFill="1" applyBorder="1"/>
    <xf numFmtId="165" fontId="0" fillId="3" borderId="7" xfId="0" applyNumberFormat="1" applyFill="1" applyBorder="1"/>
    <xf numFmtId="165" fontId="0" fillId="3" borderId="8" xfId="0" applyNumberFormat="1" applyFill="1" applyBorder="1"/>
    <xf numFmtId="165" fontId="0" fillId="3" borderId="9" xfId="2" applyNumberFormat="1" applyFont="1" applyFill="1" applyBorder="1"/>
    <xf numFmtId="0" fontId="0" fillId="0" borderId="11" xfId="0" applyBorder="1"/>
    <xf numFmtId="0" fontId="0" fillId="0" borderId="17" xfId="0" applyBorder="1" applyAlignment="1">
      <alignment wrapText="1"/>
    </xf>
    <xf numFmtId="0" fontId="0" fillId="0" borderId="17" xfId="0" applyBorder="1"/>
    <xf numFmtId="166" fontId="0" fillId="0" borderId="5" xfId="2" applyNumberFormat="1" applyFont="1" applyFill="1" applyBorder="1"/>
    <xf numFmtId="10" fontId="0" fillId="0" borderId="6" xfId="1" applyNumberFormat="1" applyFont="1" applyFill="1" applyBorder="1"/>
    <xf numFmtId="0" fontId="0" fillId="0" borderId="18" xfId="0" applyBorder="1"/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66" fontId="0" fillId="2" borderId="5" xfId="2" applyNumberFormat="1" applyFont="1" applyFill="1" applyBorder="1"/>
    <xf numFmtId="165" fontId="0" fillId="2" borderId="5" xfId="0" applyNumberFormat="1" applyFill="1" applyBorder="1"/>
    <xf numFmtId="165" fontId="0" fillId="2" borderId="1" xfId="0" applyNumberFormat="1" applyFill="1" applyBorder="1"/>
    <xf numFmtId="0" fontId="3" fillId="0" borderId="0" xfId="0" applyFont="1"/>
    <xf numFmtId="0" fontId="0" fillId="2" borderId="10" xfId="0" applyFill="1" applyBorder="1" applyAlignment="1">
      <alignment horizontal="center" wrapText="1"/>
    </xf>
    <xf numFmtId="165" fontId="0" fillId="2" borderId="10" xfId="2" applyNumberFormat="1" applyFont="1" applyFill="1" applyBorder="1"/>
    <xf numFmtId="9" fontId="0" fillId="0" borderId="1" xfId="1" applyFont="1" applyBorder="1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1" xfId="0" applyNumberFormat="1" applyBorder="1"/>
    <xf numFmtId="10" fontId="0" fillId="0" borderId="19" xfId="0" applyNumberFormat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2" applyNumberFormat="1" applyFont="1" applyFill="1" applyBorder="1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165" fontId="0" fillId="4" borderId="1" xfId="2" applyNumberFormat="1" applyFont="1" applyFill="1" applyBorder="1"/>
    <xf numFmtId="164" fontId="0" fillId="4" borderId="1" xfId="1" applyNumberFormat="1" applyFont="1" applyFill="1" applyBorder="1"/>
    <xf numFmtId="0" fontId="0" fillId="3" borderId="10" xfId="0" applyFill="1" applyBorder="1" applyAlignment="1">
      <alignment horizontal="center" wrapText="1"/>
    </xf>
    <xf numFmtId="165" fontId="0" fillId="3" borderId="10" xfId="0" applyNumberFormat="1" applyFill="1" applyBorder="1"/>
    <xf numFmtId="165" fontId="0" fillId="2" borderId="10" xfId="0" applyNumberFormat="1" applyFill="1" applyBorder="1"/>
    <xf numFmtId="0" fontId="0" fillId="0" borderId="25" xfId="0" applyBorder="1" applyAlignment="1">
      <alignment horizontal="center" wrapText="1"/>
    </xf>
    <xf numFmtId="166" fontId="0" fillId="2" borderId="1" xfId="2" applyNumberFormat="1" applyFont="1" applyFill="1" applyBorder="1"/>
    <xf numFmtId="0" fontId="0" fillId="2" borderId="1" xfId="0" applyFill="1" applyBorder="1"/>
    <xf numFmtId="165" fontId="0" fillId="0" borderId="8" xfId="2" applyNumberFormat="1" applyFont="1" applyFill="1" applyBorder="1"/>
    <xf numFmtId="165" fontId="0" fillId="0" borderId="25" xfId="2" applyNumberFormat="1" applyFont="1" applyFill="1" applyBorder="1"/>
    <xf numFmtId="165" fontId="0" fillId="0" borderId="26" xfId="2" applyNumberFormat="1" applyFont="1" applyFill="1" applyBorder="1"/>
    <xf numFmtId="43" fontId="0" fillId="2" borderId="6" xfId="2" applyFont="1" applyFill="1" applyBorder="1"/>
    <xf numFmtId="0" fontId="0" fillId="0" borderId="10" xfId="0" applyBorder="1" applyAlignment="1">
      <alignment horizontal="center" wrapText="1"/>
    </xf>
    <xf numFmtId="166" fontId="0" fillId="2" borderId="10" xfId="2" applyNumberFormat="1" applyFont="1" applyFill="1" applyBorder="1"/>
    <xf numFmtId="0" fontId="0" fillId="2" borderId="25" xfId="0" applyFill="1" applyBorder="1" applyAlignment="1">
      <alignment horizontal="center" wrapText="1"/>
    </xf>
    <xf numFmtId="166" fontId="0" fillId="2" borderId="25" xfId="2" applyNumberFormat="1" applyFont="1" applyFill="1" applyBorder="1"/>
    <xf numFmtId="166" fontId="0" fillId="0" borderId="1" xfId="2" applyNumberFormat="1" applyFont="1" applyFill="1" applyBorder="1"/>
    <xf numFmtId="166" fontId="0" fillId="0" borderId="6" xfId="2" applyNumberFormat="1" applyFont="1" applyFill="1" applyBorder="1"/>
    <xf numFmtId="166" fontId="0" fillId="3" borderId="10" xfId="0" applyNumberFormat="1" applyFill="1" applyBorder="1" applyAlignment="1">
      <alignment horizontal="center"/>
    </xf>
    <xf numFmtId="164" fontId="4" fillId="0" borderId="1" xfId="1" applyNumberFormat="1" applyFont="1" applyBorder="1"/>
    <xf numFmtId="166" fontId="0" fillId="5" borderId="5" xfId="2" applyNumberFormat="1" applyFont="1" applyFill="1" applyBorder="1"/>
    <xf numFmtId="166" fontId="0" fillId="0" borderId="8" xfId="2" applyNumberFormat="1" applyFont="1" applyFill="1" applyBorder="1"/>
    <xf numFmtId="43" fontId="0" fillId="0" borderId="8" xfId="2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17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7" xfId="0" applyFont="1" applyBorder="1"/>
    <xf numFmtId="165" fontId="6" fillId="0" borderId="5" xfId="0" applyNumberFormat="1" applyFont="1" applyBorder="1"/>
    <xf numFmtId="165" fontId="6" fillId="0" borderId="1" xfId="0" applyNumberFormat="1" applyFont="1" applyBorder="1"/>
    <xf numFmtId="2" fontId="6" fillId="0" borderId="6" xfId="0" applyNumberFormat="1" applyFont="1" applyBorder="1"/>
    <xf numFmtId="9" fontId="6" fillId="0" borderId="1" xfId="0" applyNumberFormat="1" applyFont="1" applyBorder="1"/>
    <xf numFmtId="164" fontId="9" fillId="0" borderId="1" xfId="0" applyNumberFormat="1" applyFont="1" applyBorder="1"/>
    <xf numFmtId="164" fontId="6" fillId="0" borderId="1" xfId="0" applyNumberFormat="1" applyFont="1" applyBorder="1"/>
    <xf numFmtId="168" fontId="6" fillId="0" borderId="6" xfId="0" applyNumberFormat="1" applyFont="1" applyBorder="1"/>
    <xf numFmtId="0" fontId="6" fillId="0" borderId="31" xfId="0" applyFont="1" applyBorder="1"/>
    <xf numFmtId="165" fontId="6" fillId="0" borderId="7" xfId="0" applyNumberFormat="1" applyFont="1" applyBorder="1"/>
    <xf numFmtId="165" fontId="6" fillId="0" borderId="8" xfId="0" applyNumberFormat="1" applyFont="1" applyBorder="1"/>
    <xf numFmtId="2" fontId="6" fillId="0" borderId="9" xfId="0" applyNumberFormat="1" applyFont="1" applyBorder="1"/>
    <xf numFmtId="165" fontId="6" fillId="0" borderId="20" xfId="0" applyNumberFormat="1" applyFont="1" applyBorder="1"/>
    <xf numFmtId="9" fontId="6" fillId="0" borderId="21" xfId="0" applyNumberFormat="1" applyFont="1" applyBorder="1"/>
    <xf numFmtId="165" fontId="6" fillId="0" borderId="21" xfId="0" applyNumberFormat="1" applyFont="1" applyBorder="1"/>
    <xf numFmtId="164" fontId="9" fillId="0" borderId="21" xfId="0" applyNumberFormat="1" applyFont="1" applyBorder="1"/>
    <xf numFmtId="164" fontId="6" fillId="0" borderId="21" xfId="0" applyNumberFormat="1" applyFont="1" applyBorder="1"/>
    <xf numFmtId="168" fontId="6" fillId="0" borderId="19" xfId="0" applyNumberFormat="1" applyFont="1" applyBorder="1"/>
    <xf numFmtId="165" fontId="8" fillId="0" borderId="34" xfId="0" applyNumberFormat="1" applyFont="1" applyBorder="1"/>
    <xf numFmtId="165" fontId="8" fillId="0" borderId="35" xfId="0" applyNumberFormat="1" applyFont="1" applyBorder="1"/>
    <xf numFmtId="9" fontId="8" fillId="6" borderId="35" xfId="0" applyNumberFormat="1" applyFont="1" applyFill="1" applyBorder="1"/>
    <xf numFmtId="164" fontId="10" fillId="6" borderId="35" xfId="0" applyNumberFormat="1" applyFont="1" applyFill="1" applyBorder="1"/>
    <xf numFmtId="164" fontId="8" fillId="6" borderId="35" xfId="0" applyNumberFormat="1" applyFont="1" applyFill="1" applyBorder="1"/>
    <xf numFmtId="164" fontId="8" fillId="0" borderId="35" xfId="0" applyNumberFormat="1" applyFont="1" applyBorder="1"/>
    <xf numFmtId="168" fontId="8" fillId="6" borderId="36" xfId="0" applyNumberFormat="1" applyFont="1" applyFill="1" applyBorder="1"/>
    <xf numFmtId="0" fontId="6" fillId="7" borderId="11" xfId="0" applyFont="1" applyFill="1" applyBorder="1"/>
    <xf numFmtId="0" fontId="6" fillId="7" borderId="12" xfId="0" applyFont="1" applyFill="1" applyBorder="1"/>
    <xf numFmtId="0" fontId="6" fillId="7" borderId="3" xfId="0" applyFont="1" applyFill="1" applyBorder="1"/>
    <xf numFmtId="0" fontId="6" fillId="7" borderId="2" xfId="0" applyFont="1" applyFill="1" applyBorder="1" applyAlignment="1">
      <alignment horizontal="right"/>
    </xf>
    <xf numFmtId="165" fontId="6" fillId="7" borderId="4" xfId="0" applyNumberFormat="1" applyFont="1" applyFill="1" applyBorder="1"/>
    <xf numFmtId="0" fontId="6" fillId="7" borderId="17" xfId="0" applyFont="1" applyFill="1" applyBorder="1"/>
    <xf numFmtId="0" fontId="6" fillId="7" borderId="29" xfId="0" applyFont="1" applyFill="1" applyBorder="1"/>
    <xf numFmtId="0" fontId="6" fillId="7" borderId="1" xfId="0" applyFont="1" applyFill="1" applyBorder="1"/>
    <xf numFmtId="0" fontId="6" fillId="7" borderId="5" xfId="0" applyFont="1" applyFill="1" applyBorder="1" applyAlignment="1">
      <alignment horizontal="right"/>
    </xf>
    <xf numFmtId="165" fontId="6" fillId="7" borderId="6" xfId="0" applyNumberFormat="1" applyFont="1" applyFill="1" applyBorder="1"/>
    <xf numFmtId="0" fontId="6" fillId="0" borderId="22" xfId="0" applyFont="1" applyBorder="1"/>
    <xf numFmtId="43" fontId="6" fillId="0" borderId="37" xfId="2" applyFont="1" applyFill="1" applyBorder="1"/>
    <xf numFmtId="0" fontId="6" fillId="7" borderId="18" xfId="0" applyFont="1" applyFill="1" applyBorder="1"/>
    <xf numFmtId="0" fontId="6" fillId="7" borderId="38" xfId="0" applyFont="1" applyFill="1" applyBorder="1"/>
    <xf numFmtId="164" fontId="6" fillId="7" borderId="8" xfId="0" applyNumberFormat="1" applyFont="1" applyFill="1" applyBorder="1"/>
    <xf numFmtId="0" fontId="6" fillId="7" borderId="7" xfId="0" applyFont="1" applyFill="1" applyBorder="1" applyAlignment="1">
      <alignment horizontal="right"/>
    </xf>
    <xf numFmtId="165" fontId="6" fillId="7" borderId="9" xfId="0" applyNumberFormat="1" applyFont="1" applyFill="1" applyBorder="1"/>
    <xf numFmtId="0" fontId="6" fillId="0" borderId="39" xfId="0" applyFont="1" applyBorder="1"/>
    <xf numFmtId="165" fontId="6" fillId="0" borderId="40" xfId="2" applyNumberFormat="1" applyFont="1" applyFill="1" applyBorder="1"/>
    <xf numFmtId="43" fontId="6" fillId="0" borderId="40" xfId="2" applyFont="1" applyFill="1" applyBorder="1"/>
    <xf numFmtId="0" fontId="6" fillId="0" borderId="41" xfId="0" applyFont="1" applyBorder="1"/>
    <xf numFmtId="165" fontId="6" fillId="0" borderId="42" xfId="2" applyNumberFormat="1" applyFont="1" applyFill="1" applyBorder="1"/>
    <xf numFmtId="0" fontId="6" fillId="8" borderId="11" xfId="0" applyFont="1" applyFill="1" applyBorder="1"/>
    <xf numFmtId="0" fontId="6" fillId="8" borderId="12" xfId="0" applyFont="1" applyFill="1" applyBorder="1"/>
    <xf numFmtId="165" fontId="6" fillId="8" borderId="12" xfId="0" applyNumberFormat="1" applyFont="1" applyFill="1" applyBorder="1"/>
    <xf numFmtId="0" fontId="6" fillId="8" borderId="13" xfId="0" applyFont="1" applyFill="1" applyBorder="1"/>
    <xf numFmtId="0" fontId="6" fillId="0" borderId="12" xfId="0" applyFont="1" applyBorder="1"/>
    <xf numFmtId="43" fontId="6" fillId="0" borderId="13" xfId="0" applyNumberFormat="1" applyFont="1" applyBorder="1"/>
    <xf numFmtId="0" fontId="6" fillId="8" borderId="18" xfId="0" applyFont="1" applyFill="1" applyBorder="1"/>
    <xf numFmtId="0" fontId="6" fillId="8" borderId="38" xfId="0" applyFont="1" applyFill="1" applyBorder="1"/>
    <xf numFmtId="165" fontId="6" fillId="8" borderId="38" xfId="0" applyNumberFormat="1" applyFont="1" applyFill="1" applyBorder="1"/>
    <xf numFmtId="0" fontId="6" fillId="8" borderId="43" xfId="0" applyFont="1" applyFill="1" applyBorder="1"/>
    <xf numFmtId="0" fontId="6" fillId="0" borderId="38" xfId="0" applyFont="1" applyBorder="1"/>
    <xf numFmtId="43" fontId="6" fillId="0" borderId="43" xfId="0" applyNumberFormat="1" applyFont="1" applyBorder="1"/>
    <xf numFmtId="0" fontId="6" fillId="0" borderId="1" xfId="0" applyFont="1" applyBorder="1"/>
    <xf numFmtId="165" fontId="6" fillId="0" borderId="1" xfId="2" applyNumberFormat="1" applyFont="1" applyFill="1" applyBorder="1"/>
    <xf numFmtId="165" fontId="6" fillId="0" borderId="1" xfId="1" applyNumberFormat="1" applyFont="1" applyFill="1" applyBorder="1"/>
    <xf numFmtId="9" fontId="6" fillId="0" borderId="1" xfId="1" applyFont="1" applyFill="1" applyBorder="1"/>
    <xf numFmtId="9" fontId="6" fillId="0" borderId="0" xfId="1" applyFont="1" applyFill="1" applyBorder="1"/>
    <xf numFmtId="165" fontId="6" fillId="0" borderId="0" xfId="0" applyNumberFormat="1" applyFont="1"/>
    <xf numFmtId="3" fontId="11" fillId="0" borderId="1" xfId="0" applyNumberFormat="1" applyFont="1" applyBorder="1" applyAlignment="1">
      <alignment horizontal="center" vertical="top" wrapText="1"/>
    </xf>
    <xf numFmtId="3" fontId="6" fillId="0" borderId="0" xfId="0" applyNumberFormat="1" applyFont="1"/>
    <xf numFmtId="0" fontId="12" fillId="0" borderId="44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45" xfId="0" applyFont="1" applyBorder="1"/>
    <xf numFmtId="0" fontId="8" fillId="9" borderId="45" xfId="0" applyFont="1" applyFill="1" applyBorder="1"/>
    <xf numFmtId="0" fontId="13" fillId="0" borderId="45" xfId="0" applyFont="1" applyBorder="1"/>
    <xf numFmtId="0" fontId="8" fillId="0" borderId="0" xfId="0" applyFont="1" applyAlignment="1">
      <alignment horizontal="left"/>
    </xf>
    <xf numFmtId="0" fontId="6" fillId="9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" fillId="0" borderId="44" xfId="0" applyFont="1" applyBorder="1" applyAlignment="1">
      <alignment horizontal="right"/>
    </xf>
    <xf numFmtId="0" fontId="6" fillId="9" borderId="44" xfId="0" applyFont="1" applyFill="1" applyBorder="1"/>
    <xf numFmtId="0" fontId="15" fillId="0" borderId="44" xfId="0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169" fontId="6" fillId="0" borderId="0" xfId="0" applyNumberFormat="1" applyFont="1"/>
    <xf numFmtId="0" fontId="6" fillId="9" borderId="0" xfId="0" applyFont="1" applyFill="1"/>
    <xf numFmtId="164" fontId="6" fillId="0" borderId="0" xfId="0" applyNumberFormat="1" applyFont="1"/>
    <xf numFmtId="3" fontId="15" fillId="0" borderId="0" xfId="0" applyNumberFormat="1" applyFont="1"/>
    <xf numFmtId="3" fontId="8" fillId="0" borderId="29" xfId="0" applyNumberFormat="1" applyFont="1" applyBorder="1" applyAlignment="1">
      <alignment horizontal="left"/>
    </xf>
    <xf numFmtId="169" fontId="6" fillId="0" borderId="29" xfId="0" applyNumberFormat="1" applyFont="1" applyBorder="1"/>
    <xf numFmtId="3" fontId="6" fillId="0" borderId="29" xfId="0" applyNumberFormat="1" applyFont="1" applyBorder="1"/>
    <xf numFmtId="164" fontId="6" fillId="0" borderId="29" xfId="0" applyNumberFormat="1" applyFont="1" applyBorder="1"/>
    <xf numFmtId="3" fontId="15" fillId="0" borderId="45" xfId="0" applyNumberFormat="1" applyFont="1" applyBorder="1"/>
    <xf numFmtId="0" fontId="8" fillId="0" borderId="44" xfId="0" applyFont="1" applyBorder="1"/>
    <xf numFmtId="3" fontId="8" fillId="0" borderId="44" xfId="0" applyNumberFormat="1" applyFont="1" applyBorder="1"/>
    <xf numFmtId="3" fontId="8" fillId="0" borderId="45" xfId="0" applyNumberFormat="1" applyFont="1" applyBorder="1"/>
    <xf numFmtId="3" fontId="6" fillId="0" borderId="0" xfId="0" applyNumberFormat="1" applyFont="1" applyAlignment="1">
      <alignment horizontal="right"/>
    </xf>
    <xf numFmtId="3" fontId="6" fillId="0" borderId="44" xfId="0" applyNumberFormat="1" applyFont="1" applyBorder="1" applyAlignment="1">
      <alignment horizontal="right"/>
    </xf>
    <xf numFmtId="170" fontId="6" fillId="0" borderId="0" xfId="0" applyNumberFormat="1" applyFont="1"/>
    <xf numFmtId="170" fontId="15" fillId="0" borderId="0" xfId="0" applyNumberFormat="1" applyFont="1"/>
    <xf numFmtId="0" fontId="6" fillId="0" borderId="44" xfId="0" applyFont="1" applyBorder="1"/>
    <xf numFmtId="3" fontId="6" fillId="0" borderId="44" xfId="0" applyNumberFormat="1" applyFont="1" applyBorder="1"/>
    <xf numFmtId="0" fontId="15" fillId="0" borderId="44" xfId="0" applyFont="1" applyBorder="1"/>
    <xf numFmtId="3" fontId="15" fillId="0" borderId="29" xfId="0" applyNumberFormat="1" applyFont="1" applyBorder="1"/>
    <xf numFmtId="0" fontId="12" fillId="0" borderId="0" xfId="0" applyFont="1"/>
    <xf numFmtId="0" fontId="6" fillId="0" borderId="44" xfId="0" applyFont="1" applyBorder="1" applyAlignment="1">
      <alignment horizontal="left"/>
    </xf>
    <xf numFmtId="0" fontId="8" fillId="9" borderId="0" xfId="0" applyFont="1" applyFill="1"/>
    <xf numFmtId="3" fontId="8" fillId="0" borderId="0" xfId="0" applyNumberFormat="1" applyFont="1"/>
    <xf numFmtId="3" fontId="12" fillId="0" borderId="0" xfId="0" applyNumberFormat="1" applyFont="1" applyAlignment="1">
      <alignment horizontal="left"/>
    </xf>
    <xf numFmtId="9" fontId="6" fillId="0" borderId="0" xfId="0" applyNumberFormat="1" applyFont="1"/>
    <xf numFmtId="3" fontId="8" fillId="0" borderId="0" xfId="0" applyNumberFormat="1" applyFont="1" applyAlignment="1">
      <alignment horizontal="right" wrapText="1"/>
    </xf>
    <xf numFmtId="3" fontId="8" fillId="8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right"/>
    </xf>
    <xf numFmtId="171" fontId="6" fillId="8" borderId="0" xfId="0" applyNumberFormat="1" applyFont="1" applyFill="1"/>
    <xf numFmtId="169" fontId="6" fillId="8" borderId="0" xfId="0" applyNumberFormat="1" applyFont="1" applyFill="1"/>
    <xf numFmtId="3" fontId="8" fillId="0" borderId="45" xfId="0" applyNumberFormat="1" applyFont="1" applyBorder="1" applyAlignment="1">
      <alignment horizontal="left"/>
    </xf>
    <xf numFmtId="169" fontId="6" fillId="0" borderId="45" xfId="0" applyNumberFormat="1" applyFont="1" applyBorder="1"/>
    <xf numFmtId="169" fontId="6" fillId="8" borderId="45" xfId="0" applyNumberFormat="1" applyFont="1" applyFill="1" applyBorder="1"/>
    <xf numFmtId="0" fontId="6" fillId="0" borderId="14" xfId="0" applyFont="1" applyBorder="1"/>
    <xf numFmtId="0" fontId="6" fillId="0" borderId="15" xfId="0" applyFont="1" applyBorder="1" applyAlignment="1">
      <alignment wrapText="1"/>
    </xf>
    <xf numFmtId="0" fontId="6" fillId="10" borderId="5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6" fillId="10" borderId="10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15" xfId="0" applyFont="1" applyBorder="1"/>
    <xf numFmtId="2" fontId="6" fillId="10" borderId="5" xfId="0" applyNumberFormat="1" applyFont="1" applyFill="1" applyBorder="1" applyAlignment="1">
      <alignment horizontal="center"/>
    </xf>
    <xf numFmtId="165" fontId="6" fillId="10" borderId="1" xfId="0" applyNumberFormat="1" applyFont="1" applyFill="1" applyBorder="1" applyAlignment="1">
      <alignment horizontal="center"/>
    </xf>
    <xf numFmtId="165" fontId="6" fillId="10" borderId="6" xfId="0" applyNumberFormat="1" applyFont="1" applyFill="1" applyBorder="1" applyAlignment="1">
      <alignment horizontal="center"/>
    </xf>
    <xf numFmtId="10" fontId="6" fillId="0" borderId="10" xfId="1" applyNumberFormat="1" applyFont="1" applyFill="1" applyBorder="1"/>
    <xf numFmtId="43" fontId="6" fillId="10" borderId="10" xfId="2" applyFont="1" applyFill="1" applyBorder="1"/>
    <xf numFmtId="43" fontId="6" fillId="10" borderId="6" xfId="2" applyFont="1" applyFill="1" applyBorder="1"/>
    <xf numFmtId="0" fontId="6" fillId="0" borderId="1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6" xfId="0" applyFont="1" applyBorder="1"/>
    <xf numFmtId="0" fontId="6" fillId="0" borderId="9" xfId="0" applyFont="1" applyBorder="1"/>
    <xf numFmtId="3" fontId="6" fillId="0" borderId="26" xfId="2" applyNumberFormat="1" applyFont="1" applyFill="1" applyBorder="1"/>
    <xf numFmtId="10" fontId="6" fillId="0" borderId="46" xfId="0" applyNumberFormat="1" applyFont="1" applyBorder="1"/>
    <xf numFmtId="165" fontId="6" fillId="10" borderId="7" xfId="0" applyNumberFormat="1" applyFont="1" applyFill="1" applyBorder="1"/>
    <xf numFmtId="165" fontId="6" fillId="10" borderId="8" xfId="0" applyNumberFormat="1" applyFont="1" applyFill="1" applyBorder="1"/>
    <xf numFmtId="165" fontId="6" fillId="10" borderId="8" xfId="2" applyNumberFormat="1" applyFont="1" applyFill="1" applyBorder="1"/>
    <xf numFmtId="43" fontId="6" fillId="10" borderId="46" xfId="2" applyFont="1" applyFill="1" applyBorder="1"/>
    <xf numFmtId="43" fontId="6" fillId="10" borderId="9" xfId="2" applyFont="1" applyFill="1" applyBorder="1"/>
    <xf numFmtId="0" fontId="0" fillId="11" borderId="0" xfId="0" applyFill="1"/>
    <xf numFmtId="43" fontId="0" fillId="0" borderId="0" xfId="0" applyNumberFormat="1"/>
    <xf numFmtId="0" fontId="17" fillId="11" borderId="0" xfId="0" applyFont="1" applyFill="1"/>
    <xf numFmtId="43" fontId="0" fillId="0" borderId="1" xfId="0" applyNumberFormat="1" applyBorder="1"/>
    <xf numFmtId="165" fontId="6" fillId="0" borderId="25" xfId="0" applyNumberFormat="1" applyFont="1" applyBorder="1"/>
    <xf numFmtId="165" fontId="6" fillId="0" borderId="37" xfId="0" applyNumberFormat="1" applyFont="1" applyBorder="1"/>
    <xf numFmtId="165" fontId="8" fillId="0" borderId="47" xfId="0" applyNumberFormat="1" applyFont="1" applyBorder="1"/>
    <xf numFmtId="165" fontId="6" fillId="0" borderId="6" xfId="0" applyNumberFormat="1" applyFont="1" applyBorder="1"/>
    <xf numFmtId="165" fontId="6" fillId="0" borderId="19" xfId="0" applyNumberFormat="1" applyFont="1" applyBorder="1"/>
    <xf numFmtId="9" fontId="6" fillId="0" borderId="10" xfId="0" applyNumberFormat="1" applyFont="1" applyBorder="1"/>
    <xf numFmtId="9" fontId="6" fillId="0" borderId="22" xfId="0" applyNumberFormat="1" applyFont="1" applyBorder="1"/>
    <xf numFmtId="9" fontId="8" fillId="0" borderId="49" xfId="1" applyFont="1" applyFill="1" applyBorder="1"/>
    <xf numFmtId="165" fontId="10" fillId="12" borderId="34" xfId="0" applyNumberFormat="1" applyFont="1" applyFill="1" applyBorder="1"/>
    <xf numFmtId="165" fontId="10" fillId="12" borderId="35" xfId="0" applyNumberFormat="1" applyFont="1" applyFill="1" applyBorder="1"/>
    <xf numFmtId="165" fontId="10" fillId="12" borderId="36" xfId="0" applyNumberFormat="1" applyFont="1" applyFill="1" applyBorder="1"/>
    <xf numFmtId="167" fontId="6" fillId="0" borderId="6" xfId="0" applyNumberFormat="1" applyFont="1" applyBorder="1"/>
    <xf numFmtId="167" fontId="6" fillId="0" borderId="9" xfId="0" applyNumberFormat="1" applyFont="1" applyBorder="1"/>
    <xf numFmtId="167" fontId="6" fillId="0" borderId="25" xfId="0" applyNumberFormat="1" applyFont="1" applyBorder="1"/>
    <xf numFmtId="167" fontId="6" fillId="0" borderId="26" xfId="0" applyNumberFormat="1" applyFont="1" applyBorder="1"/>
    <xf numFmtId="165" fontId="0" fillId="13" borderId="1" xfId="2" applyNumberFormat="1" applyFont="1" applyFill="1" applyBorder="1"/>
    <xf numFmtId="165" fontId="0" fillId="13" borderId="21" xfId="2" applyNumberFormat="1" applyFont="1" applyFill="1" applyBorder="1"/>
    <xf numFmtId="165" fontId="19" fillId="13" borderId="35" xfId="2" applyNumberFormat="1" applyFont="1" applyFill="1" applyBorder="1"/>
    <xf numFmtId="0" fontId="6" fillId="7" borderId="12" xfId="0" applyFont="1" applyFill="1" applyBorder="1" applyAlignment="1">
      <alignment horizontal="right"/>
    </xf>
    <xf numFmtId="0" fontId="6" fillId="7" borderId="29" xfId="0" applyFont="1" applyFill="1" applyBorder="1" applyAlignment="1">
      <alignment horizontal="right"/>
    </xf>
    <xf numFmtId="0" fontId="6" fillId="7" borderId="38" xfId="0" applyFont="1" applyFill="1" applyBorder="1" applyAlignment="1">
      <alignment horizontal="right"/>
    </xf>
    <xf numFmtId="165" fontId="0" fillId="13" borderId="1" xfId="0" applyNumberFormat="1" applyFill="1" applyBorder="1"/>
    <xf numFmtId="165" fontId="0" fillId="13" borderId="21" xfId="0" applyNumberFormat="1" applyFill="1" applyBorder="1"/>
    <xf numFmtId="165" fontId="19" fillId="13" borderId="35" xfId="0" applyNumberFormat="1" applyFont="1" applyFill="1" applyBorder="1"/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165" fontId="0" fillId="13" borderId="1" xfId="2" applyNumberFormat="1" applyFont="1" applyFill="1" applyBorder="1" applyAlignment="1">
      <alignment horizontal="center" wrapText="1"/>
    </xf>
    <xf numFmtId="0" fontId="6" fillId="10" borderId="12" xfId="0" applyFont="1" applyFill="1" applyBorder="1" applyAlignment="1">
      <alignment horizontal="center"/>
    </xf>
    <xf numFmtId="165" fontId="6" fillId="14" borderId="5" xfId="2" applyNumberFormat="1" applyFont="1" applyFill="1" applyBorder="1"/>
    <xf numFmtId="165" fontId="6" fillId="14" borderId="7" xfId="0" applyNumberFormat="1" applyFont="1" applyFill="1" applyBorder="1"/>
    <xf numFmtId="0" fontId="6" fillId="15" borderId="0" xfId="0" applyFont="1" applyFill="1"/>
    <xf numFmtId="0" fontId="6" fillId="0" borderId="4" xfId="0" applyFont="1" applyBorder="1"/>
    <xf numFmtId="166" fontId="6" fillId="10" borderId="5" xfId="2" applyNumberFormat="1" applyFont="1" applyFill="1" applyBorder="1"/>
    <xf numFmtId="165" fontId="6" fillId="10" borderId="1" xfId="2" applyNumberFormat="1" applyFont="1" applyFill="1" applyBorder="1"/>
    <xf numFmtId="166" fontId="6" fillId="10" borderId="10" xfId="2" applyNumberFormat="1" applyFont="1" applyFill="1" applyBorder="1"/>
    <xf numFmtId="2" fontId="6" fillId="10" borderId="6" xfId="0" applyNumberFormat="1" applyFont="1" applyFill="1" applyBorder="1"/>
    <xf numFmtId="166" fontId="6" fillId="0" borderId="5" xfId="2" applyNumberFormat="1" applyFont="1" applyFill="1" applyBorder="1"/>
    <xf numFmtId="166" fontId="6" fillId="0" borderId="10" xfId="2" applyNumberFormat="1" applyFont="1" applyFill="1" applyBorder="1"/>
    <xf numFmtId="165" fontId="6" fillId="10" borderId="10" xfId="0" applyNumberFormat="1" applyFont="1" applyFill="1" applyBorder="1" applyAlignment="1">
      <alignment horizontal="center"/>
    </xf>
    <xf numFmtId="2" fontId="6" fillId="10" borderId="6" xfId="0" applyNumberFormat="1" applyFont="1" applyFill="1" applyBorder="1" applyAlignment="1">
      <alignment horizontal="center"/>
    </xf>
    <xf numFmtId="165" fontId="6" fillId="10" borderId="1" xfId="0" applyNumberFormat="1" applyFont="1" applyFill="1" applyBorder="1"/>
    <xf numFmtId="165" fontId="6" fillId="0" borderId="8" xfId="2" applyNumberFormat="1" applyFont="1" applyFill="1" applyBorder="1"/>
    <xf numFmtId="165" fontId="6" fillId="0" borderId="46" xfId="2" applyNumberFormat="1" applyFont="1" applyFill="1" applyBorder="1"/>
    <xf numFmtId="166" fontId="6" fillId="0" borderId="7" xfId="2" applyNumberFormat="1" applyFont="1" applyFill="1" applyBorder="1"/>
    <xf numFmtId="3" fontId="6" fillId="0" borderId="7" xfId="2" applyNumberFormat="1" applyFont="1" applyFill="1" applyBorder="1"/>
    <xf numFmtId="0" fontId="6" fillId="0" borderId="11" xfId="0" applyFont="1" applyBorder="1"/>
    <xf numFmtId="0" fontId="6" fillId="0" borderId="18" xfId="0" applyFont="1" applyBorder="1"/>
    <xf numFmtId="165" fontId="6" fillId="14" borderId="25" xfId="2" applyNumberFormat="1" applyFont="1" applyFill="1" applyBorder="1"/>
    <xf numFmtId="165" fontId="6" fillId="14" borderId="26" xfId="0" applyNumberFormat="1" applyFont="1" applyFill="1" applyBorder="1"/>
    <xf numFmtId="165" fontId="6" fillId="14" borderId="1" xfId="2" applyNumberFormat="1" applyFont="1" applyFill="1" applyBorder="1"/>
    <xf numFmtId="166" fontId="6" fillId="14" borderId="1" xfId="2" applyNumberFormat="1" applyFont="1" applyFill="1" applyBorder="1"/>
    <xf numFmtId="166" fontId="6" fillId="14" borderId="6" xfId="2" applyNumberFormat="1" applyFont="1" applyFill="1" applyBorder="1"/>
    <xf numFmtId="165" fontId="6" fillId="14" borderId="8" xfId="0" applyNumberFormat="1" applyFont="1" applyFill="1" applyBorder="1"/>
    <xf numFmtId="166" fontId="6" fillId="14" borderId="8" xfId="0" applyNumberFormat="1" applyFont="1" applyFill="1" applyBorder="1"/>
    <xf numFmtId="166" fontId="6" fillId="14" borderId="9" xfId="0" applyNumberFormat="1" applyFont="1" applyFill="1" applyBorder="1"/>
    <xf numFmtId="165" fontId="6" fillId="14" borderId="6" xfId="2" applyNumberFormat="1" applyFont="1" applyFill="1" applyBorder="1"/>
    <xf numFmtId="165" fontId="6" fillId="14" borderId="9" xfId="0" applyNumberFormat="1" applyFont="1" applyFill="1" applyBorder="1"/>
    <xf numFmtId="0" fontId="6" fillId="10" borderId="25" xfId="0" applyFont="1" applyFill="1" applyBorder="1" applyAlignment="1">
      <alignment horizontal="center" wrapText="1"/>
    </xf>
    <xf numFmtId="165" fontId="6" fillId="10" borderId="10" xfId="2" applyNumberFormat="1" applyFont="1" applyFill="1" applyBorder="1"/>
    <xf numFmtId="0" fontId="0" fillId="3" borderId="25" xfId="0" applyFill="1" applyBorder="1" applyAlignment="1">
      <alignment horizontal="center" wrapText="1"/>
    </xf>
    <xf numFmtId="165" fontId="6" fillId="10" borderId="6" xfId="0" applyNumberFormat="1" applyFont="1" applyFill="1" applyBorder="1"/>
    <xf numFmtId="165" fontId="6" fillId="0" borderId="9" xfId="2" applyNumberFormat="1" applyFont="1" applyFill="1" applyBorder="1"/>
    <xf numFmtId="166" fontId="6" fillId="14" borderId="25" xfId="2" applyNumberFormat="1" applyFont="1" applyFill="1" applyBorder="1"/>
    <xf numFmtId="166" fontId="6" fillId="14" borderId="26" xfId="0" applyNumberFormat="1" applyFont="1" applyFill="1" applyBorder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 wrapText="1"/>
    </xf>
    <xf numFmtId="165" fontId="6" fillId="10" borderId="25" xfId="2" applyNumberFormat="1" applyFont="1" applyFill="1" applyBorder="1"/>
    <xf numFmtId="165" fontId="6" fillId="0" borderId="26" xfId="0" applyNumberFormat="1" applyFont="1" applyBorder="1"/>
    <xf numFmtId="1" fontId="6" fillId="7" borderId="0" xfId="0" applyNumberFormat="1" applyFont="1" applyFill="1" applyAlignment="1">
      <alignment horizontal="right" wrapText="1"/>
    </xf>
    <xf numFmtId="1" fontId="6" fillId="7" borderId="44" xfId="0" applyNumberFormat="1" applyFont="1" applyFill="1" applyBorder="1" applyAlignment="1">
      <alignment horizontal="right" wrapText="1"/>
    </xf>
    <xf numFmtId="2" fontId="6" fillId="7" borderId="0" xfId="0" applyNumberFormat="1" applyFont="1" applyFill="1" applyAlignment="1">
      <alignment horizontal="right" wrapText="1"/>
    </xf>
    <xf numFmtId="2" fontId="6" fillId="7" borderId="44" xfId="0" applyNumberFormat="1" applyFont="1" applyFill="1" applyBorder="1" applyAlignment="1">
      <alignment horizontal="right" wrapText="1"/>
    </xf>
    <xf numFmtId="1" fontId="6" fillId="16" borderId="0" xfId="0" applyNumberFormat="1" applyFont="1" applyFill="1" applyAlignment="1">
      <alignment horizontal="right" wrapText="1"/>
    </xf>
    <xf numFmtId="1" fontId="6" fillId="16" borderId="44" xfId="0" applyNumberFormat="1" applyFont="1" applyFill="1" applyBorder="1" applyAlignment="1">
      <alignment horizontal="right" wrapText="1"/>
    </xf>
    <xf numFmtId="2" fontId="6" fillId="16" borderId="0" xfId="0" applyNumberFormat="1" applyFont="1" applyFill="1" applyAlignment="1">
      <alignment horizontal="right" wrapText="1"/>
    </xf>
    <xf numFmtId="2" fontId="6" fillId="16" borderId="44" xfId="0" applyNumberFormat="1" applyFont="1" applyFill="1" applyBorder="1" applyAlignment="1">
      <alignment horizontal="right" wrapText="1"/>
    </xf>
    <xf numFmtId="0" fontId="20" fillId="0" borderId="0" xfId="0" applyFont="1"/>
    <xf numFmtId="0" fontId="6" fillId="0" borderId="45" xfId="0" applyFont="1" applyBorder="1"/>
    <xf numFmtId="3" fontId="6" fillId="0" borderId="45" xfId="0" applyNumberFormat="1" applyFont="1" applyBorder="1"/>
    <xf numFmtId="0" fontId="21" fillId="0" borderId="45" xfId="0" applyFont="1" applyBorder="1"/>
    <xf numFmtId="0" fontId="22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2" fillId="0" borderId="44" xfId="0" applyFont="1" applyBorder="1" applyAlignment="1">
      <alignment horizontal="right"/>
    </xf>
    <xf numFmtId="3" fontId="22" fillId="0" borderId="0" xfId="0" applyNumberFormat="1" applyFont="1"/>
    <xf numFmtId="3" fontId="22" fillId="0" borderId="45" xfId="0" applyNumberFormat="1" applyFont="1" applyBorder="1"/>
    <xf numFmtId="0" fontId="21" fillId="9" borderId="0" xfId="0" applyFont="1" applyFill="1"/>
    <xf numFmtId="0" fontId="22" fillId="9" borderId="0" xfId="0" applyFont="1" applyFill="1" applyAlignment="1">
      <alignment horizontal="right"/>
    </xf>
    <xf numFmtId="0" fontId="22" fillId="9" borderId="44" xfId="0" applyFont="1" applyFill="1" applyBorder="1"/>
    <xf numFmtId="170" fontId="22" fillId="0" borderId="0" xfId="0" applyNumberFormat="1" applyFont="1"/>
    <xf numFmtId="0" fontId="22" fillId="9" borderId="0" xfId="0" applyFont="1" applyFill="1"/>
    <xf numFmtId="0" fontId="22" fillId="0" borderId="44" xfId="0" applyFont="1" applyBorder="1"/>
    <xf numFmtId="3" fontId="22" fillId="0" borderId="29" xfId="0" applyNumberFormat="1" applyFont="1" applyBorder="1"/>
    <xf numFmtId="165" fontId="6" fillId="0" borderId="10" xfId="2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165" fontId="6" fillId="0" borderId="10" xfId="2" applyNumberFormat="1" applyFont="1" applyFill="1" applyBorder="1"/>
    <xf numFmtId="165" fontId="6" fillId="0" borderId="46" xfId="0" applyNumberFormat="1" applyFont="1" applyBorder="1"/>
    <xf numFmtId="0" fontId="19" fillId="0" borderId="0" xfId="0" applyFont="1"/>
    <xf numFmtId="166" fontId="0" fillId="0" borderId="1" xfId="2" applyNumberFormat="1" applyFont="1" applyBorder="1"/>
    <xf numFmtId="165" fontId="0" fillId="17" borderId="1" xfId="2" applyNumberFormat="1" applyFont="1" applyFill="1" applyBorder="1"/>
    <xf numFmtId="43" fontId="0" fillId="0" borderId="1" xfId="2" applyFont="1" applyBorder="1"/>
    <xf numFmtId="165" fontId="0" fillId="0" borderId="0" xfId="2" applyNumberFormat="1" applyFont="1"/>
    <xf numFmtId="165" fontId="0" fillId="3" borderId="5" xfId="2" applyNumberFormat="1" applyFont="1" applyFill="1" applyBorder="1"/>
    <xf numFmtId="165" fontId="0" fillId="0" borderId="5" xfId="2" applyNumberFormat="1" applyFont="1" applyFill="1" applyBorder="1"/>
    <xf numFmtId="165" fontId="0" fillId="0" borderId="1" xfId="2" applyNumberFormat="1" applyFont="1" applyFill="1" applyBorder="1"/>
    <xf numFmtId="165" fontId="0" fillId="3" borderId="25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0" xfId="2" applyNumberFormat="1" applyFont="1" applyFill="1" applyBorder="1" applyAlignment="1">
      <alignment horizontal="center"/>
    </xf>
    <xf numFmtId="166" fontId="0" fillId="3" borderId="6" xfId="2" applyNumberFormat="1" applyFont="1" applyFill="1" applyBorder="1" applyAlignment="1">
      <alignment horizontal="center"/>
    </xf>
    <xf numFmtId="165" fontId="0" fillId="3" borderId="25" xfId="2" applyNumberFormat="1" applyFont="1" applyFill="1" applyBorder="1"/>
    <xf numFmtId="165" fontId="0" fillId="3" borderId="1" xfId="2" applyNumberFormat="1" applyFont="1" applyFill="1" applyBorder="1"/>
    <xf numFmtId="165" fontId="0" fillId="3" borderId="10" xfId="2" applyNumberFormat="1" applyFont="1" applyFill="1" applyBorder="1"/>
    <xf numFmtId="165" fontId="0" fillId="0" borderId="7" xfId="2" applyNumberFormat="1" applyFont="1" applyFill="1" applyBorder="1"/>
    <xf numFmtId="166" fontId="0" fillId="0" borderId="9" xfId="2" applyNumberFormat="1" applyFont="1" applyFill="1" applyBorder="1"/>
    <xf numFmtId="165" fontId="0" fillId="0" borderId="0" xfId="2" applyNumberFormat="1" applyFont="1" applyFill="1" applyBorder="1"/>
    <xf numFmtId="166" fontId="0" fillId="0" borderId="0" xfId="2" applyNumberFormat="1" applyFont="1" applyFill="1" applyBorder="1"/>
    <xf numFmtId="43" fontId="0" fillId="0" borderId="0" xfId="2" applyFont="1" applyFill="1" applyBorder="1"/>
    <xf numFmtId="165" fontId="0" fillId="0" borderId="0" xfId="2" applyNumberFormat="1" applyFont="1" applyBorder="1"/>
    <xf numFmtId="10" fontId="0" fillId="0" borderId="0" xfId="0" applyNumberFormat="1"/>
    <xf numFmtId="165" fontId="0" fillId="3" borderId="0" xfId="0" applyNumberFormat="1" applyFill="1"/>
    <xf numFmtId="165" fontId="0" fillId="3" borderId="0" xfId="2" applyNumberFormat="1" applyFont="1" applyFill="1" applyBorder="1"/>
    <xf numFmtId="165" fontId="0" fillId="0" borderId="6" xfId="2" applyNumberFormat="1" applyFont="1" applyFill="1" applyBorder="1"/>
    <xf numFmtId="166" fontId="0" fillId="3" borderId="25" xfId="2" applyNumberFormat="1" applyFont="1" applyFill="1" applyBorder="1" applyAlignment="1">
      <alignment horizontal="center"/>
    </xf>
    <xf numFmtId="0" fontId="19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9" fontId="0" fillId="0" borderId="1" xfId="0" applyNumberFormat="1" applyBorder="1" applyAlignment="1">
      <alignment wrapText="1"/>
    </xf>
    <xf numFmtId="0" fontId="25" fillId="18" borderId="1" xfId="0" applyFont="1" applyFill="1" applyBorder="1" applyAlignment="1">
      <alignment vertical="center"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0" fillId="0" borderId="22" xfId="0" applyBorder="1" applyAlignment="1">
      <alignment wrapText="1"/>
    </xf>
    <xf numFmtId="165" fontId="0" fillId="0" borderId="37" xfId="2" applyNumberFormat="1" applyFont="1" applyBorder="1"/>
    <xf numFmtId="0" fontId="0" fillId="0" borderId="41" xfId="0" applyBorder="1" applyAlignment="1">
      <alignment wrapText="1"/>
    </xf>
    <xf numFmtId="165" fontId="0" fillId="0" borderId="42" xfId="2" applyNumberFormat="1" applyFont="1" applyBorder="1"/>
    <xf numFmtId="0" fontId="0" fillId="0" borderId="54" xfId="0" applyBorder="1" applyAlignment="1">
      <alignment horizontal="center" wrapText="1"/>
    </xf>
    <xf numFmtId="8" fontId="27" fillId="20" borderId="14" xfId="0" applyNumberFormat="1" applyFont="1" applyFill="1" applyBorder="1"/>
    <xf numFmtId="8" fontId="27" fillId="20" borderId="53" xfId="0" applyNumberFormat="1" applyFont="1" applyFill="1" applyBorder="1"/>
    <xf numFmtId="8" fontId="27" fillId="20" borderId="55" xfId="0" applyNumberFormat="1" applyFont="1" applyFill="1" applyBorder="1"/>
    <xf numFmtId="8" fontId="27" fillId="20" borderId="56" xfId="0" applyNumberFormat="1" applyFont="1" applyFill="1" applyBorder="1"/>
    <xf numFmtId="8" fontId="27" fillId="20" borderId="57" xfId="0" applyNumberFormat="1" applyFont="1" applyFill="1" applyBorder="1"/>
    <xf numFmtId="0" fontId="19" fillId="4" borderId="1" xfId="0" applyFont="1" applyFill="1" applyBorder="1" applyAlignment="1">
      <alignment wrapText="1"/>
    </xf>
    <xf numFmtId="0" fontId="0" fillId="4" borderId="0" xfId="0" applyFill="1"/>
    <xf numFmtId="8" fontId="27" fillId="20" borderId="58" xfId="0" applyNumberFormat="1" applyFont="1" applyFill="1" applyBorder="1"/>
    <xf numFmtId="8" fontId="27" fillId="20" borderId="4" xfId="0" applyNumberFormat="1" applyFont="1" applyFill="1" applyBorder="1"/>
    <xf numFmtId="8" fontId="27" fillId="20" borderId="59" xfId="0" applyNumberFormat="1" applyFont="1" applyFill="1" applyBorder="1"/>
    <xf numFmtId="43" fontId="0" fillId="4" borderId="1" xfId="0" applyNumberFormat="1" applyFill="1" applyBorder="1"/>
    <xf numFmtId="172" fontId="0" fillId="5" borderId="57" xfId="0" applyNumberFormat="1" applyFill="1" applyBorder="1"/>
    <xf numFmtId="172" fontId="0" fillId="5" borderId="4" xfId="0" applyNumberFormat="1" applyFill="1" applyBorder="1"/>
    <xf numFmtId="3" fontId="28" fillId="0" borderId="60" xfId="3" applyNumberFormat="1" applyFont="1" applyBorder="1" applyAlignment="1">
      <alignment horizontal="right"/>
    </xf>
    <xf numFmtId="3" fontId="28" fillId="0" borderId="61" xfId="3" applyNumberFormat="1" applyFont="1" applyBorder="1" applyAlignment="1">
      <alignment horizontal="right"/>
    </xf>
    <xf numFmtId="1" fontId="0" fillId="0" borderId="1" xfId="0" applyNumberFormat="1" applyBorder="1"/>
    <xf numFmtId="164" fontId="0" fillId="0" borderId="5" xfId="1" applyNumberFormat="1" applyFont="1" applyFill="1" applyBorder="1"/>
    <xf numFmtId="164" fontId="0" fillId="0" borderId="1" xfId="1" applyNumberFormat="1" applyFont="1" applyFill="1" applyBorder="1"/>
    <xf numFmtId="3" fontId="0" fillId="0" borderId="5" xfId="0" applyNumberFormat="1" applyBorder="1"/>
    <xf numFmtId="3" fontId="0" fillId="0" borderId="1" xfId="0" applyNumberFormat="1" applyBorder="1"/>
    <xf numFmtId="165" fontId="18" fillId="19" borderId="5" xfId="0" applyNumberFormat="1" applyFont="1" applyFill="1" applyBorder="1"/>
    <xf numFmtId="165" fontId="18" fillId="19" borderId="1" xfId="0" applyNumberFormat="1" applyFont="1" applyFill="1" applyBorder="1"/>
    <xf numFmtId="165" fontId="0" fillId="19" borderId="1" xfId="2" applyNumberFormat="1" applyFont="1" applyFill="1" applyBorder="1"/>
    <xf numFmtId="165" fontId="0" fillId="19" borderId="5" xfId="0" applyNumberFormat="1" applyFill="1" applyBorder="1"/>
    <xf numFmtId="165" fontId="0" fillId="19" borderId="1" xfId="0" applyNumberFormat="1" applyFill="1" applyBorder="1"/>
    <xf numFmtId="164" fontId="0" fillId="19" borderId="5" xfId="1" applyNumberFormat="1" applyFont="1" applyFill="1" applyBorder="1"/>
    <xf numFmtId="164" fontId="0" fillId="19" borderId="1" xfId="1" applyNumberFormat="1" applyFont="1" applyFill="1" applyBorder="1"/>
    <xf numFmtId="0" fontId="6" fillId="4" borderId="5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165" fontId="6" fillId="4" borderId="5" xfId="0" applyNumberFormat="1" applyFont="1" applyFill="1" applyBorder="1"/>
    <xf numFmtId="166" fontId="6" fillId="4" borderId="5" xfId="0" applyNumberFormat="1" applyFont="1" applyFill="1" applyBorder="1"/>
    <xf numFmtId="0" fontId="6" fillId="4" borderId="25" xfId="0" applyFont="1" applyFill="1" applyBorder="1" applyAlignment="1">
      <alignment horizontal="center" wrapText="1"/>
    </xf>
    <xf numFmtId="165" fontId="6" fillId="4" borderId="25" xfId="2" applyNumberFormat="1" applyFont="1" applyFill="1" applyBorder="1"/>
    <xf numFmtId="165" fontId="6" fillId="4" borderId="1" xfId="2" applyNumberFormat="1" applyFont="1" applyFill="1" applyBorder="1"/>
    <xf numFmtId="165" fontId="6" fillId="4" borderId="10" xfId="2" applyNumberFormat="1" applyFont="1" applyFill="1" applyBorder="1"/>
    <xf numFmtId="166" fontId="6" fillId="4" borderId="6" xfId="2" applyNumberFormat="1" applyFont="1" applyFill="1" applyBorder="1"/>
    <xf numFmtId="165" fontId="6" fillId="4" borderId="26" xfId="2" applyNumberFormat="1" applyFont="1" applyFill="1" applyBorder="1"/>
    <xf numFmtId="165" fontId="6" fillId="4" borderId="8" xfId="2" applyNumberFormat="1" applyFont="1" applyFill="1" applyBorder="1"/>
    <xf numFmtId="165" fontId="6" fillId="4" borderId="46" xfId="2" applyNumberFormat="1" applyFont="1" applyFill="1" applyBorder="1"/>
    <xf numFmtId="166" fontId="6" fillId="4" borderId="9" xfId="2" applyNumberFormat="1" applyFont="1" applyFill="1" applyBorder="1"/>
    <xf numFmtId="0" fontId="0" fillId="4" borderId="1" xfId="0" applyFill="1" applyBorder="1" applyAlignment="1">
      <alignment horizontal="center" wrapText="1"/>
    </xf>
    <xf numFmtId="165" fontId="10" fillId="4" borderId="34" xfId="0" applyNumberFormat="1" applyFont="1" applyFill="1" applyBorder="1"/>
    <xf numFmtId="0" fontId="6" fillId="21" borderId="11" xfId="0" applyFont="1" applyFill="1" applyBorder="1"/>
    <xf numFmtId="0" fontId="6" fillId="21" borderId="12" xfId="0" applyFont="1" applyFill="1" applyBorder="1"/>
    <xf numFmtId="0" fontId="6" fillId="21" borderId="3" xfId="0" applyFont="1" applyFill="1" applyBorder="1"/>
    <xf numFmtId="0" fontId="6" fillId="21" borderId="2" xfId="0" applyFont="1" applyFill="1" applyBorder="1" applyAlignment="1">
      <alignment horizontal="right"/>
    </xf>
    <xf numFmtId="0" fontId="6" fillId="21" borderId="12" xfId="0" applyFont="1" applyFill="1" applyBorder="1" applyAlignment="1">
      <alignment horizontal="right"/>
    </xf>
    <xf numFmtId="165" fontId="6" fillId="21" borderId="4" xfId="0" applyNumberFormat="1" applyFont="1" applyFill="1" applyBorder="1"/>
    <xf numFmtId="0" fontId="6" fillId="21" borderId="17" xfId="0" applyFont="1" applyFill="1" applyBorder="1"/>
    <xf numFmtId="0" fontId="6" fillId="21" borderId="29" xfId="0" applyFont="1" applyFill="1" applyBorder="1"/>
    <xf numFmtId="0" fontId="6" fillId="21" borderId="1" xfId="0" applyFont="1" applyFill="1" applyBorder="1"/>
    <xf numFmtId="0" fontId="6" fillId="21" borderId="5" xfId="0" applyFont="1" applyFill="1" applyBorder="1" applyAlignment="1">
      <alignment horizontal="right"/>
    </xf>
    <xf numFmtId="0" fontId="6" fillId="21" borderId="29" xfId="0" applyFont="1" applyFill="1" applyBorder="1" applyAlignment="1">
      <alignment horizontal="right"/>
    </xf>
    <xf numFmtId="165" fontId="6" fillId="21" borderId="6" xfId="0" applyNumberFormat="1" applyFont="1" applyFill="1" applyBorder="1"/>
    <xf numFmtId="0" fontId="6" fillId="21" borderId="18" xfId="0" applyFont="1" applyFill="1" applyBorder="1"/>
    <xf numFmtId="0" fontId="6" fillId="21" borderId="38" xfId="0" applyFont="1" applyFill="1" applyBorder="1"/>
    <xf numFmtId="164" fontId="6" fillId="21" borderId="8" xfId="0" applyNumberFormat="1" applyFont="1" applyFill="1" applyBorder="1"/>
    <xf numFmtId="0" fontId="6" fillId="21" borderId="7" xfId="0" applyFont="1" applyFill="1" applyBorder="1" applyAlignment="1">
      <alignment horizontal="right"/>
    </xf>
    <xf numFmtId="0" fontId="6" fillId="21" borderId="38" xfId="0" applyFont="1" applyFill="1" applyBorder="1" applyAlignment="1">
      <alignment horizontal="right"/>
    </xf>
    <xf numFmtId="165" fontId="6" fillId="21" borderId="9" xfId="0" applyNumberFormat="1" applyFont="1" applyFill="1" applyBorder="1"/>
    <xf numFmtId="166" fontId="6" fillId="0" borderId="15" xfId="0" applyNumberFormat="1" applyFont="1" applyBorder="1"/>
    <xf numFmtId="166" fontId="6" fillId="0" borderId="16" xfId="0" applyNumberFormat="1" applyFont="1" applyBorder="1"/>
    <xf numFmtId="0" fontId="6" fillId="2" borderId="2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5" fontId="0" fillId="2" borderId="1" xfId="2" applyNumberFormat="1" applyFont="1" applyFill="1" applyBorder="1" applyAlignment="1">
      <alignment horizontal="center" wrapText="1"/>
    </xf>
    <xf numFmtId="0" fontId="24" fillId="2" borderId="6" xfId="0" applyFont="1" applyFill="1" applyBorder="1" applyAlignment="1">
      <alignment horizontal="center" wrapText="1"/>
    </xf>
    <xf numFmtId="165" fontId="6" fillId="2" borderId="25" xfId="0" applyNumberFormat="1" applyFont="1" applyFill="1" applyBorder="1"/>
    <xf numFmtId="9" fontId="6" fillId="2" borderId="1" xfId="0" applyNumberFormat="1" applyFont="1" applyFill="1" applyBorder="1"/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5" fontId="0" fillId="2" borderId="1" xfId="2" applyNumberFormat="1" applyFont="1" applyFill="1" applyBorder="1"/>
    <xf numFmtId="168" fontId="24" fillId="2" borderId="6" xfId="0" applyNumberFormat="1" applyFont="1" applyFill="1" applyBorder="1"/>
    <xf numFmtId="164" fontId="9" fillId="2" borderId="1" xfId="0" applyNumberFormat="1" applyFont="1" applyFill="1" applyBorder="1"/>
    <xf numFmtId="165" fontId="6" fillId="2" borderId="37" xfId="0" applyNumberFormat="1" applyFont="1" applyFill="1" applyBorder="1"/>
    <xf numFmtId="165" fontId="0" fillId="2" borderId="21" xfId="2" applyNumberFormat="1" applyFont="1" applyFill="1" applyBorder="1"/>
    <xf numFmtId="164" fontId="8" fillId="2" borderId="35" xfId="1" applyNumberFormat="1" applyFont="1" applyFill="1" applyBorder="1"/>
    <xf numFmtId="164" fontId="8" fillId="22" borderId="35" xfId="0" applyNumberFormat="1" applyFont="1" applyFill="1" applyBorder="1"/>
    <xf numFmtId="164" fontId="8" fillId="2" borderId="35" xfId="0" applyNumberFormat="1" applyFont="1" applyFill="1" applyBorder="1"/>
    <xf numFmtId="165" fontId="6" fillId="4" borderId="15" xfId="0" applyNumberFormat="1" applyFont="1" applyFill="1" applyBorder="1"/>
    <xf numFmtId="165" fontId="10" fillId="4" borderId="62" xfId="0" applyNumberFormat="1" applyFont="1" applyFill="1" applyBorder="1"/>
    <xf numFmtId="165" fontId="10" fillId="2" borderId="47" xfId="0" applyNumberFormat="1" applyFont="1" applyFill="1" applyBorder="1"/>
    <xf numFmtId="165" fontId="10" fillId="2" borderId="35" xfId="0" applyNumberFormat="1" applyFont="1" applyFill="1" applyBorder="1"/>
    <xf numFmtId="165" fontId="29" fillId="2" borderId="35" xfId="2" applyNumberFormat="1" applyFont="1" applyFill="1" applyBorder="1"/>
    <xf numFmtId="168" fontId="10" fillId="22" borderId="36" xfId="0" applyNumberFormat="1" applyFont="1" applyFill="1" applyBorder="1"/>
    <xf numFmtId="165" fontId="8" fillId="0" borderId="63" xfId="0" applyNumberFormat="1" applyFont="1" applyBorder="1"/>
    <xf numFmtId="9" fontId="6" fillId="0" borderId="41" xfId="0" applyNumberFormat="1" applyFont="1" applyBorder="1"/>
    <xf numFmtId="9" fontId="6" fillId="0" borderId="6" xfId="0" applyNumberFormat="1" applyFont="1" applyBorder="1"/>
    <xf numFmtId="9" fontId="6" fillId="0" borderId="9" xfId="0" applyNumberFormat="1" applyFont="1" applyBorder="1"/>
    <xf numFmtId="165" fontId="0" fillId="23" borderId="5" xfId="2" applyNumberFormat="1" applyFont="1" applyFill="1" applyBorder="1"/>
    <xf numFmtId="165" fontId="0" fillId="23" borderId="1" xfId="2" applyNumberFormat="1" applyFont="1" applyFill="1" applyBorder="1"/>
    <xf numFmtId="165" fontId="0" fillId="23" borderId="25" xfId="2" applyNumberFormat="1" applyFont="1" applyFill="1" applyBorder="1"/>
    <xf numFmtId="164" fontId="0" fillId="23" borderId="5" xfId="1" applyNumberFormat="1" applyFont="1" applyFill="1" applyBorder="1"/>
    <xf numFmtId="164" fontId="0" fillId="23" borderId="1" xfId="1" applyNumberFormat="1" applyFont="1" applyFill="1" applyBorder="1"/>
    <xf numFmtId="173" fontId="0" fillId="0" borderId="0" xfId="0" applyNumberFormat="1"/>
    <xf numFmtId="3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19" fillId="0" borderId="62" xfId="0" applyFont="1" applyBorder="1"/>
    <xf numFmtId="0" fontId="19" fillId="0" borderId="64" xfId="0" applyFont="1" applyBorder="1" applyAlignment="1">
      <alignment horizontal="center" wrapText="1"/>
    </xf>
    <xf numFmtId="0" fontId="19" fillId="0" borderId="57" xfId="0" applyFont="1" applyBorder="1" applyAlignment="1">
      <alignment horizontal="center" wrapText="1"/>
    </xf>
    <xf numFmtId="165" fontId="0" fillId="0" borderId="6" xfId="0" applyNumberFormat="1" applyBorder="1"/>
    <xf numFmtId="165" fontId="0" fillId="0" borderId="25" xfId="0" applyNumberFormat="1" applyBorder="1"/>
    <xf numFmtId="165" fontId="0" fillId="0" borderId="10" xfId="0" applyNumberFormat="1" applyBorder="1"/>
    <xf numFmtId="165" fontId="0" fillId="0" borderId="7" xfId="0" applyNumberForma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25" xfId="1" applyNumberFormat="1" applyFont="1" applyBorder="1"/>
    <xf numFmtId="164" fontId="0" fillId="0" borderId="30" xfId="1" applyNumberFormat="1" applyFont="1" applyBorder="1"/>
    <xf numFmtId="3" fontId="0" fillId="0" borderId="10" xfId="0" applyNumberFormat="1" applyBorder="1"/>
    <xf numFmtId="165" fontId="0" fillId="0" borderId="10" xfId="2" applyNumberFormat="1" applyFont="1" applyFill="1" applyBorder="1"/>
    <xf numFmtId="165" fontId="0" fillId="23" borderId="10" xfId="2" applyNumberFormat="1" applyFont="1" applyFill="1" applyBorder="1"/>
    <xf numFmtId="0" fontId="0" fillId="18" borderId="10" xfId="0" applyFill="1" applyBorder="1"/>
    <xf numFmtId="0" fontId="0" fillId="18" borderId="25" xfId="0" applyFill="1" applyBorder="1"/>
    <xf numFmtId="0" fontId="0" fillId="18" borderId="29" xfId="0" applyFill="1" applyBorder="1"/>
    <xf numFmtId="0" fontId="0" fillId="18" borderId="1" xfId="0" applyFill="1" applyBorder="1" applyAlignment="1">
      <alignment wrapText="1"/>
    </xf>
    <xf numFmtId="174" fontId="0" fillId="0" borderId="0" xfId="0" applyNumberFormat="1"/>
    <xf numFmtId="0" fontId="0" fillId="18" borderId="45" xfId="0" applyFill="1" applyBorder="1"/>
    <xf numFmtId="0" fontId="0" fillId="18" borderId="37" xfId="0" applyFill="1" applyBorder="1"/>
    <xf numFmtId="0" fontId="0" fillId="0" borderId="39" xfId="0" applyBorder="1"/>
    <xf numFmtId="9" fontId="0" fillId="0" borderId="0" xfId="1" applyFont="1" applyFill="1" applyBorder="1"/>
    <xf numFmtId="9" fontId="0" fillId="0" borderId="40" xfId="1" applyFont="1" applyFill="1" applyBorder="1"/>
    <xf numFmtId="0" fontId="0" fillId="4" borderId="39" xfId="0" applyFill="1" applyBorder="1"/>
    <xf numFmtId="9" fontId="0" fillId="4" borderId="0" xfId="1" applyFont="1" applyFill="1" applyBorder="1"/>
    <xf numFmtId="9" fontId="0" fillId="4" borderId="40" xfId="1" applyFont="1" applyFill="1" applyBorder="1"/>
    <xf numFmtId="3" fontId="0" fillId="0" borderId="0" xfId="2" applyNumberFormat="1" applyFont="1" applyFill="1" applyBorder="1"/>
    <xf numFmtId="3" fontId="0" fillId="0" borderId="40" xfId="2" applyNumberFormat="1" applyFont="1" applyFill="1" applyBorder="1"/>
    <xf numFmtId="0" fontId="0" fillId="5" borderId="39" xfId="0" applyFill="1" applyBorder="1"/>
    <xf numFmtId="165" fontId="0" fillId="5" borderId="0" xfId="2" applyNumberFormat="1" applyFont="1" applyFill="1" applyBorder="1"/>
    <xf numFmtId="165" fontId="0" fillId="5" borderId="40" xfId="2" applyNumberFormat="1" applyFont="1" applyFill="1" applyBorder="1"/>
    <xf numFmtId="165" fontId="0" fillId="0" borderId="40" xfId="2" applyNumberFormat="1" applyFont="1" applyFill="1" applyBorder="1"/>
    <xf numFmtId="0" fontId="0" fillId="0" borderId="40" xfId="0" applyBorder="1"/>
    <xf numFmtId="0" fontId="0" fillId="4" borderId="41" xfId="0" applyFill="1" applyBorder="1"/>
    <xf numFmtId="9" fontId="0" fillId="4" borderId="44" xfId="1" applyFont="1" applyFill="1" applyBorder="1"/>
    <xf numFmtId="9" fontId="0" fillId="4" borderId="42" xfId="1" applyFont="1" applyFill="1" applyBorder="1"/>
    <xf numFmtId="0" fontId="0" fillId="0" borderId="22" xfId="0" applyBorder="1"/>
    <xf numFmtId="3" fontId="0" fillId="0" borderId="45" xfId="2" applyNumberFormat="1" applyFont="1" applyFill="1" applyBorder="1"/>
    <xf numFmtId="3" fontId="0" fillId="0" borderId="37" xfId="2" applyNumberFormat="1" applyFont="1" applyFill="1" applyBorder="1"/>
    <xf numFmtId="0" fontId="0" fillId="18" borderId="21" xfId="0" applyFill="1" applyBorder="1" applyAlignment="1">
      <alignment wrapText="1"/>
    </xf>
    <xf numFmtId="0" fontId="0" fillId="0" borderId="54" xfId="0" applyBorder="1"/>
    <xf numFmtId="0" fontId="0" fillId="4" borderId="54" xfId="0" applyFill="1" applyBorder="1"/>
    <xf numFmtId="0" fontId="0" fillId="4" borderId="64" xfId="0" applyFill="1" applyBorder="1"/>
    <xf numFmtId="3" fontId="0" fillId="25" borderId="21" xfId="2" applyNumberFormat="1" applyFont="1" applyFill="1" applyBorder="1"/>
    <xf numFmtId="3" fontId="0" fillId="25" borderId="54" xfId="2" applyNumberFormat="1" applyFont="1" applyFill="1" applyBorder="1"/>
    <xf numFmtId="0" fontId="0" fillId="27" borderId="54" xfId="0" applyFill="1" applyBorder="1"/>
    <xf numFmtId="173" fontId="0" fillId="0" borderId="54" xfId="0" applyNumberFormat="1" applyBorder="1"/>
    <xf numFmtId="173" fontId="0" fillId="0" borderId="40" xfId="0" applyNumberFormat="1" applyBorder="1"/>
    <xf numFmtId="175" fontId="0" fillId="27" borderId="21" xfId="0" applyNumberFormat="1" applyFill="1" applyBorder="1"/>
    <xf numFmtId="165" fontId="0" fillId="0" borderId="45" xfId="2" applyNumberFormat="1" applyFont="1" applyFill="1" applyBorder="1"/>
    <xf numFmtId="165" fontId="0" fillId="0" borderId="37" xfId="2" applyNumberFormat="1" applyFont="1" applyFill="1" applyBorder="1"/>
    <xf numFmtId="0" fontId="0" fillId="0" borderId="41" xfId="0" applyBorder="1"/>
    <xf numFmtId="9" fontId="0" fillId="4" borderId="54" xfId="1" applyFont="1" applyFill="1" applyBorder="1"/>
    <xf numFmtId="9" fontId="0" fillId="4" borderId="64" xfId="1" applyFont="1" applyFill="1" applyBorder="1"/>
    <xf numFmtId="3" fontId="0" fillId="4" borderId="45" xfId="2" applyNumberFormat="1" applyFont="1" applyFill="1" applyBorder="1"/>
    <xf numFmtId="3" fontId="0" fillId="4" borderId="37" xfId="2" applyNumberFormat="1" applyFont="1" applyFill="1" applyBorder="1"/>
    <xf numFmtId="3" fontId="0" fillId="4" borderId="0" xfId="2" applyNumberFormat="1" applyFont="1" applyFill="1" applyBorder="1"/>
    <xf numFmtId="3" fontId="0" fillId="4" borderId="40" xfId="2" applyNumberFormat="1" applyFont="1" applyFill="1" applyBorder="1"/>
    <xf numFmtId="3" fontId="0" fillId="4" borderId="21" xfId="2" applyNumberFormat="1" applyFont="1" applyFill="1" applyBorder="1"/>
    <xf numFmtId="3" fontId="0" fillId="4" borderId="54" xfId="2" applyNumberFormat="1" applyFont="1" applyFill="1" applyBorder="1"/>
    <xf numFmtId="0" fontId="0" fillId="4" borderId="22" xfId="0" applyFill="1" applyBorder="1"/>
    <xf numFmtId="0" fontId="0" fillId="24" borderId="10" xfId="0" applyFill="1" applyBorder="1"/>
    <xf numFmtId="3" fontId="0" fillId="26" borderId="1" xfId="0" applyNumberFormat="1" applyFill="1" applyBorder="1"/>
    <xf numFmtId="0" fontId="0" fillId="26" borderId="10" xfId="0" applyFill="1" applyBorder="1"/>
    <xf numFmtId="3" fontId="0" fillId="26" borderId="29" xfId="0" applyNumberFormat="1" applyFill="1" applyBorder="1"/>
    <xf numFmtId="3" fontId="0" fillId="26" borderId="25" xfId="0" applyNumberFormat="1" applyFill="1" applyBorder="1"/>
    <xf numFmtId="3" fontId="0" fillId="26" borderId="10" xfId="0" applyNumberFormat="1" applyFill="1" applyBorder="1"/>
    <xf numFmtId="0" fontId="19" fillId="19" borderId="27" xfId="0" applyFont="1" applyFill="1" applyBorder="1"/>
    <xf numFmtId="0" fontId="19" fillId="19" borderId="51" xfId="0" applyFont="1" applyFill="1" applyBorder="1"/>
    <xf numFmtId="165" fontId="19" fillId="19" borderId="67" xfId="0" applyNumberFormat="1" applyFont="1" applyFill="1" applyBorder="1"/>
    <xf numFmtId="165" fontId="19" fillId="19" borderId="48" xfId="0" applyNumberFormat="1" applyFont="1" applyFill="1" applyBorder="1"/>
    <xf numFmtId="165" fontId="19" fillId="19" borderId="68" xfId="0" applyNumberFormat="1" applyFont="1" applyFill="1" applyBorder="1"/>
    <xf numFmtId="0" fontId="19" fillId="19" borderId="69" xfId="0" applyFont="1" applyFill="1" applyBorder="1"/>
    <xf numFmtId="0" fontId="19" fillId="19" borderId="70" xfId="0" applyFont="1" applyFill="1" applyBorder="1"/>
    <xf numFmtId="165" fontId="19" fillId="19" borderId="71" xfId="0" applyNumberFormat="1" applyFont="1" applyFill="1" applyBorder="1"/>
    <xf numFmtId="165" fontId="19" fillId="19" borderId="72" xfId="0" applyNumberFormat="1" applyFont="1" applyFill="1" applyBorder="1"/>
    <xf numFmtId="0" fontId="33" fillId="28" borderId="73" xfId="0" applyFont="1" applyFill="1" applyBorder="1" applyAlignment="1">
      <alignment vertical="center" wrapText="1"/>
    </xf>
    <xf numFmtId="0" fontId="33" fillId="28" borderId="74" xfId="0" applyFont="1" applyFill="1" applyBorder="1" applyAlignment="1">
      <alignment vertical="center" wrapText="1"/>
    </xf>
    <xf numFmtId="0" fontId="32" fillId="0" borderId="75" xfId="0" applyFont="1" applyBorder="1" applyAlignment="1">
      <alignment vertical="center" wrapText="1"/>
    </xf>
    <xf numFmtId="0" fontId="31" fillId="0" borderId="76" xfId="0" applyFont="1" applyBorder="1" applyAlignment="1">
      <alignment vertical="center" wrapText="1"/>
    </xf>
    <xf numFmtId="0" fontId="32" fillId="0" borderId="77" xfId="0" applyFont="1" applyBorder="1" applyAlignment="1">
      <alignment vertical="center" wrapText="1"/>
    </xf>
    <xf numFmtId="0" fontId="31" fillId="0" borderId="78" xfId="0" applyFont="1" applyBorder="1" applyAlignment="1">
      <alignment vertical="center" wrapText="1"/>
    </xf>
    <xf numFmtId="0" fontId="0" fillId="2" borderId="39" xfId="0" applyFill="1" applyBorder="1"/>
    <xf numFmtId="11" fontId="0" fillId="2" borderId="54" xfId="0" applyNumberFormat="1" applyFill="1" applyBorder="1"/>
    <xf numFmtId="11" fontId="0" fillId="2" borderId="39" xfId="0" applyNumberFormat="1" applyFill="1" applyBorder="1"/>
    <xf numFmtId="11" fontId="0" fillId="2" borderId="0" xfId="0" applyNumberFormat="1" applyFill="1"/>
    <xf numFmtId="11" fontId="0" fillId="2" borderId="40" xfId="0" applyNumberFormat="1" applyFill="1" applyBorder="1"/>
    <xf numFmtId="3" fontId="0" fillId="26" borderId="64" xfId="0" applyNumberFormat="1" applyFill="1" applyBorder="1"/>
    <xf numFmtId="0" fontId="0" fillId="24" borderId="41" xfId="0" applyFill="1" applyBorder="1"/>
    <xf numFmtId="165" fontId="0" fillId="24" borderId="44" xfId="2" applyNumberFormat="1" applyFont="1" applyFill="1" applyBorder="1"/>
    <xf numFmtId="165" fontId="0" fillId="24" borderId="42" xfId="2" applyNumberFormat="1" applyFont="1" applyFill="1" applyBorder="1"/>
    <xf numFmtId="0" fontId="0" fillId="24" borderId="22" xfId="0" applyFill="1" applyBorder="1"/>
    <xf numFmtId="3" fontId="0" fillId="26" borderId="21" xfId="0" applyNumberFormat="1" applyFill="1" applyBorder="1"/>
    <xf numFmtId="165" fontId="0" fillId="24" borderId="45" xfId="2" applyNumberFormat="1" applyFont="1" applyFill="1" applyBorder="1"/>
    <xf numFmtId="165" fontId="0" fillId="24" borderId="37" xfId="2" applyNumberFormat="1" applyFont="1" applyFill="1" applyBorder="1"/>
    <xf numFmtId="3" fontId="0" fillId="0" borderId="22" xfId="2" applyNumberFormat="1" applyFont="1" applyFill="1" applyBorder="1"/>
    <xf numFmtId="3" fontId="0" fillId="0" borderId="39" xfId="2" applyNumberFormat="1" applyFont="1" applyFill="1" applyBorder="1"/>
    <xf numFmtId="3" fontId="0" fillId="5" borderId="54" xfId="2" applyNumberFormat="1" applyFont="1" applyFill="1" applyBorder="1"/>
    <xf numFmtId="176" fontId="31" fillId="0" borderId="76" xfId="0" applyNumberFormat="1" applyFont="1" applyBorder="1" applyAlignment="1">
      <alignment vertical="center" wrapText="1"/>
    </xf>
    <xf numFmtId="176" fontId="31" fillId="0" borderId="78" xfId="0" applyNumberFormat="1" applyFont="1" applyBorder="1" applyAlignment="1">
      <alignment vertical="center" wrapText="1"/>
    </xf>
    <xf numFmtId="0" fontId="0" fillId="2" borderId="41" xfId="0" applyFill="1" applyBorder="1"/>
    <xf numFmtId="11" fontId="0" fillId="2" borderId="64" xfId="0" applyNumberFormat="1" applyFill="1" applyBorder="1"/>
    <xf numFmtId="11" fontId="0" fillId="2" borderId="41" xfId="0" applyNumberFormat="1" applyFill="1" applyBorder="1"/>
    <xf numFmtId="11" fontId="0" fillId="2" borderId="44" xfId="0" applyNumberFormat="1" applyFill="1" applyBorder="1"/>
    <xf numFmtId="11" fontId="0" fillId="2" borderId="42" xfId="0" applyNumberFormat="1" applyFill="1" applyBorder="1"/>
    <xf numFmtId="171" fontId="0" fillId="0" borderId="54" xfId="0" applyNumberFormat="1" applyBorder="1"/>
    <xf numFmtId="171" fontId="0" fillId="0" borderId="0" xfId="0" applyNumberFormat="1"/>
    <xf numFmtId="171" fontId="0" fillId="0" borderId="40" xfId="0" applyNumberFormat="1" applyBorder="1"/>
    <xf numFmtId="0" fontId="0" fillId="0" borderId="21" xfId="0" applyBorder="1"/>
    <xf numFmtId="0" fontId="0" fillId="24" borderId="21" xfId="0" applyFill="1" applyBorder="1"/>
    <xf numFmtId="0" fontId="0" fillId="24" borderId="64" xfId="0" applyFill="1" applyBorder="1"/>
    <xf numFmtId="0" fontId="19" fillId="19" borderId="54" xfId="0" applyFont="1" applyFill="1" applyBorder="1"/>
    <xf numFmtId="165" fontId="19" fillId="19" borderId="0" xfId="0" applyNumberFormat="1" applyFont="1" applyFill="1"/>
    <xf numFmtId="165" fontId="19" fillId="19" borderId="65" xfId="0" applyNumberFormat="1" applyFont="1" applyFill="1" applyBorder="1"/>
    <xf numFmtId="0" fontId="0" fillId="4" borderId="21" xfId="0" applyFill="1" applyBorder="1"/>
    <xf numFmtId="3" fontId="0" fillId="4" borderId="44" xfId="2" applyNumberFormat="1" applyFont="1" applyFill="1" applyBorder="1"/>
    <xf numFmtId="3" fontId="0" fillId="4" borderId="42" xfId="2" applyNumberFormat="1" applyFont="1" applyFill="1" applyBorder="1"/>
    <xf numFmtId="3" fontId="0" fillId="4" borderId="64" xfId="2" applyNumberFormat="1" applyFont="1" applyFill="1" applyBorder="1"/>
    <xf numFmtId="0" fontId="0" fillId="26" borderId="22" xfId="0" applyFill="1" applyBorder="1"/>
    <xf numFmtId="3" fontId="0" fillId="26" borderId="45" xfId="0" applyNumberFormat="1" applyFill="1" applyBorder="1"/>
    <xf numFmtId="3" fontId="0" fillId="26" borderId="37" xfId="0" applyNumberFormat="1" applyFill="1" applyBorder="1"/>
    <xf numFmtId="0" fontId="0" fillId="26" borderId="41" xfId="0" applyFill="1" applyBorder="1"/>
    <xf numFmtId="3" fontId="0" fillId="26" borderId="44" xfId="0" applyNumberFormat="1" applyFill="1" applyBorder="1"/>
    <xf numFmtId="3" fontId="0" fillId="26" borderId="42" xfId="0" applyNumberFormat="1" applyFill="1" applyBorder="1"/>
    <xf numFmtId="3" fontId="0" fillId="26" borderId="22" xfId="0" applyNumberFormat="1" applyFill="1" applyBorder="1"/>
    <xf numFmtId="3" fontId="0" fillId="26" borderId="41" xfId="0" applyNumberFormat="1" applyFill="1" applyBorder="1"/>
    <xf numFmtId="0" fontId="19" fillId="19" borderId="50" xfId="0" applyFont="1" applyFill="1" applyBorder="1"/>
    <xf numFmtId="0" fontId="19" fillId="19" borderId="79" xfId="0" applyFont="1" applyFill="1" applyBorder="1"/>
    <xf numFmtId="165" fontId="19" fillId="19" borderId="39" xfId="0" applyNumberFormat="1" applyFont="1" applyFill="1" applyBorder="1"/>
    <xf numFmtId="165" fontId="19" fillId="19" borderId="80" xfId="0" applyNumberFormat="1" applyFont="1" applyFill="1" applyBorder="1"/>
    <xf numFmtId="0" fontId="19" fillId="19" borderId="31" xfId="0" applyFont="1" applyFill="1" applyBorder="1"/>
    <xf numFmtId="0" fontId="19" fillId="19" borderId="21" xfId="0" applyFont="1" applyFill="1" applyBorder="1"/>
    <xf numFmtId="165" fontId="19" fillId="19" borderId="22" xfId="0" applyNumberFormat="1" applyFont="1" applyFill="1" applyBorder="1"/>
    <xf numFmtId="165" fontId="19" fillId="19" borderId="45" xfId="0" applyNumberFormat="1" applyFont="1" applyFill="1" applyBorder="1"/>
    <xf numFmtId="165" fontId="19" fillId="19" borderId="81" xfId="0" applyNumberFormat="1" applyFont="1" applyFill="1" applyBorder="1"/>
    <xf numFmtId="165" fontId="0" fillId="13" borderId="5" xfId="2" applyNumberFormat="1" applyFont="1" applyFill="1" applyBorder="1"/>
    <xf numFmtId="165" fontId="0" fillId="23" borderId="6" xfId="2" applyNumberFormat="1" applyFont="1" applyFill="1" applyBorder="1"/>
    <xf numFmtId="165" fontId="0" fillId="29" borderId="5" xfId="2" applyNumberFormat="1" applyFont="1" applyFill="1" applyBorder="1"/>
    <xf numFmtId="0" fontId="0" fillId="29" borderId="31" xfId="0" applyFill="1" applyBorder="1"/>
    <xf numFmtId="165" fontId="0" fillId="5" borderId="5" xfId="2" applyNumberFormat="1" applyFont="1" applyFill="1" applyBorder="1"/>
    <xf numFmtId="0" fontId="0" fillId="5" borderId="31" xfId="0" applyFill="1" applyBorder="1"/>
    <xf numFmtId="9" fontId="0" fillId="29" borderId="21" xfId="1" applyFont="1" applyFill="1" applyBorder="1"/>
    <xf numFmtId="164" fontId="0" fillId="29" borderId="21" xfId="1" applyNumberFormat="1" applyFont="1" applyFill="1" applyBorder="1"/>
    <xf numFmtId="164" fontId="0" fillId="29" borderId="19" xfId="1" applyNumberFormat="1" applyFont="1" applyFill="1" applyBorder="1"/>
    <xf numFmtId="9" fontId="0" fillId="5" borderId="21" xfId="1" applyFont="1" applyFill="1" applyBorder="1"/>
    <xf numFmtId="164" fontId="0" fillId="5" borderId="21" xfId="1" applyNumberFormat="1" applyFont="1" applyFill="1" applyBorder="1"/>
    <xf numFmtId="164" fontId="0" fillId="5" borderId="19" xfId="1" applyNumberFormat="1" applyFont="1" applyFill="1" applyBorder="1"/>
    <xf numFmtId="9" fontId="0" fillId="13" borderId="21" xfId="1" applyFont="1" applyFill="1" applyBorder="1"/>
    <xf numFmtId="164" fontId="0" fillId="13" borderId="21" xfId="1" applyNumberFormat="1" applyFont="1" applyFill="1" applyBorder="1"/>
    <xf numFmtId="164" fontId="0" fillId="13" borderId="19" xfId="1" applyNumberFormat="1" applyFont="1" applyFill="1" applyBorder="1"/>
    <xf numFmtId="165" fontId="0" fillId="29" borderId="1" xfId="0" applyNumberFormat="1" applyFill="1" applyBorder="1"/>
    <xf numFmtId="165" fontId="0" fillId="29" borderId="25" xfId="2" applyNumberFormat="1" applyFont="1" applyFill="1" applyBorder="1"/>
    <xf numFmtId="165" fontId="0" fillId="5" borderId="25" xfId="2" applyNumberFormat="1" applyFont="1" applyFill="1" applyBorder="1"/>
    <xf numFmtId="165" fontId="0" fillId="5" borderId="1" xfId="0" applyNumberFormat="1" applyFill="1" applyBorder="1"/>
    <xf numFmtId="0" fontId="19" fillId="0" borderId="3" xfId="0" applyFont="1" applyBorder="1" applyAlignment="1">
      <alignment horizontal="center" wrapText="1"/>
    </xf>
    <xf numFmtId="165" fontId="0" fillId="29" borderId="5" xfId="0" applyNumberFormat="1" applyFill="1" applyBorder="1"/>
    <xf numFmtId="165" fontId="0" fillId="29" borderId="6" xfId="0" applyNumberFormat="1" applyFill="1" applyBorder="1"/>
    <xf numFmtId="165" fontId="0" fillId="13" borderId="5" xfId="0" applyNumberFormat="1" applyFill="1" applyBorder="1"/>
    <xf numFmtId="165" fontId="0" fillId="13" borderId="6" xfId="0" applyNumberFormat="1" applyFill="1" applyBorder="1"/>
    <xf numFmtId="165" fontId="0" fillId="5" borderId="5" xfId="0" applyNumberFormat="1" applyFill="1" applyBorder="1"/>
    <xf numFmtId="165" fontId="0" fillId="5" borderId="6" xfId="0" applyNumberFormat="1" applyFill="1" applyBorder="1"/>
    <xf numFmtId="165" fontId="0" fillId="0" borderId="8" xfId="0" applyNumberFormat="1" applyBorder="1"/>
    <xf numFmtId="165" fontId="0" fillId="0" borderId="9" xfId="0" applyNumberFormat="1" applyBorder="1"/>
    <xf numFmtId="0" fontId="19" fillId="0" borderId="28" xfId="0" applyFont="1" applyBorder="1"/>
    <xf numFmtId="0" fontId="0" fillId="13" borderId="31" xfId="0" applyFill="1" applyBorder="1"/>
    <xf numFmtId="0" fontId="19" fillId="0" borderId="18" xfId="0" applyFont="1" applyBorder="1"/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165" fontId="0" fillId="19" borderId="5" xfId="2" applyNumberFormat="1" applyFont="1" applyFill="1" applyBorder="1"/>
    <xf numFmtId="165" fontId="0" fillId="19" borderId="10" xfId="2" applyNumberFormat="1" applyFont="1" applyFill="1" applyBorder="1"/>
    <xf numFmtId="0" fontId="34" fillId="30" borderId="69" xfId="0" applyFont="1" applyFill="1" applyBorder="1"/>
    <xf numFmtId="0" fontId="34" fillId="30" borderId="32" xfId="0" applyFont="1" applyFill="1" applyBorder="1"/>
    <xf numFmtId="164" fontId="0" fillId="29" borderId="5" xfId="1" applyNumberFormat="1" applyFont="1" applyFill="1" applyBorder="1"/>
    <xf numFmtId="164" fontId="0" fillId="29" borderId="1" xfId="1" applyNumberFormat="1" applyFont="1" applyFill="1" applyBorder="1"/>
    <xf numFmtId="10" fontId="0" fillId="5" borderId="5" xfId="1" applyNumberFormat="1" applyFont="1" applyFill="1" applyBorder="1"/>
    <xf numFmtId="0" fontId="34" fillId="19" borderId="17" xfId="0" applyFont="1" applyFill="1" applyBorder="1"/>
    <xf numFmtId="0" fontId="34" fillId="0" borderId="17" xfId="0" applyFont="1" applyBorder="1"/>
    <xf numFmtId="0" fontId="34" fillId="29" borderId="17" xfId="0" applyFont="1" applyFill="1" applyBorder="1"/>
    <xf numFmtId="165" fontId="0" fillId="29" borderId="1" xfId="2" applyNumberFormat="1" applyFont="1" applyFill="1" applyBorder="1"/>
    <xf numFmtId="165" fontId="0" fillId="5" borderId="1" xfId="2" applyNumberFormat="1" applyFont="1" applyFill="1" applyBorder="1"/>
    <xf numFmtId="165" fontId="0" fillId="29" borderId="6" xfId="2" applyNumberFormat="1" applyFont="1" applyFill="1" applyBorder="1"/>
    <xf numFmtId="165" fontId="0" fillId="5" borderId="6" xfId="2" applyNumberFormat="1" applyFont="1" applyFill="1" applyBorder="1"/>
    <xf numFmtId="165" fontId="0" fillId="19" borderId="25" xfId="0" applyNumberFormat="1" applyFill="1" applyBorder="1"/>
    <xf numFmtId="3" fontId="0" fillId="0" borderId="25" xfId="0" applyNumberFormat="1" applyBorder="1"/>
    <xf numFmtId="165" fontId="0" fillId="5" borderId="2" xfId="0" applyNumberFormat="1" applyFill="1" applyBorder="1"/>
    <xf numFmtId="165" fontId="0" fillId="5" borderId="3" xfId="0" applyNumberFormat="1" applyFill="1" applyBorder="1"/>
    <xf numFmtId="165" fontId="0" fillId="5" borderId="4" xfId="0" applyNumberFormat="1" applyFill="1" applyBorder="1"/>
    <xf numFmtId="165" fontId="0" fillId="5" borderId="24" xfId="0" applyNumberFormat="1" applyFill="1" applyBorder="1"/>
    <xf numFmtId="0" fontId="0" fillId="0" borderId="51" xfId="0" applyBorder="1" applyAlignment="1">
      <alignment horizontal="center" wrapText="1"/>
    </xf>
    <xf numFmtId="0" fontId="0" fillId="0" borderId="83" xfId="0" applyBorder="1" applyAlignment="1">
      <alignment horizontal="center" wrapText="1"/>
    </xf>
    <xf numFmtId="165" fontId="0" fillId="19" borderId="6" xfId="0" applyNumberFormat="1" applyFill="1" applyBorder="1"/>
    <xf numFmtId="165" fontId="0" fillId="5" borderId="23" xfId="0" applyNumberFormat="1" applyFill="1" applyBorder="1"/>
    <xf numFmtId="0" fontId="0" fillId="19" borderId="51" xfId="0" applyFill="1" applyBorder="1" applyAlignment="1">
      <alignment horizontal="center" wrapText="1"/>
    </xf>
    <xf numFmtId="10" fontId="0" fillId="5" borderId="1" xfId="1" applyNumberFormat="1" applyFont="1" applyFill="1" applyBorder="1"/>
    <xf numFmtId="164" fontId="0" fillId="5" borderId="2" xfId="1" applyNumberFormat="1" applyFont="1" applyFill="1" applyBorder="1"/>
    <xf numFmtId="164" fontId="0" fillId="5" borderId="3" xfId="1" applyNumberFormat="1" applyFont="1" applyFill="1" applyBorder="1"/>
    <xf numFmtId="10" fontId="0" fillId="5" borderId="6" xfId="1" applyNumberFormat="1" applyFont="1" applyFill="1" applyBorder="1"/>
    <xf numFmtId="165" fontId="0" fillId="30" borderId="32" xfId="2" applyNumberFormat="1" applyFont="1" applyFill="1" applyBorder="1"/>
    <xf numFmtId="0" fontId="0" fillId="2" borderId="51" xfId="0" applyFill="1" applyBorder="1" applyAlignment="1">
      <alignment horizontal="center" wrapText="1"/>
    </xf>
    <xf numFmtId="0" fontId="0" fillId="2" borderId="50" xfId="0" applyFill="1" applyBorder="1" applyAlignment="1">
      <alignment horizontal="center" wrapText="1"/>
    </xf>
    <xf numFmtId="0" fontId="34" fillId="31" borderId="18" xfId="0" applyFont="1" applyFill="1" applyBorder="1"/>
    <xf numFmtId="165" fontId="0" fillId="31" borderId="7" xfId="2" applyNumberFormat="1" applyFont="1" applyFill="1" applyBorder="1"/>
    <xf numFmtId="165" fontId="0" fillId="31" borderId="8" xfId="2" applyNumberFormat="1" applyFont="1" applyFill="1" applyBorder="1"/>
    <xf numFmtId="165" fontId="0" fillId="31" borderId="8" xfId="0" applyNumberFormat="1" applyFill="1" applyBorder="1"/>
    <xf numFmtId="165" fontId="0" fillId="31" borderId="9" xfId="2" applyNumberFormat="1" applyFont="1" applyFill="1" applyBorder="1"/>
    <xf numFmtId="165" fontId="0" fillId="31" borderId="46" xfId="2" applyNumberFormat="1" applyFont="1" applyFill="1" applyBorder="1"/>
    <xf numFmtId="164" fontId="0" fillId="31" borderId="7" xfId="1" applyNumberFormat="1" applyFont="1" applyFill="1" applyBorder="1"/>
    <xf numFmtId="164" fontId="0" fillId="31" borderId="8" xfId="1" applyNumberFormat="1" applyFont="1" applyFill="1" applyBorder="1"/>
    <xf numFmtId="0" fontId="34" fillId="13" borderId="17" xfId="0" applyFont="1" applyFill="1" applyBorder="1"/>
    <xf numFmtId="0" fontId="34" fillId="13" borderId="31" xfId="0" applyFont="1" applyFill="1" applyBorder="1"/>
    <xf numFmtId="0" fontId="0" fillId="19" borderId="67" xfId="0" applyFill="1" applyBorder="1" applyAlignment="1">
      <alignment horizontal="center" wrapText="1"/>
    </xf>
    <xf numFmtId="9" fontId="0" fillId="0" borderId="6" xfId="1" applyFont="1" applyBorder="1"/>
    <xf numFmtId="0" fontId="0" fillId="0" borderId="79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9" fontId="0" fillId="5" borderId="3" xfId="1" applyFont="1" applyFill="1" applyBorder="1"/>
    <xf numFmtId="9" fontId="0" fillId="5" borderId="4" xfId="1" applyFont="1" applyFill="1" applyBorder="1"/>
    <xf numFmtId="9" fontId="0" fillId="19" borderId="1" xfId="1" applyFont="1" applyFill="1" applyBorder="1"/>
    <xf numFmtId="9" fontId="0" fillId="19" borderId="6" xfId="1" applyFont="1" applyFill="1" applyBorder="1"/>
    <xf numFmtId="9" fontId="0" fillId="23" borderId="1" xfId="1" applyFont="1" applyFill="1" applyBorder="1"/>
    <xf numFmtId="9" fontId="0" fillId="23" borderId="6" xfId="1" applyFont="1" applyFill="1" applyBorder="1"/>
    <xf numFmtId="9" fontId="0" fillId="29" borderId="1" xfId="1" applyFont="1" applyFill="1" applyBorder="1"/>
    <xf numFmtId="9" fontId="0" fillId="29" borderId="6" xfId="1" applyFont="1" applyFill="1" applyBorder="1"/>
    <xf numFmtId="0" fontId="29" fillId="0" borderId="54" xfId="0" applyFont="1" applyBorder="1" applyAlignment="1">
      <alignment horizontal="center" wrapText="1"/>
    </xf>
    <xf numFmtId="10" fontId="0" fillId="29" borderId="1" xfId="1" applyNumberFormat="1" applyFont="1" applyFill="1" applyBorder="1"/>
    <xf numFmtId="10" fontId="0" fillId="29" borderId="6" xfId="1" applyNumberFormat="1" applyFont="1" applyFill="1" applyBorder="1"/>
    <xf numFmtId="165" fontId="0" fillId="0" borderId="0" xfId="0" applyNumberFormat="1"/>
    <xf numFmtId="0" fontId="35" fillId="32" borderId="10" xfId="0" applyFont="1" applyFill="1" applyBorder="1"/>
    <xf numFmtId="0" fontId="35" fillId="32" borderId="29" xfId="0" applyFont="1" applyFill="1" applyBorder="1"/>
    <xf numFmtId="0" fontId="36" fillId="32" borderId="25" xfId="0" applyFont="1" applyFill="1" applyBorder="1"/>
    <xf numFmtId="0" fontId="35" fillId="32" borderId="64" xfId="0" applyFont="1" applyFill="1" applyBorder="1" applyAlignment="1">
      <alignment vertical="center"/>
    </xf>
    <xf numFmtId="0" fontId="35" fillId="32" borderId="64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 indent="1"/>
    </xf>
    <xf numFmtId="166" fontId="27" fillId="0" borderId="1" xfId="0" applyNumberFormat="1" applyFont="1" applyBorder="1"/>
    <xf numFmtId="0" fontId="35" fillId="33" borderId="1" xfId="0" applyFont="1" applyFill="1" applyBorder="1" applyAlignment="1">
      <alignment horizontal="right"/>
    </xf>
    <xf numFmtId="165" fontId="35" fillId="33" borderId="1" xfId="0" applyNumberFormat="1" applyFont="1" applyFill="1" applyBorder="1" applyAlignment="1">
      <alignment horizontal="right"/>
    </xf>
    <xf numFmtId="164" fontId="0" fillId="31" borderId="9" xfId="1" applyNumberFormat="1" applyFont="1" applyFill="1" applyBorder="1"/>
    <xf numFmtId="0" fontId="34" fillId="18" borderId="22" xfId="0" applyFont="1" applyFill="1" applyBorder="1"/>
    <xf numFmtId="9" fontId="34" fillId="34" borderId="21" xfId="0" applyNumberFormat="1" applyFont="1" applyFill="1" applyBorder="1"/>
    <xf numFmtId="0" fontId="34" fillId="18" borderId="39" xfId="0" applyFont="1" applyFill="1" applyBorder="1"/>
    <xf numFmtId="9" fontId="34" fillId="34" borderId="54" xfId="0" applyNumberFormat="1" applyFont="1" applyFill="1" applyBorder="1"/>
    <xf numFmtId="7" fontId="0" fillId="0" borderId="0" xfId="0" applyNumberFormat="1"/>
    <xf numFmtId="7" fontId="0" fillId="0" borderId="40" xfId="0" applyNumberFormat="1" applyBorder="1"/>
    <xf numFmtId="0" fontId="0" fillId="0" borderId="10" xfId="0" applyBorder="1"/>
    <xf numFmtId="7" fontId="0" fillId="0" borderId="21" xfId="0" applyNumberFormat="1" applyBorder="1"/>
    <xf numFmtId="7" fontId="0" fillId="0" borderId="54" xfId="0" applyNumberFormat="1" applyBorder="1"/>
    <xf numFmtId="0" fontId="0" fillId="19" borderId="10" xfId="0" applyFill="1" applyBorder="1"/>
    <xf numFmtId="7" fontId="0" fillId="19" borderId="1" xfId="0" applyNumberFormat="1" applyFill="1" applyBorder="1"/>
    <xf numFmtId="7" fontId="0" fillId="19" borderId="29" xfId="0" applyNumberFormat="1" applyFill="1" applyBorder="1"/>
    <xf numFmtId="7" fontId="0" fillId="19" borderId="25" xfId="0" applyNumberFormat="1" applyFill="1" applyBorder="1"/>
    <xf numFmtId="5" fontId="0" fillId="30" borderId="52" xfId="2" applyNumberFormat="1" applyFont="1" applyFill="1" applyBorder="1"/>
    <xf numFmtId="165" fontId="0" fillId="30" borderId="69" xfId="0" applyNumberFormat="1" applyFill="1" applyBorder="1"/>
    <xf numFmtId="5" fontId="0" fillId="30" borderId="72" xfId="0" applyNumberFormat="1" applyFill="1" applyBorder="1"/>
    <xf numFmtId="3" fontId="0" fillId="0" borderId="84" xfId="0" applyNumberFormat="1" applyBorder="1"/>
    <xf numFmtId="5" fontId="0" fillId="0" borderId="65" xfId="0" applyNumberFormat="1" applyBorder="1"/>
    <xf numFmtId="0" fontId="0" fillId="0" borderId="65" xfId="0" applyBorder="1"/>
    <xf numFmtId="5" fontId="0" fillId="0" borderId="0" xfId="0" applyNumberFormat="1"/>
    <xf numFmtId="5" fontId="0" fillId="30" borderId="33" xfId="2" applyNumberFormat="1" applyFont="1" applyFill="1" applyBorder="1"/>
    <xf numFmtId="5" fontId="0" fillId="30" borderId="71" xfId="0" applyNumberFormat="1" applyFill="1" applyBorder="1"/>
    <xf numFmtId="0" fontId="34" fillId="5" borderId="28" xfId="0" applyFont="1" applyFill="1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84" xfId="0" applyBorder="1"/>
    <xf numFmtId="0" fontId="34" fillId="0" borderId="11" xfId="0" applyFont="1" applyBorder="1"/>
    <xf numFmtId="0" fontId="34" fillId="0" borderId="84" xfId="0" applyFont="1" applyBorder="1"/>
    <xf numFmtId="0" fontId="0" fillId="2" borderId="48" xfId="0" applyFill="1" applyBorder="1" applyAlignment="1">
      <alignment horizontal="center"/>
    </xf>
    <xf numFmtId="165" fontId="0" fillId="5" borderId="7" xfId="2" applyNumberFormat="1" applyFont="1" applyFill="1" applyBorder="1"/>
    <xf numFmtId="165" fontId="0" fillId="5" borderId="8" xfId="2" applyNumberFormat="1" applyFont="1" applyFill="1" applyBorder="1"/>
    <xf numFmtId="165" fontId="0" fillId="5" borderId="26" xfId="2" applyNumberFormat="1" applyFont="1" applyFill="1" applyBorder="1"/>
    <xf numFmtId="165" fontId="0" fillId="5" borderId="9" xfId="2" applyNumberFormat="1" applyFont="1" applyFill="1" applyBorder="1"/>
    <xf numFmtId="10" fontId="0" fillId="5" borderId="7" xfId="1" applyNumberFormat="1" applyFont="1" applyFill="1" applyBorder="1"/>
    <xf numFmtId="10" fontId="0" fillId="5" borderId="8" xfId="1" applyNumberFormat="1" applyFont="1" applyFill="1" applyBorder="1"/>
    <xf numFmtId="10" fontId="0" fillId="5" borderId="9" xfId="1" applyNumberFormat="1" applyFont="1" applyFill="1" applyBorder="1"/>
    <xf numFmtId="0" fontId="0" fillId="2" borderId="83" xfId="0" applyFill="1" applyBorder="1" applyAlignment="1">
      <alignment horizontal="center" wrapText="1"/>
    </xf>
    <xf numFmtId="165" fontId="0" fillId="19" borderId="6" xfId="2" applyNumberFormat="1" applyFont="1" applyFill="1" applyBorder="1"/>
    <xf numFmtId="3" fontId="0" fillId="0" borderId="6" xfId="0" applyNumberFormat="1" applyBorder="1"/>
    <xf numFmtId="0" fontId="0" fillId="19" borderId="5" xfId="0" applyFill="1" applyBorder="1"/>
    <xf numFmtId="0" fontId="0" fillId="19" borderId="82" xfId="0" applyFill="1" applyBorder="1" applyAlignment="1">
      <alignment horizontal="center" wrapText="1"/>
    </xf>
    <xf numFmtId="165" fontId="0" fillId="19" borderId="25" xfId="2" applyNumberFormat="1" applyFont="1" applyFill="1" applyBorder="1"/>
    <xf numFmtId="165" fontId="0" fillId="31" borderId="26" xfId="0" applyNumberFormat="1" applyFill="1" applyBorder="1"/>
    <xf numFmtId="0" fontId="0" fillId="2" borderId="85" xfId="0" applyFill="1" applyBorder="1" applyAlignment="1">
      <alignment horizontal="center" wrapText="1"/>
    </xf>
    <xf numFmtId="165" fontId="0" fillId="5" borderId="14" xfId="0" applyNumberFormat="1" applyFill="1" applyBorder="1"/>
    <xf numFmtId="165" fontId="0" fillId="19" borderId="15" xfId="2" applyNumberFormat="1" applyFont="1" applyFill="1" applyBorder="1"/>
    <xf numFmtId="3" fontId="0" fillId="0" borderId="15" xfId="0" applyNumberFormat="1" applyBorder="1"/>
    <xf numFmtId="165" fontId="0" fillId="0" borderId="15" xfId="2" applyNumberFormat="1" applyFont="1" applyFill="1" applyBorder="1"/>
    <xf numFmtId="165" fontId="0" fillId="23" borderId="15" xfId="2" applyNumberFormat="1" applyFont="1" applyFill="1" applyBorder="1"/>
    <xf numFmtId="165" fontId="0" fillId="31" borderId="16" xfId="2" applyNumberFormat="1" applyFont="1" applyFill="1" applyBorder="1"/>
    <xf numFmtId="165" fontId="0" fillId="29" borderId="15" xfId="2" applyNumberFormat="1" applyFont="1" applyFill="1" applyBorder="1"/>
    <xf numFmtId="165" fontId="0" fillId="5" borderId="15" xfId="2" applyNumberFormat="1" applyFont="1" applyFill="1" applyBorder="1"/>
    <xf numFmtId="165" fontId="0" fillId="5" borderId="16" xfId="2" applyNumberFormat="1" applyFont="1" applyFill="1" applyBorder="1"/>
    <xf numFmtId="0" fontId="0" fillId="2" borderId="67" xfId="0" applyFill="1" applyBorder="1" applyAlignment="1">
      <alignment horizontal="center" wrapText="1"/>
    </xf>
    <xf numFmtId="165" fontId="18" fillId="19" borderId="10" xfId="0" applyNumberFormat="1" applyFont="1" applyFill="1" applyBorder="1"/>
    <xf numFmtId="165" fontId="0" fillId="29" borderId="10" xfId="2" applyNumberFormat="1" applyFont="1" applyFill="1" applyBorder="1"/>
    <xf numFmtId="165" fontId="0" fillId="5" borderId="10" xfId="2" applyNumberFormat="1" applyFont="1" applyFill="1" applyBorder="1"/>
    <xf numFmtId="165" fontId="0" fillId="5" borderId="46" xfId="2" applyNumberFormat="1" applyFont="1" applyFill="1" applyBorder="1"/>
    <xf numFmtId="0" fontId="0" fillId="0" borderId="50" xfId="0" applyBorder="1" applyAlignment="1">
      <alignment horizontal="center" wrapText="1"/>
    </xf>
    <xf numFmtId="165" fontId="0" fillId="0" borderId="5" xfId="0" applyNumberFormat="1" applyBorder="1"/>
    <xf numFmtId="165" fontId="0" fillId="35" borderId="34" xfId="2" applyNumberFormat="1" applyFont="1" applyFill="1" applyBorder="1"/>
    <xf numFmtId="165" fontId="0" fillId="35" borderId="35" xfId="2" applyNumberFormat="1" applyFont="1" applyFill="1" applyBorder="1"/>
    <xf numFmtId="165" fontId="0" fillId="35" borderId="49" xfId="2" applyNumberFormat="1" applyFont="1" applyFill="1" applyBorder="1"/>
    <xf numFmtId="165" fontId="0" fillId="35" borderId="36" xfId="2" applyNumberFormat="1" applyFont="1" applyFill="1" applyBorder="1"/>
    <xf numFmtId="165" fontId="0" fillId="35" borderId="32" xfId="2" applyNumberFormat="1" applyFont="1" applyFill="1" applyBorder="1"/>
    <xf numFmtId="164" fontId="0" fillId="35" borderId="34" xfId="1" applyNumberFormat="1" applyFont="1" applyFill="1" applyBorder="1"/>
    <xf numFmtId="164" fontId="0" fillId="35" borderId="35" xfId="1" applyNumberFormat="1" applyFont="1" applyFill="1" applyBorder="1"/>
    <xf numFmtId="164" fontId="29" fillId="35" borderId="36" xfId="1" applyNumberFormat="1" applyFont="1" applyFill="1" applyBorder="1"/>
    <xf numFmtId="164" fontId="0" fillId="35" borderId="36" xfId="1" applyNumberFormat="1" applyFont="1" applyFill="1" applyBorder="1"/>
    <xf numFmtId="165" fontId="0" fillId="29" borderId="5" xfId="2" applyNumberFormat="1" applyFont="1" applyFill="1" applyBorder="1" applyAlignment="1">
      <alignment horizontal="left"/>
    </xf>
    <xf numFmtId="165" fontId="0" fillId="23" borderId="5" xfId="2" applyNumberFormat="1" applyFont="1" applyFill="1" applyBorder="1" applyAlignment="1"/>
    <xf numFmtId="0" fontId="34" fillId="29" borderId="17" xfId="0" applyFont="1" applyFill="1" applyBorder="1" applyAlignment="1">
      <alignment horizontal="left"/>
    </xf>
    <xf numFmtId="165" fontId="0" fillId="35" borderId="34" xfId="0" applyNumberFormat="1" applyFill="1" applyBorder="1"/>
    <xf numFmtId="165" fontId="0" fillId="35" borderId="62" xfId="0" applyNumberFormat="1" applyFill="1" applyBorder="1"/>
    <xf numFmtId="165" fontId="0" fillId="35" borderId="35" xfId="0" applyNumberFormat="1" applyFill="1" applyBorder="1"/>
    <xf numFmtId="165" fontId="0" fillId="35" borderId="49" xfId="0" applyNumberFormat="1" applyFill="1" applyBorder="1"/>
    <xf numFmtId="165" fontId="0" fillId="35" borderId="36" xfId="0" applyNumberFormat="1" applyFill="1" applyBorder="1"/>
    <xf numFmtId="165" fontId="0" fillId="35" borderId="71" xfId="0" applyNumberFormat="1" applyFill="1" applyBorder="1"/>
    <xf numFmtId="10" fontId="0" fillId="35" borderId="34" xfId="1" applyNumberFormat="1" applyFont="1" applyFill="1" applyBorder="1"/>
    <xf numFmtId="10" fontId="0" fillId="35" borderId="35" xfId="1" applyNumberFormat="1" applyFont="1" applyFill="1" applyBorder="1"/>
    <xf numFmtId="10" fontId="29" fillId="35" borderId="36" xfId="1" applyNumberFormat="1" applyFont="1" applyFill="1" applyBorder="1"/>
    <xf numFmtId="10" fontId="0" fillId="35" borderId="36" xfId="1" applyNumberFormat="1" applyFont="1" applyFill="1" applyBorder="1"/>
    <xf numFmtId="0" fontId="0" fillId="19" borderId="83" xfId="0" applyFill="1" applyBorder="1" applyAlignment="1">
      <alignment horizontal="center" wrapText="1"/>
    </xf>
    <xf numFmtId="165" fontId="0" fillId="31" borderId="9" xfId="0" applyNumberFormat="1" applyFill="1" applyBorder="1"/>
    <xf numFmtId="0" fontId="0" fillId="36" borderId="31" xfId="0" applyFill="1" applyBorder="1"/>
    <xf numFmtId="165" fontId="0" fillId="36" borderId="20" xfId="0" applyNumberFormat="1" applyFill="1" applyBorder="1"/>
    <xf numFmtId="165" fontId="0" fillId="36" borderId="21" xfId="0" applyNumberFormat="1" applyFill="1" applyBorder="1"/>
    <xf numFmtId="165" fontId="0" fillId="36" borderId="19" xfId="0" applyNumberFormat="1" applyFill="1" applyBorder="1"/>
    <xf numFmtId="9" fontId="0" fillId="36" borderId="21" xfId="1" applyFont="1" applyFill="1" applyBorder="1"/>
    <xf numFmtId="164" fontId="0" fillId="36" borderId="21" xfId="1" applyNumberFormat="1" applyFont="1" applyFill="1" applyBorder="1"/>
    <xf numFmtId="164" fontId="0" fillId="36" borderId="19" xfId="1" applyNumberFormat="1" applyFont="1" applyFill="1" applyBorder="1"/>
    <xf numFmtId="9" fontId="0" fillId="0" borderId="26" xfId="1" applyFont="1" applyBorder="1"/>
    <xf numFmtId="0" fontId="19" fillId="0" borderId="2" xfId="0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9" fontId="0" fillId="29" borderId="37" xfId="1" applyFont="1" applyFill="1" applyBorder="1"/>
    <xf numFmtId="9" fontId="0" fillId="13" borderId="37" xfId="1" applyFont="1" applyFill="1" applyBorder="1"/>
    <xf numFmtId="9" fontId="0" fillId="5" borderId="37" xfId="1" applyFont="1" applyFill="1" applyBorder="1"/>
    <xf numFmtId="9" fontId="0" fillId="36" borderId="37" xfId="1" applyFont="1" applyFill="1" applyBorder="1"/>
    <xf numFmtId="165" fontId="0" fillId="36" borderId="5" xfId="2" applyNumberFormat="1" applyFont="1" applyFill="1" applyBorder="1"/>
    <xf numFmtId="0" fontId="19" fillId="0" borderId="23" xfId="0" applyFont="1" applyBorder="1" applyAlignment="1">
      <alignment horizontal="center" wrapText="1"/>
    </xf>
    <xf numFmtId="165" fontId="0" fillId="29" borderId="10" xfId="0" applyNumberFormat="1" applyFill="1" applyBorder="1"/>
    <xf numFmtId="165" fontId="0" fillId="13" borderId="10" xfId="0" applyNumberFormat="1" applyFill="1" applyBorder="1"/>
    <xf numFmtId="165" fontId="0" fillId="5" borderId="10" xfId="0" applyNumberFormat="1" applyFill="1" applyBorder="1"/>
    <xf numFmtId="165" fontId="0" fillId="36" borderId="22" xfId="0" applyNumberFormat="1" applyFill="1" applyBorder="1"/>
    <xf numFmtId="165" fontId="0" fillId="36" borderId="1" xfId="2" applyNumberFormat="1" applyFont="1" applyFill="1" applyBorder="1"/>
    <xf numFmtId="165" fontId="0" fillId="0" borderId="46" xfId="0" applyNumberFormat="1" applyBorder="1"/>
    <xf numFmtId="165" fontId="0" fillId="0" borderId="6" xfId="2" applyNumberFormat="1" applyFont="1" applyBorder="1"/>
    <xf numFmtId="165" fontId="0" fillId="13" borderId="6" xfId="2" applyNumberFormat="1" applyFont="1" applyFill="1" applyBorder="1"/>
    <xf numFmtId="165" fontId="0" fillId="36" borderId="6" xfId="2" applyNumberFormat="1" applyFont="1" applyFill="1" applyBorder="1"/>
    <xf numFmtId="165" fontId="0" fillId="23" borderId="17" xfId="2" applyNumberFormat="1" applyFont="1" applyFill="1" applyBorder="1" applyAlignment="1"/>
    <xf numFmtId="165" fontId="0" fillId="23" borderId="17" xfId="2" applyNumberFormat="1" applyFont="1" applyFill="1" applyBorder="1"/>
    <xf numFmtId="165" fontId="0" fillId="5" borderId="17" xfId="2" applyNumberFormat="1" applyFont="1" applyFill="1" applyBorder="1"/>
    <xf numFmtId="165" fontId="0" fillId="5" borderId="18" xfId="2" applyNumberFormat="1" applyFont="1" applyFill="1" applyBorder="1"/>
    <xf numFmtId="165" fontId="18" fillId="19" borderId="6" xfId="0" applyNumberFormat="1" applyFont="1" applyFill="1" applyBorder="1"/>
    <xf numFmtId="165" fontId="0" fillId="5" borderId="12" xfId="0" applyNumberFormat="1" applyFill="1" applyBorder="1"/>
    <xf numFmtId="165" fontId="0" fillId="19" borderId="29" xfId="2" applyNumberFormat="1" applyFont="1" applyFill="1" applyBorder="1"/>
    <xf numFmtId="3" fontId="0" fillId="0" borderId="29" xfId="0" applyNumberFormat="1" applyBorder="1"/>
    <xf numFmtId="165" fontId="0" fillId="0" borderId="29" xfId="2" applyNumberFormat="1" applyFont="1" applyFill="1" applyBorder="1"/>
    <xf numFmtId="165" fontId="0" fillId="23" borderId="29" xfId="2" applyNumberFormat="1" applyFont="1" applyFill="1" applyBorder="1"/>
    <xf numFmtId="165" fontId="0" fillId="31" borderId="38" xfId="2" applyNumberFormat="1" applyFont="1" applyFill="1" applyBorder="1"/>
    <xf numFmtId="165" fontId="0" fillId="5" borderId="29" xfId="2" applyNumberFormat="1" applyFont="1" applyFill="1" applyBorder="1"/>
    <xf numFmtId="165" fontId="0" fillId="5" borderId="38" xfId="2" applyNumberFormat="1" applyFont="1" applyFill="1" applyBorder="1"/>
    <xf numFmtId="165" fontId="0" fillId="29" borderId="29" xfId="2" applyNumberFormat="1" applyFont="1" applyFill="1" applyBorder="1"/>
    <xf numFmtId="0" fontId="0" fillId="0" borderId="82" xfId="0" applyBorder="1" applyAlignment="1">
      <alignment horizontal="center" wrapText="1"/>
    </xf>
    <xf numFmtId="165" fontId="0" fillId="29" borderId="20" xfId="2" applyNumberFormat="1" applyFont="1" applyFill="1" applyBorder="1"/>
    <xf numFmtId="165" fontId="0" fillId="29" borderId="21" xfId="2" applyNumberFormat="1" applyFont="1" applyFill="1" applyBorder="1"/>
    <xf numFmtId="165" fontId="0" fillId="29" borderId="19" xfId="2" applyNumberFormat="1" applyFont="1" applyFill="1" applyBorder="1"/>
    <xf numFmtId="165" fontId="0" fillId="29" borderId="22" xfId="2" applyNumberFormat="1" applyFont="1" applyFill="1" applyBorder="1"/>
    <xf numFmtId="165" fontId="0" fillId="29" borderId="45" xfId="2" applyNumberFormat="1" applyFont="1" applyFill="1" applyBorder="1"/>
    <xf numFmtId="165" fontId="0" fillId="29" borderId="31" xfId="2" applyNumberFormat="1" applyFont="1" applyFill="1" applyBorder="1" applyAlignment="1">
      <alignment horizontal="left"/>
    </xf>
    <xf numFmtId="165" fontId="0" fillId="35" borderId="8" xfId="0" applyNumberFormat="1" applyFill="1" applyBorder="1"/>
    <xf numFmtId="10" fontId="0" fillId="35" borderId="8" xfId="1" applyNumberFormat="1" applyFont="1" applyFill="1" applyBorder="1"/>
    <xf numFmtId="10" fontId="0" fillId="35" borderId="9" xfId="1" applyNumberFormat="1" applyFont="1" applyFill="1" applyBorder="1"/>
    <xf numFmtId="165" fontId="0" fillId="35" borderId="7" xfId="0" applyNumberFormat="1" applyFill="1" applyBorder="1"/>
    <xf numFmtId="165" fontId="0" fillId="35" borderId="9" xfId="0" applyNumberFormat="1" applyFill="1" applyBorder="1"/>
    <xf numFmtId="165" fontId="0" fillId="35" borderId="38" xfId="0" applyNumberFormat="1" applyFill="1" applyBorder="1"/>
    <xf numFmtId="10" fontId="0" fillId="35" borderId="26" xfId="1" applyNumberFormat="1" applyFont="1" applyFill="1" applyBorder="1"/>
    <xf numFmtId="10" fontId="0" fillId="23" borderId="1" xfId="1" applyNumberFormat="1" applyFont="1" applyFill="1" applyBorder="1"/>
    <xf numFmtId="10" fontId="0" fillId="23" borderId="6" xfId="1" applyNumberFormat="1" applyFont="1" applyFill="1" applyBorder="1"/>
    <xf numFmtId="164" fontId="0" fillId="35" borderId="42" xfId="1" applyNumberFormat="1" applyFont="1" applyFill="1" applyBorder="1"/>
    <xf numFmtId="164" fontId="0" fillId="35" borderId="64" xfId="1" applyNumberFormat="1" applyFont="1" applyFill="1" applyBorder="1"/>
    <xf numFmtId="164" fontId="29" fillId="35" borderId="64" xfId="1" applyNumberFormat="1" applyFont="1" applyFill="1" applyBorder="1"/>
    <xf numFmtId="164" fontId="0" fillId="35" borderId="57" xfId="1" applyNumberFormat="1" applyFont="1" applyFill="1" applyBorder="1"/>
    <xf numFmtId="10" fontId="0" fillId="23" borderId="5" xfId="1" applyNumberFormat="1" applyFont="1" applyFill="1" applyBorder="1"/>
    <xf numFmtId="164" fontId="0" fillId="29" borderId="7" xfId="1" applyNumberFormat="1" applyFont="1" applyFill="1" applyBorder="1"/>
    <xf numFmtId="164" fontId="0" fillId="29" borderId="8" xfId="1" applyNumberFormat="1" applyFont="1" applyFill="1" applyBorder="1"/>
    <xf numFmtId="9" fontId="0" fillId="29" borderId="8" xfId="1" applyFont="1" applyFill="1" applyBorder="1"/>
    <xf numFmtId="9" fontId="0" fillId="29" borderId="9" xfId="1" applyFont="1" applyFill="1" applyBorder="1"/>
    <xf numFmtId="164" fontId="0" fillId="19" borderId="6" xfId="1" applyNumberFormat="1" applyFont="1" applyFill="1" applyBorder="1"/>
    <xf numFmtId="164" fontId="0" fillId="0" borderId="6" xfId="1" applyNumberFormat="1" applyFont="1" applyBorder="1"/>
    <xf numFmtId="165" fontId="0" fillId="5" borderId="66" xfId="2" applyNumberFormat="1" applyFont="1" applyFill="1" applyBorder="1"/>
    <xf numFmtId="165" fontId="0" fillId="5" borderId="64" xfId="2" applyNumberFormat="1" applyFont="1" applyFill="1" applyBorder="1"/>
    <xf numFmtId="165" fontId="0" fillId="5" borderId="57" xfId="2" applyNumberFormat="1" applyFont="1" applyFill="1" applyBorder="1"/>
    <xf numFmtId="165" fontId="0" fillId="5" borderId="42" xfId="2" applyNumberFormat="1" applyFont="1" applyFill="1" applyBorder="1"/>
    <xf numFmtId="165" fontId="0" fillId="5" borderId="41" xfId="2" applyNumberFormat="1" applyFont="1" applyFill="1" applyBorder="1"/>
    <xf numFmtId="165" fontId="0" fillId="31" borderId="7" xfId="0" applyNumberFormat="1" applyFill="1" applyBorder="1"/>
    <xf numFmtId="10" fontId="0" fillId="5" borderId="66" xfId="1" applyNumberFormat="1" applyFont="1" applyFill="1" applyBorder="1"/>
    <xf numFmtId="10" fontId="0" fillId="5" borderId="64" xfId="1" applyNumberFormat="1" applyFont="1" applyFill="1" applyBorder="1"/>
    <xf numFmtId="10" fontId="0" fillId="5" borderId="57" xfId="1" applyNumberFormat="1" applyFont="1" applyFill="1" applyBorder="1"/>
    <xf numFmtId="0" fontId="4" fillId="0" borderId="0" xfId="0" applyFont="1"/>
    <xf numFmtId="0" fontId="0" fillId="0" borderId="68" xfId="0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0" fontId="0" fillId="0" borderId="72" xfId="0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19" xfId="0" applyNumberFormat="1" applyBorder="1"/>
    <xf numFmtId="165" fontId="0" fillId="0" borderId="34" xfId="0" applyNumberFormat="1" applyBorder="1"/>
    <xf numFmtId="165" fontId="0" fillId="0" borderId="35" xfId="0" applyNumberFormat="1" applyBorder="1"/>
    <xf numFmtId="165" fontId="0" fillId="35" borderId="63" xfId="0" applyNumberFormat="1" applyFill="1" applyBorder="1"/>
    <xf numFmtId="165" fontId="0" fillId="35" borderId="69" xfId="0" applyNumberFormat="1" applyFill="1" applyBorder="1"/>
    <xf numFmtId="165" fontId="0" fillId="0" borderId="70" xfId="0" applyNumberFormat="1" applyBorder="1"/>
    <xf numFmtId="10" fontId="29" fillId="35" borderId="8" xfId="1" applyNumberFormat="1" applyFont="1" applyFill="1" applyBorder="1"/>
    <xf numFmtId="165" fontId="0" fillId="31" borderId="26" xfId="2" applyNumberFormat="1" applyFont="1" applyFill="1" applyBorder="1"/>
    <xf numFmtId="165" fontId="0" fillId="35" borderId="82" xfId="2" applyNumberFormat="1" applyFont="1" applyFill="1" applyBorder="1"/>
    <xf numFmtId="0" fontId="0" fillId="19" borderId="25" xfId="0" applyFill="1" applyBorder="1"/>
    <xf numFmtId="0" fontId="0" fillId="0" borderId="25" xfId="0" applyBorder="1"/>
    <xf numFmtId="9" fontId="0" fillId="0" borderId="1" xfId="1" applyFont="1" applyFill="1" applyBorder="1"/>
    <xf numFmtId="9" fontId="0" fillId="0" borderId="6" xfId="1" applyFont="1" applyFill="1" applyBorder="1"/>
    <xf numFmtId="165" fontId="0" fillId="37" borderId="5" xfId="2" applyNumberFormat="1" applyFont="1" applyFill="1" applyBorder="1"/>
    <xf numFmtId="165" fontId="0" fillId="37" borderId="1" xfId="2" applyNumberFormat="1" applyFont="1" applyFill="1" applyBorder="1"/>
    <xf numFmtId="165" fontId="0" fillId="37" borderId="6" xfId="2" applyNumberFormat="1" applyFont="1" applyFill="1" applyBorder="1"/>
    <xf numFmtId="165" fontId="0" fillId="37" borderId="25" xfId="2" applyNumberFormat="1" applyFont="1" applyFill="1" applyBorder="1"/>
    <xf numFmtId="165" fontId="0" fillId="37" borderId="29" xfId="2" applyNumberFormat="1" applyFont="1" applyFill="1" applyBorder="1"/>
    <xf numFmtId="164" fontId="0" fillId="37" borderId="5" xfId="1" applyNumberFormat="1" applyFont="1" applyFill="1" applyBorder="1"/>
    <xf numFmtId="164" fontId="0" fillId="37" borderId="1" xfId="1" applyNumberFormat="1" applyFont="1" applyFill="1" applyBorder="1"/>
    <xf numFmtId="9" fontId="0" fillId="37" borderId="1" xfId="1" applyFont="1" applyFill="1" applyBorder="1"/>
    <xf numFmtId="9" fontId="0" fillId="37" borderId="6" xfId="1" applyFont="1" applyFill="1" applyBorder="1"/>
    <xf numFmtId="0" fontId="19" fillId="0" borderId="0" xfId="0" applyFont="1" applyAlignment="1">
      <alignment horizontal="center"/>
    </xf>
    <xf numFmtId="0" fontId="0" fillId="0" borderId="55" xfId="0" applyBorder="1" applyAlignment="1">
      <alignment vertical="center" wrapText="1"/>
    </xf>
    <xf numFmtId="0" fontId="19" fillId="0" borderId="41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19" fillId="0" borderId="39" xfId="0" applyNumberFormat="1" applyFont="1" applyBorder="1"/>
    <xf numFmtId="165" fontId="19" fillId="0" borderId="0" xfId="0" applyNumberFormat="1" applyFont="1"/>
    <xf numFmtId="165" fontId="19" fillId="0" borderId="40" xfId="0" applyNumberFormat="1" applyFont="1" applyBorder="1"/>
    <xf numFmtId="165" fontId="0" fillId="0" borderId="39" xfId="0" applyNumberFormat="1" applyBorder="1"/>
    <xf numFmtId="165" fontId="0" fillId="0" borderId="40" xfId="0" applyNumberFormat="1" applyBorder="1"/>
    <xf numFmtId="165" fontId="19" fillId="0" borderId="41" xfId="0" applyNumberFormat="1" applyFont="1" applyBorder="1"/>
    <xf numFmtId="165" fontId="19" fillId="0" borderId="44" xfId="0" applyNumberFormat="1" applyFont="1" applyBorder="1"/>
    <xf numFmtId="165" fontId="19" fillId="0" borderId="54" xfId="0" applyNumberFormat="1" applyFont="1" applyBorder="1"/>
    <xf numFmtId="0" fontId="19" fillId="5" borderId="0" xfId="0" applyFont="1" applyFill="1" applyAlignment="1">
      <alignment horizontal="center"/>
    </xf>
    <xf numFmtId="3" fontId="0" fillId="0" borderId="0" xfId="0" applyNumberFormat="1"/>
    <xf numFmtId="37" fontId="0" fillId="0" borderId="0" xfId="0" applyNumberFormat="1"/>
    <xf numFmtId="165" fontId="19" fillId="13" borderId="64" xfId="0" applyNumberFormat="1" applyFont="1" applyFill="1" applyBorder="1"/>
    <xf numFmtId="165" fontId="19" fillId="13" borderId="42" xfId="0" applyNumberFormat="1" applyFont="1" applyFill="1" applyBorder="1"/>
    <xf numFmtId="173" fontId="0" fillId="0" borderId="39" xfId="0" applyNumberFormat="1" applyBorder="1"/>
    <xf numFmtId="9" fontId="0" fillId="0" borderId="39" xfId="1" applyFont="1" applyFill="1" applyBorder="1"/>
    <xf numFmtId="9" fontId="0" fillId="4" borderId="39" xfId="1" applyFont="1" applyFill="1" applyBorder="1"/>
    <xf numFmtId="9" fontId="0" fillId="0" borderId="10" xfId="1" applyFont="1" applyFill="1" applyBorder="1"/>
    <xf numFmtId="9" fontId="0" fillId="0" borderId="29" xfId="1" applyFont="1" applyFill="1" applyBorder="1"/>
    <xf numFmtId="9" fontId="0" fillId="0" borderId="25" xfId="1" applyFont="1" applyFill="1" applyBorder="1"/>
    <xf numFmtId="165" fontId="0" fillId="5" borderId="39" xfId="2" applyNumberFormat="1" applyFont="1" applyFill="1" applyBorder="1"/>
    <xf numFmtId="165" fontId="0" fillId="24" borderId="39" xfId="2" applyNumberFormat="1" applyFont="1" applyFill="1" applyBorder="1"/>
    <xf numFmtId="165" fontId="0" fillId="24" borderId="0" xfId="2" applyNumberFormat="1" applyFont="1" applyFill="1" applyBorder="1"/>
    <xf numFmtId="165" fontId="0" fillId="24" borderId="40" xfId="2" applyNumberFormat="1" applyFont="1" applyFill="1" applyBorder="1"/>
    <xf numFmtId="165" fontId="0" fillId="0" borderId="39" xfId="2" applyNumberFormat="1" applyFont="1" applyFill="1" applyBorder="1"/>
    <xf numFmtId="174" fontId="0" fillId="0" borderId="10" xfId="0" applyNumberFormat="1" applyBorder="1"/>
    <xf numFmtId="174" fontId="0" fillId="0" borderId="29" xfId="0" applyNumberFormat="1" applyBorder="1"/>
    <xf numFmtId="174" fontId="0" fillId="0" borderId="25" xfId="0" applyNumberFormat="1" applyBorder="1"/>
    <xf numFmtId="174" fontId="0" fillId="0" borderId="39" xfId="0" applyNumberFormat="1" applyBorder="1"/>
    <xf numFmtId="174" fontId="0" fillId="0" borderId="40" xfId="0" applyNumberFormat="1" applyBorder="1"/>
    <xf numFmtId="165" fontId="19" fillId="19" borderId="27" xfId="0" applyNumberFormat="1" applyFont="1" applyFill="1" applyBorder="1"/>
    <xf numFmtId="165" fontId="19" fillId="19" borderId="69" xfId="0" applyNumberFormat="1" applyFont="1" applyFill="1" applyBorder="1"/>
    <xf numFmtId="0" fontId="0" fillId="0" borderId="29" xfId="0" applyBorder="1"/>
    <xf numFmtId="165" fontId="0" fillId="35" borderId="2" xfId="0" applyNumberFormat="1" applyFill="1" applyBorder="1"/>
    <xf numFmtId="165" fontId="0" fillId="35" borderId="3" xfId="0" applyNumberFormat="1" applyFill="1" applyBorder="1"/>
    <xf numFmtId="165" fontId="0" fillId="35" borderId="23" xfId="0" applyNumberFormat="1" applyFill="1" applyBorder="1"/>
    <xf numFmtId="165" fontId="0" fillId="35" borderId="46" xfId="0" applyNumberFormat="1" applyFill="1" applyBorder="1"/>
    <xf numFmtId="165" fontId="0" fillId="29" borderId="37" xfId="2" applyNumberFormat="1" applyFont="1" applyFill="1" applyBorder="1"/>
    <xf numFmtId="165" fontId="0" fillId="35" borderId="48" xfId="2" applyNumberFormat="1" applyFont="1" applyFill="1" applyBorder="1"/>
    <xf numFmtId="165" fontId="0" fillId="35" borderId="68" xfId="2" applyNumberFormat="1" applyFont="1" applyFill="1" applyBorder="1"/>
    <xf numFmtId="165" fontId="0" fillId="35" borderId="50" xfId="2" applyNumberFormat="1" applyFont="1" applyFill="1" applyBorder="1"/>
    <xf numFmtId="0" fontId="0" fillId="0" borderId="62" xfId="0" applyBorder="1" applyAlignment="1">
      <alignment vertical="center" wrapText="1"/>
    </xf>
    <xf numFmtId="9" fontId="0" fillId="0" borderId="0" xfId="1" applyFont="1" applyBorder="1"/>
    <xf numFmtId="3" fontId="0" fillId="0" borderId="54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0" fontId="0" fillId="37" borderId="22" xfId="0" applyFill="1" applyBorder="1"/>
    <xf numFmtId="0" fontId="0" fillId="18" borderId="22" xfId="0" applyFill="1" applyBorder="1" applyAlignment="1">
      <alignment horizontal="center" wrapText="1"/>
    </xf>
    <xf numFmtId="0" fontId="0" fillId="18" borderId="45" xfId="0" applyFill="1" applyBorder="1" applyAlignment="1">
      <alignment horizontal="center" wrapText="1"/>
    </xf>
    <xf numFmtId="0" fontId="0" fillId="18" borderId="37" xfId="0" applyFill="1" applyBorder="1" applyAlignment="1">
      <alignment horizontal="right" wrapText="1"/>
    </xf>
    <xf numFmtId="0" fontId="8" fillId="18" borderId="22" xfId="0" applyFont="1" applyFill="1" applyBorder="1" applyAlignment="1">
      <alignment vertical="center"/>
    </xf>
    <xf numFmtId="0" fontId="8" fillId="18" borderId="45" xfId="0" applyFont="1" applyFill="1" applyBorder="1" applyAlignment="1">
      <alignment vertical="center" wrapText="1"/>
    </xf>
    <xf numFmtId="0" fontId="8" fillId="18" borderId="45" xfId="0" applyFont="1" applyFill="1" applyBorder="1" applyAlignment="1">
      <alignment horizontal="center" vertical="center" wrapText="1"/>
    </xf>
    <xf numFmtId="0" fontId="19" fillId="18" borderId="37" xfId="0" applyFont="1" applyFill="1" applyBorder="1" applyAlignment="1">
      <alignment vertical="center" wrapText="1"/>
    </xf>
    <xf numFmtId="0" fontId="0" fillId="0" borderId="45" xfId="0" applyBorder="1"/>
    <xf numFmtId="0" fontId="0" fillId="0" borderId="37" xfId="0" applyBorder="1"/>
    <xf numFmtId="0" fontId="0" fillId="37" borderId="39" xfId="0" applyFill="1" applyBorder="1"/>
    <xf numFmtId="0" fontId="0" fillId="18" borderId="39" xfId="0" applyFill="1" applyBorder="1"/>
    <xf numFmtId="0" fontId="0" fillId="18" borderId="0" xfId="0" applyFill="1"/>
    <xf numFmtId="0" fontId="0" fillId="18" borderId="0" xfId="0" applyFill="1" applyAlignment="1">
      <alignment horizontal="right"/>
    </xf>
    <xf numFmtId="39" fontId="37" fillId="18" borderId="40" xfId="0" applyNumberFormat="1" applyFont="1" applyFill="1" applyBorder="1"/>
    <xf numFmtId="0" fontId="38" fillId="18" borderId="40" xfId="0" applyFont="1" applyFill="1" applyBorder="1"/>
    <xf numFmtId="0" fontId="8" fillId="18" borderId="39" xfId="0" applyFont="1" applyFill="1" applyBorder="1" applyAlignment="1">
      <alignment vertical="center"/>
    </xf>
    <xf numFmtId="0" fontId="18" fillId="18" borderId="0" xfId="0" applyFont="1" applyFill="1" applyAlignment="1">
      <alignment horizontal="right" vertical="center"/>
    </xf>
    <xf numFmtId="0" fontId="0" fillId="18" borderId="40" xfId="0" applyFill="1" applyBorder="1"/>
    <xf numFmtId="9" fontId="0" fillId="0" borderId="44" xfId="0" applyNumberFormat="1" applyBorder="1"/>
    <xf numFmtId="166" fontId="0" fillId="0" borderId="42" xfId="2" applyNumberFormat="1" applyFont="1" applyFill="1" applyBorder="1" applyAlignment="1"/>
    <xf numFmtId="0" fontId="18" fillId="18" borderId="22" xfId="0" applyFont="1" applyFill="1" applyBorder="1" applyAlignment="1">
      <alignment vertical="center"/>
    </xf>
    <xf numFmtId="0" fontId="18" fillId="18" borderId="45" xfId="0" applyFont="1" applyFill="1" applyBorder="1" applyAlignment="1">
      <alignment horizontal="right" vertical="center"/>
    </xf>
    <xf numFmtId="0" fontId="18" fillId="18" borderId="37" xfId="0" applyFont="1" applyFill="1" applyBorder="1" applyAlignment="1">
      <alignment horizontal="right" vertical="center"/>
    </xf>
    <xf numFmtId="0" fontId="0" fillId="0" borderId="39" xfId="0" applyBorder="1" applyAlignment="1">
      <alignment horizontal="right"/>
    </xf>
    <xf numFmtId="9" fontId="0" fillId="30" borderId="0" xfId="1" applyFont="1" applyFill="1" applyBorder="1" applyAlignment="1"/>
    <xf numFmtId="9" fontId="0" fillId="0" borderId="40" xfId="1" applyFont="1" applyFill="1" applyBorder="1" applyAlignment="1"/>
    <xf numFmtId="0" fontId="18" fillId="18" borderId="39" xfId="0" applyFont="1" applyFill="1" applyBorder="1" applyAlignment="1">
      <alignment vertical="center"/>
    </xf>
    <xf numFmtId="0" fontId="18" fillId="18" borderId="40" xfId="0" applyFont="1" applyFill="1" applyBorder="1" applyAlignment="1">
      <alignment horizontal="right" vertical="center"/>
    </xf>
    <xf numFmtId="9" fontId="0" fillId="0" borderId="40" xfId="1" applyFont="1" applyBorder="1"/>
    <xf numFmtId="164" fontId="0" fillId="0" borderId="42" xfId="0" applyNumberFormat="1" applyBorder="1"/>
    <xf numFmtId="4" fontId="0" fillId="18" borderId="39" xfId="0" applyNumberFormat="1" applyFill="1" applyBorder="1"/>
    <xf numFmtId="2" fontId="0" fillId="18" borderId="0" xfId="0" applyNumberFormat="1" applyFill="1"/>
    <xf numFmtId="0" fontId="18" fillId="18" borderId="41" xfId="0" applyFont="1" applyFill="1" applyBorder="1" applyAlignment="1">
      <alignment vertical="center"/>
    </xf>
    <xf numFmtId="0" fontId="18" fillId="18" borderId="44" xfId="0" applyFont="1" applyFill="1" applyBorder="1" applyAlignment="1">
      <alignment horizontal="right" vertical="center"/>
    </xf>
    <xf numFmtId="0" fontId="18" fillId="18" borderId="42" xfId="0" applyFont="1" applyFill="1" applyBorder="1" applyAlignment="1">
      <alignment horizontal="right" vertical="center"/>
    </xf>
    <xf numFmtId="0" fontId="0" fillId="18" borderId="39" xfId="0" applyFill="1" applyBorder="1" applyAlignment="1">
      <alignment horizontal="right"/>
    </xf>
    <xf numFmtId="0" fontId="0" fillId="18" borderId="40" xfId="0" applyFill="1" applyBorder="1" applyAlignment="1">
      <alignment horizontal="right"/>
    </xf>
    <xf numFmtId="0" fontId="8" fillId="18" borderId="41" xfId="0" applyFont="1" applyFill="1" applyBorder="1" applyAlignment="1">
      <alignment vertical="center"/>
    </xf>
    <xf numFmtId="0" fontId="19" fillId="0" borderId="44" xfId="0" applyFont="1" applyBorder="1"/>
    <xf numFmtId="2" fontId="19" fillId="0" borderId="44" xfId="0" applyNumberFormat="1" applyFont="1" applyBorder="1"/>
    <xf numFmtId="0" fontId="19" fillId="0" borderId="42" xfId="0" applyFont="1" applyBorder="1"/>
    <xf numFmtId="0" fontId="0" fillId="0" borderId="41" xfId="0" applyBorder="1" applyAlignment="1">
      <alignment horizontal="right"/>
    </xf>
    <xf numFmtId="9" fontId="0" fillId="30" borderId="44" xfId="0" applyNumberFormat="1" applyFill="1" applyBorder="1"/>
    <xf numFmtId="9" fontId="0" fillId="0" borderId="42" xfId="1" applyFont="1" applyBorder="1"/>
    <xf numFmtId="9" fontId="0" fillId="0" borderId="40" xfId="0" applyNumberFormat="1" applyBorder="1"/>
    <xf numFmtId="0" fontId="0" fillId="37" borderId="41" xfId="0" applyFill="1" applyBorder="1"/>
    <xf numFmtId="0" fontId="0" fillId="18" borderId="41" xfId="0" applyFill="1" applyBorder="1"/>
    <xf numFmtId="2" fontId="0" fillId="18" borderId="44" xfId="0" applyNumberFormat="1" applyFill="1" applyBorder="1"/>
    <xf numFmtId="0" fontId="0" fillId="18" borderId="44" xfId="0" applyFill="1" applyBorder="1"/>
    <xf numFmtId="0" fontId="0" fillId="18" borderId="42" xfId="0" applyFill="1" applyBorder="1"/>
    <xf numFmtId="0" fontId="38" fillId="18" borderId="42" xfId="0" applyFont="1" applyFill="1" applyBorder="1"/>
    <xf numFmtId="0" fontId="0" fillId="0" borderId="44" xfId="0" applyBorder="1"/>
    <xf numFmtId="9" fontId="0" fillId="0" borderId="42" xfId="0" applyNumberFormat="1" applyBorder="1"/>
    <xf numFmtId="0" fontId="0" fillId="37" borderId="0" xfId="0" applyFill="1"/>
    <xf numFmtId="0" fontId="0" fillId="0" borderId="22" xfId="0" applyBorder="1" applyAlignment="1">
      <alignment horizontal="center"/>
    </xf>
    <xf numFmtId="0" fontId="0" fillId="0" borderId="37" xfId="0" applyBorder="1" applyAlignment="1">
      <alignment horizontal="center"/>
    </xf>
    <xf numFmtId="166" fontId="0" fillId="0" borderId="0" xfId="2" applyNumberFormat="1" applyFont="1" applyFill="1" applyBorder="1" applyAlignment="1"/>
    <xf numFmtId="0" fontId="34" fillId="12" borderId="41" xfId="0" applyFont="1" applyFill="1" applyBorder="1"/>
    <xf numFmtId="165" fontId="0" fillId="12" borderId="39" xfId="0" applyNumberFormat="1" applyFill="1" applyBorder="1" applyAlignment="1">
      <alignment horizontal="center"/>
    </xf>
    <xf numFmtId="165" fontId="0" fillId="12" borderId="40" xfId="0" applyNumberFormat="1" applyFill="1" applyBorder="1" applyAlignment="1">
      <alignment horizontal="center"/>
    </xf>
    <xf numFmtId="165" fontId="0" fillId="12" borderId="40" xfId="2" applyNumberFormat="1" applyFont="1" applyFill="1" applyBorder="1"/>
    <xf numFmtId="0" fontId="34" fillId="19" borderId="10" xfId="0" applyFont="1" applyFill="1" applyBorder="1"/>
    <xf numFmtId="165" fontId="0" fillId="19" borderId="39" xfId="0" applyNumberFormat="1" applyFill="1" applyBorder="1" applyAlignment="1">
      <alignment horizontal="center"/>
    </xf>
    <xf numFmtId="165" fontId="0" fillId="19" borderId="40" xfId="0" applyNumberFormat="1" applyFill="1" applyBorder="1" applyAlignment="1">
      <alignment horizontal="center"/>
    </xf>
    <xf numFmtId="165" fontId="0" fillId="19" borderId="40" xfId="2" applyNumberFormat="1" applyFont="1" applyFill="1" applyBorder="1"/>
    <xf numFmtId="0" fontId="34" fillId="0" borderId="10" xfId="0" applyFont="1" applyBorder="1"/>
    <xf numFmtId="165" fontId="0" fillId="0" borderId="41" xfId="0" applyNumberFormat="1" applyBorder="1" applyAlignment="1">
      <alignment horizontal="center"/>
    </xf>
    <xf numFmtId="165" fontId="0" fillId="0" borderId="42" xfId="0" applyNumberFormat="1" applyBorder="1" applyAlignment="1">
      <alignment horizontal="center"/>
    </xf>
    <xf numFmtId="165" fontId="0" fillId="0" borderId="40" xfId="2" applyNumberFormat="1" applyFont="1" applyBorder="1"/>
    <xf numFmtId="165" fontId="0" fillId="0" borderId="44" xfId="0" applyNumberFormat="1" applyBorder="1"/>
    <xf numFmtId="165" fontId="19" fillId="0" borderId="42" xfId="2" applyNumberFormat="1" applyFont="1" applyBorder="1"/>
    <xf numFmtId="177" fontId="0" fillId="0" borderId="0" xfId="0" applyNumberFormat="1"/>
    <xf numFmtId="0" fontId="0" fillId="3" borderId="1" xfId="0" applyFill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3" borderId="1" xfId="0" applyFill="1" applyBorder="1" applyAlignment="1">
      <alignment horizontal="left" wrapText="1"/>
    </xf>
    <xf numFmtId="0" fontId="0" fillId="18" borderId="1" xfId="0" applyFill="1" applyBorder="1" applyAlignment="1">
      <alignment horizontal="center" wrapText="1"/>
    </xf>
    <xf numFmtId="166" fontId="0" fillId="3" borderId="1" xfId="2" applyNumberFormat="1" applyFont="1" applyFill="1" applyBorder="1"/>
    <xf numFmtId="2" fontId="0" fillId="0" borderId="1" xfId="0" applyNumberFormat="1" applyBorder="1"/>
    <xf numFmtId="165" fontId="0" fillId="18" borderId="1" xfId="2" applyNumberFormat="1" applyFont="1" applyFill="1" applyBorder="1"/>
    <xf numFmtId="166" fontId="0" fillId="18" borderId="1" xfId="2" applyNumberFormat="1" applyFont="1" applyFill="1" applyBorder="1"/>
    <xf numFmtId="1" fontId="0" fillId="3" borderId="1" xfId="0" applyNumberFormat="1" applyFill="1" applyBorder="1"/>
    <xf numFmtId="2" fontId="0" fillId="3" borderId="1" xfId="0" applyNumberFormat="1" applyFill="1" applyBorder="1"/>
    <xf numFmtId="43" fontId="0" fillId="2" borderId="1" xfId="2" applyFont="1" applyFill="1" applyBorder="1"/>
    <xf numFmtId="10" fontId="0" fillId="0" borderId="1" xfId="1" applyNumberFormat="1" applyFont="1" applyBorder="1"/>
    <xf numFmtId="166" fontId="0" fillId="3" borderId="1" xfId="2" applyNumberFormat="1" applyFont="1" applyFill="1" applyBorder="1" applyAlignment="1"/>
    <xf numFmtId="166" fontId="0" fillId="0" borderId="1" xfId="2" applyNumberFormat="1" applyFont="1" applyFill="1" applyBorder="1" applyAlignment="1"/>
    <xf numFmtId="1" fontId="0" fillId="18" borderId="1" xfId="0" applyNumberFormat="1" applyFill="1" applyBorder="1"/>
    <xf numFmtId="166" fontId="0" fillId="0" borderId="0" xfId="2" applyNumberFormat="1" applyFont="1"/>
    <xf numFmtId="0" fontId="19" fillId="3" borderId="1" xfId="0" applyFont="1" applyFill="1" applyBorder="1"/>
    <xf numFmtId="166" fontId="19" fillId="3" borderId="1" xfId="0" applyNumberFormat="1" applyFont="1" applyFill="1" applyBorder="1"/>
    <xf numFmtId="166" fontId="19" fillId="0" borderId="1" xfId="0" applyNumberFormat="1" applyFont="1" applyBorder="1"/>
    <xf numFmtId="166" fontId="19" fillId="2" borderId="1" xfId="0" applyNumberFormat="1" applyFont="1" applyFill="1" applyBorder="1"/>
    <xf numFmtId="165" fontId="19" fillId="0" borderId="1" xfId="2" applyNumberFormat="1" applyFont="1" applyBorder="1"/>
    <xf numFmtId="10" fontId="19" fillId="0" borderId="1" xfId="0" applyNumberFormat="1" applyFont="1" applyBorder="1"/>
    <xf numFmtId="178" fontId="0" fillId="0" borderId="0" xfId="0" applyNumberFormat="1"/>
    <xf numFmtId="2" fontId="0" fillId="2" borderId="1" xfId="0" applyNumberFormat="1" applyFill="1" applyBorder="1"/>
    <xf numFmtId="9" fontId="0" fillId="0" borderId="29" xfId="1" applyFont="1" applyBorder="1"/>
    <xf numFmtId="0" fontId="39" fillId="0" borderId="44" xfId="0" applyFont="1" applyBorder="1"/>
    <xf numFmtId="0" fontId="19" fillId="0" borderId="45" xfId="0" applyFont="1" applyBorder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0" fillId="0" borderId="44" xfId="0" applyBorder="1" applyAlignment="1">
      <alignment horizontal="right"/>
    </xf>
    <xf numFmtId="169" fontId="0" fillId="0" borderId="0" xfId="0" applyNumberFormat="1"/>
    <xf numFmtId="43" fontId="0" fillId="3" borderId="1" xfId="2" applyFont="1" applyFill="1" applyBorder="1"/>
    <xf numFmtId="169" fontId="0" fillId="0" borderId="29" xfId="0" applyNumberFormat="1" applyBorder="1"/>
    <xf numFmtId="0" fontId="39" fillId="0" borderId="0" xfId="0" applyFont="1"/>
    <xf numFmtId="0" fontId="0" fillId="0" borderId="44" xfId="0" applyBorder="1" applyAlignment="1">
      <alignment horizontal="left"/>
    </xf>
    <xf numFmtId="166" fontId="0" fillId="0" borderId="7" xfId="2" applyNumberFormat="1" applyFont="1" applyFill="1" applyBorder="1"/>
    <xf numFmtId="9" fontId="0" fillId="0" borderId="9" xfId="1" applyFont="1" applyFill="1" applyBorder="1"/>
    <xf numFmtId="165" fontId="0" fillId="0" borderId="32" xfId="2" applyNumberFormat="1" applyFont="1" applyBorder="1"/>
    <xf numFmtId="9" fontId="0" fillId="0" borderId="52" xfId="1" applyFon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2" fontId="0" fillId="0" borderId="25" xfId="0" applyNumberFormat="1" applyBorder="1"/>
    <xf numFmtId="0" fontId="27" fillId="38" borderId="86" xfId="0" applyFont="1" applyFill="1" applyBorder="1" applyAlignment="1">
      <alignment horizontal="center" wrapText="1"/>
    </xf>
    <xf numFmtId="3" fontId="27" fillId="38" borderId="86" xfId="0" applyNumberFormat="1" applyFont="1" applyFill="1" applyBorder="1" applyAlignment="1">
      <alignment horizontal="center" wrapText="1"/>
    </xf>
    <xf numFmtId="3" fontId="27" fillId="38" borderId="0" xfId="0" applyNumberFormat="1" applyFont="1" applyFill="1" applyAlignment="1">
      <alignment horizontal="center" wrapText="1"/>
    </xf>
    <xf numFmtId="176" fontId="2" fillId="0" borderId="87" xfId="3" applyNumberFormat="1" applyBorder="1" applyAlignment="1">
      <alignment vertical="center"/>
    </xf>
    <xf numFmtId="176" fontId="2" fillId="0" borderId="88" xfId="3" applyNumberFormat="1" applyBorder="1" applyAlignment="1">
      <alignment vertical="center"/>
    </xf>
    <xf numFmtId="176" fontId="2" fillId="0" borderId="89" xfId="3" applyNumberFormat="1" applyBorder="1" applyAlignment="1">
      <alignment vertical="center"/>
    </xf>
    <xf numFmtId="179" fontId="0" fillId="0" borderId="29" xfId="0" applyNumberFormat="1" applyBorder="1"/>
    <xf numFmtId="0" fontId="0" fillId="3" borderId="1" xfId="0" applyFill="1" applyBorder="1"/>
    <xf numFmtId="0" fontId="27" fillId="38" borderId="90" xfId="0" applyFont="1" applyFill="1" applyBorder="1" applyAlignment="1">
      <alignment horizontal="center" wrapText="1"/>
    </xf>
    <xf numFmtId="0" fontId="27" fillId="38" borderId="0" xfId="0" applyFont="1" applyFill="1" applyAlignment="1">
      <alignment horizontal="center" wrapText="1"/>
    </xf>
    <xf numFmtId="165" fontId="0" fillId="0" borderId="0" xfId="2" applyNumberFormat="1" applyFont="1" applyAlignment="1">
      <alignment horizontal="center"/>
    </xf>
    <xf numFmtId="0" fontId="27" fillId="38" borderId="90" xfId="0" applyFont="1" applyFill="1" applyBorder="1" applyAlignment="1">
      <alignment wrapText="1"/>
    </xf>
    <xf numFmtId="3" fontId="27" fillId="38" borderId="90" xfId="0" applyNumberFormat="1" applyFont="1" applyFill="1" applyBorder="1" applyAlignment="1">
      <alignment wrapText="1"/>
    </xf>
    <xf numFmtId="3" fontId="27" fillId="38" borderId="0" xfId="0" applyNumberFormat="1" applyFont="1" applyFill="1" applyAlignment="1">
      <alignment wrapText="1"/>
    </xf>
    <xf numFmtId="176" fontId="2" fillId="0" borderId="91" xfId="3" applyNumberForma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1" applyNumberFormat="1" applyFont="1" applyFill="1" applyBorder="1"/>
    <xf numFmtId="165" fontId="0" fillId="0" borderId="0" xfId="2" applyNumberFormat="1" applyFont="1" applyFill="1" applyBorder="1" applyAlignment="1">
      <alignment horizontal="center"/>
    </xf>
    <xf numFmtId="176" fontId="2" fillId="0" borderId="92" xfId="3" applyNumberFormat="1" applyBorder="1" applyAlignment="1">
      <alignment vertical="center"/>
    </xf>
    <xf numFmtId="176" fontId="2" fillId="0" borderId="93" xfId="3" applyNumberFormat="1" applyBorder="1" applyAlignment="1">
      <alignment vertical="center"/>
    </xf>
    <xf numFmtId="176" fontId="0" fillId="0" borderId="0" xfId="0" applyNumberFormat="1"/>
    <xf numFmtId="166" fontId="0" fillId="3" borderId="54" xfId="2" applyNumberFormat="1" applyFont="1" applyFill="1" applyBorder="1"/>
    <xf numFmtId="165" fontId="0" fillId="0" borderId="42" xfId="0" applyNumberFormat="1" applyBorder="1"/>
    <xf numFmtId="0" fontId="34" fillId="12" borderId="22" xfId="0" applyFont="1" applyFill="1" applyBorder="1"/>
    <xf numFmtId="0" fontId="34" fillId="0" borderId="41" xfId="0" applyFont="1" applyBorder="1"/>
    <xf numFmtId="165" fontId="0" fillId="0" borderId="25" xfId="2" applyNumberFormat="1" applyFont="1" applyBorder="1"/>
    <xf numFmtId="165" fontId="0" fillId="35" borderId="2" xfId="2" applyNumberFormat="1" applyFont="1" applyFill="1" applyBorder="1"/>
    <xf numFmtId="165" fontId="0" fillId="35" borderId="3" xfId="2" applyNumberFormat="1" applyFont="1" applyFill="1" applyBorder="1"/>
    <xf numFmtId="165" fontId="0" fillId="35" borderId="4" xfId="2" applyNumberFormat="1" applyFont="1" applyFill="1" applyBorder="1"/>
    <xf numFmtId="0" fontId="0" fillId="0" borderId="27" xfId="0" applyBorder="1"/>
    <xf numFmtId="0" fontId="19" fillId="0" borderId="48" xfId="0" applyFont="1" applyBorder="1" applyAlignment="1">
      <alignment horizontal="right"/>
    </xf>
    <xf numFmtId="165" fontId="0" fillId="0" borderId="48" xfId="0" applyNumberFormat="1" applyBorder="1"/>
    <xf numFmtId="0" fontId="19" fillId="0" borderId="84" xfId="0" applyFont="1" applyBorder="1" applyAlignment="1">
      <alignment horizontal="center"/>
    </xf>
    <xf numFmtId="39" fontId="0" fillId="0" borderId="0" xfId="0" applyNumberFormat="1"/>
    <xf numFmtId="39" fontId="19" fillId="13" borderId="0" xfId="0" applyNumberFormat="1" applyFont="1" applyFill="1"/>
    <xf numFmtId="0" fontId="0" fillId="0" borderId="84" xfId="0" applyBorder="1" applyAlignment="1">
      <alignment horizontal="right" indent="1"/>
    </xf>
    <xf numFmtId="180" fontId="0" fillId="0" borderId="0" xfId="0" applyNumberFormat="1"/>
    <xf numFmtId="180" fontId="19" fillId="13" borderId="0" xfId="0" applyNumberFormat="1" applyFont="1" applyFill="1"/>
    <xf numFmtId="0" fontId="0" fillId="0" borderId="84" xfId="0" applyBorder="1" applyAlignment="1">
      <alignment horizontal="right"/>
    </xf>
    <xf numFmtId="39" fontId="0" fillId="13" borderId="0" xfId="0" applyNumberFormat="1" applyFill="1"/>
    <xf numFmtId="0" fontId="0" fillId="0" borderId="69" xfId="0" applyBorder="1"/>
    <xf numFmtId="0" fontId="0" fillId="0" borderId="7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18" borderId="45" xfId="0" applyFill="1" applyBorder="1" applyAlignment="1">
      <alignment horizontal="right"/>
    </xf>
    <xf numFmtId="169" fontId="0" fillId="18" borderId="40" xfId="0" applyNumberFormat="1" applyFill="1" applyBorder="1"/>
    <xf numFmtId="9" fontId="0" fillId="30" borderId="0" xfId="1" applyFont="1" applyFill="1" applyBorder="1"/>
    <xf numFmtId="43" fontId="19" fillId="0" borderId="1" xfId="0" applyNumberFormat="1" applyFont="1" applyBorder="1"/>
    <xf numFmtId="43" fontId="0" fillId="18" borderId="1" xfId="2" applyFont="1" applyFill="1" applyBorder="1"/>
    <xf numFmtId="181" fontId="0" fillId="18" borderId="1" xfId="2" applyNumberFormat="1" applyFont="1" applyFill="1" applyBorder="1"/>
    <xf numFmtId="182" fontId="0" fillId="3" borderId="1" xfId="2" applyNumberFormat="1" applyFont="1" applyFill="1" applyBorder="1"/>
    <xf numFmtId="182" fontId="19" fillId="3" borderId="1" xfId="0" applyNumberFormat="1" applyFont="1" applyFill="1" applyBorder="1"/>
    <xf numFmtId="166" fontId="0" fillId="0" borderId="37" xfId="2" applyNumberFormat="1" applyFont="1" applyBorder="1"/>
    <xf numFmtId="165" fontId="0" fillId="35" borderId="26" xfId="0" applyNumberFormat="1" applyFill="1" applyBorder="1"/>
    <xf numFmtId="165" fontId="0" fillId="5" borderId="24" xfId="0" applyNumberFormat="1" applyFill="1" applyBorder="1" applyAlignment="1">
      <alignment horizontal="center"/>
    </xf>
    <xf numFmtId="165" fontId="0" fillId="19" borderId="25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35" borderId="47" xfId="2" applyNumberFormat="1" applyFont="1" applyFill="1" applyBorder="1"/>
    <xf numFmtId="165" fontId="0" fillId="35" borderId="47" xfId="0" applyNumberFormat="1" applyFill="1" applyBorder="1"/>
    <xf numFmtId="0" fontId="0" fillId="24" borderId="39" xfId="0" applyFill="1" applyBorder="1"/>
    <xf numFmtId="3" fontId="0" fillId="25" borderId="22" xfId="2" applyNumberFormat="1" applyFont="1" applyFill="1" applyBorder="1"/>
    <xf numFmtId="3" fontId="0" fillId="25" borderId="39" xfId="2" applyNumberFormat="1" applyFont="1" applyFill="1" applyBorder="1"/>
    <xf numFmtId="3" fontId="0" fillId="26" borderId="39" xfId="0" applyNumberFormat="1" applyFill="1" applyBorder="1"/>
    <xf numFmtId="165" fontId="0" fillId="24" borderId="41" xfId="2" applyNumberFormat="1" applyFont="1" applyFill="1" applyBorder="1"/>
    <xf numFmtId="165" fontId="0" fillId="0" borderId="1" xfId="0" applyNumberFormat="1" applyBorder="1" applyAlignment="1">
      <alignment horizontal="center"/>
    </xf>
    <xf numFmtId="37" fontId="0" fillId="0" borderId="0" xfId="0" applyNumberFormat="1" applyFill="1"/>
    <xf numFmtId="37" fontId="19" fillId="13" borderId="0" xfId="0" applyNumberFormat="1" applyFont="1" applyFill="1"/>
    <xf numFmtId="165" fontId="19" fillId="0" borderId="0" xfId="0" applyNumberFormat="1" applyFont="1" applyFill="1"/>
    <xf numFmtId="43" fontId="0" fillId="0" borderId="0" xfId="0" applyNumberFormat="1" applyFill="1"/>
    <xf numFmtId="0" fontId="0" fillId="0" borderId="0" xfId="0" applyFill="1"/>
    <xf numFmtId="0" fontId="37" fillId="0" borderId="0" xfId="0" applyFont="1"/>
    <xf numFmtId="165" fontId="0" fillId="0" borderId="0" xfId="0" applyNumberFormat="1" applyFill="1"/>
    <xf numFmtId="3" fontId="28" fillId="0" borderId="94" xfId="3" applyNumberFormat="1" applyFont="1" applyBorder="1" applyAlignment="1">
      <alignment horizontal="right"/>
    </xf>
    <xf numFmtId="165" fontId="0" fillId="0" borderId="21" xfId="2" applyNumberFormat="1" applyFont="1" applyBorder="1"/>
    <xf numFmtId="3" fontId="28" fillId="0" borderId="1" xfId="3" applyNumberFormat="1" applyFont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32" xfId="0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6" fillId="10" borderId="11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10" borderId="13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9" fillId="2" borderId="50" xfId="0" applyFont="1" applyFill="1" applyBorder="1" applyAlignment="1">
      <alignment horizontal="center"/>
    </xf>
    <xf numFmtId="0" fontId="19" fillId="2" borderId="51" xfId="0" applyFont="1" applyFill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48" xfId="0" applyFont="1" applyFill="1" applyBorder="1" applyAlignment="1">
      <alignment horizontal="center"/>
    </xf>
    <xf numFmtId="0" fontId="19" fillId="2" borderId="68" xfId="0" applyFont="1" applyFill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/>
    <xf numFmtId="0" fontId="0" fillId="3" borderId="10" xfId="0" applyFill="1" applyBorder="1" applyAlignment="1">
      <alignment horizontal="center" wrapText="1"/>
    </xf>
    <xf numFmtId="0" fontId="0" fillId="3" borderId="29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10" xfId="0" applyFill="1" applyBorder="1" applyAlignment="1">
      <alignment horizontal="left" wrapText="1"/>
    </xf>
    <xf numFmtId="0" fontId="0" fillId="3" borderId="29" xfId="0" applyFill="1" applyBorder="1" applyAlignment="1">
      <alignment horizontal="left" wrapText="1"/>
    </xf>
    <xf numFmtId="0" fontId="0" fillId="3" borderId="25" xfId="0" applyFill="1" applyBorder="1" applyAlignment="1">
      <alignment horizontal="left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Border="1" applyAlignment="1"/>
    <xf numFmtId="0" fontId="0" fillId="0" borderId="36" xfId="0" applyBorder="1" applyAlignment="1"/>
    <xf numFmtId="165" fontId="0" fillId="35" borderId="11" xfId="2" applyNumberFormat="1" applyFont="1" applyFill="1" applyBorder="1" applyAlignment="1"/>
    <xf numFmtId="0" fontId="0" fillId="0" borderId="12" xfId="0" applyBorder="1" applyAlignment="1"/>
    <xf numFmtId="165" fontId="0" fillId="35" borderId="18" xfId="0" applyNumberFormat="1" applyFill="1" applyBorder="1" applyAlignment="1"/>
    <xf numFmtId="0" fontId="0" fillId="0" borderId="38" xfId="0" applyBorder="1" applyAlignment="1"/>
    <xf numFmtId="0" fontId="0" fillId="0" borderId="56" xfId="0" applyBorder="1" applyAlignment="1">
      <alignment vertical="center" wrapText="1"/>
    </xf>
    <xf numFmtId="0" fontId="0" fillId="0" borderId="32" xfId="0" applyBorder="1" applyAlignment="1"/>
    <xf numFmtId="0" fontId="0" fillId="0" borderId="33" xfId="0" applyBorder="1" applyAlignment="1"/>
    <xf numFmtId="0" fontId="0" fillId="0" borderId="71" xfId="0" applyBorder="1" applyAlignment="1"/>
    <xf numFmtId="0" fontId="0" fillId="0" borderId="72" xfId="0" applyBorder="1" applyAlignment="1"/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165" fontId="0" fillId="19" borderId="17" xfId="2" applyNumberFormat="1" applyFont="1" applyFill="1" applyBorder="1" applyAlignment="1"/>
    <xf numFmtId="0" fontId="0" fillId="0" borderId="29" xfId="0" applyBorder="1" applyAlignment="1"/>
    <xf numFmtId="0" fontId="0" fillId="0" borderId="30" xfId="0" applyBorder="1" applyAlignment="1"/>
    <xf numFmtId="165" fontId="0" fillId="0" borderId="17" xfId="2" applyNumberFormat="1" applyFont="1" applyFill="1" applyBorder="1" applyAlignment="1"/>
    <xf numFmtId="0" fontId="0" fillId="0" borderId="8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19" fillId="0" borderId="1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0" fillId="0" borderId="8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2" borderId="2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165" fontId="0" fillId="35" borderId="32" xfId="0" applyNumberFormat="1" applyFill="1" applyBorder="1" applyAlignment="1"/>
    <xf numFmtId="0" fontId="0" fillId="0" borderId="52" xfId="0" applyBorder="1" applyAlignment="1"/>
    <xf numFmtId="0" fontId="0" fillId="2" borderId="68" xfId="0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18" borderId="1" xfId="0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6" fillId="39" borderId="0" xfId="0" applyFont="1" applyFill="1"/>
    <xf numFmtId="0" fontId="26" fillId="39" borderId="0" xfId="0" applyFont="1" applyFill="1" applyAlignment="1">
      <alignment horizontal="center" wrapText="1"/>
    </xf>
    <xf numFmtId="165" fontId="0" fillId="3" borderId="46" xfId="2" applyNumberFormat="1" applyFont="1" applyFill="1" applyBorder="1"/>
    <xf numFmtId="0" fontId="26" fillId="39" borderId="1" xfId="0" applyFont="1" applyFill="1" applyBorder="1"/>
    <xf numFmtId="3" fontId="26" fillId="39" borderId="1" xfId="0" applyNumberFormat="1" applyFont="1" applyFill="1" applyBorder="1"/>
    <xf numFmtId="164" fontId="26" fillId="39" borderId="1" xfId="0" applyNumberFormat="1" applyFont="1" applyFill="1" applyBorder="1"/>
    <xf numFmtId="0" fontId="26" fillId="39" borderId="54" xfId="0" applyFont="1" applyFill="1" applyBorder="1"/>
    <xf numFmtId="3" fontId="26" fillId="39" borderId="54" xfId="0" applyNumberFormat="1" applyFont="1" applyFill="1" applyBorder="1"/>
    <xf numFmtId="0" fontId="26" fillId="39" borderId="40" xfId="0" applyFont="1" applyFill="1" applyBorder="1"/>
    <xf numFmtId="3" fontId="26" fillId="39" borderId="39" xfId="0" applyNumberFormat="1" applyFont="1" applyFill="1" applyBorder="1"/>
    <xf numFmtId="0" fontId="0" fillId="39" borderId="2" xfId="0" applyFill="1" applyBorder="1" applyAlignment="1">
      <alignment horizontal="center"/>
    </xf>
    <xf numFmtId="0" fontId="0" fillId="39" borderId="4" xfId="0" applyFill="1" applyBorder="1" applyAlignment="1">
      <alignment horizontal="center"/>
    </xf>
    <xf numFmtId="0" fontId="0" fillId="39" borderId="5" xfId="0" applyFill="1" applyBorder="1" applyAlignment="1">
      <alignment horizontal="center" wrapText="1"/>
    </xf>
    <xf numFmtId="0" fontId="0" fillId="39" borderId="6" xfId="0" applyFill="1" applyBorder="1" applyAlignment="1">
      <alignment horizontal="center" wrapText="1"/>
    </xf>
    <xf numFmtId="165" fontId="0" fillId="39" borderId="5" xfId="2" applyNumberFormat="1" applyFont="1" applyFill="1" applyBorder="1"/>
    <xf numFmtId="10" fontId="0" fillId="39" borderId="6" xfId="1" applyNumberFormat="1" applyFont="1" applyFill="1" applyBorder="1"/>
    <xf numFmtId="165" fontId="0" fillId="39" borderId="7" xfId="2" applyNumberFormat="1" applyFont="1" applyFill="1" applyBorder="1"/>
    <xf numFmtId="10" fontId="0" fillId="39" borderId="9" xfId="0" applyNumberFormat="1" applyFill="1" applyBorder="1"/>
  </cellXfs>
  <cellStyles count="4">
    <cellStyle name="Comma" xfId="2" builtinId="3"/>
    <cellStyle name="Normal" xfId="0" builtinId="0"/>
    <cellStyle name="Normal 3" xfId="3" xr:uid="{A60915B9-13F7-4082-88E8-67FC685A9F0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 Usage by Regulated End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72-4425-B350-ED2C6C36C9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72-4425-B350-ED2C6C36C9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72-4425-B350-ED2C6C36C925}"/>
              </c:ext>
            </c:extLst>
          </c:dPt>
          <c:dLbls>
            <c:dLbl>
              <c:idx val="0"/>
              <c:layout>
                <c:manualLayout>
                  <c:x val="-7.8735139597455126E-3"/>
                  <c:y val="-9.75980645125490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72-4425-B350-ED2C6C36C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Mid-rise Residential HVAC heating (therms)</c:v>
              </c:pt>
              <c:pt idx="1">
                <c:v>Mid-rise NR HVAC heating (therms)</c:v>
              </c:pt>
              <c:pt idx="2">
                <c:v>Mid-rise DHW (therms)</c:v>
              </c:pt>
            </c:strLit>
          </c:cat>
          <c:val>
            <c:numLit>
              <c:formatCode>General</c:formatCode>
              <c:ptCount val="3"/>
              <c:pt idx="0">
                <c:v>26736.249</c:v>
              </c:pt>
              <c:pt idx="1">
                <c:v>33001.188000000002</c:v>
              </c:pt>
              <c:pt idx="2">
                <c:v>136517.69999999998</c:v>
              </c:pt>
            </c:numLit>
          </c:val>
          <c:extLst>
            <c:ext xmlns:c16="http://schemas.microsoft.com/office/drawing/2014/chart" uri="{C3380CC4-5D6E-409C-BE32-E72D297353CC}">
              <c16:uniqueId val="{00000006-D572-4425-B350-ED2C6C36C92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Loaded Corridor 2019 CO2 (tonnes)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D8-4BA5-8368-525B159412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D8-4BA5-8368-525B159412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D8-4BA5-8368-525B159412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D8-4BA5-8368-525B159412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D8-4BA5-8368-525B159412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D8-4BA5-8368-525B159412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7.0051036122111485E-2</c:v>
              </c:pt>
              <c:pt idx="1">
                <c:v>4.0974423672099865E-2</c:v>
              </c:pt>
              <c:pt idx="2">
                <c:v>4.1963210296699277E-2</c:v>
              </c:pt>
              <c:pt idx="3">
                <c:v>0.43594334794815665</c:v>
              </c:pt>
              <c:pt idx="4">
                <c:v>5.2954021578413078E-2</c:v>
              </c:pt>
              <c:pt idx="5">
                <c:v>0.35811396038251969</c:v>
              </c:pt>
            </c:numLit>
          </c:val>
          <c:extLst>
            <c:ext xmlns:c16="http://schemas.microsoft.com/office/drawing/2014/chart" uri="{C3380CC4-5D6E-409C-BE32-E72D297353CC}">
              <c16:uniqueId val="{0000000C-DDD8-4BA5-8368-525B159412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Loaded Corridor 2022 Proposed CO2 (tonnes)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C1-4FCA-9F08-F35EC922F6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C1-4FCA-9F08-F35EC922F6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C1-4FCA-9F08-F35EC922F6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C1-4FCA-9F08-F35EC922F6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C1-4FCA-9F08-F35EC922F6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C1-4FCA-9F08-F35EC922F6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5.6136870328763751E-2</c:v>
              </c:pt>
              <c:pt idx="1">
                <c:v>4.3927805008068019E-2</c:v>
              </c:pt>
              <c:pt idx="2">
                <c:v>3.771177500637251E-2</c:v>
              </c:pt>
              <c:pt idx="3">
                <c:v>0.44373058604516391</c:v>
              </c:pt>
              <c:pt idx="4">
                <c:v>5.3899937088228822E-2</c:v>
              </c:pt>
              <c:pt idx="5">
                <c:v>0.36459302652340314</c:v>
              </c:pt>
            </c:numLit>
          </c:val>
          <c:extLst>
            <c:ext xmlns:c16="http://schemas.microsoft.com/office/drawing/2014/chart" uri="{C3380CC4-5D6E-409C-BE32-E72D297353CC}">
              <c16:uniqueId val="{0000000C-CFC1-4FCA-9F08-F35EC922F6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Mid Rise 2019 CO2 (tonnes)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C8-468A-84BD-4F106F127A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C8-468A-84BD-4F106F127A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C8-468A-84BD-4F106F127A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C8-468A-84BD-4F106F127A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C8-468A-84BD-4F106F127A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C8-468A-84BD-4F106F127A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0.10043465994590391</c:v>
              </c:pt>
              <c:pt idx="1">
                <c:v>5.2190622161466291E-2</c:v>
              </c:pt>
              <c:pt idx="2">
                <c:v>4.7199402841886388E-2</c:v>
              </c:pt>
              <c:pt idx="3">
                <c:v>0.32058093867862536</c:v>
              </c:pt>
              <c:pt idx="4">
                <c:v>9.7476763283167539E-2</c:v>
              </c:pt>
              <c:pt idx="5">
                <c:v>0.38211761308895054</c:v>
              </c:pt>
            </c:numLit>
          </c:val>
          <c:extLst>
            <c:ext xmlns:c16="http://schemas.microsoft.com/office/drawing/2014/chart" uri="{C3380CC4-5D6E-409C-BE32-E72D297353CC}">
              <c16:uniqueId val="{0000000C-5EC8-468A-84BD-4F106F127A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Mid Rise 2022</a:t>
            </a:r>
            <a:r>
              <a:rPr lang="en-US" baseline="0"/>
              <a:t> </a:t>
            </a:r>
            <a:r>
              <a:rPr lang="en-US"/>
              <a:t>Proposed CO2 (tonnes)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AE-436D-A662-46CCE3CF4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AE-436D-A662-46CCE3CF4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AE-436D-A662-46CCE3CF4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AE-436D-A662-46CCE3CF4E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AE-436D-A662-46CCE3CF4E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AE-436D-A662-46CCE3CF4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  <c:pt idx="0">
                <c:v>7.3867039104087248E-2</c:v>
              </c:pt>
              <c:pt idx="1">
                <c:v>5.3794907811699592E-2</c:v>
              </c:pt>
              <c:pt idx="2">
                <c:v>4.7570217017119304E-2</c:v>
              </c:pt>
              <c:pt idx="3">
                <c:v>0.33043353775256584</c:v>
              </c:pt>
              <c:pt idx="4">
                <c:v>0.10047257444079356</c:v>
              </c:pt>
              <c:pt idx="5">
                <c:v>0.39386172387373436</c:v>
              </c:pt>
            </c:numLit>
          </c:val>
          <c:extLst>
            <c:ext xmlns:c16="http://schemas.microsoft.com/office/drawing/2014/chart" uri="{C3380CC4-5D6E-409C-BE32-E72D297353CC}">
              <c16:uniqueId val="{0000000C-83AE-436D-A662-46CCE3CF4E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</a:t>
            </a:r>
            <a:r>
              <a:rPr lang="en-US" baseline="0"/>
              <a:t> and Emissions Impact</a:t>
            </a:r>
          </a:p>
          <a:p>
            <a:pPr>
              <a:defRPr/>
            </a:pPr>
            <a:r>
              <a:rPr lang="en-US" baseline="0"/>
              <a:t>Statewide Totals - Percentages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'Combined All Buildings'!$W$3</c:f>
              <c:strCache>
                <c:ptCount val="1"/>
                <c:pt idx="0">
                  <c:v>Therms Decrease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Buildings'!$W$4:$W$19</c:f>
              <c:numCache>
                <c:formatCode>0.0%</c:formatCode>
                <c:ptCount val="16"/>
                <c:pt idx="0">
                  <c:v>0.41368107439449359</c:v>
                </c:pt>
                <c:pt idx="1">
                  <c:v>8.1367392810241163E-2</c:v>
                </c:pt>
                <c:pt idx="2">
                  <c:v>0.13571512494253618</c:v>
                </c:pt>
                <c:pt idx="3">
                  <c:v>0</c:v>
                </c:pt>
                <c:pt idx="4">
                  <c:v>0</c:v>
                </c:pt>
                <c:pt idx="5">
                  <c:v>4.9083922333837182E-2</c:v>
                </c:pt>
                <c:pt idx="6">
                  <c:v>0.10986260626604716</c:v>
                </c:pt>
                <c:pt idx="7">
                  <c:v>3.483030817386152E-2</c:v>
                </c:pt>
                <c:pt idx="8" formatCode="0.00%">
                  <c:v>2.1822444298788397E-4</c:v>
                </c:pt>
                <c:pt idx="9" formatCode="0.00%">
                  <c:v>3.2733666448182593E-3</c:v>
                </c:pt>
                <c:pt idx="10" formatCode="0.00%">
                  <c:v>2.7677542543568087E-4</c:v>
                </c:pt>
                <c:pt idx="11" formatCode="0.00%">
                  <c:v>7.7497119122007787E-3</c:v>
                </c:pt>
                <c:pt idx="12">
                  <c:v>4.9849239534395145E-3</c:v>
                </c:pt>
                <c:pt idx="13">
                  <c:v>7.4773859301593304E-2</c:v>
                </c:pt>
                <c:pt idx="14">
                  <c:v>5.7822732308513737E-2</c:v>
                </c:pt>
                <c:pt idx="15" formatCode="0.00%">
                  <c:v>5.4006607543964982E-3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2E5-8297-CA71ADDAB925}"/>
            </c:ext>
          </c:extLst>
        </c:ser>
        <c:ser>
          <c:idx val="1"/>
          <c:order val="1"/>
          <c:tx>
            <c:strRef>
              <c:f>'Combined All Buildings'!$X$3</c:f>
              <c:strCache>
                <c:ptCount val="1"/>
                <c:pt idx="0">
                  <c:v>kWh Decrease (Increase)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Buildings'!$X$4:$X$19</c:f>
              <c:numCache>
                <c:formatCode>0.0%</c:formatCode>
                <c:ptCount val="16"/>
                <c:pt idx="0">
                  <c:v>-0.2044747537369635</c:v>
                </c:pt>
                <c:pt idx="1">
                  <c:v>-2.3024088041722922E-2</c:v>
                </c:pt>
                <c:pt idx="2">
                  <c:v>-1.3726940518113247E-2</c:v>
                </c:pt>
                <c:pt idx="3">
                  <c:v>0.30744219147642954</c:v>
                </c:pt>
                <c:pt idx="4">
                  <c:v>0.32259139786856256</c:v>
                </c:pt>
                <c:pt idx="5">
                  <c:v>1.163454490721518E-2</c:v>
                </c:pt>
                <c:pt idx="6">
                  <c:v>9.5397353517118838E-2</c:v>
                </c:pt>
                <c:pt idx="7">
                  <c:v>7.9362424141637772E-2</c:v>
                </c:pt>
                <c:pt idx="8" formatCode="0.00%">
                  <c:v>3.3207565223976904E-3</c:v>
                </c:pt>
                <c:pt idx="9" formatCode="0.00%">
                  <c:v>4.9811347835965358E-2</c:v>
                </c:pt>
                <c:pt idx="10" formatCode="0.00%">
                  <c:v>1.1851140229980552E-3</c:v>
                </c:pt>
                <c:pt idx="11" formatCode="0.00%">
                  <c:v>3.3183192643943725E-2</c:v>
                </c:pt>
                <c:pt idx="12">
                  <c:v>3.0520134805594647E-3</c:v>
                </c:pt>
                <c:pt idx="13">
                  <c:v>4.5780202208392018E-2</c:v>
                </c:pt>
                <c:pt idx="14">
                  <c:v>7.1162658216622834E-2</c:v>
                </c:pt>
                <c:pt idx="15" formatCode="0.00%">
                  <c:v>6.7593861799622257E-3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1-42E5-8297-CA71ADDAB925}"/>
            </c:ext>
          </c:extLst>
        </c:ser>
        <c:ser>
          <c:idx val="2"/>
          <c:order val="2"/>
          <c:tx>
            <c:strRef>
              <c:f>'Combined All Buildings'!$Y$3</c:f>
              <c:strCache>
                <c:ptCount val="1"/>
                <c:pt idx="0">
                  <c:v>TDV Decrease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Buildings'!$Y$4:$Y$19</c:f>
              <c:numCache>
                <c:formatCode>0.0%</c:formatCode>
                <c:ptCount val="16"/>
                <c:pt idx="0">
                  <c:v>6.2532914859591324E-2</c:v>
                </c:pt>
                <c:pt idx="1">
                  <c:v>3.3081096630253951E-3</c:v>
                </c:pt>
                <c:pt idx="2">
                  <c:v>2.7701719535773973E-3</c:v>
                </c:pt>
                <c:pt idx="3">
                  <c:v>0.17917089843958223</c:v>
                </c:pt>
                <c:pt idx="4">
                  <c:v>0.25598376957519842</c:v>
                </c:pt>
                <c:pt idx="5">
                  <c:v>2.3952178022949439E-2</c:v>
                </c:pt>
                <c:pt idx="6">
                  <c:v>6.4147854258356451E-2</c:v>
                </c:pt>
                <c:pt idx="7">
                  <c:v>6.0932892853559323E-2</c:v>
                </c:pt>
                <c:pt idx="8" formatCode="0.00%">
                  <c:v>2.6259409696445099E-3</c:v>
                </c:pt>
                <c:pt idx="9" formatCode="0.00%">
                  <c:v>3.9389114544667654E-2</c:v>
                </c:pt>
                <c:pt idx="10" formatCode="0.00%">
                  <c:v>8.3436473657130784E-4</c:v>
                </c:pt>
                <c:pt idx="11" formatCode="0.00%">
                  <c:v>2.3362212623997666E-2</c:v>
                </c:pt>
                <c:pt idx="12">
                  <c:v>3.132922155747093E-3</c:v>
                </c:pt>
                <c:pt idx="13">
                  <c:v>4.6993832336206409E-2</c:v>
                </c:pt>
                <c:pt idx="14">
                  <c:v>6.271874612106694E-2</c:v>
                </c:pt>
                <c:pt idx="15" formatCode="0.00%">
                  <c:v>5.5992626350651539E-3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E1-42E5-8297-CA71ADDAB925}"/>
            </c:ext>
          </c:extLst>
        </c:ser>
        <c:ser>
          <c:idx val="3"/>
          <c:order val="3"/>
          <c:tx>
            <c:strRef>
              <c:f>'Combined All Buildings'!$Z$3</c:f>
              <c:strCache>
                <c:ptCount val="1"/>
                <c:pt idx="0">
                  <c:v>CO2e Decrease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Buildings'!$Z$4:$Z$19</c:f>
              <c:numCache>
                <c:formatCode>0.0%</c:formatCode>
                <c:ptCount val="16"/>
                <c:pt idx="0">
                  <c:v>9.5046130458270428E-2</c:v>
                </c:pt>
                <c:pt idx="1">
                  <c:v>2.2470142181704993E-3</c:v>
                </c:pt>
                <c:pt idx="2">
                  <c:v>1.3752801711287611E-2</c:v>
                </c:pt>
                <c:pt idx="3">
                  <c:v>6.0912554331190472E-2</c:v>
                </c:pt>
                <c:pt idx="4">
                  <c:v>7.5319512209345948E-2</c:v>
                </c:pt>
                <c:pt idx="5">
                  <c:v>2.802242380598241E-2</c:v>
                </c:pt>
                <c:pt idx="6">
                  <c:v>8.9269914009723964E-2</c:v>
                </c:pt>
                <c:pt idx="7">
                  <c:v>6.0033862205865304E-2</c:v>
                </c:pt>
                <c:pt idx="8" formatCode="0.00%">
                  <c:v>1.5817968748998337E-3</c:v>
                </c:pt>
                <c:pt idx="9" formatCode="0.00%">
                  <c:v>2.3726953123498401E-2</c:v>
                </c:pt>
                <c:pt idx="10" formatCode="0.00%">
                  <c:v>0</c:v>
                </c:pt>
                <c:pt idx="11" formatCode="0.00%">
                  <c:v>0</c:v>
                </c:pt>
                <c:pt idx="12">
                  <c:v>3.5634555702913685E-3</c:v>
                </c:pt>
                <c:pt idx="13">
                  <c:v>5.3449889116933977E-2</c:v>
                </c:pt>
                <c:pt idx="14">
                  <c:v>4.3552298852339751E-2</c:v>
                </c:pt>
                <c:pt idx="15" formatCode="0.00%">
                  <c:v>4.3934305638157669E-3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E1-42E5-8297-CA71ADDAB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362472"/>
        <c:axId val="766359192"/>
      </c:barChart>
      <c:catAx>
        <c:axId val="76636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59192"/>
        <c:crosses val="autoZero"/>
        <c:auto val="1"/>
        <c:lblAlgn val="ctr"/>
        <c:lblOffset val="100"/>
        <c:noMultiLvlLbl val="0"/>
      </c:catAx>
      <c:valAx>
        <c:axId val="76635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6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Statewide</a:t>
            </a:r>
            <a:r>
              <a:rPr lang="en-US" baseline="0"/>
              <a:t> Therms and kWh Impact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'Combined All Buildings'!$N$3</c:f>
              <c:strCache>
                <c:ptCount val="1"/>
                <c:pt idx="0">
                  <c:v>Therms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Buildings'!$N$4:$N$19</c:f>
              <c:numCache>
                <c:formatCode>_(* #,##0_);_(* \(#,##0\);_(* "-"??_);_(@_)</c:formatCode>
                <c:ptCount val="16"/>
                <c:pt idx="0">
                  <c:v>12685938.615000002</c:v>
                </c:pt>
                <c:pt idx="1">
                  <c:v>696819.96127868898</c:v>
                </c:pt>
                <c:pt idx="2" formatCode="#,##0">
                  <c:v>2003424.2793463194</c:v>
                </c:pt>
                <c:pt idx="3" formatCode="General">
                  <c:v>0</c:v>
                </c:pt>
                <c:pt idx="4" formatCode="General">
                  <c:v>0</c:v>
                </c:pt>
                <c:pt idx="5">
                  <c:v>420348.44277037896</c:v>
                </c:pt>
                <c:pt idx="6">
                  <c:v>1621789.8548806421</c:v>
                </c:pt>
                <c:pt idx="7">
                  <c:v>5186000</c:v>
                </c:pt>
                <c:pt idx="8">
                  <c:v>701000</c:v>
                </c:pt>
                <c:pt idx="9">
                  <c:v>701000</c:v>
                </c:pt>
                <c:pt idx="10">
                  <c:v>219112.07686591148</c:v>
                </c:pt>
                <c:pt idx="11">
                  <c:v>219112.07686595991</c:v>
                </c:pt>
                <c:pt idx="12">
                  <c:v>9769294.7487921715</c:v>
                </c:pt>
                <c:pt idx="13">
                  <c:v>9769294.748792246</c:v>
                </c:pt>
                <c:pt idx="14">
                  <c:v>33303727.978934236</c:v>
                </c:pt>
                <c:pt idx="15">
                  <c:v>33303727.978934113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4-446F-83E4-80521DF875C1}"/>
            </c:ext>
          </c:extLst>
        </c:ser>
        <c:ser>
          <c:idx val="1"/>
          <c:order val="1"/>
          <c:tx>
            <c:strRef>
              <c:f>'Combined All Buildings'!$O$3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'Combined All Buildings'!$C$4:$C$19</c:f>
              <c:strCache>
                <c:ptCount val="14"/>
                <c:pt idx="0">
                  <c:v>Single Family Heat Pump Standard Design</c:v>
                </c:pt>
                <c:pt idx="1">
                  <c:v>Multifamily Heat Pump Standard Design</c:v>
                </c:pt>
                <c:pt idx="2">
                  <c:v>Nonres Heat Pump Standard Design</c:v>
                </c:pt>
                <c:pt idx="3">
                  <c:v>Multifamily PV/Battery</c:v>
                </c:pt>
                <c:pt idx="4">
                  <c:v>Nonres PV/Battery</c:v>
                </c:pt>
                <c:pt idx="5">
                  <c:v>Multifamily Efficiency-All Prototypes</c:v>
                </c:pt>
                <c:pt idx="6">
                  <c:v>Nonres Efficiency-New Construction</c:v>
                </c:pt>
                <c:pt idx="7">
                  <c:v>Covered Processes</c:v>
                </c:pt>
                <c:pt idx="8">
                  <c:v> Single Family Alterations - Including All Existing Buildings </c:v>
                </c:pt>
                <c:pt idx="9">
                  <c:v> Single Family Alterations - Altered Buildings Only (7% of existing buildings) </c:v>
                </c:pt>
                <c:pt idx="10">
                  <c:v> Multifamily Alterations - Including All Existing Buildings </c:v>
                </c:pt>
                <c:pt idx="11">
                  <c:v> MF Expected Alterations (3.6% of existing buildings) </c:v>
                </c:pt>
                <c:pt idx="12">
                  <c:v> Nonres Alterations - Including All Existing Buildings</c:v>
                </c:pt>
                <c:pt idx="13">
                  <c:v> Nonres Alterations - Altered Buildings Only (7% of existing buildings) </c:v>
                </c:pt>
              </c:strCache>
            </c:strRef>
          </c:cat>
          <c:val>
            <c:numRef>
              <c:f>'Combined All Buildings'!$O$4:$O$19</c:f>
              <c:numCache>
                <c:formatCode>_(* #,##0_);_(* \(#,##0\);_(* "-"??_);_(@_)</c:formatCode>
                <c:ptCount val="16"/>
                <c:pt idx="0">
                  <c:v>-125227444.32673505</c:v>
                </c:pt>
                <c:pt idx="1">
                  <c:v>-6715355.2129068365</c:v>
                </c:pt>
                <c:pt idx="2">
                  <c:v>-15451366.739763731</c:v>
                </c:pt>
                <c:pt idx="3">
                  <c:v>89670588.448820382</c:v>
                </c:pt>
                <c:pt idx="4">
                  <c:v>363116456.21127141</c:v>
                </c:pt>
                <c:pt idx="5">
                  <c:v>3393407.0114257419</c:v>
                </c:pt>
                <c:pt idx="6">
                  <c:v>107381502.32754815</c:v>
                </c:pt>
                <c:pt idx="7">
                  <c:v>348338000</c:v>
                </c:pt>
                <c:pt idx="8">
                  <c:v>189720000</c:v>
                </c:pt>
                <c:pt idx="9">
                  <c:v>189720000</c:v>
                </c:pt>
                <c:pt idx="10">
                  <c:v>13047527.641845703</c:v>
                </c:pt>
                <c:pt idx="11">
                  <c:v>13047527.641844988</c:v>
                </c:pt>
                <c:pt idx="12">
                  <c:v>381396209.71816319</c:v>
                </c:pt>
                <c:pt idx="13">
                  <c:v>381396209.71816349</c:v>
                </c:pt>
                <c:pt idx="14">
                  <c:v>1348669525.0796685</c:v>
                </c:pt>
                <c:pt idx="15">
                  <c:v>1348669525.079669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4-446F-83E4-80521DF87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506552"/>
        <c:axId val="719508848"/>
      </c:barChart>
      <c:catAx>
        <c:axId val="71950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508848"/>
        <c:crosses val="autoZero"/>
        <c:auto val="1"/>
        <c:lblAlgn val="ctr"/>
        <c:lblOffset val="100"/>
        <c:noMultiLvlLbl val="0"/>
      </c:catAx>
      <c:valAx>
        <c:axId val="71950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506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CO2 Emissions savings-mTon/yr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'CO2 Emissions'!$C$16</c:f>
              <c:strCache>
                <c:ptCount val="1"/>
                <c:pt idx="0">
                  <c:v>Heat Pumps, PV/Battery Annual CO2e Emissions Savings-mTons/yr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'CO2 Emissions'!$E$3:$AH$3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'CO2 Emissions'!$E$16:$AH$16</c:f>
              <c:numCache>
                <c:formatCode>_(* #,##0_);_(* \(#,##0\);_(* "-"??_);_(@_)</c:formatCode>
                <c:ptCount val="30"/>
                <c:pt idx="0">
                  <c:v>106775.10910945758</c:v>
                </c:pt>
                <c:pt idx="1">
                  <c:v>106376.55728323164</c:v>
                </c:pt>
                <c:pt idx="2">
                  <c:v>106297.17083660768</c:v>
                </c:pt>
                <c:pt idx="3">
                  <c:v>105512.26629709682</c:v>
                </c:pt>
                <c:pt idx="4">
                  <c:v>104497.65572188633</c:v>
                </c:pt>
                <c:pt idx="5">
                  <c:v>102506.43534773627</c:v>
                </c:pt>
                <c:pt idx="6">
                  <c:v>101152.49050899487</c:v>
                </c:pt>
                <c:pt idx="7">
                  <c:v>100844.44383821427</c:v>
                </c:pt>
                <c:pt idx="8">
                  <c:v>100391.07758514359</c:v>
                </c:pt>
                <c:pt idx="9">
                  <c:v>99869.772429222576</c:v>
                </c:pt>
                <c:pt idx="10">
                  <c:v>99307.786099456251</c:v>
                </c:pt>
                <c:pt idx="11">
                  <c:v>98711.619429287821</c:v>
                </c:pt>
                <c:pt idx="12">
                  <c:v>98090.403702779528</c:v>
                </c:pt>
                <c:pt idx="13">
                  <c:v>97317.987203992205</c:v>
                </c:pt>
                <c:pt idx="14">
                  <c:v>96548.545340922137</c:v>
                </c:pt>
                <c:pt idx="15">
                  <c:v>95781.421004633812</c:v>
                </c:pt>
                <c:pt idx="16">
                  <c:v>95011.67398619077</c:v>
                </c:pt>
                <c:pt idx="17">
                  <c:v>94235.265013471915</c:v>
                </c:pt>
                <c:pt idx="18">
                  <c:v>93280.978126896822</c:v>
                </c:pt>
                <c:pt idx="19">
                  <c:v>92300.33835207198</c:v>
                </c:pt>
                <c:pt idx="20">
                  <c:v>91290.20876037018</c:v>
                </c:pt>
                <c:pt idx="21">
                  <c:v>90248.880092557854</c:v>
                </c:pt>
                <c:pt idx="22">
                  <c:v>88308.411702546873</c:v>
                </c:pt>
                <c:pt idx="23">
                  <c:v>88308.411702546873</c:v>
                </c:pt>
                <c:pt idx="24">
                  <c:v>88308.411702546873</c:v>
                </c:pt>
                <c:pt idx="25">
                  <c:v>88308.411702546873</c:v>
                </c:pt>
                <c:pt idx="26">
                  <c:v>88308.411702546873</c:v>
                </c:pt>
                <c:pt idx="27">
                  <c:v>88308.411702546873</c:v>
                </c:pt>
                <c:pt idx="28">
                  <c:v>88308.411702546873</c:v>
                </c:pt>
                <c:pt idx="29">
                  <c:v>88308.411702546873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D-4CF1-9BD4-ACBDE63C7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740128"/>
        <c:axId val="229742424"/>
      </c:lineChart>
      <c:catAx>
        <c:axId val="22974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42424"/>
        <c:crosses val="autoZero"/>
        <c:auto val="1"/>
        <c:lblAlgn val="ctr"/>
        <c:lblOffset val="100"/>
        <c:noMultiLvlLbl val="0"/>
      </c:catAx>
      <c:valAx>
        <c:axId val="22974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4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Emission Savings/yr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'CO2 Emissions'!$C$35</c:f>
              <c:strCache>
                <c:ptCount val="1"/>
                <c:pt idx="0">
                  <c:v>Total Annual Emission Savings/yr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'CO2 Emissions'!$E$19:$AH$19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'CO2 Emissions'!$E$35:$AH$35</c:f>
              <c:numCache>
                <c:formatCode>_(* #,##0_);_(* \(#,##0\);_(* "-"??_);_(@_)</c:formatCode>
                <c:ptCount val="30"/>
                <c:pt idx="0">
                  <c:v>632873.17715011246</c:v>
                </c:pt>
                <c:pt idx="1">
                  <c:v>1281761.6939771934</c:v>
                </c:pt>
                <c:pt idx="2">
                  <c:v>1993929.5851085526</c:v>
                </c:pt>
                <c:pt idx="3">
                  <c:v>2609522.0635089991</c:v>
                </c:pt>
                <c:pt idx="4">
                  <c:v>3144743.2531761187</c:v>
                </c:pt>
                <c:pt idx="5">
                  <c:v>3330066.4285725839</c:v>
                </c:pt>
                <c:pt idx="6">
                  <c:v>3607996.4988507857</c:v>
                </c:pt>
                <c:pt idx="7">
                  <c:v>4253648.9688909827</c:v>
                </c:pt>
                <c:pt idx="8">
                  <c:v>4803386.5553055555</c:v>
                </c:pt>
                <c:pt idx="9">
                  <c:v>5322432.6054529846</c:v>
                </c:pt>
                <c:pt idx="10">
                  <c:v>5816386.73354779</c:v>
                </c:pt>
                <c:pt idx="11">
                  <c:v>6283529.4466950903</c:v>
                </c:pt>
                <c:pt idx="12">
                  <c:v>6725177.830325718</c:v>
                </c:pt>
                <c:pt idx="13">
                  <c:v>7047299.2537244949</c:v>
                </c:pt>
                <c:pt idx="14">
                  <c:v>7348981.5551031502</c:v>
                </c:pt>
                <c:pt idx="15">
                  <c:v>7633288.1100431643</c:v>
                </c:pt>
                <c:pt idx="16">
                  <c:v>7900574.8769235909</c:v>
                </c:pt>
                <c:pt idx="17">
                  <c:v>8152226.7911840063</c:v>
                </c:pt>
                <c:pt idx="18">
                  <c:v>8420835.0442631673</c:v>
                </c:pt>
                <c:pt idx="19">
                  <c:v>8671128.241036335</c:v>
                </c:pt>
                <c:pt idx="20">
                  <c:v>8902468.5866242461</c:v>
                </c:pt>
                <c:pt idx="21">
                  <c:v>9114574.3316621147</c:v>
                </c:pt>
                <c:pt idx="22">
                  <c:v>8258526.6276136898</c:v>
                </c:pt>
                <c:pt idx="23">
                  <c:v>8617593.0027273297</c:v>
                </c:pt>
                <c:pt idx="24">
                  <c:v>8976659.3778409678</c:v>
                </c:pt>
                <c:pt idx="25">
                  <c:v>9335725.752954606</c:v>
                </c:pt>
                <c:pt idx="26">
                  <c:v>9694792.1280682441</c:v>
                </c:pt>
                <c:pt idx="27">
                  <c:v>10053858.503181884</c:v>
                </c:pt>
                <c:pt idx="28">
                  <c:v>10412924.878295522</c:v>
                </c:pt>
                <c:pt idx="29">
                  <c:v>10771991.25340916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C-4237-A5E3-A79248BC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739632"/>
        <c:axId val="970741928"/>
      </c:lineChart>
      <c:catAx>
        <c:axId val="97073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741928"/>
        <c:crosses val="autoZero"/>
        <c:auto val="1"/>
        <c:lblAlgn val="ctr"/>
        <c:lblOffset val="100"/>
        <c:noMultiLvlLbl val="0"/>
      </c:catAx>
      <c:valAx>
        <c:axId val="97074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73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300036</xdr:colOff>
      <xdr:row>135</xdr:row>
      <xdr:rowOff>581024</xdr:rowOff>
    </xdr:from>
    <xdr:to>
      <xdr:col>27</xdr:col>
      <xdr:colOff>676274</xdr:colOff>
      <xdr:row>153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F016CC-9910-44DC-AEEB-45578AD7C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133</xdr:row>
      <xdr:rowOff>0</xdr:rowOff>
    </xdr:from>
    <xdr:to>
      <xdr:col>37</xdr:col>
      <xdr:colOff>531440</xdr:colOff>
      <xdr:row>146</xdr:row>
      <xdr:rowOff>103469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34724AA-3006-488F-9B76-297B6C256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81056</xdr:colOff>
      <xdr:row>133</xdr:row>
      <xdr:rowOff>108884</xdr:rowOff>
    </xdr:from>
    <xdr:to>
      <xdr:col>46</xdr:col>
      <xdr:colOff>318903</xdr:colOff>
      <xdr:row>147</xdr:row>
      <xdr:rowOff>23347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C9037A-C0D3-4031-9A00-B1AA25DE5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81431</xdr:colOff>
      <xdr:row>147</xdr:row>
      <xdr:rowOff>115233</xdr:rowOff>
    </xdr:from>
    <xdr:to>
      <xdr:col>37</xdr:col>
      <xdr:colOff>584296</xdr:colOff>
      <xdr:row>168</xdr:row>
      <xdr:rowOff>20357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A19C69C-21DA-4A2B-95C3-0317C2929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77880</xdr:colOff>
      <xdr:row>147</xdr:row>
      <xdr:rowOff>105710</xdr:rowOff>
    </xdr:from>
    <xdr:to>
      <xdr:col>46</xdr:col>
      <xdr:colOff>357000</xdr:colOff>
      <xdr:row>168</xdr:row>
      <xdr:rowOff>134659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D1B701-6C79-4CC7-84B4-F1E84A39C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419100</xdr:colOff>
      <xdr:row>4</xdr:row>
      <xdr:rowOff>542925</xdr:rowOff>
    </xdr:from>
    <xdr:to>
      <xdr:col>44</xdr:col>
      <xdr:colOff>304800</xdr:colOff>
      <xdr:row>18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99E76AF-17CE-4BE4-A314-1F38E7AF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0" y="1266825"/>
          <a:ext cx="963930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491137</xdr:colOff>
      <xdr:row>57</xdr:row>
      <xdr:rowOff>133350</xdr:rowOff>
    </xdr:from>
    <xdr:to>
      <xdr:col>10</xdr:col>
      <xdr:colOff>191780</xdr:colOff>
      <xdr:row>76</xdr:row>
      <xdr:rowOff>59872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D39A30-8B4E-4625-B1DB-ABF9B11C0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786493</xdr:colOff>
      <xdr:row>57</xdr:row>
      <xdr:rowOff>160564</xdr:rowOff>
    </xdr:from>
    <xdr:to>
      <xdr:col>23</xdr:col>
      <xdr:colOff>5443</xdr:colOff>
      <xdr:row>77</xdr:row>
      <xdr:rowOff>21772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58BC6D-B109-41E4-8423-AC21BF491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1790700</xdr:colOff>
      <xdr:row>69</xdr:row>
      <xdr:rowOff>117707</xdr:rowOff>
    </xdr:from>
    <xdr:to>
      <xdr:col>9</xdr:col>
      <xdr:colOff>566057</xdr:colOff>
      <xdr:row>93</xdr:row>
      <xdr:rowOff>65321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F9A411-AE49-4493-A1D1-758791B6D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577381</xdr:colOff>
      <xdr:row>67</xdr:row>
      <xdr:rowOff>164924</xdr:rowOff>
    </xdr:from>
    <xdr:to>
      <xdr:col>17</xdr:col>
      <xdr:colOff>703247</xdr:colOff>
      <xdr:row>91</xdr:row>
      <xdr:rowOff>74438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0B19F1-76D5-40DA-9D71-62C3AA1F9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threesf.sharepoint.com/sites/CECTitle242022/Shared%20Documents/Model%20Development/Refrigerant%20Leakage%20Calculator%200106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rigerant TDV Calc"/>
      <sheetName val="GWPs"/>
      <sheetName val="CARB Data"/>
      <sheetName val="Dropdown lists"/>
    </sheetNames>
    <sheetDataSet>
      <sheetData sheetId="0">
        <row r="8">
          <cell r="F8">
            <v>1.4506819164379634</v>
          </cell>
        </row>
        <row r="28">
          <cell r="B28" t="str">
            <v>Res (30 Year)</v>
          </cell>
        </row>
        <row r="29">
          <cell r="B29" t="str">
            <v>Non-Res (15 Year)</v>
          </cell>
        </row>
        <row r="30">
          <cell r="B30" t="str">
            <v>Non-Res (30 Year)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cCollum, Elizabeth" id="{1C52830E-07CC-4FA7-A5DB-24A08254A008}" userId="S::EMcCollum@trcsolutions.com::a32d288d-d962-4669-b71a-6eb99d2d06a2" providerId="AD"/>
  <person displayName="Nakajima, Mia" id="{C65FF18E-61FB-4858-A9A6-FDBDB7DB771E}" userId="S::MNakajima@trcsolutions.com::e1097819-8661-4ed2-b49f-ed368e6161b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4" dT="2021-03-22T06:07:57.56" personId="{C65FF18E-61FB-4858-A9A6-FDBDB7DB771E}" id="{DD8F7AF6-7EB3-49CE-B0EF-647BBE73C5E6}">
    <text>CASE Calculator had 100%. Changing to 93% does not make impacts within sigfigs, kept at is.</text>
  </threadedComment>
  <threadedComment ref="F134" dT="2021-03-22T20:57:17.43" personId="{1C52830E-07CC-4FA7-A5DB-24A08254A008}" id="{19994FBE-4BFD-4C21-BE39-EC8584D8F15D}" parentId="{DD8F7AF6-7EB3-49CE-B0EF-647BBE73C5E6}">
    <text>Perfect.</text>
  </threadedComment>
  <threadedComment ref="F135" dT="2021-03-22T06:30:25.06" personId="{C65FF18E-61FB-4858-A9A6-FDBDB7DB771E}" id="{97F113E2-BE34-4F61-AB2E-3C99BE355219}">
    <text>Appendix A has 93% MRMU penetration numbers for high fire. Which is correct?</text>
  </threadedComment>
  <threadedComment ref="F135" dT="2021-03-22T21:35:58.55" personId="{1C52830E-07CC-4FA7-A5DB-24A08254A008}" id="{0FA614AF-A263-427B-B55B-B4F35CEC835D}" parentId="{97F113E2-BE34-4F61-AB2E-3C99BE355219}">
    <text>mistake in CASE report?</text>
  </threadedComment>
  <threadedComment ref="F135" dT="2021-03-30T21:43:39.11" personId="{C65FF18E-61FB-4858-A9A6-FDBDB7DB771E}" id="{A9F41C7B-88C8-4FFB-822D-CB19189D38FA}" parentId="{97F113E2-BE34-4F61-AB2E-3C99BE355219}">
    <text>Edited with 55% for high fire</text>
  </threadedComment>
  <threadedComment ref="F137" dT="2021-03-22T19:58:33.82" personId="{C65FF18E-61FB-4858-A9A6-FDBDB7DB771E}" id="{8232C5AC-CB6B-41FA-B4E8-A8749E67813C}">
    <text>Different unit count in Appendix A and Statewide Savings Section of CASE Report for all HVAC measures; used Statewide Savings to align</text>
  </threadedComment>
  <threadedComment ref="F137" dT="2021-03-30T21:43:14.55" personId="{C65FF18E-61FB-4858-A9A6-FDBDB7DB771E}" id="{C3DAA8AC-6987-4F18-9323-12BCB5256DB7}" parentId="{8232C5AC-CB6B-41FA-B4E8-A8749E67813C}">
    <text>Resolved found in CASE Calculator</text>
  </threadedComment>
  <threadedComment ref="C138" dT="2021-03-22T21:06:51.17" personId="{1C52830E-07CC-4FA7-A5DB-24A08254A008}" id="{DDC06543-30DB-4A72-8C09-B20B263187B6}">
    <text>Is there enough info in the memo Alea shared?</text>
  </threadedComment>
  <threadedComment ref="C138" dT="2021-03-30T21:43:02.12" personId="{C65FF18E-61FB-4858-A9A6-FDBDB7DB771E}" id="{D26F50BA-F6DF-42CD-BA79-E49557AAE0A0}" parentId="{DDC06543-30DB-4A72-8C09-B20B263187B6}">
    <text>CZ01 is added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8C1D-F46E-41C6-97CD-881A3991BFED}">
  <dimension ref="B1:AB78"/>
  <sheetViews>
    <sheetView tabSelected="1" zoomScaleNormal="100" workbookViewId="0">
      <selection activeCell="O2" sqref="O2"/>
    </sheetView>
  </sheetViews>
  <sheetFormatPr defaultRowHeight="14.5" x14ac:dyDescent="0.35"/>
  <cols>
    <col min="1" max="1" width="3" customWidth="1"/>
    <col min="2" max="2" width="10" customWidth="1"/>
    <col min="4" max="4" width="9.26953125" customWidth="1"/>
    <col min="5" max="5" width="9" customWidth="1"/>
    <col min="6" max="6" width="9.7265625" customWidth="1"/>
    <col min="8" max="8" width="9.54296875" bestFit="1" customWidth="1"/>
    <col min="9" max="9" width="9.54296875" customWidth="1"/>
    <col min="10" max="10" width="9.7265625" customWidth="1"/>
    <col min="11" max="11" width="9.26953125" customWidth="1"/>
    <col min="12" max="12" width="10.1796875" customWidth="1"/>
    <col min="13" max="13" width="9.1796875" customWidth="1"/>
    <col min="14" max="15" width="11.26953125" customWidth="1"/>
    <col min="17" max="17" width="12.26953125" customWidth="1"/>
    <col min="18" max="18" width="15.81640625" customWidth="1"/>
    <col min="19" max="19" width="9.453125" bestFit="1" customWidth="1"/>
    <col min="20" max="20" width="13.453125" customWidth="1"/>
    <col min="21" max="21" width="14.81640625" customWidth="1"/>
    <col min="22" max="22" width="10" customWidth="1"/>
    <col min="23" max="23" width="14.453125" customWidth="1"/>
    <col min="25" max="25" width="13.54296875" customWidth="1"/>
    <col min="26" max="26" width="11.1796875" customWidth="1"/>
    <col min="27" max="27" width="11.453125" customWidth="1"/>
    <col min="28" max="28" width="9.7265625" bestFit="1" customWidth="1"/>
  </cols>
  <sheetData>
    <row r="1" spans="2:23" x14ac:dyDescent="0.35">
      <c r="B1" t="s">
        <v>562</v>
      </c>
    </row>
    <row r="2" spans="2:23" x14ac:dyDescent="0.35">
      <c r="B2" t="s">
        <v>0</v>
      </c>
    </row>
    <row r="3" spans="2:23" ht="15" thickBot="1" x14ac:dyDescent="0.4">
      <c r="B3" t="s">
        <v>582</v>
      </c>
    </row>
    <row r="4" spans="2:23" x14ac:dyDescent="0.35">
      <c r="B4" s="7"/>
      <c r="C4" s="1147" t="str">
        <f t="shared" ref="C4" si="0">$C$50</f>
        <v>2019 Energy Code - Per Building</v>
      </c>
      <c r="D4" s="1148"/>
      <c r="E4" s="1149"/>
      <c r="F4" s="1150"/>
      <c r="G4" s="1151" t="str">
        <f t="shared" ref="G4" si="1">$G$50</f>
        <v>2022 Energy Code - Per Building</v>
      </c>
      <c r="H4" s="1152"/>
      <c r="I4" s="1153"/>
      <c r="J4" s="1154"/>
      <c r="K4" s="1147" t="s">
        <v>3</v>
      </c>
      <c r="L4" s="1148"/>
      <c r="M4" s="1149"/>
      <c r="N4" s="1150"/>
      <c r="O4" s="1300" t="s">
        <v>4</v>
      </c>
      <c r="P4" s="1301"/>
      <c r="Q4" s="1155" t="str">
        <f t="shared" ref="Q4" si="2">$Q$50</f>
        <v>Savings - Weighted Average</v>
      </c>
      <c r="R4" s="1156"/>
      <c r="S4" s="1156"/>
      <c r="T4" s="1157"/>
      <c r="U4" s="1290" t="s">
        <v>653</v>
      </c>
      <c r="V4" s="1290"/>
      <c r="W4" s="1290"/>
    </row>
    <row r="5" spans="2:23" ht="45.75" customHeight="1" x14ac:dyDescent="0.35">
      <c r="B5" s="8" t="s">
        <v>5</v>
      </c>
      <c r="C5" s="17" t="s">
        <v>6</v>
      </c>
      <c r="D5" s="18" t="s">
        <v>7</v>
      </c>
      <c r="E5" s="61" t="s">
        <v>8</v>
      </c>
      <c r="F5" s="19" t="s">
        <v>9</v>
      </c>
      <c r="G5" s="5" t="s">
        <v>6</v>
      </c>
      <c r="H5" s="4" t="s">
        <v>7</v>
      </c>
      <c r="I5" s="71" t="s">
        <v>8</v>
      </c>
      <c r="J5" s="6" t="s">
        <v>9</v>
      </c>
      <c r="K5" s="17" t="s">
        <v>6</v>
      </c>
      <c r="L5" s="18" t="s">
        <v>7</v>
      </c>
      <c r="M5" s="61" t="s">
        <v>8</v>
      </c>
      <c r="N5" s="19" t="s">
        <v>9</v>
      </c>
      <c r="O5" s="1302" t="s">
        <v>10</v>
      </c>
      <c r="P5" s="1303" t="s">
        <v>11</v>
      </c>
      <c r="Q5" s="17" t="s">
        <v>6</v>
      </c>
      <c r="R5" s="18" t="s">
        <v>7</v>
      </c>
      <c r="S5" s="61" t="s">
        <v>8</v>
      </c>
      <c r="T5" s="19" t="s">
        <v>9</v>
      </c>
      <c r="U5" s="1290" t="s">
        <v>650</v>
      </c>
      <c r="V5" s="1291" t="s">
        <v>651</v>
      </c>
      <c r="W5" s="1290" t="s">
        <v>652</v>
      </c>
    </row>
    <row r="6" spans="2:23" x14ac:dyDescent="0.35">
      <c r="B6" s="9">
        <v>1</v>
      </c>
      <c r="C6" s="20">
        <v>536.1</v>
      </c>
      <c r="D6" s="305">
        <v>4135.1396023260004</v>
      </c>
      <c r="E6" s="307">
        <v>116.81</v>
      </c>
      <c r="F6" s="307">
        <v>3.68</v>
      </c>
      <c r="G6" s="11">
        <v>406.9</v>
      </c>
      <c r="H6" s="309">
        <v>5684.76</v>
      </c>
      <c r="I6" s="311">
        <v>115.05</v>
      </c>
      <c r="J6" s="311">
        <v>3.15</v>
      </c>
      <c r="K6" s="23">
        <f>C6-G6</f>
        <v>129.20000000000005</v>
      </c>
      <c r="L6" s="24">
        <f>D6-H6</f>
        <v>-1549.6203976739998</v>
      </c>
      <c r="M6" s="77">
        <f>E6-I6</f>
        <v>1.7600000000000051</v>
      </c>
      <c r="N6" s="25">
        <f>F6-J6</f>
        <v>0.53000000000000025</v>
      </c>
      <c r="O6" s="1304">
        <v>545</v>
      </c>
      <c r="P6" s="1305">
        <f>O6/O$22</f>
        <v>4.5781007182158009E-3</v>
      </c>
      <c r="Q6" s="28">
        <f>K6*O6</f>
        <v>70414.000000000029</v>
      </c>
      <c r="R6" s="27">
        <f>O6*L6</f>
        <v>-844543.11673232995</v>
      </c>
      <c r="S6" s="62">
        <f>M6*O6</f>
        <v>959.20000000000277</v>
      </c>
      <c r="T6" s="347">
        <f>O6*N6</f>
        <v>288.85000000000014</v>
      </c>
      <c r="U6" s="1293">
        <v>1</v>
      </c>
      <c r="V6" s="1294">
        <v>240.2</v>
      </c>
      <c r="W6" s="1295">
        <v>4.2118921951989335E-3</v>
      </c>
    </row>
    <row r="7" spans="2:23" x14ac:dyDescent="0.35">
      <c r="B7" s="9">
        <v>2</v>
      </c>
      <c r="C7" s="22">
        <v>356.6</v>
      </c>
      <c r="D7" s="305">
        <v>4096.3207304709995</v>
      </c>
      <c r="E7" s="307">
        <v>90.91</v>
      </c>
      <c r="F7" s="307">
        <v>2.63</v>
      </c>
      <c r="G7" s="11">
        <v>238.3</v>
      </c>
      <c r="H7" s="309">
        <v>5409.8499999999995</v>
      </c>
      <c r="I7" s="311">
        <v>86.42</v>
      </c>
      <c r="J7" s="311">
        <v>2.14</v>
      </c>
      <c r="K7" s="23">
        <f t="shared" ref="K7:K21" si="3">C7-G7</f>
        <v>118.30000000000001</v>
      </c>
      <c r="L7" s="24">
        <f t="shared" ref="L7:L21" si="4">D7-H7</f>
        <v>-1313.529269529</v>
      </c>
      <c r="M7" s="77">
        <f t="shared" ref="M7:M21" si="5">E7-I7</f>
        <v>4.4899999999999949</v>
      </c>
      <c r="N7" s="25">
        <f t="shared" ref="N7:N21" si="6">F7-J7</f>
        <v>0.48999999999999977</v>
      </c>
      <c r="O7" s="1304">
        <v>3238</v>
      </c>
      <c r="P7" s="1305">
        <f t="shared" ref="P7:P21" si="7">O7/O$22</f>
        <v>2.7199798395564703E-2</v>
      </c>
      <c r="Q7" s="28">
        <f t="shared" ref="Q7:Q21" si="8">K7*O7</f>
        <v>383055.4</v>
      </c>
      <c r="R7" s="27">
        <f t="shared" ref="R7:R21" si="9">O7*L7</f>
        <v>-4253207.7747349022</v>
      </c>
      <c r="S7" s="62">
        <f t="shared" ref="S7:S21" si="10">M7*O7</f>
        <v>14538.619999999983</v>
      </c>
      <c r="T7" s="347">
        <f t="shared" ref="T7:T21" si="11">O7*N7</f>
        <v>1586.6199999999992</v>
      </c>
      <c r="U7" s="1293">
        <v>2</v>
      </c>
      <c r="V7" s="1294">
        <v>1481.51</v>
      </c>
      <c r="W7" s="1295">
        <v>2.5978186536674323E-2</v>
      </c>
    </row>
    <row r="8" spans="2:23" x14ac:dyDescent="0.35">
      <c r="B8" s="9">
        <v>3</v>
      </c>
      <c r="C8" s="20">
        <v>276.39999999999998</v>
      </c>
      <c r="D8" s="305">
        <v>4006.4102276399999</v>
      </c>
      <c r="E8" s="307">
        <v>70.010000000000005</v>
      </c>
      <c r="F8" s="307">
        <v>2.14</v>
      </c>
      <c r="G8" s="11">
        <v>162.19999999999999</v>
      </c>
      <c r="H8" s="309">
        <v>5132.09</v>
      </c>
      <c r="I8" s="311">
        <v>65.89</v>
      </c>
      <c r="J8" s="311">
        <v>1.77</v>
      </c>
      <c r="K8" s="23">
        <f t="shared" si="3"/>
        <v>114.19999999999999</v>
      </c>
      <c r="L8" s="24">
        <f t="shared" si="4"/>
        <v>-1125.6797723600002</v>
      </c>
      <c r="M8" s="77">
        <f t="shared" si="5"/>
        <v>4.1200000000000045</v>
      </c>
      <c r="N8" s="25">
        <f t="shared" si="6"/>
        <v>0.37000000000000011</v>
      </c>
      <c r="O8" s="1304">
        <v>12451</v>
      </c>
      <c r="P8" s="1305">
        <f t="shared" si="7"/>
        <v>0.10459070099542189</v>
      </c>
      <c r="Q8" s="28">
        <f t="shared" si="8"/>
        <v>1421904.2</v>
      </c>
      <c r="R8" s="27">
        <f t="shared" si="9"/>
        <v>-14015838.845654363</v>
      </c>
      <c r="S8" s="62">
        <f t="shared" si="10"/>
        <v>51298.120000000054</v>
      </c>
      <c r="T8" s="347">
        <f t="shared" si="11"/>
        <v>4606.8700000000017</v>
      </c>
      <c r="U8" s="1293">
        <v>3</v>
      </c>
      <c r="V8" s="1294">
        <v>2116.92</v>
      </c>
      <c r="W8" s="1295">
        <v>3.7120061722983044E-2</v>
      </c>
    </row>
    <row r="9" spans="2:23" x14ac:dyDescent="0.35">
      <c r="B9" s="9">
        <v>4</v>
      </c>
      <c r="C9" s="20">
        <v>251</v>
      </c>
      <c r="D9" s="306">
        <v>4169.6095550739992</v>
      </c>
      <c r="E9" s="308">
        <v>72.13</v>
      </c>
      <c r="F9" s="308">
        <v>2.02</v>
      </c>
      <c r="G9" s="36">
        <v>154.80000000000001</v>
      </c>
      <c r="H9" s="310">
        <v>5129.9359999999997</v>
      </c>
      <c r="I9" s="312">
        <v>68.709999999999994</v>
      </c>
      <c r="J9" s="312">
        <v>1.71</v>
      </c>
      <c r="K9" s="23">
        <f t="shared" si="3"/>
        <v>96.199999999999989</v>
      </c>
      <c r="L9" s="24">
        <f t="shared" si="4"/>
        <v>-960.32644492600048</v>
      </c>
      <c r="M9" s="77">
        <f t="shared" si="5"/>
        <v>3.4200000000000017</v>
      </c>
      <c r="N9" s="25">
        <f t="shared" si="6"/>
        <v>0.31000000000000005</v>
      </c>
      <c r="O9" s="1304">
        <v>6267</v>
      </c>
      <c r="P9" s="1305">
        <f t="shared" si="7"/>
        <v>5.2643958167079674E-2</v>
      </c>
      <c r="Q9" s="28">
        <f t="shared" si="8"/>
        <v>602885.39999999991</v>
      </c>
      <c r="R9" s="27">
        <f t="shared" si="9"/>
        <v>-6018365.8303512447</v>
      </c>
      <c r="S9" s="62">
        <f t="shared" si="10"/>
        <v>21433.14000000001</v>
      </c>
      <c r="T9" s="347">
        <f t="shared" si="11"/>
        <v>1942.7700000000004</v>
      </c>
      <c r="U9" s="1293">
        <v>4</v>
      </c>
      <c r="V9" s="1294">
        <v>2387.67</v>
      </c>
      <c r="W9" s="1295">
        <v>4.1867646285223312E-2</v>
      </c>
    </row>
    <row r="10" spans="2:23" x14ac:dyDescent="0.35">
      <c r="B10" s="9">
        <v>5</v>
      </c>
      <c r="C10" s="20">
        <v>252.2</v>
      </c>
      <c r="D10" s="305">
        <v>3992.999401695</v>
      </c>
      <c r="E10" s="307">
        <v>65.75</v>
      </c>
      <c r="F10" s="307">
        <v>1.98</v>
      </c>
      <c r="G10" s="11">
        <v>133.9</v>
      </c>
      <c r="H10" s="309">
        <v>5247.9</v>
      </c>
      <c r="I10" s="311">
        <v>61.44</v>
      </c>
      <c r="J10" s="311">
        <v>1.48</v>
      </c>
      <c r="K10" s="23">
        <f t="shared" si="3"/>
        <v>118.29999999999998</v>
      </c>
      <c r="L10" s="24">
        <f t="shared" si="4"/>
        <v>-1254.9005983049997</v>
      </c>
      <c r="M10" s="77">
        <f t="shared" si="5"/>
        <v>4.3100000000000023</v>
      </c>
      <c r="N10" s="25">
        <f t="shared" si="6"/>
        <v>0.5</v>
      </c>
      <c r="O10" s="1304">
        <v>1258</v>
      </c>
      <c r="P10" s="1305">
        <f t="shared" si="7"/>
        <v>1.0567432483514638E-2</v>
      </c>
      <c r="Q10" s="28">
        <f t="shared" si="8"/>
        <v>148821.39999999997</v>
      </c>
      <c r="R10" s="27">
        <f t="shared" si="9"/>
        <v>-1578664.9526676896</v>
      </c>
      <c r="S10" s="62">
        <f t="shared" si="10"/>
        <v>5421.9800000000032</v>
      </c>
      <c r="T10" s="347">
        <f t="shared" si="11"/>
        <v>629</v>
      </c>
      <c r="U10" s="1293">
        <v>5</v>
      </c>
      <c r="V10" s="1294">
        <v>664.85</v>
      </c>
      <c r="W10" s="1295">
        <v>1.1658103771765243E-2</v>
      </c>
    </row>
    <row r="11" spans="2:23" x14ac:dyDescent="0.35">
      <c r="B11" s="9">
        <v>6</v>
      </c>
      <c r="C11" s="20">
        <v>183.9</v>
      </c>
      <c r="D11" s="305">
        <v>4064.8507104199998</v>
      </c>
      <c r="E11" s="307">
        <v>56.44</v>
      </c>
      <c r="F11" s="307">
        <v>1.58</v>
      </c>
      <c r="G11" s="11">
        <v>77.099999999999994</v>
      </c>
      <c r="H11" s="309">
        <v>5024.5519999999997</v>
      </c>
      <c r="I11" s="311">
        <v>49.76</v>
      </c>
      <c r="J11" s="311">
        <v>1.1000000000000001</v>
      </c>
      <c r="K11" s="23">
        <f t="shared" si="3"/>
        <v>106.80000000000001</v>
      </c>
      <c r="L11" s="24">
        <f t="shared" si="4"/>
        <v>-959.70128957999987</v>
      </c>
      <c r="M11" s="77">
        <f>E11-I11</f>
        <v>6.68</v>
      </c>
      <c r="N11" s="25">
        <f t="shared" si="6"/>
        <v>0.48</v>
      </c>
      <c r="O11" s="1304">
        <v>6617</v>
      </c>
      <c r="P11" s="1305">
        <f t="shared" si="7"/>
        <v>5.5584022848502668E-2</v>
      </c>
      <c r="Q11" s="28">
        <f t="shared" si="8"/>
        <v>706695.60000000009</v>
      </c>
      <c r="R11" s="27">
        <f t="shared" si="9"/>
        <v>-6350343.4331508595</v>
      </c>
      <c r="S11" s="62">
        <f t="shared" si="10"/>
        <v>44201.56</v>
      </c>
      <c r="T11" s="347">
        <f t="shared" si="11"/>
        <v>3176.16</v>
      </c>
      <c r="U11" s="1293">
        <v>6</v>
      </c>
      <c r="V11" s="1294">
        <v>1506.3</v>
      </c>
      <c r="W11" s="1295">
        <v>2.641287765873503E-2</v>
      </c>
    </row>
    <row r="12" spans="2:23" x14ac:dyDescent="0.35">
      <c r="B12" s="9">
        <v>7</v>
      </c>
      <c r="C12" s="20">
        <v>170.4</v>
      </c>
      <c r="D12" s="305">
        <v>4067.5100334996</v>
      </c>
      <c r="E12" s="307">
        <v>52.62</v>
      </c>
      <c r="F12" s="307">
        <v>1.49</v>
      </c>
      <c r="G12" s="11">
        <v>63.9</v>
      </c>
      <c r="H12" s="309">
        <v>5010.2930000000006</v>
      </c>
      <c r="I12" s="311">
        <v>45.68</v>
      </c>
      <c r="J12" s="311">
        <v>1.01</v>
      </c>
      <c r="K12" s="23">
        <f t="shared" si="3"/>
        <v>106.5</v>
      </c>
      <c r="L12" s="24">
        <f t="shared" si="4"/>
        <v>-942.78296650040056</v>
      </c>
      <c r="M12" s="77">
        <f t="shared" si="5"/>
        <v>6.9399999999999977</v>
      </c>
      <c r="N12" s="25">
        <f t="shared" si="6"/>
        <v>0.48</v>
      </c>
      <c r="O12" s="1304">
        <v>5299</v>
      </c>
      <c r="P12" s="1305">
        <f t="shared" si="7"/>
        <v>4.4512579276744089E-2</v>
      </c>
      <c r="Q12" s="28">
        <f t="shared" si="8"/>
        <v>564343.5</v>
      </c>
      <c r="R12" s="27">
        <f t="shared" si="9"/>
        <v>-4995806.9394856226</v>
      </c>
      <c r="S12" s="62">
        <f t="shared" si="10"/>
        <v>36775.05999999999</v>
      </c>
      <c r="T12" s="347">
        <f t="shared" si="11"/>
        <v>2543.52</v>
      </c>
      <c r="U12" s="1293">
        <v>7</v>
      </c>
      <c r="V12" s="1294">
        <v>1769.09</v>
      </c>
      <c r="W12" s="1295">
        <v>3.1020884111592345E-2</v>
      </c>
    </row>
    <row r="13" spans="2:23" x14ac:dyDescent="0.35">
      <c r="B13" s="9">
        <v>8</v>
      </c>
      <c r="C13" s="20">
        <v>163.6</v>
      </c>
      <c r="D13" s="306">
        <v>4546.3392760730003</v>
      </c>
      <c r="E13" s="308">
        <v>55.92</v>
      </c>
      <c r="F13" s="308">
        <v>1.53</v>
      </c>
      <c r="G13" s="11">
        <v>60.3</v>
      </c>
      <c r="H13" s="310">
        <v>5418.585</v>
      </c>
      <c r="I13" s="312">
        <v>48.3</v>
      </c>
      <c r="J13" s="312">
        <v>1.06</v>
      </c>
      <c r="K13" s="23">
        <f t="shared" si="3"/>
        <v>103.3</v>
      </c>
      <c r="L13" s="24">
        <f t="shared" si="4"/>
        <v>-872.24572392699974</v>
      </c>
      <c r="M13" s="77">
        <f t="shared" si="5"/>
        <v>7.6200000000000045</v>
      </c>
      <c r="N13" s="25">
        <f t="shared" si="6"/>
        <v>0.47</v>
      </c>
      <c r="O13" s="1304">
        <v>9870</v>
      </c>
      <c r="P13" s="1305">
        <f t="shared" si="7"/>
        <v>8.2909824016128356E-2</v>
      </c>
      <c r="Q13" s="28">
        <f t="shared" si="8"/>
        <v>1019571</v>
      </c>
      <c r="R13" s="27">
        <f t="shared" si="9"/>
        <v>-8609065.2951594871</v>
      </c>
      <c r="S13" s="62">
        <f t="shared" si="10"/>
        <v>75209.400000000038</v>
      </c>
      <c r="T13" s="347">
        <f t="shared" si="11"/>
        <v>4638.8999999999996</v>
      </c>
      <c r="U13" s="1293">
        <v>8</v>
      </c>
      <c r="V13" s="1294">
        <v>3472.0499999999997</v>
      </c>
      <c r="W13" s="1295">
        <v>6.0882182749127635E-2</v>
      </c>
    </row>
    <row r="14" spans="2:23" x14ac:dyDescent="0.35">
      <c r="B14" s="9">
        <v>9</v>
      </c>
      <c r="C14" s="20">
        <v>180.4</v>
      </c>
      <c r="D14" s="305">
        <v>4531.6395212810003</v>
      </c>
      <c r="E14" s="307">
        <v>60.74</v>
      </c>
      <c r="F14" s="307">
        <v>1.64</v>
      </c>
      <c r="G14" s="11">
        <v>76.099999999999994</v>
      </c>
      <c r="H14" s="309">
        <v>5447.9630000000006</v>
      </c>
      <c r="I14" s="311">
        <v>53.32</v>
      </c>
      <c r="J14" s="311">
        <v>1.1599999999999999</v>
      </c>
      <c r="K14" s="23">
        <f t="shared" si="3"/>
        <v>104.30000000000001</v>
      </c>
      <c r="L14" s="24">
        <f t="shared" si="4"/>
        <v>-916.32347871900038</v>
      </c>
      <c r="M14" s="77">
        <f t="shared" si="5"/>
        <v>7.4200000000000017</v>
      </c>
      <c r="N14" s="25">
        <f t="shared" si="6"/>
        <v>0.48</v>
      </c>
      <c r="O14" s="1304">
        <v>13622</v>
      </c>
      <c r="P14" s="1305">
        <f t="shared" si="7"/>
        <v>0.11442731740098282</v>
      </c>
      <c r="Q14" s="28">
        <f t="shared" si="8"/>
        <v>1420774.6</v>
      </c>
      <c r="R14" s="27">
        <f t="shared" si="9"/>
        <v>-12482158.427110223</v>
      </c>
      <c r="S14" s="62">
        <f t="shared" si="10"/>
        <v>101075.24000000002</v>
      </c>
      <c r="T14" s="347">
        <f t="shared" si="11"/>
        <v>6538.5599999999995</v>
      </c>
      <c r="U14" s="1293">
        <v>9</v>
      </c>
      <c r="V14" s="1294">
        <v>3566.85</v>
      </c>
      <c r="W14" s="1295">
        <v>6.2544494906100409E-2</v>
      </c>
    </row>
    <row r="15" spans="2:23" x14ac:dyDescent="0.35">
      <c r="B15" s="9">
        <v>10</v>
      </c>
      <c r="C15" s="20">
        <v>200.8</v>
      </c>
      <c r="D15" s="305">
        <v>4808.1395849870005</v>
      </c>
      <c r="E15" s="307">
        <v>70.290000000000006</v>
      </c>
      <c r="F15" s="307">
        <v>1.79</v>
      </c>
      <c r="G15" s="36">
        <v>147</v>
      </c>
      <c r="H15" s="309">
        <v>5407.2849999999999</v>
      </c>
      <c r="I15" s="311">
        <v>69.209999999999994</v>
      </c>
      <c r="J15" s="311">
        <v>1.64</v>
      </c>
      <c r="K15" s="23">
        <f t="shared" si="3"/>
        <v>53.800000000000011</v>
      </c>
      <c r="L15" s="24">
        <f t="shared" si="4"/>
        <v>-599.14541501299936</v>
      </c>
      <c r="M15" s="77">
        <f t="shared" si="5"/>
        <v>1.0800000000000125</v>
      </c>
      <c r="N15" s="25">
        <f t="shared" si="6"/>
        <v>0.15000000000000013</v>
      </c>
      <c r="O15" s="1304">
        <v>17792</v>
      </c>
      <c r="P15" s="1305">
        <f t="shared" si="7"/>
        <v>0.14945608803393676</v>
      </c>
      <c r="Q15" s="28">
        <f t="shared" si="8"/>
        <v>957209.60000000021</v>
      </c>
      <c r="R15" s="27">
        <f t="shared" si="9"/>
        <v>-10659995.223911285</v>
      </c>
      <c r="S15" s="62">
        <f t="shared" si="10"/>
        <v>19215.360000000222</v>
      </c>
      <c r="T15" s="347">
        <f t="shared" si="11"/>
        <v>2668.8000000000025</v>
      </c>
      <c r="U15" s="1293">
        <v>10</v>
      </c>
      <c r="V15" s="1294">
        <v>8621.91</v>
      </c>
      <c r="W15" s="1295">
        <v>0.15118466043591858</v>
      </c>
    </row>
    <row r="16" spans="2:23" x14ac:dyDescent="0.35">
      <c r="B16" s="9">
        <v>11</v>
      </c>
      <c r="C16" s="20">
        <v>312.89999999999998</v>
      </c>
      <c r="D16" s="305">
        <v>5267.3706675169997</v>
      </c>
      <c r="E16" s="307">
        <v>100.86</v>
      </c>
      <c r="F16" s="307">
        <v>2.54</v>
      </c>
      <c r="G16" s="11">
        <v>206.6</v>
      </c>
      <c r="H16" s="309">
        <v>6372.8899999999994</v>
      </c>
      <c r="I16" s="311">
        <v>95.9</v>
      </c>
      <c r="J16" s="311">
        <v>2.09</v>
      </c>
      <c r="K16" s="23">
        <f t="shared" si="3"/>
        <v>106.29999999999998</v>
      </c>
      <c r="L16" s="24">
        <f t="shared" si="4"/>
        <v>-1105.5193324829997</v>
      </c>
      <c r="M16" s="77">
        <f t="shared" si="5"/>
        <v>4.9599999999999937</v>
      </c>
      <c r="N16" s="25">
        <f t="shared" si="6"/>
        <v>0.45000000000000018</v>
      </c>
      <c r="O16" s="1304">
        <v>5145</v>
      </c>
      <c r="P16" s="1305">
        <f t="shared" si="7"/>
        <v>4.321895081691797E-2</v>
      </c>
      <c r="Q16" s="28">
        <f t="shared" si="8"/>
        <v>546913.49999999988</v>
      </c>
      <c r="R16" s="27">
        <f t="shared" si="9"/>
        <v>-5687896.9656250337</v>
      </c>
      <c r="S16" s="62">
        <f t="shared" si="10"/>
        <v>25519.199999999968</v>
      </c>
      <c r="T16" s="347">
        <f t="shared" si="11"/>
        <v>2315.2500000000009</v>
      </c>
      <c r="U16" s="1293">
        <v>11</v>
      </c>
      <c r="V16" s="1294">
        <v>4607.0499999999993</v>
      </c>
      <c r="W16" s="1295">
        <v>8.0784337793052649E-2</v>
      </c>
    </row>
    <row r="17" spans="2:23" x14ac:dyDescent="0.35">
      <c r="B17" s="9">
        <v>12</v>
      </c>
      <c r="C17" s="20">
        <v>308.10000000000002</v>
      </c>
      <c r="D17" s="306">
        <v>4389.6593925549996</v>
      </c>
      <c r="E17" s="308">
        <v>90.56</v>
      </c>
      <c r="F17" s="308">
        <v>2.4</v>
      </c>
      <c r="G17" s="11">
        <v>196.9</v>
      </c>
      <c r="H17" s="310">
        <v>5558.32</v>
      </c>
      <c r="I17" s="312">
        <v>85.78</v>
      </c>
      <c r="J17" s="312">
        <v>1.93</v>
      </c>
      <c r="K17" s="23">
        <f t="shared" si="3"/>
        <v>111.20000000000002</v>
      </c>
      <c r="L17" s="24">
        <f t="shared" si="4"/>
        <v>-1168.6606074450001</v>
      </c>
      <c r="M17" s="77">
        <f t="shared" si="5"/>
        <v>4.7800000000000011</v>
      </c>
      <c r="N17" s="25">
        <f t="shared" si="6"/>
        <v>0.47</v>
      </c>
      <c r="O17" s="1304">
        <v>19927</v>
      </c>
      <c r="P17" s="1305">
        <f t="shared" si="7"/>
        <v>0.16739048259061701</v>
      </c>
      <c r="Q17" s="28">
        <f t="shared" si="8"/>
        <v>2215882.4000000004</v>
      </c>
      <c r="R17" s="27">
        <f t="shared" si="9"/>
        <v>-23287899.924556516</v>
      </c>
      <c r="S17" s="62">
        <f t="shared" si="10"/>
        <v>95251.060000000027</v>
      </c>
      <c r="T17" s="347">
        <f t="shared" si="11"/>
        <v>9365.6899999999987</v>
      </c>
      <c r="U17" s="1293">
        <v>12</v>
      </c>
      <c r="V17" s="1294">
        <v>12247.1</v>
      </c>
      <c r="W17" s="1295">
        <v>0.21475214364621509</v>
      </c>
    </row>
    <row r="18" spans="2:23" x14ac:dyDescent="0.35">
      <c r="B18" s="9">
        <v>13</v>
      </c>
      <c r="C18" s="20">
        <v>253.4</v>
      </c>
      <c r="D18" s="305">
        <v>5718.8193995269994</v>
      </c>
      <c r="E18" s="307">
        <v>92.21</v>
      </c>
      <c r="F18" s="307">
        <v>2.27</v>
      </c>
      <c r="G18" s="36">
        <v>146.4</v>
      </c>
      <c r="H18" s="309">
        <v>6819.0599999999995</v>
      </c>
      <c r="I18" s="311">
        <v>88.83</v>
      </c>
      <c r="J18" s="311">
        <v>1.93</v>
      </c>
      <c r="K18" s="23">
        <f t="shared" si="3"/>
        <v>107</v>
      </c>
      <c r="L18" s="24">
        <f t="shared" si="4"/>
        <v>-1100.2406004730001</v>
      </c>
      <c r="M18" s="77">
        <f t="shared" si="5"/>
        <v>3.3799999999999955</v>
      </c>
      <c r="N18" s="25">
        <f t="shared" si="6"/>
        <v>0.34000000000000008</v>
      </c>
      <c r="O18" s="1304">
        <v>8790</v>
      </c>
      <c r="P18" s="1305">
        <f t="shared" si="7"/>
        <v>7.3837624427737406E-2</v>
      </c>
      <c r="Q18" s="28">
        <f t="shared" si="8"/>
        <v>940530</v>
      </c>
      <c r="R18" s="27">
        <f t="shared" si="9"/>
        <v>-9671114.8781576715</v>
      </c>
      <c r="S18" s="62">
        <f t="shared" si="10"/>
        <v>29710.199999999961</v>
      </c>
      <c r="T18" s="347">
        <f t="shared" si="11"/>
        <v>2988.6000000000008</v>
      </c>
      <c r="U18" s="1293">
        <v>13</v>
      </c>
      <c r="V18" s="1294">
        <v>6710.32</v>
      </c>
      <c r="W18" s="1295">
        <v>0.11766504760735766</v>
      </c>
    </row>
    <row r="19" spans="2:23" x14ac:dyDescent="0.35">
      <c r="B19" s="9">
        <v>14</v>
      </c>
      <c r="C19" s="20">
        <v>295.8</v>
      </c>
      <c r="D19" s="305">
        <v>5124.1304861899998</v>
      </c>
      <c r="E19" s="307">
        <v>85.65</v>
      </c>
      <c r="F19" s="307">
        <v>2.4</v>
      </c>
      <c r="G19" s="79">
        <v>151</v>
      </c>
      <c r="H19" s="309">
        <v>6859.87</v>
      </c>
      <c r="I19" s="311">
        <v>84.12</v>
      </c>
      <c r="J19" s="311">
        <v>2.0099999999999998</v>
      </c>
      <c r="K19" s="23">
        <f t="shared" si="3"/>
        <v>144.80000000000001</v>
      </c>
      <c r="L19" s="24">
        <f t="shared" si="4"/>
        <v>-1735.7395138100001</v>
      </c>
      <c r="M19" s="77">
        <f t="shared" si="5"/>
        <v>1.5300000000000011</v>
      </c>
      <c r="N19" s="25">
        <f t="shared" si="6"/>
        <v>0.39000000000000012</v>
      </c>
      <c r="O19" s="1304">
        <v>3401</v>
      </c>
      <c r="P19" s="1305">
        <f t="shared" si="7"/>
        <v>2.8569028518627408E-2</v>
      </c>
      <c r="Q19" s="28">
        <f t="shared" si="8"/>
        <v>492464.80000000005</v>
      </c>
      <c r="R19" s="27">
        <f t="shared" si="9"/>
        <v>-5903250.08646781</v>
      </c>
      <c r="S19" s="62">
        <f t="shared" si="10"/>
        <v>5203.5300000000043</v>
      </c>
      <c r="T19" s="347">
        <f t="shared" si="11"/>
        <v>1326.3900000000003</v>
      </c>
      <c r="U19" s="1293">
        <v>14</v>
      </c>
      <c r="V19" s="1294">
        <v>2878.44</v>
      </c>
      <c r="W19" s="1295">
        <v>5.0473267986463032E-2</v>
      </c>
    </row>
    <row r="20" spans="2:23" x14ac:dyDescent="0.35">
      <c r="B20" s="9">
        <v>15</v>
      </c>
      <c r="C20" s="20">
        <v>129</v>
      </c>
      <c r="D20" s="305">
        <v>8148.3709405469999</v>
      </c>
      <c r="E20" s="307">
        <v>82.63</v>
      </c>
      <c r="F20" s="307">
        <v>1.72</v>
      </c>
      <c r="G20" s="11">
        <v>45.5</v>
      </c>
      <c r="H20" s="309">
        <v>8749.4120000000003</v>
      </c>
      <c r="I20" s="311">
        <v>75.14</v>
      </c>
      <c r="J20" s="311">
        <v>1.32</v>
      </c>
      <c r="K20" s="23">
        <f t="shared" si="3"/>
        <v>83.5</v>
      </c>
      <c r="L20" s="24">
        <f t="shared" si="4"/>
        <v>-601.04105945300034</v>
      </c>
      <c r="M20" s="77">
        <f t="shared" si="5"/>
        <v>7.4899999999999949</v>
      </c>
      <c r="N20" s="25">
        <f t="shared" si="6"/>
        <v>0.39999999999999991</v>
      </c>
      <c r="O20" s="1304">
        <v>3389</v>
      </c>
      <c r="P20" s="1305">
        <f t="shared" si="7"/>
        <v>2.8468226300978623E-2</v>
      </c>
      <c r="Q20" s="28">
        <f t="shared" si="8"/>
        <v>282981.5</v>
      </c>
      <c r="R20" s="27">
        <f t="shared" si="9"/>
        <v>-2036928.1504862183</v>
      </c>
      <c r="S20" s="62">
        <f t="shared" si="10"/>
        <v>25383.609999999982</v>
      </c>
      <c r="T20" s="347">
        <f t="shared" si="11"/>
        <v>1355.5999999999997</v>
      </c>
      <c r="U20" s="1293">
        <v>15</v>
      </c>
      <c r="V20" s="1294">
        <v>3142.45</v>
      </c>
      <c r="W20" s="1295">
        <v>5.5102667064125269E-2</v>
      </c>
    </row>
    <row r="21" spans="2:23" x14ac:dyDescent="0.35">
      <c r="B21" s="9">
        <v>16</v>
      </c>
      <c r="C21" s="20">
        <v>510.2</v>
      </c>
      <c r="D21" s="306">
        <v>4250.4403532509996</v>
      </c>
      <c r="E21" s="308">
        <v>113.42</v>
      </c>
      <c r="F21" s="308">
        <v>3.54</v>
      </c>
      <c r="G21" s="11">
        <v>380.9</v>
      </c>
      <c r="H21" s="310">
        <v>5521.2</v>
      </c>
      <c r="I21" s="312">
        <v>110.87</v>
      </c>
      <c r="J21" s="312">
        <v>2.99</v>
      </c>
      <c r="K21" s="26">
        <f t="shared" si="3"/>
        <v>129.30000000000001</v>
      </c>
      <c r="L21" s="27">
        <f t="shared" si="4"/>
        <v>-1270.7596467490002</v>
      </c>
      <c r="M21" s="62">
        <f t="shared" si="5"/>
        <v>2.5499999999999972</v>
      </c>
      <c r="N21" s="25">
        <f t="shared" si="6"/>
        <v>0.54999999999999982</v>
      </c>
      <c r="O21" s="1304">
        <v>1434</v>
      </c>
      <c r="P21" s="1305">
        <f t="shared" si="7"/>
        <v>1.2045865009030198E-2</v>
      </c>
      <c r="Q21" s="28">
        <f t="shared" si="8"/>
        <v>185416.2</v>
      </c>
      <c r="R21" s="27">
        <f t="shared" si="9"/>
        <v>-1822269.3334380663</v>
      </c>
      <c r="S21" s="62">
        <f t="shared" si="10"/>
        <v>3656.6999999999957</v>
      </c>
      <c r="T21" s="347">
        <f t="shared" si="11"/>
        <v>788.6999999999997</v>
      </c>
      <c r="U21" s="1293">
        <v>16</v>
      </c>
      <c r="V21" s="1294">
        <v>1616.29</v>
      </c>
      <c r="W21" s="1295">
        <v>2.8341545529467462E-2</v>
      </c>
    </row>
    <row r="22" spans="2:23" ht="15" thickBot="1" x14ac:dyDescent="0.4">
      <c r="B22" s="10" t="s">
        <v>12</v>
      </c>
      <c r="C22" s="67">
        <f>AVERAGE(C6:C21)</f>
        <v>273.80000000000007</v>
      </c>
      <c r="D22" s="67">
        <f>AVERAGE(D6:D21)</f>
        <v>4707.3593676908504</v>
      </c>
      <c r="E22" s="81">
        <f t="shared" ref="E22" si="12">AVERAGE(E6:E21)</f>
        <v>79.809375000000017</v>
      </c>
      <c r="F22" s="81">
        <f t="shared" ref="F22" si="13">AVERAGE(F6:F21)</f>
        <v>2.2093749999999996</v>
      </c>
      <c r="G22" s="67">
        <f>AVERAGE(G6:G21)</f>
        <v>165.48750000000001</v>
      </c>
      <c r="H22" s="67">
        <f>AVERAGE(H6:H21)</f>
        <v>5799.622875</v>
      </c>
      <c r="I22" s="81">
        <f t="shared" ref="I22:N22" si="14">AVERAGE(I6:I21)</f>
        <v>75.276250000000005</v>
      </c>
      <c r="J22" s="81">
        <f t="shared" si="14"/>
        <v>1.7806250000000001</v>
      </c>
      <c r="K22" s="67">
        <f t="shared" si="14"/>
        <v>108.31249999999999</v>
      </c>
      <c r="L22" s="67">
        <f t="shared" si="14"/>
        <v>-1092.2635073091501</v>
      </c>
      <c r="M22" s="80">
        <f t="shared" si="14"/>
        <v>4.533125000000001</v>
      </c>
      <c r="N22" s="81">
        <f t="shared" si="14"/>
        <v>0.42875000000000002</v>
      </c>
      <c r="O22" s="1306">
        <v>119045</v>
      </c>
      <c r="P22" s="1307">
        <f>SUM(P6:P21)</f>
        <v>1.0000000000000002</v>
      </c>
      <c r="Q22" s="30">
        <f>SUM(Q6:Q21)</f>
        <v>11959863.100000001</v>
      </c>
      <c r="R22" s="31">
        <f>SUM(R6:R21)</f>
        <v>-118217349.17768933</v>
      </c>
      <c r="S22" s="31">
        <f>SUM(S6:S21)</f>
        <v>554851.98000000021</v>
      </c>
      <c r="T22" s="1292">
        <f>SUM(T6:T21)</f>
        <v>46760.28</v>
      </c>
      <c r="U22" s="1293"/>
      <c r="V22" s="1294">
        <v>57029</v>
      </c>
      <c r="W22" s="1295"/>
    </row>
    <row r="23" spans="2:23" x14ac:dyDescent="0.35">
      <c r="U23" s="1296">
        <v>2019</v>
      </c>
      <c r="V23" s="1297">
        <v>58072</v>
      </c>
    </row>
    <row r="24" spans="2:23" x14ac:dyDescent="0.35">
      <c r="U24" s="1296">
        <v>2018</v>
      </c>
      <c r="V24" s="1297">
        <v>59049</v>
      </c>
    </row>
    <row r="25" spans="2:23" x14ac:dyDescent="0.35">
      <c r="B25" t="s">
        <v>0</v>
      </c>
      <c r="U25" s="1296">
        <v>2017</v>
      </c>
      <c r="V25" s="1297">
        <v>55825</v>
      </c>
    </row>
    <row r="26" spans="2:23" ht="15" thickBot="1" x14ac:dyDescent="0.4">
      <c r="B26" t="s">
        <v>583</v>
      </c>
      <c r="U26" s="1296">
        <v>2016</v>
      </c>
      <c r="V26" s="1297">
        <v>49208</v>
      </c>
    </row>
    <row r="27" spans="2:23" x14ac:dyDescent="0.35">
      <c r="B27" s="7"/>
      <c r="C27" s="1147" t="str">
        <f t="shared" ref="C27" si="15">$C$50</f>
        <v>2019 Energy Code - Per Building</v>
      </c>
      <c r="D27" s="1148"/>
      <c r="E27" s="1149"/>
      <c r="F27" s="1150"/>
      <c r="G27" s="1151" t="str">
        <f t="shared" ref="G27" si="16">$G$50</f>
        <v>2022 Energy Code - Per Building</v>
      </c>
      <c r="H27" s="1152"/>
      <c r="I27" s="1153"/>
      <c r="J27" s="1154"/>
      <c r="K27" s="1147" t="s">
        <v>3</v>
      </c>
      <c r="L27" s="1148"/>
      <c r="M27" s="1149"/>
      <c r="N27" s="1150"/>
      <c r="O27" s="1151" t="s">
        <v>4</v>
      </c>
      <c r="P27" s="1154"/>
      <c r="Q27" s="1155" t="str">
        <f t="shared" ref="Q27" si="17">$Q$50</f>
        <v>Savings - Weighted Average</v>
      </c>
      <c r="R27" s="1156"/>
      <c r="S27" s="1156"/>
      <c r="T27" s="1157"/>
      <c r="U27" s="1296">
        <v>2015</v>
      </c>
      <c r="V27" s="1297">
        <v>44896</v>
      </c>
    </row>
    <row r="28" spans="2:23" ht="43.5" x14ac:dyDescent="0.35">
      <c r="B28" s="8" t="s">
        <v>5</v>
      </c>
      <c r="C28" s="17" t="s">
        <v>6</v>
      </c>
      <c r="D28" s="18" t="s">
        <v>7</v>
      </c>
      <c r="E28" s="61" t="s">
        <v>8</v>
      </c>
      <c r="F28" s="19" t="s">
        <v>9</v>
      </c>
      <c r="G28" s="5" t="s">
        <v>6</v>
      </c>
      <c r="H28" s="4" t="s">
        <v>7</v>
      </c>
      <c r="I28" s="71" t="s">
        <v>8</v>
      </c>
      <c r="J28" s="6" t="s">
        <v>9</v>
      </c>
      <c r="K28" s="17" t="s">
        <v>6</v>
      </c>
      <c r="L28" s="18" t="s">
        <v>7</v>
      </c>
      <c r="M28" s="61" t="s">
        <v>8</v>
      </c>
      <c r="N28" s="19" t="s">
        <v>9</v>
      </c>
      <c r="O28" s="5" t="s">
        <v>10</v>
      </c>
      <c r="P28" s="6" t="s">
        <v>11</v>
      </c>
      <c r="Q28" s="17" t="s">
        <v>6</v>
      </c>
      <c r="R28" s="18" t="s">
        <v>7</v>
      </c>
      <c r="S28" s="61" t="s">
        <v>8</v>
      </c>
      <c r="T28" s="19" t="s">
        <v>9</v>
      </c>
      <c r="U28" s="1298">
        <v>2014</v>
      </c>
      <c r="V28" s="1299">
        <v>37091</v>
      </c>
    </row>
    <row r="29" spans="2:23" x14ac:dyDescent="0.35">
      <c r="B29" s="9">
        <v>1</v>
      </c>
      <c r="C29" s="20">
        <v>531.79999999999995</v>
      </c>
      <c r="D29" s="305">
        <v>4773.2804754159997</v>
      </c>
      <c r="E29" s="307">
        <v>93.52</v>
      </c>
      <c r="F29" s="21">
        <v>3.74</v>
      </c>
      <c r="G29" s="11">
        <v>389.3</v>
      </c>
      <c r="H29" s="309">
        <v>6499.0599999999995</v>
      </c>
      <c r="I29" s="311">
        <v>91.74</v>
      </c>
      <c r="J29" s="2">
        <v>3.16</v>
      </c>
      <c r="K29" s="23">
        <f>C29-G29</f>
        <v>142.49999999999994</v>
      </c>
      <c r="L29" s="24">
        <f>D29-H29</f>
        <v>-1725.7795245839998</v>
      </c>
      <c r="M29" s="77">
        <f>E29-I29</f>
        <v>1.7800000000000011</v>
      </c>
      <c r="N29" s="25">
        <f>F29-J29</f>
        <v>0.58000000000000007</v>
      </c>
      <c r="O29" s="12">
        <v>545</v>
      </c>
      <c r="P29" s="14">
        <f>O29/O$22</f>
        <v>4.5781007182158009E-3</v>
      </c>
      <c r="Q29" s="28">
        <f>K29*O29</f>
        <v>77662.499999999971</v>
      </c>
      <c r="R29" s="27">
        <f>O29*L29</f>
        <v>-940549.84089827992</v>
      </c>
      <c r="S29" s="62">
        <f>M29*O29</f>
        <v>970.10000000000059</v>
      </c>
      <c r="T29" s="29">
        <f>O29*N29</f>
        <v>316.10000000000002</v>
      </c>
      <c r="U29" s="1298">
        <v>2013</v>
      </c>
      <c r="V29" s="1299">
        <v>36878</v>
      </c>
    </row>
    <row r="30" spans="2:23" x14ac:dyDescent="0.35">
      <c r="B30" s="9">
        <v>2</v>
      </c>
      <c r="C30" s="22">
        <v>383.8</v>
      </c>
      <c r="D30" s="305">
        <v>4818.8303259200002</v>
      </c>
      <c r="E30" s="307">
        <v>81.39</v>
      </c>
      <c r="F30" s="21">
        <v>2.89</v>
      </c>
      <c r="G30" s="36">
        <v>254</v>
      </c>
      <c r="H30" s="309">
        <v>6275.91</v>
      </c>
      <c r="I30" s="311">
        <v>76.98</v>
      </c>
      <c r="J30" s="2">
        <v>2.34</v>
      </c>
      <c r="K30" s="23">
        <f t="shared" ref="K30:K44" si="18">C30-G30</f>
        <v>129.80000000000001</v>
      </c>
      <c r="L30" s="24">
        <f t="shared" ref="L30:L44" si="19">D30-H30</f>
        <v>-1457.0796740799997</v>
      </c>
      <c r="M30" s="77">
        <f t="shared" ref="M30:M44" si="20">E30-I30</f>
        <v>4.4099999999999966</v>
      </c>
      <c r="N30" s="25">
        <f t="shared" ref="N30:N44" si="21">F30-J30</f>
        <v>0.55000000000000027</v>
      </c>
      <c r="O30" s="12">
        <v>3238</v>
      </c>
      <c r="P30" s="14">
        <f t="shared" ref="P30:P44" si="22">O30/O$22</f>
        <v>2.7199798395564703E-2</v>
      </c>
      <c r="Q30" s="28">
        <f t="shared" ref="Q30:Q44" si="23">K30*O30</f>
        <v>420292.4</v>
      </c>
      <c r="R30" s="27">
        <f t="shared" ref="R30:R44" si="24">O30*L30</f>
        <v>-4718023.9846710386</v>
      </c>
      <c r="S30" s="62">
        <f>M30*O30</f>
        <v>14279.579999999989</v>
      </c>
      <c r="T30" s="29">
        <f t="shared" ref="T30:T44" si="25">O30*N30</f>
        <v>1780.9000000000008</v>
      </c>
      <c r="U30" s="1298">
        <v>2012</v>
      </c>
    </row>
    <row r="31" spans="2:23" x14ac:dyDescent="0.35">
      <c r="B31" s="9">
        <v>3</v>
      </c>
      <c r="C31" s="20">
        <v>290.39999999999998</v>
      </c>
      <c r="D31" s="305">
        <v>4675.9093045600002</v>
      </c>
      <c r="E31" s="307">
        <v>60.5</v>
      </c>
      <c r="F31" s="21">
        <v>2.31</v>
      </c>
      <c r="G31" s="36">
        <v>180.9</v>
      </c>
      <c r="H31" s="309">
        <v>5738.1</v>
      </c>
      <c r="I31" s="311">
        <v>57.3</v>
      </c>
      <c r="J31" s="2">
        <v>1.95</v>
      </c>
      <c r="K31" s="23">
        <f t="shared" si="18"/>
        <v>109.49999999999997</v>
      </c>
      <c r="L31" s="24">
        <f t="shared" si="19"/>
        <v>-1062.1906954400001</v>
      </c>
      <c r="M31" s="77">
        <f t="shared" si="20"/>
        <v>3.2000000000000028</v>
      </c>
      <c r="N31" s="25">
        <f t="shared" si="21"/>
        <v>0.3600000000000001</v>
      </c>
      <c r="O31" s="12">
        <v>12451</v>
      </c>
      <c r="P31" s="14">
        <f t="shared" si="22"/>
        <v>0.10459070099542189</v>
      </c>
      <c r="Q31" s="28">
        <f t="shared" si="23"/>
        <v>1363384.4999999995</v>
      </c>
      <c r="R31" s="27">
        <f t="shared" si="24"/>
        <v>-13225336.348923441</v>
      </c>
      <c r="S31" s="62">
        <f t="shared" ref="S31:S44" si="26">M31*O31</f>
        <v>39843.200000000033</v>
      </c>
      <c r="T31" s="29">
        <f t="shared" si="25"/>
        <v>4482.3600000000015</v>
      </c>
      <c r="U31" s="1298">
        <v>2011</v>
      </c>
      <c r="V31" s="1299">
        <v>21608</v>
      </c>
    </row>
    <row r="32" spans="2:23" x14ac:dyDescent="0.35">
      <c r="B32" s="9">
        <v>4</v>
      </c>
      <c r="C32" s="20">
        <v>279.60000000000002</v>
      </c>
      <c r="D32" s="306">
        <v>4951.4202124849999</v>
      </c>
      <c r="E32" s="308">
        <v>65.69</v>
      </c>
      <c r="F32" s="21">
        <v>2.2999999999999998</v>
      </c>
      <c r="G32" s="36">
        <v>172.3</v>
      </c>
      <c r="H32" s="310">
        <v>5994.21</v>
      </c>
      <c r="I32" s="312">
        <v>62.42</v>
      </c>
      <c r="J32" s="2">
        <v>1.93</v>
      </c>
      <c r="K32" s="23">
        <f t="shared" si="18"/>
        <v>107.30000000000001</v>
      </c>
      <c r="L32" s="24">
        <f t="shared" si="19"/>
        <v>-1042.7897875150002</v>
      </c>
      <c r="M32" s="77">
        <f t="shared" si="20"/>
        <v>3.269999999999996</v>
      </c>
      <c r="N32" s="25">
        <f t="shared" si="21"/>
        <v>0.36999999999999988</v>
      </c>
      <c r="O32" s="12">
        <v>6267</v>
      </c>
      <c r="P32" s="14">
        <f t="shared" si="22"/>
        <v>5.2643958167079674E-2</v>
      </c>
      <c r="Q32" s="28">
        <f t="shared" si="23"/>
        <v>672449.10000000009</v>
      </c>
      <c r="R32" s="27">
        <f t="shared" si="24"/>
        <v>-6535163.5983565059</v>
      </c>
      <c r="S32" s="62">
        <f t="shared" si="26"/>
        <v>20493.089999999975</v>
      </c>
      <c r="T32" s="29">
        <f t="shared" si="25"/>
        <v>2318.7899999999991</v>
      </c>
    </row>
    <row r="33" spans="2:20" x14ac:dyDescent="0.35">
      <c r="B33" s="9">
        <v>5</v>
      </c>
      <c r="C33" s="20">
        <v>263.39999999999998</v>
      </c>
      <c r="D33" s="305">
        <v>4655.4697026439999</v>
      </c>
      <c r="E33" s="307">
        <v>55.76</v>
      </c>
      <c r="F33" s="21">
        <v>2.13</v>
      </c>
      <c r="G33" s="36">
        <v>132.69999999999999</v>
      </c>
      <c r="H33" s="309">
        <v>6068.5</v>
      </c>
      <c r="I33" s="311">
        <v>52.25</v>
      </c>
      <c r="J33" s="2">
        <v>1.57</v>
      </c>
      <c r="K33" s="23">
        <f t="shared" si="18"/>
        <v>130.69999999999999</v>
      </c>
      <c r="L33" s="24">
        <f t="shared" si="19"/>
        <v>-1413.0302973560001</v>
      </c>
      <c r="M33" s="77">
        <f t="shared" si="20"/>
        <v>3.509999999999998</v>
      </c>
      <c r="N33" s="25">
        <f t="shared" si="21"/>
        <v>0.55999999999999983</v>
      </c>
      <c r="O33" s="12">
        <v>1258</v>
      </c>
      <c r="P33" s="14">
        <f t="shared" si="22"/>
        <v>1.0567432483514638E-2</v>
      </c>
      <c r="Q33" s="28">
        <f t="shared" si="23"/>
        <v>164420.59999999998</v>
      </c>
      <c r="R33" s="27">
        <f t="shared" si="24"/>
        <v>-1777592.1140738481</v>
      </c>
      <c r="S33" s="62">
        <f t="shared" si="26"/>
        <v>4415.5799999999972</v>
      </c>
      <c r="T33" s="29">
        <f t="shared" si="25"/>
        <v>704.47999999999979</v>
      </c>
    </row>
    <row r="34" spans="2:20" x14ac:dyDescent="0.35">
      <c r="B34" s="9">
        <v>6</v>
      </c>
      <c r="C34" s="20">
        <v>208.8</v>
      </c>
      <c r="D34" s="305">
        <v>4790.9004015989995</v>
      </c>
      <c r="E34" s="307">
        <v>52.49</v>
      </c>
      <c r="F34" s="21">
        <v>1.82</v>
      </c>
      <c r="G34" s="36">
        <v>91</v>
      </c>
      <c r="H34" s="309">
        <v>5857.87</v>
      </c>
      <c r="I34" s="311">
        <v>46.55</v>
      </c>
      <c r="J34" s="2">
        <v>1.29</v>
      </c>
      <c r="K34" s="23">
        <f t="shared" si="18"/>
        <v>117.80000000000001</v>
      </c>
      <c r="L34" s="24">
        <f t="shared" si="19"/>
        <v>-1066.9695984010004</v>
      </c>
      <c r="M34" s="77">
        <f t="shared" si="20"/>
        <v>5.9400000000000048</v>
      </c>
      <c r="N34" s="25">
        <f t="shared" si="21"/>
        <v>0.53</v>
      </c>
      <c r="O34" s="12">
        <v>6617</v>
      </c>
      <c r="P34" s="14">
        <f t="shared" si="22"/>
        <v>5.5584022848502668E-2</v>
      </c>
      <c r="Q34" s="28">
        <f t="shared" si="23"/>
        <v>779482.60000000009</v>
      </c>
      <c r="R34" s="27">
        <f t="shared" si="24"/>
        <v>-7060137.8326194203</v>
      </c>
      <c r="S34" s="62">
        <f t="shared" si="26"/>
        <v>39304.980000000032</v>
      </c>
      <c r="T34" s="29">
        <f t="shared" si="25"/>
        <v>3507.01</v>
      </c>
    </row>
    <row r="35" spans="2:20" x14ac:dyDescent="0.35">
      <c r="B35" s="9">
        <v>7</v>
      </c>
      <c r="C35" s="20">
        <v>191.7</v>
      </c>
      <c r="D35" s="305">
        <v>4790.7497146010001</v>
      </c>
      <c r="E35" s="307">
        <v>48.02</v>
      </c>
      <c r="F35" s="21">
        <v>1.7</v>
      </c>
      <c r="G35" s="36">
        <v>74</v>
      </c>
      <c r="H35" s="309">
        <v>5834.75</v>
      </c>
      <c r="I35" s="311">
        <v>42.23</v>
      </c>
      <c r="J35" s="2">
        <v>1.17</v>
      </c>
      <c r="K35" s="23">
        <f t="shared" si="18"/>
        <v>117.69999999999999</v>
      </c>
      <c r="L35" s="24">
        <f t="shared" si="19"/>
        <v>-1044.0002853989999</v>
      </c>
      <c r="M35" s="77">
        <f t="shared" si="20"/>
        <v>5.7900000000000063</v>
      </c>
      <c r="N35" s="25">
        <f t="shared" si="21"/>
        <v>0.53</v>
      </c>
      <c r="O35" s="12">
        <v>5299</v>
      </c>
      <c r="P35" s="14">
        <f t="shared" si="22"/>
        <v>4.4512579276744089E-2</v>
      </c>
      <c r="Q35" s="28">
        <f t="shared" si="23"/>
        <v>623692.29999999993</v>
      </c>
      <c r="R35" s="27">
        <f t="shared" si="24"/>
        <v>-5532157.5123293009</v>
      </c>
      <c r="S35" s="62">
        <f t="shared" si="26"/>
        <v>30681.210000000032</v>
      </c>
      <c r="T35" s="29">
        <f t="shared" si="25"/>
        <v>2808.4700000000003</v>
      </c>
    </row>
    <row r="36" spans="2:20" x14ac:dyDescent="0.35">
      <c r="B36" s="9">
        <v>8</v>
      </c>
      <c r="C36" s="20">
        <v>187.2</v>
      </c>
      <c r="D36" s="306">
        <v>5456.090256857</v>
      </c>
      <c r="E36" s="308">
        <v>51.38</v>
      </c>
      <c r="F36" s="21">
        <v>1.79</v>
      </c>
      <c r="G36" s="36">
        <v>73.400000000000006</v>
      </c>
      <c r="H36" s="310">
        <v>6426.7089999999998</v>
      </c>
      <c r="I36" s="312">
        <v>44.64</v>
      </c>
      <c r="J36" s="2">
        <v>1.26</v>
      </c>
      <c r="K36" s="23">
        <f t="shared" si="18"/>
        <v>113.79999999999998</v>
      </c>
      <c r="L36" s="24">
        <f t="shared" si="19"/>
        <v>-970.61874314299985</v>
      </c>
      <c r="M36" s="77">
        <f t="shared" si="20"/>
        <v>6.740000000000002</v>
      </c>
      <c r="N36" s="25">
        <f t="shared" si="21"/>
        <v>0.53</v>
      </c>
      <c r="O36" s="12">
        <v>9870</v>
      </c>
      <c r="P36" s="14">
        <f t="shared" si="22"/>
        <v>8.2909824016128356E-2</v>
      </c>
      <c r="Q36" s="28">
        <f t="shared" si="23"/>
        <v>1123205.9999999998</v>
      </c>
      <c r="R36" s="27">
        <f t="shared" si="24"/>
        <v>-9580006.9948214088</v>
      </c>
      <c r="S36" s="62">
        <f t="shared" si="26"/>
        <v>66523.800000000017</v>
      </c>
      <c r="T36" s="29">
        <f t="shared" si="25"/>
        <v>5231.1000000000004</v>
      </c>
    </row>
    <row r="37" spans="2:20" x14ac:dyDescent="0.35">
      <c r="B37" s="9">
        <v>9</v>
      </c>
      <c r="C37" s="20">
        <v>207.4</v>
      </c>
      <c r="D37" s="305">
        <v>5430.4296295760005</v>
      </c>
      <c r="E37" s="307">
        <v>56.65</v>
      </c>
      <c r="F37" s="21">
        <v>1.91</v>
      </c>
      <c r="G37" s="36">
        <v>92.6</v>
      </c>
      <c r="H37" s="309">
        <v>6443.06</v>
      </c>
      <c r="I37" s="311">
        <v>49.89</v>
      </c>
      <c r="J37" s="2">
        <v>1.39</v>
      </c>
      <c r="K37" s="23">
        <f t="shared" si="18"/>
        <v>114.80000000000001</v>
      </c>
      <c r="L37" s="24">
        <f t="shared" si="19"/>
        <v>-1012.6303704239999</v>
      </c>
      <c r="M37" s="77">
        <f t="shared" si="20"/>
        <v>6.759999999999998</v>
      </c>
      <c r="N37" s="25">
        <f t="shared" si="21"/>
        <v>0.52</v>
      </c>
      <c r="O37" s="12">
        <v>13622</v>
      </c>
      <c r="P37" s="14">
        <f t="shared" si="22"/>
        <v>0.11442731740098282</v>
      </c>
      <c r="Q37" s="28">
        <f t="shared" si="23"/>
        <v>1563805.6</v>
      </c>
      <c r="R37" s="27">
        <f t="shared" si="24"/>
        <v>-13794050.905915728</v>
      </c>
      <c r="S37" s="62">
        <f t="shared" si="26"/>
        <v>92084.719999999972</v>
      </c>
      <c r="T37" s="29">
        <f t="shared" si="25"/>
        <v>7083.4400000000005</v>
      </c>
    </row>
    <row r="38" spans="2:20" x14ac:dyDescent="0.35">
      <c r="B38" s="9">
        <v>10</v>
      </c>
      <c r="C38" s="20">
        <v>230.1</v>
      </c>
      <c r="D38" s="305">
        <v>5781.0202851150007</v>
      </c>
      <c r="E38" s="307">
        <v>64.760000000000005</v>
      </c>
      <c r="F38" s="21">
        <v>2.09</v>
      </c>
      <c r="G38" s="36">
        <v>163</v>
      </c>
      <c r="H38" s="309">
        <v>6509.7350000000006</v>
      </c>
      <c r="I38" s="311">
        <v>63.51</v>
      </c>
      <c r="J38" s="2">
        <v>1.89</v>
      </c>
      <c r="K38" s="23">
        <f t="shared" si="18"/>
        <v>67.099999999999994</v>
      </c>
      <c r="L38" s="24">
        <f t="shared" si="19"/>
        <v>-728.71471488499992</v>
      </c>
      <c r="M38" s="77">
        <f t="shared" si="20"/>
        <v>1.2500000000000071</v>
      </c>
      <c r="N38" s="25">
        <f t="shared" si="21"/>
        <v>0.19999999999999996</v>
      </c>
      <c r="O38" s="12">
        <v>17792</v>
      </c>
      <c r="P38" s="14">
        <f t="shared" si="22"/>
        <v>0.14945608803393676</v>
      </c>
      <c r="Q38" s="28">
        <f t="shared" si="23"/>
        <v>1193843.2</v>
      </c>
      <c r="R38" s="27">
        <f t="shared" si="24"/>
        <v>-12965292.207233919</v>
      </c>
      <c r="S38" s="62">
        <f t="shared" si="26"/>
        <v>22240.000000000127</v>
      </c>
      <c r="T38" s="29">
        <f t="shared" si="25"/>
        <v>3558.3999999999992</v>
      </c>
    </row>
    <row r="39" spans="2:20" x14ac:dyDescent="0.35">
      <c r="B39" s="9">
        <v>11</v>
      </c>
      <c r="C39" s="20">
        <v>360.6</v>
      </c>
      <c r="D39" s="305">
        <v>6396.7199779590001</v>
      </c>
      <c r="E39" s="307">
        <v>93.5</v>
      </c>
      <c r="F39" s="21">
        <v>2.96</v>
      </c>
      <c r="G39" s="36">
        <v>244.6</v>
      </c>
      <c r="H39" s="309">
        <v>7597.76</v>
      </c>
      <c r="I39" s="311">
        <v>88.83</v>
      </c>
      <c r="J39" s="2">
        <v>2.4700000000000002</v>
      </c>
      <c r="K39" s="23">
        <f t="shared" si="18"/>
        <v>116.00000000000003</v>
      </c>
      <c r="L39" s="24">
        <f t="shared" si="19"/>
        <v>-1201.0400220410002</v>
      </c>
      <c r="M39" s="77">
        <f t="shared" si="20"/>
        <v>4.6700000000000017</v>
      </c>
      <c r="N39" s="25">
        <f t="shared" si="21"/>
        <v>0.48999999999999977</v>
      </c>
      <c r="O39" s="12">
        <v>5145</v>
      </c>
      <c r="P39" s="14">
        <f t="shared" si="22"/>
        <v>4.321895081691797E-2</v>
      </c>
      <c r="Q39" s="28">
        <f t="shared" si="23"/>
        <v>596820.00000000012</v>
      </c>
      <c r="R39" s="27">
        <f t="shared" si="24"/>
        <v>-6179350.9134009462</v>
      </c>
      <c r="S39" s="62">
        <f t="shared" si="26"/>
        <v>24027.150000000009</v>
      </c>
      <c r="T39" s="29">
        <f t="shared" si="25"/>
        <v>2521.0499999999988</v>
      </c>
    </row>
    <row r="40" spans="2:20" x14ac:dyDescent="0.35">
      <c r="B40" s="9">
        <v>12</v>
      </c>
      <c r="C40" s="20">
        <v>348.6</v>
      </c>
      <c r="D40" s="306">
        <v>5276.2898957710004</v>
      </c>
      <c r="E40" s="308">
        <v>83.87</v>
      </c>
      <c r="F40" s="21">
        <v>2.76</v>
      </c>
      <c r="G40" s="36">
        <v>226.7</v>
      </c>
      <c r="H40" s="310">
        <v>6572.67</v>
      </c>
      <c r="I40" s="312">
        <v>79.23</v>
      </c>
      <c r="J40" s="2">
        <v>2.2400000000000002</v>
      </c>
      <c r="K40" s="23">
        <f t="shared" si="18"/>
        <v>121.90000000000003</v>
      </c>
      <c r="L40" s="24">
        <f t="shared" si="19"/>
        <v>-1296.3801042289997</v>
      </c>
      <c r="M40" s="77">
        <f t="shared" si="20"/>
        <v>4.6400000000000006</v>
      </c>
      <c r="N40" s="25">
        <f t="shared" si="21"/>
        <v>0.51999999999999957</v>
      </c>
      <c r="O40" s="12">
        <v>19927</v>
      </c>
      <c r="P40" s="14">
        <f t="shared" si="22"/>
        <v>0.16739048259061701</v>
      </c>
      <c r="Q40" s="28">
        <f t="shared" si="23"/>
        <v>2429101.3000000007</v>
      </c>
      <c r="R40" s="27">
        <f t="shared" si="24"/>
        <v>-25832966.336971276</v>
      </c>
      <c r="S40" s="62">
        <f t="shared" si="26"/>
        <v>92461.280000000013</v>
      </c>
      <c r="T40" s="29">
        <f t="shared" si="25"/>
        <v>10362.039999999992</v>
      </c>
    </row>
    <row r="41" spans="2:20" x14ac:dyDescent="0.35">
      <c r="B41" s="9">
        <v>13</v>
      </c>
      <c r="C41" s="20">
        <v>296.5</v>
      </c>
      <c r="D41" s="305">
        <v>6913.6306126689997</v>
      </c>
      <c r="E41" s="307">
        <v>85.57</v>
      </c>
      <c r="F41" s="21">
        <v>2.67</v>
      </c>
      <c r="G41" s="36">
        <v>162.30000000000001</v>
      </c>
      <c r="H41" s="309">
        <v>8274.09</v>
      </c>
      <c r="I41" s="311">
        <v>82.02</v>
      </c>
      <c r="J41" s="2">
        <v>2.2400000000000002</v>
      </c>
      <c r="K41" s="23">
        <f t="shared" si="18"/>
        <v>134.19999999999999</v>
      </c>
      <c r="L41" s="24">
        <f t="shared" si="19"/>
        <v>-1360.4593873310005</v>
      </c>
      <c r="M41" s="77">
        <f t="shared" si="20"/>
        <v>3.5499999999999972</v>
      </c>
      <c r="N41" s="25">
        <f t="shared" si="21"/>
        <v>0.42999999999999972</v>
      </c>
      <c r="O41" s="12">
        <v>8790</v>
      </c>
      <c r="P41" s="14">
        <f t="shared" si="22"/>
        <v>7.3837624427737406E-2</v>
      </c>
      <c r="Q41" s="28">
        <f t="shared" si="23"/>
        <v>1179618</v>
      </c>
      <c r="R41" s="27">
        <f t="shared" si="24"/>
        <v>-11958438.014639495</v>
      </c>
      <c r="S41" s="62">
        <f t="shared" si="26"/>
        <v>31204.499999999975</v>
      </c>
      <c r="T41" s="29">
        <f t="shared" si="25"/>
        <v>3779.6999999999975</v>
      </c>
    </row>
    <row r="42" spans="2:20" x14ac:dyDescent="0.35">
      <c r="B42" s="9">
        <v>14</v>
      </c>
      <c r="C42" s="20">
        <v>337.7</v>
      </c>
      <c r="D42" s="305">
        <v>6221.7996467140001</v>
      </c>
      <c r="E42" s="307">
        <v>79.97</v>
      </c>
      <c r="F42" s="21">
        <v>2.78</v>
      </c>
      <c r="G42" s="36">
        <v>167.3</v>
      </c>
      <c r="H42" s="309">
        <v>8194.67</v>
      </c>
      <c r="I42" s="311">
        <v>77.819999999999993</v>
      </c>
      <c r="J42" s="2">
        <v>2.31</v>
      </c>
      <c r="K42" s="23">
        <f t="shared" si="18"/>
        <v>170.39999999999998</v>
      </c>
      <c r="L42" s="24">
        <f t="shared" si="19"/>
        <v>-1972.870353286</v>
      </c>
      <c r="M42" s="77">
        <f t="shared" si="20"/>
        <v>2.1500000000000057</v>
      </c>
      <c r="N42" s="25">
        <f t="shared" si="21"/>
        <v>0.46999999999999975</v>
      </c>
      <c r="O42" s="12">
        <v>3401</v>
      </c>
      <c r="P42" s="14">
        <f t="shared" si="22"/>
        <v>2.8569028518627408E-2</v>
      </c>
      <c r="Q42" s="28">
        <f t="shared" si="23"/>
        <v>579530.39999999991</v>
      </c>
      <c r="R42" s="27">
        <f t="shared" si="24"/>
        <v>-6709732.0715256855</v>
      </c>
      <c r="S42" s="62">
        <f t="shared" si="26"/>
        <v>7312.1500000000196</v>
      </c>
      <c r="T42" s="29">
        <f t="shared" si="25"/>
        <v>1598.4699999999991</v>
      </c>
    </row>
    <row r="43" spans="2:20" x14ac:dyDescent="0.35">
      <c r="B43" s="9">
        <v>15</v>
      </c>
      <c r="C43" s="20">
        <v>150.80000000000001</v>
      </c>
      <c r="D43" s="305">
        <v>9601.8889449099988</v>
      </c>
      <c r="E43" s="307">
        <v>76.23</v>
      </c>
      <c r="F43" s="21">
        <v>2</v>
      </c>
      <c r="G43" s="36">
        <v>59.9</v>
      </c>
      <c r="H43" s="309">
        <v>10242.138999999999</v>
      </c>
      <c r="I43" s="311">
        <v>69.709999999999994</v>
      </c>
      <c r="J43" s="2">
        <v>1.56</v>
      </c>
      <c r="K43" s="23">
        <f t="shared" si="18"/>
        <v>90.9</v>
      </c>
      <c r="L43" s="24">
        <f t="shared" si="19"/>
        <v>-640.25005509000039</v>
      </c>
      <c r="M43" s="77">
        <f t="shared" si="20"/>
        <v>6.5200000000000102</v>
      </c>
      <c r="N43" s="25">
        <f t="shared" si="21"/>
        <v>0.43999999999999995</v>
      </c>
      <c r="O43" s="12">
        <v>3389</v>
      </c>
      <c r="P43" s="14">
        <f t="shared" si="22"/>
        <v>2.8468226300978623E-2</v>
      </c>
      <c r="Q43" s="28">
        <f t="shared" si="23"/>
        <v>308060.10000000003</v>
      </c>
      <c r="R43" s="27">
        <f t="shared" si="24"/>
        <v>-2169807.4367000111</v>
      </c>
      <c r="S43" s="62">
        <f t="shared" si="26"/>
        <v>22096.280000000035</v>
      </c>
      <c r="T43" s="29">
        <f t="shared" si="25"/>
        <v>1491.1599999999999</v>
      </c>
    </row>
    <row r="44" spans="2:20" x14ac:dyDescent="0.35">
      <c r="B44" s="9">
        <v>16</v>
      </c>
      <c r="C44" s="20">
        <v>568.29999999999995</v>
      </c>
      <c r="D44" s="306">
        <v>5125.3190179019994</v>
      </c>
      <c r="E44" s="308">
        <v>100.43</v>
      </c>
      <c r="F44" s="21">
        <v>3.99</v>
      </c>
      <c r="G44" s="11">
        <v>425.6</v>
      </c>
      <c r="H44" s="310">
        <v>6509.12</v>
      </c>
      <c r="I44" s="312">
        <v>97.26</v>
      </c>
      <c r="J44" s="2">
        <v>3.37</v>
      </c>
      <c r="K44" s="26">
        <f t="shared" si="18"/>
        <v>142.69999999999993</v>
      </c>
      <c r="L44" s="27">
        <f t="shared" si="19"/>
        <v>-1383.8009820980005</v>
      </c>
      <c r="M44" s="77">
        <f t="shared" si="20"/>
        <v>3.1700000000000017</v>
      </c>
      <c r="N44" s="25">
        <f t="shared" si="21"/>
        <v>0.62000000000000011</v>
      </c>
      <c r="O44" s="1">
        <v>1434</v>
      </c>
      <c r="P44" s="14">
        <f t="shared" si="22"/>
        <v>1.2045865009030198E-2</v>
      </c>
      <c r="Q44" s="28">
        <f t="shared" si="23"/>
        <v>204631.7999999999</v>
      </c>
      <c r="R44" s="27">
        <f t="shared" si="24"/>
        <v>-1984370.6083285327</v>
      </c>
      <c r="S44" s="62">
        <f t="shared" si="26"/>
        <v>4545.7800000000025</v>
      </c>
      <c r="T44" s="29">
        <f t="shared" si="25"/>
        <v>889.08000000000015</v>
      </c>
    </row>
    <row r="45" spans="2:20" ht="15" thickBot="1" x14ac:dyDescent="0.4">
      <c r="B45" s="10" t="s">
        <v>12</v>
      </c>
      <c r="C45" s="67">
        <f>AVERAGE(C29:C44)</f>
        <v>302.29374999999999</v>
      </c>
      <c r="D45" s="67">
        <f>AVERAGE(D29:D44)</f>
        <v>5603.7342752936256</v>
      </c>
      <c r="E45" s="81">
        <f t="shared" ref="E45" si="27">AVERAGE(E29:E44)</f>
        <v>71.858125000000001</v>
      </c>
      <c r="F45" s="81">
        <f t="shared" ref="F45" si="28">AVERAGE(F29:F44)</f>
        <v>2.4900000000000002</v>
      </c>
      <c r="G45" s="67">
        <f>AVERAGE(G29:G44)</f>
        <v>181.85000000000002</v>
      </c>
      <c r="H45" s="67">
        <f>AVERAGE(H29:H44)</f>
        <v>6814.8970624999993</v>
      </c>
      <c r="I45" s="81">
        <f t="shared" ref="I45" si="29">AVERAGE(I29:I44)</f>
        <v>67.648750000000007</v>
      </c>
      <c r="J45" s="81">
        <f t="shared" ref="J45" si="30">AVERAGE(J29:J44)</f>
        <v>2.00875</v>
      </c>
      <c r="K45" s="67">
        <f t="shared" ref="K45" si="31">AVERAGE(K29:K44)</f>
        <v>120.44374999999999</v>
      </c>
      <c r="L45" s="67">
        <f t="shared" ref="L45" si="32">AVERAGE(L29:L44)</f>
        <v>-1211.162787206375</v>
      </c>
      <c r="M45" s="80">
        <f t="shared" ref="M45" si="33">AVERAGE(M29:M44)</f>
        <v>4.2093750000000023</v>
      </c>
      <c r="N45" s="81">
        <f t="shared" ref="N45" si="34">AVERAGE(N29:N44)</f>
        <v>0.48125000000000001</v>
      </c>
      <c r="O45" s="16">
        <v>119045</v>
      </c>
      <c r="P45" s="15">
        <f>SUM(P29:P44)</f>
        <v>1.0000000000000002</v>
      </c>
      <c r="Q45" s="30">
        <f>SUM(Q29:Q44)</f>
        <v>13280000.400000002</v>
      </c>
      <c r="R45" s="31">
        <f>SUM(R29:R44)</f>
        <v>-130962976.72140886</v>
      </c>
      <c r="S45" s="31">
        <f>SUM(S29:S44)</f>
        <v>512483.40000000026</v>
      </c>
      <c r="T45" s="32">
        <f>SUM(T29:T44)</f>
        <v>52432.549999999988</v>
      </c>
    </row>
    <row r="48" spans="2:20" x14ac:dyDescent="0.35">
      <c r="B48" t="s">
        <v>0</v>
      </c>
    </row>
    <row r="49" spans="2:28" ht="16" thickBot="1" x14ac:dyDescent="0.4">
      <c r="B49" s="45" t="s">
        <v>14</v>
      </c>
    </row>
    <row r="50" spans="2:28" x14ac:dyDescent="0.35">
      <c r="B50" s="33"/>
      <c r="C50" s="1160" t="s">
        <v>584</v>
      </c>
      <c r="D50" s="1161"/>
      <c r="E50" s="1161"/>
      <c r="F50" s="1162"/>
      <c r="G50" s="1151" t="s">
        <v>585</v>
      </c>
      <c r="H50" s="1152"/>
      <c r="I50" s="1152"/>
      <c r="J50" s="1154"/>
      <c r="K50" s="1163" t="str">
        <f t="shared" ref="K50" si="35">$K$27</f>
        <v>Savings (Increase) - Per Building</v>
      </c>
      <c r="L50" s="1161"/>
      <c r="M50" s="1161"/>
      <c r="N50" s="1164"/>
      <c r="O50" s="1165" t="s">
        <v>4</v>
      </c>
      <c r="P50" s="1154"/>
      <c r="Q50" s="1166" t="s">
        <v>15</v>
      </c>
      <c r="R50" s="1167"/>
      <c r="S50" s="1167"/>
      <c r="T50" s="1168"/>
      <c r="U50" s="1158" t="s">
        <v>642</v>
      </c>
      <c r="V50" s="1158"/>
      <c r="W50" s="1158"/>
      <c r="X50" s="1158"/>
      <c r="Y50" s="1158"/>
      <c r="Z50" s="1158"/>
      <c r="AA50" s="1159"/>
      <c r="AB50" s="1159"/>
    </row>
    <row r="51" spans="2:28" ht="63" customHeight="1" x14ac:dyDescent="0.35">
      <c r="B51" s="34" t="s">
        <v>5</v>
      </c>
      <c r="C51" s="39" t="s">
        <v>6</v>
      </c>
      <c r="D51" s="40" t="s">
        <v>7</v>
      </c>
      <c r="E51" s="40" t="s">
        <v>8</v>
      </c>
      <c r="F51" s="46" t="s">
        <v>9</v>
      </c>
      <c r="G51" s="5" t="s">
        <v>6</v>
      </c>
      <c r="H51" s="4" t="s">
        <v>7</v>
      </c>
      <c r="I51" s="4" t="s">
        <v>8</v>
      </c>
      <c r="J51" s="6" t="s">
        <v>9</v>
      </c>
      <c r="K51" s="73" t="s">
        <v>6</v>
      </c>
      <c r="L51" s="40" t="s">
        <v>7</v>
      </c>
      <c r="M51" s="40" t="s">
        <v>8</v>
      </c>
      <c r="N51" s="41" t="s">
        <v>9</v>
      </c>
      <c r="O51" s="64" t="s">
        <v>10</v>
      </c>
      <c r="P51" s="6" t="s">
        <v>11</v>
      </c>
      <c r="Q51" s="39" t="s">
        <v>6</v>
      </c>
      <c r="R51" s="40" t="s">
        <v>7</v>
      </c>
      <c r="S51" s="46" t="s">
        <v>8</v>
      </c>
      <c r="T51" s="46" t="s">
        <v>9</v>
      </c>
      <c r="U51" s="4" t="s">
        <v>643</v>
      </c>
      <c r="V51" s="4" t="s">
        <v>17</v>
      </c>
      <c r="W51" s="4" t="s">
        <v>644</v>
      </c>
      <c r="X51" s="4" t="s">
        <v>18</v>
      </c>
      <c r="Y51" s="4" t="s">
        <v>645</v>
      </c>
      <c r="Z51" s="4" t="s">
        <v>19</v>
      </c>
      <c r="AA51" s="4" t="s">
        <v>20</v>
      </c>
      <c r="AB51" s="4" t="s">
        <v>21</v>
      </c>
    </row>
    <row r="52" spans="2:28" x14ac:dyDescent="0.35">
      <c r="B52" s="35">
        <v>1</v>
      </c>
      <c r="C52" s="42">
        <f t="shared" ref="C52:N52" si="36">(C6*$D$71)+(C29*$D$72)</f>
        <v>533.73500000000001</v>
      </c>
      <c r="D52" s="65">
        <f t="shared" si="36"/>
        <v>4486.1170825255003</v>
      </c>
      <c r="E52" s="65">
        <f t="shared" si="36"/>
        <v>104.0005</v>
      </c>
      <c r="F52" s="72">
        <f t="shared" si="36"/>
        <v>3.7130000000000005</v>
      </c>
      <c r="G52" s="36">
        <f t="shared" si="36"/>
        <v>397.22</v>
      </c>
      <c r="H52" s="75">
        <f t="shared" si="36"/>
        <v>6132.625</v>
      </c>
      <c r="I52" s="75">
        <f t="shared" si="36"/>
        <v>102.2295</v>
      </c>
      <c r="J52" s="76">
        <f t="shared" si="36"/>
        <v>3.1555</v>
      </c>
      <c r="K52" s="74">
        <f t="shared" si="36"/>
        <v>136.51499999999999</v>
      </c>
      <c r="L52" s="65">
        <f t="shared" si="36"/>
        <v>-1646.5079174744999</v>
      </c>
      <c r="M52" s="65">
        <f t="shared" si="36"/>
        <v>1.771000000000003</v>
      </c>
      <c r="N52" s="70">
        <f t="shared" si="36"/>
        <v>0.55750000000000022</v>
      </c>
      <c r="O52" s="68">
        <v>545</v>
      </c>
      <c r="P52" s="37">
        <f>O52/O$22</f>
        <v>4.5781007182158009E-3</v>
      </c>
      <c r="Q52" s="43">
        <f>K52*O52</f>
        <v>74400.674999999988</v>
      </c>
      <c r="R52" s="44">
        <f>O52*L52</f>
        <v>-897346.81502360245</v>
      </c>
      <c r="S52" s="63">
        <f>M52*O52</f>
        <v>965.19500000000164</v>
      </c>
      <c r="T52" s="47">
        <f>O52*N52</f>
        <v>303.83750000000009</v>
      </c>
      <c r="U52" s="3">
        <f t="shared" ref="U52:U67" si="37">C52*O52</f>
        <v>290885.57500000001</v>
      </c>
      <c r="V52" s="50">
        <f t="shared" ref="V52:V68" si="38">Q52/U52</f>
        <v>0.25577299596241576</v>
      </c>
      <c r="W52" s="3">
        <f t="shared" ref="W52:W67" si="39">D52*O52</f>
        <v>2444933.8099763975</v>
      </c>
      <c r="X52" s="48">
        <f t="shared" ref="X52:X68" si="40">R52/W52</f>
        <v>-0.36702294817227182</v>
      </c>
      <c r="Y52" s="3">
        <f t="shared" ref="Y52:Y67" si="41">E52*O52</f>
        <v>56680.272499999999</v>
      </c>
      <c r="Z52" s="50">
        <f t="shared" ref="Z52:Z67" si="42">S52/Y52</f>
        <v>1.7028764284787123E-2</v>
      </c>
      <c r="AA52" s="3">
        <f t="shared" ref="AA52:AA67" si="43">F52*O52</f>
        <v>2023.5850000000003</v>
      </c>
      <c r="AB52" s="50">
        <f t="shared" ref="AB52:AB68" si="44">T52/AA52</f>
        <v>0.15014812819822249</v>
      </c>
    </row>
    <row r="53" spans="2:28" x14ac:dyDescent="0.35">
      <c r="B53" s="35">
        <v>2</v>
      </c>
      <c r="C53" s="42">
        <f t="shared" ref="C53:N53" si="45">(C7*$D$71)+(C30*$D$72)</f>
        <v>371.56000000000006</v>
      </c>
      <c r="D53" s="65">
        <f t="shared" si="45"/>
        <v>4493.7010079679503</v>
      </c>
      <c r="E53" s="65">
        <f t="shared" si="45"/>
        <v>85.674000000000007</v>
      </c>
      <c r="F53" s="72">
        <f t="shared" si="45"/>
        <v>2.7730000000000001</v>
      </c>
      <c r="G53" s="36">
        <f t="shared" si="45"/>
        <v>246.93500000000003</v>
      </c>
      <c r="H53" s="75">
        <f t="shared" si="45"/>
        <v>5886.183</v>
      </c>
      <c r="I53" s="75">
        <f t="shared" si="45"/>
        <v>81.228000000000009</v>
      </c>
      <c r="J53" s="76">
        <f t="shared" si="45"/>
        <v>2.25</v>
      </c>
      <c r="K53" s="74">
        <f t="shared" si="45"/>
        <v>124.62500000000003</v>
      </c>
      <c r="L53" s="65">
        <f t="shared" si="45"/>
        <v>-1392.4819920320499</v>
      </c>
      <c r="M53" s="65">
        <f t="shared" si="45"/>
        <v>4.4459999999999962</v>
      </c>
      <c r="N53" s="70">
        <f t="shared" si="45"/>
        <v>0.52300000000000002</v>
      </c>
      <c r="O53" s="68">
        <v>3238</v>
      </c>
      <c r="P53" s="37">
        <f t="shared" ref="P53:P67" si="46">O53/O$22</f>
        <v>2.7199798395564703E-2</v>
      </c>
      <c r="Q53" s="43">
        <f t="shared" ref="Q53:Q67" si="47">K53*O53</f>
        <v>403535.75000000012</v>
      </c>
      <c r="R53" s="44">
        <f t="shared" ref="R53:R67" si="48">O53*L53</f>
        <v>-4508856.6901997775</v>
      </c>
      <c r="S53" s="63">
        <f t="shared" ref="S53:S67" si="49">M53*O53</f>
        <v>14396.147999999988</v>
      </c>
      <c r="T53" s="47">
        <f t="shared" ref="T53:T67" si="50">O53*N53</f>
        <v>1693.4740000000002</v>
      </c>
      <c r="U53" s="3">
        <f t="shared" si="37"/>
        <v>1203111.2800000003</v>
      </c>
      <c r="V53" s="50">
        <f t="shared" si="38"/>
        <v>0.33541016255786416</v>
      </c>
      <c r="W53" s="3">
        <f t="shared" si="39"/>
        <v>14550603.863800224</v>
      </c>
      <c r="X53" s="48">
        <f t="shared" si="40"/>
        <v>-0.30987419714017189</v>
      </c>
      <c r="Y53" s="3">
        <f t="shared" si="41"/>
        <v>277412.41200000001</v>
      </c>
      <c r="Z53" s="50">
        <f t="shared" si="42"/>
        <v>5.1894390363470787E-2</v>
      </c>
      <c r="AA53" s="3">
        <f t="shared" si="43"/>
        <v>8978.9740000000002</v>
      </c>
      <c r="AB53" s="50">
        <f t="shared" si="44"/>
        <v>0.18860439956725569</v>
      </c>
    </row>
    <row r="54" spans="2:28" x14ac:dyDescent="0.35">
      <c r="B54" s="35">
        <v>3</v>
      </c>
      <c r="C54" s="42">
        <f t="shared" ref="C54:N54" si="51">(C8*$D$71)+(C31*$D$72)</f>
        <v>284.10000000000002</v>
      </c>
      <c r="D54" s="65">
        <f t="shared" si="51"/>
        <v>4374.6347199459997</v>
      </c>
      <c r="E54" s="65">
        <f t="shared" si="51"/>
        <v>64.779500000000013</v>
      </c>
      <c r="F54" s="72">
        <f t="shared" si="51"/>
        <v>2.2335000000000003</v>
      </c>
      <c r="G54" s="36">
        <f t="shared" si="51"/>
        <v>172.48500000000001</v>
      </c>
      <c r="H54" s="75">
        <f t="shared" si="51"/>
        <v>5465.3955000000005</v>
      </c>
      <c r="I54" s="75">
        <f t="shared" si="51"/>
        <v>61.165500000000002</v>
      </c>
      <c r="J54" s="76">
        <f t="shared" si="51"/>
        <v>1.869</v>
      </c>
      <c r="K54" s="74">
        <f t="shared" si="51"/>
        <v>111.61499999999998</v>
      </c>
      <c r="L54" s="65">
        <f t="shared" si="51"/>
        <v>-1090.7607800540002</v>
      </c>
      <c r="M54" s="65">
        <f t="shared" si="51"/>
        <v>3.6140000000000039</v>
      </c>
      <c r="N54" s="70">
        <f t="shared" si="51"/>
        <v>0.36450000000000016</v>
      </c>
      <c r="O54" s="68">
        <v>12451</v>
      </c>
      <c r="P54" s="37">
        <f t="shared" si="46"/>
        <v>0.10459070099542189</v>
      </c>
      <c r="Q54" s="43">
        <f>K54*O54</f>
        <v>1389718.3649999998</v>
      </c>
      <c r="R54" s="44">
        <f t="shared" si="48"/>
        <v>-13581062.472452356</v>
      </c>
      <c r="S54" s="63">
        <f t="shared" si="49"/>
        <v>44997.914000000048</v>
      </c>
      <c r="T54" s="47">
        <f t="shared" si="50"/>
        <v>4538.389500000002</v>
      </c>
      <c r="U54" s="3">
        <f t="shared" si="37"/>
        <v>3537329.1</v>
      </c>
      <c r="V54" s="50">
        <f t="shared" si="38"/>
        <v>0.39287222808870109</v>
      </c>
      <c r="W54" s="3">
        <f t="shared" si="39"/>
        <v>54468576.898047641</v>
      </c>
      <c r="X54" s="48">
        <f t="shared" si="40"/>
        <v>-0.24933756756437586</v>
      </c>
      <c r="Y54" s="3">
        <f t="shared" si="41"/>
        <v>806569.5545000002</v>
      </c>
      <c r="Z54" s="50">
        <f t="shared" si="42"/>
        <v>5.5789254316566242E-2</v>
      </c>
      <c r="AA54" s="3">
        <f t="shared" si="43"/>
        <v>27809.308500000003</v>
      </c>
      <c r="AB54" s="50">
        <f t="shared" si="44"/>
        <v>0.16319677635997321</v>
      </c>
    </row>
    <row r="55" spans="2:28" x14ac:dyDescent="0.35">
      <c r="B55" s="35">
        <v>4</v>
      </c>
      <c r="C55" s="42">
        <f t="shared" ref="C55:N55" si="52">(C9*$D$71)+(C32*$D$72)</f>
        <v>266.73</v>
      </c>
      <c r="D55" s="65">
        <f t="shared" si="52"/>
        <v>4599.6054166500498</v>
      </c>
      <c r="E55" s="65">
        <f t="shared" si="52"/>
        <v>68.587999999999994</v>
      </c>
      <c r="F55" s="72">
        <f t="shared" si="52"/>
        <v>2.1739999999999999</v>
      </c>
      <c r="G55" s="36">
        <f t="shared" si="52"/>
        <v>164.42500000000001</v>
      </c>
      <c r="H55" s="75">
        <f t="shared" si="52"/>
        <v>5605.2867000000006</v>
      </c>
      <c r="I55" s="75">
        <f t="shared" si="52"/>
        <v>65.250500000000002</v>
      </c>
      <c r="J55" s="76">
        <f t="shared" si="52"/>
        <v>1.831</v>
      </c>
      <c r="K55" s="74">
        <f t="shared" si="52"/>
        <v>102.30500000000001</v>
      </c>
      <c r="L55" s="65">
        <f t="shared" si="52"/>
        <v>-1005.6812833499503</v>
      </c>
      <c r="M55" s="65">
        <f t="shared" si="52"/>
        <v>3.3374999999999986</v>
      </c>
      <c r="N55" s="70">
        <f t="shared" si="52"/>
        <v>0.34299999999999997</v>
      </c>
      <c r="O55" s="68">
        <v>6267</v>
      </c>
      <c r="P55" s="37">
        <f t="shared" si="46"/>
        <v>5.2643958167079674E-2</v>
      </c>
      <c r="Q55" s="43">
        <f t="shared" si="47"/>
        <v>641145.43500000006</v>
      </c>
      <c r="R55" s="44">
        <f t="shared" si="48"/>
        <v>-6302604.6027541384</v>
      </c>
      <c r="S55" s="63">
        <f t="shared" si="49"/>
        <v>20916.112499999992</v>
      </c>
      <c r="T55" s="47">
        <f t="shared" si="50"/>
        <v>2149.5809999999997</v>
      </c>
      <c r="U55" s="3">
        <f t="shared" si="37"/>
        <v>1671596.9100000001</v>
      </c>
      <c r="V55" s="50">
        <f t="shared" si="38"/>
        <v>0.38355265624414203</v>
      </c>
      <c r="W55" s="3">
        <f t="shared" si="39"/>
        <v>28825727.146145862</v>
      </c>
      <c r="X55" s="48">
        <f t="shared" si="40"/>
        <v>-0.21864512110310552</v>
      </c>
      <c r="Y55" s="3">
        <f t="shared" si="41"/>
        <v>429840.99599999998</v>
      </c>
      <c r="Z55" s="50">
        <f t="shared" si="42"/>
        <v>4.8660115472094229E-2</v>
      </c>
      <c r="AA55" s="3">
        <f t="shared" si="43"/>
        <v>13624.457999999999</v>
      </c>
      <c r="AB55" s="50">
        <f t="shared" si="44"/>
        <v>0.15777368905243788</v>
      </c>
    </row>
    <row r="56" spans="2:28" x14ac:dyDescent="0.35">
      <c r="B56" s="35">
        <v>5</v>
      </c>
      <c r="C56" s="42">
        <f t="shared" ref="C56:N56" si="53">(C10*$D$71)+(C33*$D$72)</f>
        <v>258.36</v>
      </c>
      <c r="D56" s="65">
        <f t="shared" si="53"/>
        <v>4357.3580672169501</v>
      </c>
      <c r="E56" s="65">
        <f t="shared" si="53"/>
        <v>60.255500000000005</v>
      </c>
      <c r="F56" s="72">
        <f t="shared" si="53"/>
        <v>2.0625</v>
      </c>
      <c r="G56" s="36">
        <f t="shared" si="53"/>
        <v>133.24</v>
      </c>
      <c r="H56" s="75">
        <f t="shared" si="53"/>
        <v>5699.23</v>
      </c>
      <c r="I56" s="75">
        <f t="shared" si="53"/>
        <v>56.3855</v>
      </c>
      <c r="J56" s="76">
        <f t="shared" si="53"/>
        <v>1.5295000000000001</v>
      </c>
      <c r="K56" s="74">
        <f t="shared" si="53"/>
        <v>125.12</v>
      </c>
      <c r="L56" s="65">
        <f t="shared" si="53"/>
        <v>-1341.8719327830499</v>
      </c>
      <c r="M56" s="65">
        <f t="shared" si="53"/>
        <v>3.87</v>
      </c>
      <c r="N56" s="70">
        <f t="shared" si="53"/>
        <v>0.53299999999999992</v>
      </c>
      <c r="O56" s="68">
        <v>1258</v>
      </c>
      <c r="P56" s="37">
        <f t="shared" si="46"/>
        <v>1.0567432483514638E-2</v>
      </c>
      <c r="Q56" s="43">
        <f t="shared" si="47"/>
        <v>157400.95999999999</v>
      </c>
      <c r="R56" s="44">
        <f t="shared" si="48"/>
        <v>-1688074.8914410768</v>
      </c>
      <c r="S56" s="63">
        <f t="shared" si="49"/>
        <v>4868.46</v>
      </c>
      <c r="T56" s="47">
        <f t="shared" si="50"/>
        <v>670.5139999999999</v>
      </c>
      <c r="U56" s="3">
        <f t="shared" si="37"/>
        <v>325016.88</v>
      </c>
      <c r="V56" s="50">
        <f t="shared" si="38"/>
        <v>0.4842854931103886</v>
      </c>
      <c r="W56" s="3">
        <f t="shared" si="39"/>
        <v>5481556.4485589229</v>
      </c>
      <c r="X56" s="48">
        <f t="shared" si="40"/>
        <v>-0.30795539684442441</v>
      </c>
      <c r="Y56" s="3">
        <f t="shared" si="41"/>
        <v>75801.419000000009</v>
      </c>
      <c r="Z56" s="50">
        <f t="shared" si="42"/>
        <v>6.4226502145032394E-2</v>
      </c>
      <c r="AA56" s="3">
        <f t="shared" si="43"/>
        <v>2594.625</v>
      </c>
      <c r="AB56" s="50">
        <f t="shared" si="44"/>
        <v>0.25842424242424239</v>
      </c>
    </row>
    <row r="57" spans="2:28" x14ac:dyDescent="0.35">
      <c r="B57" s="35">
        <v>6</v>
      </c>
      <c r="C57" s="42">
        <f t="shared" ref="C57:N57" si="54">(C11*$D$71)+(C34*$D$72)</f>
        <v>197.59500000000003</v>
      </c>
      <c r="D57" s="65">
        <f t="shared" si="54"/>
        <v>4464.1780405684494</v>
      </c>
      <c r="E57" s="65">
        <f t="shared" si="54"/>
        <v>54.267499999999998</v>
      </c>
      <c r="F57" s="72">
        <f t="shared" si="54"/>
        <v>1.7120000000000002</v>
      </c>
      <c r="G57" s="36">
        <f t="shared" si="54"/>
        <v>84.745000000000005</v>
      </c>
      <c r="H57" s="75">
        <f t="shared" si="54"/>
        <v>5482.8769000000002</v>
      </c>
      <c r="I57" s="75">
        <f t="shared" si="54"/>
        <v>47.994500000000002</v>
      </c>
      <c r="J57" s="76">
        <f t="shared" si="54"/>
        <v>1.2045000000000001</v>
      </c>
      <c r="K57" s="74">
        <f t="shared" si="54"/>
        <v>112.85000000000002</v>
      </c>
      <c r="L57" s="65">
        <f t="shared" si="54"/>
        <v>-1018.6988594315503</v>
      </c>
      <c r="M57" s="65">
        <f t="shared" si="54"/>
        <v>6.2730000000000032</v>
      </c>
      <c r="N57" s="70">
        <f t="shared" si="54"/>
        <v>0.50750000000000006</v>
      </c>
      <c r="O57" s="68">
        <v>6617</v>
      </c>
      <c r="P57" s="37">
        <f t="shared" si="46"/>
        <v>5.5584022848502668E-2</v>
      </c>
      <c r="Q57" s="43">
        <f t="shared" si="47"/>
        <v>746728.45000000019</v>
      </c>
      <c r="R57" s="44">
        <f t="shared" si="48"/>
        <v>-6740730.3528585685</v>
      </c>
      <c r="S57" s="63">
        <f t="shared" si="49"/>
        <v>41508.441000000021</v>
      </c>
      <c r="T57" s="47">
        <f t="shared" si="50"/>
        <v>3358.1275000000005</v>
      </c>
      <c r="U57" s="3">
        <f t="shared" si="37"/>
        <v>1307486.1150000002</v>
      </c>
      <c r="V57" s="50">
        <f t="shared" si="38"/>
        <v>0.57111769022495518</v>
      </c>
      <c r="W57" s="3">
        <f t="shared" si="39"/>
        <v>29539466.094441429</v>
      </c>
      <c r="X57" s="48">
        <f t="shared" si="40"/>
        <v>-0.22819404830498954</v>
      </c>
      <c r="Y57" s="3">
        <f t="shared" si="41"/>
        <v>359088.04749999999</v>
      </c>
      <c r="Z57" s="50">
        <f t="shared" si="42"/>
        <v>0.11559404800294842</v>
      </c>
      <c r="AA57" s="3">
        <f t="shared" si="43"/>
        <v>11328.304000000002</v>
      </c>
      <c r="AB57" s="50">
        <f t="shared" si="44"/>
        <v>0.29643691588785048</v>
      </c>
    </row>
    <row r="58" spans="2:28" x14ac:dyDescent="0.35">
      <c r="B58" s="35">
        <v>7</v>
      </c>
      <c r="C58" s="42">
        <f t="shared" ref="C58:N58" si="55">(C12*$D$71)+(C35*$D$72)</f>
        <v>182.11500000000001</v>
      </c>
      <c r="D58" s="65">
        <f t="shared" si="55"/>
        <v>4465.2918581053709</v>
      </c>
      <c r="E58" s="65">
        <f t="shared" si="55"/>
        <v>50.09</v>
      </c>
      <c r="F58" s="72">
        <f t="shared" si="55"/>
        <v>1.6055000000000001</v>
      </c>
      <c r="G58" s="36">
        <f t="shared" si="55"/>
        <v>69.454999999999998</v>
      </c>
      <c r="H58" s="75">
        <f t="shared" si="55"/>
        <v>5463.7443500000008</v>
      </c>
      <c r="I58" s="75">
        <f t="shared" si="55"/>
        <v>43.782499999999999</v>
      </c>
      <c r="J58" s="76">
        <f t="shared" si="55"/>
        <v>1.0979999999999999</v>
      </c>
      <c r="K58" s="74">
        <f t="shared" si="55"/>
        <v>112.66</v>
      </c>
      <c r="L58" s="65">
        <f t="shared" si="55"/>
        <v>-998.45249189463038</v>
      </c>
      <c r="M58" s="65">
        <f t="shared" si="55"/>
        <v>6.3075000000000028</v>
      </c>
      <c r="N58" s="70">
        <f t="shared" si="55"/>
        <v>0.50750000000000006</v>
      </c>
      <c r="O58" s="68">
        <v>5299</v>
      </c>
      <c r="P58" s="37">
        <f t="shared" si="46"/>
        <v>4.4512579276744089E-2</v>
      </c>
      <c r="Q58" s="43">
        <f t="shared" si="47"/>
        <v>596985.34</v>
      </c>
      <c r="R58" s="44">
        <f t="shared" si="48"/>
        <v>-5290799.7545496468</v>
      </c>
      <c r="S58" s="63">
        <f t="shared" si="49"/>
        <v>33423.442500000012</v>
      </c>
      <c r="T58" s="47">
        <f t="shared" si="50"/>
        <v>2689.2425000000003</v>
      </c>
      <c r="U58" s="3">
        <f t="shared" si="37"/>
        <v>965027.38500000001</v>
      </c>
      <c r="V58" s="50">
        <f t="shared" si="38"/>
        <v>0.618620102682371</v>
      </c>
      <c r="W58" s="3">
        <f t="shared" si="39"/>
        <v>23661581.556100361</v>
      </c>
      <c r="X58" s="48">
        <f t="shared" si="40"/>
        <v>-0.22360296339470967</v>
      </c>
      <c r="Y58" s="3">
        <f t="shared" si="41"/>
        <v>265426.91000000003</v>
      </c>
      <c r="Z58" s="50">
        <f t="shared" si="42"/>
        <v>0.12592333799161512</v>
      </c>
      <c r="AA58" s="3">
        <f t="shared" si="43"/>
        <v>8507.5445</v>
      </c>
      <c r="AB58" s="50">
        <f t="shared" si="44"/>
        <v>0.3161009031454376</v>
      </c>
    </row>
    <row r="59" spans="2:28" x14ac:dyDescent="0.35">
      <c r="B59" s="35">
        <v>8</v>
      </c>
      <c r="C59" s="42">
        <f t="shared" ref="C59:N59" si="56">(C13*$D$71)+(C36*$D$72)</f>
        <v>176.58</v>
      </c>
      <c r="D59" s="65">
        <f t="shared" si="56"/>
        <v>5046.7023155042007</v>
      </c>
      <c r="E59" s="65">
        <f t="shared" si="56"/>
        <v>53.423000000000002</v>
      </c>
      <c r="F59" s="72">
        <f t="shared" si="56"/>
        <v>1.673</v>
      </c>
      <c r="G59" s="36">
        <f t="shared" si="56"/>
        <v>67.504999999999995</v>
      </c>
      <c r="H59" s="75">
        <f t="shared" si="56"/>
        <v>5973.0532000000003</v>
      </c>
      <c r="I59" s="75">
        <f t="shared" si="56"/>
        <v>46.287000000000006</v>
      </c>
      <c r="J59" s="76">
        <f t="shared" si="56"/>
        <v>1.1700000000000002</v>
      </c>
      <c r="K59" s="74">
        <f t="shared" si="56"/>
        <v>109.07499999999999</v>
      </c>
      <c r="L59" s="65">
        <f t="shared" si="56"/>
        <v>-926.35088449579985</v>
      </c>
      <c r="M59" s="65">
        <f t="shared" si="56"/>
        <v>7.1360000000000028</v>
      </c>
      <c r="N59" s="70">
        <f t="shared" si="56"/>
        <v>0.503</v>
      </c>
      <c r="O59" s="68">
        <v>9870</v>
      </c>
      <c r="P59" s="37">
        <f t="shared" si="46"/>
        <v>8.2909824016128356E-2</v>
      </c>
      <c r="Q59" s="43">
        <f t="shared" si="47"/>
        <v>1076570.25</v>
      </c>
      <c r="R59" s="44">
        <f t="shared" si="48"/>
        <v>-9143083.2299735453</v>
      </c>
      <c r="S59" s="63">
        <f t="shared" si="49"/>
        <v>70432.320000000022</v>
      </c>
      <c r="T59" s="47">
        <f t="shared" si="50"/>
        <v>4964.6099999999997</v>
      </c>
      <c r="U59" s="3">
        <f t="shared" si="37"/>
        <v>1742844.6</v>
      </c>
      <c r="V59" s="50">
        <f t="shared" si="38"/>
        <v>0.61770868728055273</v>
      </c>
      <c r="W59" s="3">
        <f t="shared" si="39"/>
        <v>49810951.854026459</v>
      </c>
      <c r="X59" s="48">
        <f t="shared" si="40"/>
        <v>-0.18355568182611362</v>
      </c>
      <c r="Y59" s="3">
        <f t="shared" si="41"/>
        <v>527285.01</v>
      </c>
      <c r="Z59" s="50">
        <f t="shared" si="42"/>
        <v>0.13357542631450878</v>
      </c>
      <c r="AA59" s="3">
        <f t="shared" si="43"/>
        <v>16512.510000000002</v>
      </c>
      <c r="AB59" s="50">
        <f t="shared" si="44"/>
        <v>0.30065750149432152</v>
      </c>
    </row>
    <row r="60" spans="2:28" x14ac:dyDescent="0.35">
      <c r="B60" s="35">
        <v>9</v>
      </c>
      <c r="C60" s="42">
        <f t="shared" ref="C60:N60" si="57">(C14*$D$71)+(C37*$D$72)</f>
        <v>195.25</v>
      </c>
      <c r="D60" s="65">
        <f t="shared" si="57"/>
        <v>5025.9740808432507</v>
      </c>
      <c r="E60" s="65">
        <f t="shared" si="57"/>
        <v>58.490500000000004</v>
      </c>
      <c r="F60" s="72">
        <f t="shared" si="57"/>
        <v>1.7885</v>
      </c>
      <c r="G60" s="36">
        <f t="shared" si="57"/>
        <v>85.174999999999997</v>
      </c>
      <c r="H60" s="75">
        <f t="shared" si="57"/>
        <v>5995.2663500000008</v>
      </c>
      <c r="I60" s="75">
        <f t="shared" si="57"/>
        <v>51.433500000000002</v>
      </c>
      <c r="J60" s="76">
        <f t="shared" si="57"/>
        <v>1.2865</v>
      </c>
      <c r="K60" s="74">
        <f t="shared" si="57"/>
        <v>110.07500000000002</v>
      </c>
      <c r="L60" s="65">
        <f t="shared" si="57"/>
        <v>-969.29226915675019</v>
      </c>
      <c r="M60" s="65">
        <f t="shared" si="57"/>
        <v>7.0570000000000004</v>
      </c>
      <c r="N60" s="70">
        <f t="shared" si="57"/>
        <v>0.502</v>
      </c>
      <c r="O60" s="68">
        <v>13622</v>
      </c>
      <c r="P60" s="37">
        <f t="shared" si="46"/>
        <v>0.11442731740098282</v>
      </c>
      <c r="Q60" s="43">
        <f t="shared" si="47"/>
        <v>1499441.6500000001</v>
      </c>
      <c r="R60" s="44">
        <f t="shared" si="48"/>
        <v>-13203699.290453251</v>
      </c>
      <c r="S60" s="63">
        <f t="shared" si="49"/>
        <v>96130.454000000012</v>
      </c>
      <c r="T60" s="47">
        <f t="shared" si="50"/>
        <v>6838.2439999999997</v>
      </c>
      <c r="U60" s="3">
        <f t="shared" si="37"/>
        <v>2659695.5</v>
      </c>
      <c r="V60" s="50">
        <f t="shared" si="38"/>
        <v>0.56376440460947508</v>
      </c>
      <c r="W60" s="3">
        <f t="shared" si="39"/>
        <v>68463818.929246768</v>
      </c>
      <c r="X60" s="48">
        <f t="shared" si="40"/>
        <v>-0.19285659925132834</v>
      </c>
      <c r="Y60" s="3">
        <f t="shared" si="41"/>
        <v>796757.59100000001</v>
      </c>
      <c r="Z60" s="50">
        <f t="shared" si="42"/>
        <v>0.12065207170395194</v>
      </c>
      <c r="AA60" s="3">
        <f t="shared" si="43"/>
        <v>24362.947</v>
      </c>
      <c r="AB60" s="50">
        <f t="shared" si="44"/>
        <v>0.28068213586804586</v>
      </c>
    </row>
    <row r="61" spans="2:28" x14ac:dyDescent="0.35">
      <c r="B61" s="35">
        <v>10</v>
      </c>
      <c r="C61" s="42">
        <f t="shared" ref="C61:N61" si="58">(C15*$D$71)+(C38*$D$72)</f>
        <v>216.91500000000002</v>
      </c>
      <c r="D61" s="65">
        <f t="shared" si="58"/>
        <v>5343.2239700574009</v>
      </c>
      <c r="E61" s="65">
        <f t="shared" si="58"/>
        <v>67.248500000000007</v>
      </c>
      <c r="F61" s="72">
        <f t="shared" si="58"/>
        <v>1.9550000000000001</v>
      </c>
      <c r="G61" s="36">
        <f t="shared" si="58"/>
        <v>155.80000000000001</v>
      </c>
      <c r="H61" s="75">
        <f t="shared" si="58"/>
        <v>6013.6325000000006</v>
      </c>
      <c r="I61" s="75">
        <f t="shared" si="58"/>
        <v>66.075000000000003</v>
      </c>
      <c r="J61" s="76">
        <f t="shared" si="58"/>
        <v>1.7775000000000001</v>
      </c>
      <c r="K61" s="74">
        <f t="shared" si="58"/>
        <v>61.115000000000009</v>
      </c>
      <c r="L61" s="65">
        <f t="shared" si="58"/>
        <v>-670.40852994259967</v>
      </c>
      <c r="M61" s="65">
        <f t="shared" si="58"/>
        <v>1.1735000000000095</v>
      </c>
      <c r="N61" s="70">
        <f t="shared" si="58"/>
        <v>0.17750000000000005</v>
      </c>
      <c r="O61" s="68">
        <v>17792</v>
      </c>
      <c r="P61" s="37">
        <f t="shared" si="46"/>
        <v>0.14945608803393676</v>
      </c>
      <c r="Q61" s="43">
        <f t="shared" si="47"/>
        <v>1087358.08</v>
      </c>
      <c r="R61" s="44">
        <f t="shared" si="48"/>
        <v>-11927908.564738734</v>
      </c>
      <c r="S61" s="63">
        <f t="shared" si="49"/>
        <v>20878.912000000171</v>
      </c>
      <c r="T61" s="47">
        <f t="shared" si="50"/>
        <v>3158.0800000000008</v>
      </c>
      <c r="U61" s="3">
        <f t="shared" si="37"/>
        <v>3859351.68</v>
      </c>
      <c r="V61" s="50">
        <f t="shared" si="38"/>
        <v>0.28174630615678953</v>
      </c>
      <c r="W61" s="3">
        <f t="shared" si="39"/>
        <v>95066640.875261277</v>
      </c>
      <c r="X61" s="48">
        <f t="shared" si="40"/>
        <v>-0.12546891796029236</v>
      </c>
      <c r="Y61" s="3">
        <f t="shared" si="41"/>
        <v>1196485.3120000002</v>
      </c>
      <c r="Z61" s="50">
        <f t="shared" si="42"/>
        <v>1.7450203350260741E-2</v>
      </c>
      <c r="AA61" s="3">
        <f t="shared" si="43"/>
        <v>34783.360000000001</v>
      </c>
      <c r="AB61" s="50">
        <f t="shared" si="44"/>
        <v>9.0792838874680329E-2</v>
      </c>
    </row>
    <row r="62" spans="2:28" x14ac:dyDescent="0.35">
      <c r="B62" s="35">
        <v>11</v>
      </c>
      <c r="C62" s="42">
        <f t="shared" ref="C62:N62" si="59">(C16*$D$71)+(C39*$D$72)</f>
        <v>339.13500000000005</v>
      </c>
      <c r="D62" s="65">
        <f t="shared" si="59"/>
        <v>5888.5127882601009</v>
      </c>
      <c r="E62" s="65">
        <f t="shared" si="59"/>
        <v>96.812000000000012</v>
      </c>
      <c r="F62" s="72">
        <f t="shared" si="59"/>
        <v>2.7709999999999999</v>
      </c>
      <c r="G62" s="36">
        <f t="shared" si="59"/>
        <v>227.5</v>
      </c>
      <c r="H62" s="75">
        <f t="shared" si="59"/>
        <v>7046.5684999999994</v>
      </c>
      <c r="I62" s="75">
        <f t="shared" si="59"/>
        <v>92.011500000000012</v>
      </c>
      <c r="J62" s="76">
        <f t="shared" si="59"/>
        <v>2.2990000000000004</v>
      </c>
      <c r="K62" s="74">
        <f t="shared" si="59"/>
        <v>111.63500000000002</v>
      </c>
      <c r="L62" s="65">
        <f t="shared" si="59"/>
        <v>-1158.0557117399001</v>
      </c>
      <c r="M62" s="65">
        <f t="shared" si="59"/>
        <v>4.8004999999999978</v>
      </c>
      <c r="N62" s="70">
        <f t="shared" si="59"/>
        <v>0.47199999999999998</v>
      </c>
      <c r="O62" s="68">
        <v>5145</v>
      </c>
      <c r="P62" s="37">
        <f t="shared" si="46"/>
        <v>4.321895081691797E-2</v>
      </c>
      <c r="Q62" s="43">
        <f t="shared" si="47"/>
        <v>574362.07500000007</v>
      </c>
      <c r="R62" s="44">
        <f t="shared" si="48"/>
        <v>-5958196.6369017856</v>
      </c>
      <c r="S62" s="63">
        <f t="shared" si="49"/>
        <v>24698.572499999987</v>
      </c>
      <c r="T62" s="47">
        <f t="shared" si="50"/>
        <v>2428.44</v>
      </c>
      <c r="U62" s="3">
        <f t="shared" si="37"/>
        <v>1744849.5750000002</v>
      </c>
      <c r="V62" s="50">
        <f t="shared" si="38"/>
        <v>0.32917569699382254</v>
      </c>
      <c r="W62" s="3">
        <f t="shared" si="39"/>
        <v>30296398.29559822</v>
      </c>
      <c r="X62" s="48">
        <f t="shared" si="40"/>
        <v>-0.19666353005952708</v>
      </c>
      <c r="Y62" s="3">
        <f t="shared" si="41"/>
        <v>498097.74000000005</v>
      </c>
      <c r="Z62" s="50">
        <f t="shared" si="42"/>
        <v>4.9585795149361622E-2</v>
      </c>
      <c r="AA62" s="3">
        <f t="shared" si="43"/>
        <v>14256.795</v>
      </c>
      <c r="AB62" s="50">
        <f t="shared" si="44"/>
        <v>0.17033561891014073</v>
      </c>
    </row>
    <row r="63" spans="2:28" x14ac:dyDescent="0.35">
      <c r="B63" s="35">
        <v>12</v>
      </c>
      <c r="C63" s="42">
        <f t="shared" ref="C63:N63" si="60">(C17*$D$71)+(C40*$D$72)</f>
        <v>330.375</v>
      </c>
      <c r="D63" s="65">
        <f t="shared" si="60"/>
        <v>4877.3061693238005</v>
      </c>
      <c r="E63" s="65">
        <f t="shared" si="60"/>
        <v>86.880500000000012</v>
      </c>
      <c r="F63" s="72">
        <f t="shared" si="60"/>
        <v>2.5979999999999999</v>
      </c>
      <c r="G63" s="36">
        <f t="shared" si="60"/>
        <v>213.29000000000002</v>
      </c>
      <c r="H63" s="75">
        <f t="shared" si="60"/>
        <v>6116.2125000000005</v>
      </c>
      <c r="I63" s="75">
        <f t="shared" si="60"/>
        <v>82.177500000000009</v>
      </c>
      <c r="J63" s="76">
        <f t="shared" si="60"/>
        <v>2.1005000000000003</v>
      </c>
      <c r="K63" s="74">
        <f t="shared" si="60"/>
        <v>117.08500000000004</v>
      </c>
      <c r="L63" s="65">
        <f t="shared" si="60"/>
        <v>-1238.9063306762</v>
      </c>
      <c r="M63" s="65">
        <f t="shared" si="60"/>
        <v>4.7030000000000012</v>
      </c>
      <c r="N63" s="70">
        <f t="shared" si="60"/>
        <v>0.49749999999999983</v>
      </c>
      <c r="O63" s="68">
        <v>19927</v>
      </c>
      <c r="P63" s="37">
        <f t="shared" si="46"/>
        <v>0.16739048259061701</v>
      </c>
      <c r="Q63" s="43">
        <f t="shared" si="47"/>
        <v>2333152.7950000009</v>
      </c>
      <c r="R63" s="44">
        <f t="shared" si="48"/>
        <v>-24687686.451384638</v>
      </c>
      <c r="S63" s="63">
        <f t="shared" si="49"/>
        <v>93716.681000000026</v>
      </c>
      <c r="T63" s="47">
        <f t="shared" si="50"/>
        <v>9913.6824999999972</v>
      </c>
      <c r="U63" s="3">
        <f t="shared" si="37"/>
        <v>6583382.625</v>
      </c>
      <c r="V63" s="50">
        <f t="shared" si="38"/>
        <v>0.35440030268634143</v>
      </c>
      <c r="W63" s="3">
        <f t="shared" si="39"/>
        <v>97190080.036115378</v>
      </c>
      <c r="X63" s="48">
        <f t="shared" si="40"/>
        <v>-0.25401446775443348</v>
      </c>
      <c r="Y63" s="3">
        <f t="shared" si="41"/>
        <v>1731267.7235000003</v>
      </c>
      <c r="Z63" s="50">
        <f t="shared" si="42"/>
        <v>5.4131824747785759E-2</v>
      </c>
      <c r="AA63" s="3">
        <f t="shared" si="43"/>
        <v>51770.345999999998</v>
      </c>
      <c r="AB63" s="50">
        <f t="shared" si="44"/>
        <v>0.1914934565050038</v>
      </c>
    </row>
    <row r="64" spans="2:28" x14ac:dyDescent="0.35">
      <c r="B64" s="35">
        <v>13</v>
      </c>
      <c r="C64" s="42">
        <f t="shared" ref="C64:N64" si="61">(C18*$D$71)+(C41*$D$72)</f>
        <v>277.10500000000002</v>
      </c>
      <c r="D64" s="65">
        <f t="shared" si="61"/>
        <v>6375.9655667550996</v>
      </c>
      <c r="E64" s="65">
        <f t="shared" si="61"/>
        <v>88.557999999999993</v>
      </c>
      <c r="F64" s="72">
        <f t="shared" si="61"/>
        <v>2.4900000000000002</v>
      </c>
      <c r="G64" s="36">
        <f t="shared" si="61"/>
        <v>155.14500000000004</v>
      </c>
      <c r="H64" s="75">
        <f t="shared" si="61"/>
        <v>7619.326500000001</v>
      </c>
      <c r="I64" s="75">
        <f t="shared" si="61"/>
        <v>85.084500000000006</v>
      </c>
      <c r="J64" s="76">
        <f t="shared" si="61"/>
        <v>2.1005000000000003</v>
      </c>
      <c r="K64" s="74">
        <f t="shared" si="61"/>
        <v>121.96000000000001</v>
      </c>
      <c r="L64" s="65">
        <f t="shared" si="61"/>
        <v>-1243.3609332449005</v>
      </c>
      <c r="M64" s="65">
        <f t="shared" si="61"/>
        <v>3.4734999999999965</v>
      </c>
      <c r="N64" s="70">
        <f t="shared" si="61"/>
        <v>0.3894999999999999</v>
      </c>
      <c r="O64" s="68">
        <v>8790</v>
      </c>
      <c r="P64" s="37">
        <f t="shared" si="46"/>
        <v>7.3837624427737406E-2</v>
      </c>
      <c r="Q64" s="43">
        <f t="shared" si="47"/>
        <v>1072028.4000000001</v>
      </c>
      <c r="R64" s="44">
        <f t="shared" si="48"/>
        <v>-10929142.603222676</v>
      </c>
      <c r="S64" s="63">
        <f t="shared" si="49"/>
        <v>30532.06499999997</v>
      </c>
      <c r="T64" s="47">
        <f t="shared" si="50"/>
        <v>3423.704999999999</v>
      </c>
      <c r="U64" s="3">
        <f t="shared" si="37"/>
        <v>2435752.9500000002</v>
      </c>
      <c r="V64" s="50">
        <f t="shared" si="38"/>
        <v>0.44012197542447812</v>
      </c>
      <c r="W64" s="3">
        <f t="shared" si="39"/>
        <v>56044737.331777327</v>
      </c>
      <c r="X64" s="48">
        <f t="shared" si="40"/>
        <v>-0.19500747302148314</v>
      </c>
      <c r="Y64" s="3">
        <f t="shared" si="41"/>
        <v>778424.82</v>
      </c>
      <c r="Z64" s="50">
        <f t="shared" si="42"/>
        <v>3.9222882178910963E-2</v>
      </c>
      <c r="AA64" s="3">
        <f t="shared" si="43"/>
        <v>21887.100000000002</v>
      </c>
      <c r="AB64" s="50">
        <f t="shared" si="44"/>
        <v>0.15642570281124493</v>
      </c>
    </row>
    <row r="65" spans="2:28" x14ac:dyDescent="0.35">
      <c r="B65" s="35">
        <v>14</v>
      </c>
      <c r="C65" s="42">
        <f t="shared" ref="C65:N65" si="62">(C19*$D$71)+(C42*$D$72)</f>
        <v>318.84500000000003</v>
      </c>
      <c r="D65" s="65">
        <f t="shared" si="62"/>
        <v>5727.8485244782005</v>
      </c>
      <c r="E65" s="65">
        <f t="shared" si="62"/>
        <v>82.52600000000001</v>
      </c>
      <c r="F65" s="72">
        <f t="shared" si="62"/>
        <v>2.609</v>
      </c>
      <c r="G65" s="36">
        <f t="shared" si="62"/>
        <v>159.96500000000003</v>
      </c>
      <c r="H65" s="75">
        <f t="shared" si="62"/>
        <v>7594.01</v>
      </c>
      <c r="I65" s="75">
        <f t="shared" si="62"/>
        <v>80.655000000000001</v>
      </c>
      <c r="J65" s="76">
        <f t="shared" si="62"/>
        <v>2.1750000000000003</v>
      </c>
      <c r="K65" s="74">
        <f t="shared" si="62"/>
        <v>158.88</v>
      </c>
      <c r="L65" s="65">
        <f t="shared" si="62"/>
        <v>-1866.1614755218002</v>
      </c>
      <c r="M65" s="65">
        <f t="shared" si="62"/>
        <v>1.8710000000000038</v>
      </c>
      <c r="N65" s="70">
        <f t="shared" si="62"/>
        <v>0.43399999999999994</v>
      </c>
      <c r="O65" s="68">
        <v>3401</v>
      </c>
      <c r="P65" s="37">
        <f t="shared" si="46"/>
        <v>2.8569028518627408E-2</v>
      </c>
      <c r="Q65" s="43">
        <f t="shared" si="47"/>
        <v>540350.88</v>
      </c>
      <c r="R65" s="44">
        <f t="shared" si="48"/>
        <v>-6346815.1782496423</v>
      </c>
      <c r="S65" s="63">
        <f t="shared" si="49"/>
        <v>6363.2710000000125</v>
      </c>
      <c r="T65" s="47">
        <f t="shared" si="50"/>
        <v>1476.0339999999999</v>
      </c>
      <c r="U65" s="3">
        <f t="shared" si="37"/>
        <v>1084391.8450000002</v>
      </c>
      <c r="V65" s="50">
        <f t="shared" si="38"/>
        <v>0.49829854631560783</v>
      </c>
      <c r="W65" s="3">
        <f t="shared" si="39"/>
        <v>19480412.831750359</v>
      </c>
      <c r="X65" s="48">
        <f t="shared" si="40"/>
        <v>-0.32580496281399218</v>
      </c>
      <c r="Y65" s="3">
        <f t="shared" si="41"/>
        <v>280670.92600000004</v>
      </c>
      <c r="Z65" s="50">
        <f t="shared" si="42"/>
        <v>2.2671642876184516E-2</v>
      </c>
      <c r="AA65" s="3">
        <f t="shared" si="43"/>
        <v>8873.2090000000007</v>
      </c>
      <c r="AB65" s="50">
        <f t="shared" si="44"/>
        <v>0.16634725948639323</v>
      </c>
    </row>
    <row r="66" spans="2:28" x14ac:dyDescent="0.35">
      <c r="B66" s="35">
        <v>15</v>
      </c>
      <c r="C66" s="42">
        <f t="shared" ref="C66:N66" si="63">(C20*$D$71)+(C43*$D$72)</f>
        <v>140.99</v>
      </c>
      <c r="D66" s="65">
        <f t="shared" si="63"/>
        <v>8947.8058429466491</v>
      </c>
      <c r="E66" s="65">
        <f t="shared" si="63"/>
        <v>79.110000000000014</v>
      </c>
      <c r="F66" s="72">
        <f t="shared" si="63"/>
        <v>1.8740000000000001</v>
      </c>
      <c r="G66" s="36">
        <f t="shared" si="63"/>
        <v>53.42</v>
      </c>
      <c r="H66" s="75">
        <f t="shared" si="63"/>
        <v>9570.4118500000004</v>
      </c>
      <c r="I66" s="75">
        <f t="shared" si="63"/>
        <v>72.153500000000008</v>
      </c>
      <c r="J66" s="76">
        <f t="shared" si="63"/>
        <v>1.4520000000000002</v>
      </c>
      <c r="K66" s="74">
        <f t="shared" si="63"/>
        <v>87.570000000000007</v>
      </c>
      <c r="L66" s="65">
        <f t="shared" si="63"/>
        <v>-622.60600705335037</v>
      </c>
      <c r="M66" s="65">
        <f t="shared" si="63"/>
        <v>6.9565000000000037</v>
      </c>
      <c r="N66" s="70">
        <f t="shared" si="63"/>
        <v>0.42199999999999993</v>
      </c>
      <c r="O66" s="68">
        <v>3389</v>
      </c>
      <c r="P66" s="37">
        <f t="shared" si="46"/>
        <v>2.8468226300978623E-2</v>
      </c>
      <c r="Q66" s="43">
        <f t="shared" si="47"/>
        <v>296774.73000000004</v>
      </c>
      <c r="R66" s="44">
        <f t="shared" si="48"/>
        <v>-2110011.7579038045</v>
      </c>
      <c r="S66" s="63">
        <f t="shared" si="49"/>
        <v>23575.578500000014</v>
      </c>
      <c r="T66" s="47">
        <f t="shared" si="50"/>
        <v>1430.1579999999997</v>
      </c>
      <c r="U66" s="3">
        <f t="shared" si="37"/>
        <v>477815.11000000004</v>
      </c>
      <c r="V66" s="50">
        <f t="shared" si="38"/>
        <v>0.62110787999148875</v>
      </c>
      <c r="W66" s="3">
        <f t="shared" si="39"/>
        <v>30324114.001746193</v>
      </c>
      <c r="X66" s="48">
        <f t="shared" si="40"/>
        <v>-6.9581975512369498E-2</v>
      </c>
      <c r="Y66" s="3">
        <f t="shared" si="41"/>
        <v>268103.79000000004</v>
      </c>
      <c r="Z66" s="50">
        <f t="shared" si="42"/>
        <v>8.7934521552269038E-2</v>
      </c>
      <c r="AA66" s="3">
        <f t="shared" si="43"/>
        <v>6350.9860000000008</v>
      </c>
      <c r="AB66" s="50">
        <f t="shared" si="44"/>
        <v>0.22518676627534678</v>
      </c>
    </row>
    <row r="67" spans="2:28" x14ac:dyDescent="0.35">
      <c r="B67" s="35">
        <v>16</v>
      </c>
      <c r="C67" s="42">
        <f t="shared" ref="C67:N67" si="64">(C21*$D$71)+(C44*$D$72)</f>
        <v>542.15499999999997</v>
      </c>
      <c r="D67" s="65">
        <f t="shared" si="64"/>
        <v>4731.6236188090497</v>
      </c>
      <c r="E67" s="65">
        <f t="shared" si="64"/>
        <v>106.27550000000001</v>
      </c>
      <c r="F67" s="72">
        <f t="shared" si="64"/>
        <v>3.7875000000000001</v>
      </c>
      <c r="G67" s="36">
        <f t="shared" si="64"/>
        <v>405.48500000000001</v>
      </c>
      <c r="H67" s="75">
        <f t="shared" si="64"/>
        <v>6064.5560000000005</v>
      </c>
      <c r="I67" s="75">
        <f t="shared" si="64"/>
        <v>103.3845</v>
      </c>
      <c r="J67" s="76">
        <f t="shared" si="64"/>
        <v>3.1990000000000003</v>
      </c>
      <c r="K67" s="74">
        <f t="shared" si="64"/>
        <v>136.66999999999999</v>
      </c>
      <c r="L67" s="65">
        <f t="shared" si="64"/>
        <v>-1332.9323811909505</v>
      </c>
      <c r="M67" s="65">
        <f t="shared" si="64"/>
        <v>2.891</v>
      </c>
      <c r="N67" s="70">
        <f t="shared" si="64"/>
        <v>0.58850000000000002</v>
      </c>
      <c r="O67" s="68">
        <v>1434</v>
      </c>
      <c r="P67" s="37">
        <f t="shared" si="46"/>
        <v>1.2045865009030198E-2</v>
      </c>
      <c r="Q67" s="43">
        <f t="shared" si="47"/>
        <v>195984.77999999997</v>
      </c>
      <c r="R67" s="44">
        <f t="shared" si="48"/>
        <v>-1911425.0346278232</v>
      </c>
      <c r="S67" s="63">
        <f t="shared" si="49"/>
        <v>4145.6940000000004</v>
      </c>
      <c r="T67" s="47">
        <f t="shared" si="50"/>
        <v>843.90899999999999</v>
      </c>
      <c r="U67" s="3">
        <f t="shared" si="37"/>
        <v>777450.27</v>
      </c>
      <c r="V67" s="50">
        <f t="shared" si="38"/>
        <v>0.25208658040597243</v>
      </c>
      <c r="W67" s="3">
        <f t="shared" si="39"/>
        <v>6785148.2693721773</v>
      </c>
      <c r="X67" s="48">
        <f t="shared" si="40"/>
        <v>-0.28170718733677508</v>
      </c>
      <c r="Y67" s="3">
        <f t="shared" si="41"/>
        <v>152399.06700000001</v>
      </c>
      <c r="Z67" s="50">
        <f t="shared" si="42"/>
        <v>2.720288307276842E-2</v>
      </c>
      <c r="AA67" s="3">
        <f t="shared" si="43"/>
        <v>5431.2750000000005</v>
      </c>
      <c r="AB67" s="50">
        <f t="shared" si="44"/>
        <v>0.15537953795379536</v>
      </c>
    </row>
    <row r="68" spans="2:28" ht="19" thickBot="1" x14ac:dyDescent="0.5">
      <c r="B68" s="38" t="s">
        <v>22</v>
      </c>
      <c r="C68" s="67">
        <f>AVERAGE(C52:C67)</f>
        <v>289.4715625</v>
      </c>
      <c r="D68" s="67">
        <f>AVERAGE(D52:D67)</f>
        <v>5200.3655668723759</v>
      </c>
      <c r="E68" s="81">
        <f t="shared" ref="E68" si="65">AVERAGE(E52:E67)</f>
        <v>75.436187500000003</v>
      </c>
      <c r="F68" s="81">
        <f t="shared" ref="F68" si="66">AVERAGE(F52:F67)</f>
        <v>2.3637187500000003</v>
      </c>
      <c r="G68" s="67">
        <f>AVERAGE(G52:G67)</f>
        <v>174.48687500000003</v>
      </c>
      <c r="H68" s="67">
        <f>AVERAGE(H52:H67)</f>
        <v>6358.0236781249996</v>
      </c>
      <c r="I68" s="81">
        <f t="shared" ref="I68" si="67">AVERAGE(I52:I67)</f>
        <v>71.081125000000014</v>
      </c>
      <c r="J68" s="81">
        <f t="shared" ref="J68" si="68">AVERAGE(J52:J67)</f>
        <v>1.9060937500000004</v>
      </c>
      <c r="K68" s="67">
        <f t="shared" ref="K68" si="69">AVERAGE(K52:K67)</f>
        <v>114.98468750000002</v>
      </c>
      <c r="L68" s="67">
        <f t="shared" ref="L68" si="70">AVERAGE(L52:L67)</f>
        <v>-1157.6581112526237</v>
      </c>
      <c r="M68" s="80">
        <f t="shared" ref="M68" si="71">AVERAGE(M52:M67)</f>
        <v>4.3550625000000016</v>
      </c>
      <c r="N68" s="81">
        <f t="shared" ref="N68" si="72">AVERAGE(N52:N67)</f>
        <v>0.457625</v>
      </c>
      <c r="O68" s="69">
        <v>119045</v>
      </c>
      <c r="P68" s="52">
        <f t="shared" ref="P68:U68" si="73">SUM(P52:P67)</f>
        <v>1.0000000000000002</v>
      </c>
      <c r="Q68" s="53">
        <f t="shared" si="73"/>
        <v>12685938.615000002</v>
      </c>
      <c r="R68" s="54">
        <f t="shared" si="73"/>
        <v>-125227444.32673505</v>
      </c>
      <c r="S68" s="63">
        <f t="shared" si="73"/>
        <v>531549.26100000041</v>
      </c>
      <c r="T68" s="55">
        <f t="shared" si="73"/>
        <v>49880.0285</v>
      </c>
      <c r="U68" s="51">
        <f t="shared" si="73"/>
        <v>30665987.399999999</v>
      </c>
      <c r="V68" s="78">
        <f t="shared" si="38"/>
        <v>0.41368107439449359</v>
      </c>
      <c r="W68" s="51">
        <f>SUM(W52:W67)</f>
        <v>612434748.24196506</v>
      </c>
      <c r="X68" s="78">
        <f t="shared" si="40"/>
        <v>-0.2044747537369635</v>
      </c>
      <c r="Y68" s="51">
        <f>SUM(Y52:Y67)</f>
        <v>8500311.5910000019</v>
      </c>
      <c r="Z68" s="78">
        <f>S68/Y68</f>
        <v>6.2532914859591324E-2</v>
      </c>
      <c r="AA68" s="51">
        <f>SUM(AA52:AA67)</f>
        <v>259095.32700000002</v>
      </c>
      <c r="AB68" s="78">
        <f t="shared" si="44"/>
        <v>0.19251612554170069</v>
      </c>
    </row>
    <row r="69" spans="2:28" x14ac:dyDescent="0.35">
      <c r="P69" s="57" t="s">
        <v>23</v>
      </c>
      <c r="Q69" s="57"/>
      <c r="R69" s="57"/>
      <c r="S69" s="57"/>
      <c r="T69" s="58">
        <f>T68*3</f>
        <v>149640.08549999999</v>
      </c>
    </row>
    <row r="70" spans="2:28" x14ac:dyDescent="0.35">
      <c r="P70" s="57" t="s">
        <v>24</v>
      </c>
      <c r="Q70" s="57"/>
      <c r="R70" s="57"/>
      <c r="S70" s="57"/>
      <c r="T70" s="59">
        <f>(T68*1000)/E78</f>
        <v>11191.03203525641</v>
      </c>
    </row>
    <row r="71" spans="2:28" x14ac:dyDescent="0.35">
      <c r="B71" s="56" t="s">
        <v>25</v>
      </c>
      <c r="C71" s="56"/>
      <c r="D71" s="48">
        <v>0.45</v>
      </c>
      <c r="P71" s="57" t="s">
        <v>26</v>
      </c>
      <c r="Q71" s="60"/>
      <c r="R71" s="57"/>
      <c r="S71" s="57"/>
      <c r="T71" s="59">
        <f>(T69*1000)/E78</f>
        <v>33573.096105769233</v>
      </c>
    </row>
    <row r="72" spans="2:28" x14ac:dyDescent="0.35">
      <c r="B72" s="56" t="s">
        <v>27</v>
      </c>
      <c r="C72" s="56"/>
      <c r="D72" s="48">
        <v>0.55000000000000004</v>
      </c>
      <c r="Q72" s="49"/>
    </row>
    <row r="73" spans="2:28" x14ac:dyDescent="0.35">
      <c r="P73" t="s">
        <v>28</v>
      </c>
    </row>
    <row r="74" spans="2:28" x14ac:dyDescent="0.35">
      <c r="B74" s="56" t="s">
        <v>29</v>
      </c>
      <c r="C74" s="56"/>
      <c r="D74" s="56"/>
      <c r="E74" s="56"/>
      <c r="P74" s="66" t="s">
        <v>570</v>
      </c>
      <c r="Q74" s="66"/>
      <c r="R74" s="44">
        <f>-R68</f>
        <v>125227444.32673505</v>
      </c>
      <c r="S74" s="66" t="s">
        <v>30</v>
      </c>
      <c r="T74" s="66"/>
      <c r="U74" s="56" t="s">
        <v>31</v>
      </c>
      <c r="V74" s="56">
        <v>129</v>
      </c>
    </row>
    <row r="75" spans="2:28" x14ac:dyDescent="0.35">
      <c r="B75" s="56" t="s">
        <v>32</v>
      </c>
      <c r="C75" s="56"/>
      <c r="D75" s="56"/>
      <c r="E75" s="56">
        <v>24.5</v>
      </c>
      <c r="P75" s="66" t="s">
        <v>570</v>
      </c>
      <c r="Q75" s="66"/>
      <c r="R75" s="44">
        <f>R74*3</f>
        <v>375682332.98020518</v>
      </c>
      <c r="S75" s="66" t="s">
        <v>33</v>
      </c>
      <c r="T75" s="66"/>
      <c r="U75" s="56" t="s">
        <v>31</v>
      </c>
      <c r="V75" s="56">
        <v>387</v>
      </c>
    </row>
    <row r="76" spans="2:28" x14ac:dyDescent="0.35">
      <c r="B76" s="56" t="s">
        <v>34</v>
      </c>
      <c r="C76" s="56"/>
      <c r="D76" s="56"/>
      <c r="E76" s="3">
        <v>12000</v>
      </c>
    </row>
    <row r="77" spans="2:28" x14ac:dyDescent="0.35">
      <c r="B77" s="56" t="s">
        <v>35</v>
      </c>
      <c r="C77" s="56"/>
      <c r="D77" s="56"/>
      <c r="E77" s="56">
        <v>9.1</v>
      </c>
    </row>
    <row r="78" spans="2:28" x14ac:dyDescent="0.35">
      <c r="B78" s="56" t="s">
        <v>36</v>
      </c>
      <c r="C78" s="56"/>
      <c r="D78" s="56"/>
      <c r="E78" s="51">
        <f>(E76/E75)*E77</f>
        <v>4457.1428571428569</v>
      </c>
    </row>
  </sheetData>
  <mergeCells count="16">
    <mergeCell ref="U50:AB50"/>
    <mergeCell ref="C50:F50"/>
    <mergeCell ref="G50:J50"/>
    <mergeCell ref="K50:N50"/>
    <mergeCell ref="O50:P50"/>
    <mergeCell ref="Q50:T50"/>
    <mergeCell ref="C27:F27"/>
    <mergeCell ref="G27:J27"/>
    <mergeCell ref="K27:N27"/>
    <mergeCell ref="O27:P27"/>
    <mergeCell ref="Q27:T27"/>
    <mergeCell ref="C4:F4"/>
    <mergeCell ref="G4:J4"/>
    <mergeCell ref="K4:N4"/>
    <mergeCell ref="O4:P4"/>
    <mergeCell ref="Q4:T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7D28-9085-4BD7-BF7E-EC35D6F42A96}">
  <dimension ref="B2:AI65"/>
  <sheetViews>
    <sheetView zoomScaleNormal="100" workbookViewId="0">
      <selection activeCell="Z7" sqref="Z7"/>
    </sheetView>
  </sheetViews>
  <sheetFormatPr defaultRowHeight="14.5" x14ac:dyDescent="0.35"/>
  <cols>
    <col min="1" max="1" width="3.453125" customWidth="1"/>
    <col min="2" max="2" width="44.7265625" customWidth="1"/>
    <col min="3" max="3" width="61.1796875" customWidth="1"/>
    <col min="4" max="4" width="17.81640625" customWidth="1"/>
    <col min="5" max="5" width="18.453125" bestFit="1" customWidth="1"/>
    <col min="6" max="6" width="15.81640625" customWidth="1"/>
    <col min="7" max="7" width="13.26953125" customWidth="1"/>
    <col min="8" max="8" width="13" customWidth="1"/>
    <col min="9" max="9" width="13.453125" customWidth="1"/>
    <col min="10" max="10" width="12.81640625" customWidth="1"/>
    <col min="11" max="11" width="13.26953125" customWidth="1"/>
    <col min="12" max="12" width="13.1796875" customWidth="1"/>
    <col min="13" max="13" width="13.453125" customWidth="1"/>
    <col min="14" max="14" width="12.1796875" customWidth="1"/>
    <col min="15" max="23" width="12.7265625" customWidth="1"/>
    <col min="24" max="24" width="13.1796875" customWidth="1"/>
    <col min="25" max="27" width="12.81640625" customWidth="1"/>
    <col min="28" max="34" width="13.26953125" bestFit="1" customWidth="1"/>
    <col min="35" max="35" width="1.81640625" customWidth="1"/>
  </cols>
  <sheetData>
    <row r="2" spans="2:34" x14ac:dyDescent="0.35">
      <c r="C2" s="1283" t="s">
        <v>470</v>
      </c>
      <c r="D2" s="1283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  <c r="P2" s="1158"/>
      <c r="Q2" s="1158"/>
      <c r="R2" s="1158"/>
      <c r="S2" s="1158"/>
      <c r="T2" s="1158"/>
      <c r="U2" s="1158"/>
      <c r="V2" s="1158"/>
      <c r="W2" s="1158"/>
      <c r="X2" s="1158"/>
      <c r="Y2" s="1158"/>
      <c r="Z2" s="1158"/>
      <c r="AA2" s="1158"/>
    </row>
    <row r="3" spans="2:34" ht="46.5" customHeight="1" x14ac:dyDescent="0.35">
      <c r="B3" t="s">
        <v>471</v>
      </c>
      <c r="C3" s="485" t="s">
        <v>567</v>
      </c>
      <c r="D3" s="488" t="s">
        <v>473</v>
      </c>
      <c r="E3" s="487">
        <v>2023</v>
      </c>
      <c r="F3" s="487">
        <v>2024</v>
      </c>
      <c r="G3" s="487">
        <v>2025</v>
      </c>
      <c r="H3" s="487">
        <v>2026</v>
      </c>
      <c r="I3" s="487">
        <v>2027</v>
      </c>
      <c r="J3" s="487">
        <v>2028</v>
      </c>
      <c r="K3" s="487">
        <v>2029</v>
      </c>
      <c r="L3" s="487">
        <v>2030</v>
      </c>
      <c r="M3" s="487">
        <v>2031</v>
      </c>
      <c r="N3" s="487">
        <v>2032</v>
      </c>
      <c r="O3" s="487">
        <v>2033</v>
      </c>
      <c r="P3" s="487">
        <v>2034</v>
      </c>
      <c r="Q3" s="487">
        <v>2035</v>
      </c>
      <c r="R3" s="487">
        <v>2036</v>
      </c>
      <c r="S3" s="487">
        <v>2037</v>
      </c>
      <c r="T3" s="487">
        <v>2038</v>
      </c>
      <c r="U3" s="487">
        <v>2039</v>
      </c>
      <c r="V3" s="487">
        <v>2040</v>
      </c>
      <c r="W3" s="487">
        <v>2041</v>
      </c>
      <c r="X3" s="487">
        <v>2042</v>
      </c>
      <c r="Y3" s="487">
        <v>2043</v>
      </c>
      <c r="Z3" s="487">
        <v>2044</v>
      </c>
      <c r="AA3" s="486">
        <v>2045</v>
      </c>
      <c r="AB3" s="485">
        <v>2046</v>
      </c>
      <c r="AC3" s="487">
        <v>2047</v>
      </c>
      <c r="AD3" s="487">
        <v>2048</v>
      </c>
      <c r="AE3" s="487">
        <v>2049</v>
      </c>
      <c r="AF3" s="487">
        <v>2050</v>
      </c>
      <c r="AG3" s="487">
        <v>2051</v>
      </c>
      <c r="AH3" s="486">
        <v>2052</v>
      </c>
    </row>
    <row r="4" spans="2:34" x14ac:dyDescent="0.35">
      <c r="B4" s="1284" t="s">
        <v>474</v>
      </c>
      <c r="C4" s="492" t="s">
        <v>475</v>
      </c>
      <c r="D4" s="518">
        <v>1.5009937063419464E-4</v>
      </c>
      <c r="E4" s="467">
        <v>2.1699089571879847E-4</v>
      </c>
      <c r="F4" s="467">
        <v>2.2222451406705729E-4</v>
      </c>
      <c r="G4" s="467">
        <v>2.3609107332136326E-4</v>
      </c>
      <c r="H4" s="467">
        <v>2.3018070396602674E-4</v>
      </c>
      <c r="I4" s="467">
        <v>2.1815524356655716E-4</v>
      </c>
      <c r="J4" s="467">
        <v>1.7838443231106381E-4</v>
      </c>
      <c r="K4" s="467">
        <v>1.5752709322832802E-4</v>
      </c>
      <c r="L4" s="467">
        <v>1.6740874058516635E-4</v>
      </c>
      <c r="M4" s="467">
        <v>1.6925153333099686E-4</v>
      </c>
      <c r="N4" s="467">
        <v>1.6918943226609362E-4</v>
      </c>
      <c r="O4" s="467">
        <v>1.6802328488507769E-4</v>
      </c>
      <c r="P4" s="467">
        <v>1.6595174107612899E-4</v>
      </c>
      <c r="Q4" s="467">
        <v>1.6324047471557307E-4</v>
      </c>
      <c r="R4" s="467">
        <v>1.5633926848975419E-4</v>
      </c>
      <c r="S4" s="467">
        <v>1.4972077259428496E-4</v>
      </c>
      <c r="T4" s="467">
        <v>1.4344289140515691E-4</v>
      </c>
      <c r="U4" s="467">
        <v>1.3746446355009318E-4</v>
      </c>
      <c r="V4" s="467">
        <v>1.3178684249953447E-4</v>
      </c>
      <c r="W4" s="467">
        <v>1.2761467667530703E-4</v>
      </c>
      <c r="X4" s="467">
        <v>1.2351361704190575E-4</v>
      </c>
      <c r="Y4" s="467">
        <v>1.1946634411960735E-4</v>
      </c>
      <c r="Z4" s="467">
        <v>1.1546675705360475E-4</v>
      </c>
      <c r="AA4" s="519">
        <v>8.6440564237140469E-5</v>
      </c>
      <c r="AB4" s="923">
        <v>8.6440564237140469E-5</v>
      </c>
      <c r="AC4" s="467">
        <v>8.6440564237140469E-5</v>
      </c>
      <c r="AD4" s="467">
        <v>8.6440564237140469E-5</v>
      </c>
      <c r="AE4" s="467">
        <v>8.6440564237140469E-5</v>
      </c>
      <c r="AF4" s="467">
        <v>8.6440564237140469E-5</v>
      </c>
      <c r="AG4" s="467">
        <v>8.6440564237140469E-5</v>
      </c>
      <c r="AH4" s="519">
        <v>8.6440564237140469E-5</v>
      </c>
    </row>
    <row r="5" spans="2:34" x14ac:dyDescent="0.35">
      <c r="B5" s="1285"/>
      <c r="C5" s="492" t="s">
        <v>476</v>
      </c>
      <c r="D5" s="512"/>
      <c r="E5" s="493">
        <f>E4/$E4</f>
        <v>1</v>
      </c>
      <c r="F5" s="493">
        <f>F4/$E4</f>
        <v>1.0241190688250863</v>
      </c>
      <c r="G5" s="493">
        <f t="shared" ref="G5:AA5" si="0">G4/$E4</f>
        <v>1.0880229446461063</v>
      </c>
      <c r="H5" s="493">
        <f t="shared" si="0"/>
        <v>1.0607850767357592</v>
      </c>
      <c r="I5" s="493">
        <f t="shared" si="0"/>
        <v>1.0053658834113832</v>
      </c>
      <c r="J5" s="493">
        <f t="shared" si="0"/>
        <v>0.82208256581527128</v>
      </c>
      <c r="K5" s="493">
        <f t="shared" si="0"/>
        <v>0.72596176308000304</v>
      </c>
      <c r="L5" s="493">
        <f t="shared" si="0"/>
        <v>0.77150121912079517</v>
      </c>
      <c r="M5" s="493">
        <f t="shared" si="0"/>
        <v>0.77999370789423483</v>
      </c>
      <c r="N5" s="493">
        <f t="shared" si="0"/>
        <v>0.77970751586439169</v>
      </c>
      <c r="O5" s="493">
        <f t="shared" si="0"/>
        <v>0.77433333932508119</v>
      </c>
      <c r="P5" s="493">
        <f t="shared" si="0"/>
        <v>0.76478665395799905</v>
      </c>
      <c r="Q5" s="493">
        <f t="shared" si="0"/>
        <v>0.75229181470875484</v>
      </c>
      <c r="R5" s="493">
        <f t="shared" si="0"/>
        <v>0.72048768669242436</v>
      </c>
      <c r="S5" s="493">
        <f t="shared" si="0"/>
        <v>0.68998642592042292</v>
      </c>
      <c r="T5" s="493">
        <f t="shared" si="0"/>
        <v>0.66105488403092516</v>
      </c>
      <c r="U5" s="493">
        <f t="shared" si="0"/>
        <v>0.63350336932216411</v>
      </c>
      <c r="V5" s="493">
        <f t="shared" si="0"/>
        <v>0.60733811924680414</v>
      </c>
      <c r="W5" s="493">
        <f t="shared" si="0"/>
        <v>0.58811074193953594</v>
      </c>
      <c r="X5" s="493">
        <f t="shared" si="0"/>
        <v>0.56921105667939531</v>
      </c>
      <c r="Y5" s="493">
        <f t="shared" si="0"/>
        <v>0.55055924684704494</v>
      </c>
      <c r="Z5" s="493">
        <f t="shared" si="0"/>
        <v>0.5321271967246024</v>
      </c>
      <c r="AA5" s="494">
        <f t="shared" si="0"/>
        <v>0.39836032728838544</v>
      </c>
      <c r="AB5" s="924">
        <f>$AA$4/$E4</f>
        <v>0.39836032728838544</v>
      </c>
      <c r="AC5" s="493">
        <f t="shared" ref="AC5:AH5" si="1">$AA$4/$E4</f>
        <v>0.39836032728838544</v>
      </c>
      <c r="AD5" s="493">
        <f t="shared" si="1"/>
        <v>0.39836032728838544</v>
      </c>
      <c r="AE5" s="493">
        <f t="shared" si="1"/>
        <v>0.39836032728838544</v>
      </c>
      <c r="AF5" s="493">
        <f t="shared" si="1"/>
        <v>0.39836032728838544</v>
      </c>
      <c r="AG5" s="493">
        <f t="shared" si="1"/>
        <v>0.39836032728838544</v>
      </c>
      <c r="AH5" s="494">
        <f t="shared" si="1"/>
        <v>0.39836032728838544</v>
      </c>
    </row>
    <row r="6" spans="2:34" x14ac:dyDescent="0.35">
      <c r="B6" s="1285"/>
      <c r="C6" s="495" t="s">
        <v>477</v>
      </c>
      <c r="D6" s="513"/>
      <c r="E6" s="496">
        <f>E4/$D$4</f>
        <v>1.4456482715548777</v>
      </c>
      <c r="F6" s="496">
        <f t="shared" ref="F6:AA6" si="2">F4/$D$4</f>
        <v>1.480515961713377</v>
      </c>
      <c r="G6" s="496">
        <f t="shared" si="2"/>
        <v>1.572898489339692</v>
      </c>
      <c r="H6" s="496">
        <f t="shared" si="2"/>
        <v>1.5335221126742586</v>
      </c>
      <c r="I6" s="496">
        <f t="shared" si="2"/>
        <v>1.453405451633909</v>
      </c>
      <c r="J6" s="496">
        <f t="shared" si="2"/>
        <v>1.188442240346246</v>
      </c>
      <c r="K6" s="496">
        <f t="shared" si="2"/>
        <v>1.0494853680115381</v>
      </c>
      <c r="L6" s="496">
        <f t="shared" si="2"/>
        <v>1.1153194039244585</v>
      </c>
      <c r="M6" s="496">
        <f t="shared" si="2"/>
        <v>1.1275965556409808</v>
      </c>
      <c r="N6" s="496">
        <f t="shared" si="2"/>
        <v>1.1271828226277052</v>
      </c>
      <c r="O6" s="496">
        <f t="shared" si="2"/>
        <v>1.1194136536026205</v>
      </c>
      <c r="P6" s="496">
        <f t="shared" si="2"/>
        <v>1.1056125044026199</v>
      </c>
      <c r="Q6" s="496">
        <f t="shared" si="2"/>
        <v>1.0875493616385938</v>
      </c>
      <c r="R6" s="496">
        <f t="shared" si="2"/>
        <v>1.0415717789434755</v>
      </c>
      <c r="S6" s="496">
        <f t="shared" si="2"/>
        <v>0.99747768402818715</v>
      </c>
      <c r="T6" s="496">
        <f t="shared" si="2"/>
        <v>0.95565285050221727</v>
      </c>
      <c r="U6" s="496">
        <f t="shared" si="2"/>
        <v>0.91582305088477789</v>
      </c>
      <c r="V6" s="496">
        <f t="shared" si="2"/>
        <v>0.87799730233853268</v>
      </c>
      <c r="W6" s="496">
        <f t="shared" si="2"/>
        <v>0.85020127756774688</v>
      </c>
      <c r="X6" s="496">
        <f t="shared" si="2"/>
        <v>0.82287898023849337</v>
      </c>
      <c r="Y6" s="496">
        <f t="shared" si="2"/>
        <v>0.79591502359298583</v>
      </c>
      <c r="Z6" s="496">
        <f t="shared" si="2"/>
        <v>0.76926876219226381</v>
      </c>
      <c r="AA6" s="497">
        <f t="shared" si="2"/>
        <v>0.57588891860048985</v>
      </c>
      <c r="AB6" s="925">
        <f>$AA$4/$D$4</f>
        <v>0.57588891860048985</v>
      </c>
      <c r="AC6" s="496">
        <f t="shared" ref="AC6:AH6" si="3">$AA$4/$D$4</f>
        <v>0.57588891860048985</v>
      </c>
      <c r="AD6" s="496">
        <f t="shared" si="3"/>
        <v>0.57588891860048985</v>
      </c>
      <c r="AE6" s="496">
        <f t="shared" si="3"/>
        <v>0.57588891860048985</v>
      </c>
      <c r="AF6" s="496">
        <f t="shared" si="3"/>
        <v>0.57588891860048985</v>
      </c>
      <c r="AG6" s="496">
        <f t="shared" si="3"/>
        <v>0.57588891860048985</v>
      </c>
      <c r="AH6" s="497">
        <f t="shared" si="3"/>
        <v>0.57588891860048985</v>
      </c>
    </row>
    <row r="7" spans="2:34" x14ac:dyDescent="0.35">
      <c r="B7" s="1285"/>
      <c r="C7" s="492" t="s">
        <v>478</v>
      </c>
      <c r="D7" s="518">
        <v>5.862995568958999E-3</v>
      </c>
      <c r="E7">
        <v>6.4522989937384175E-3</v>
      </c>
      <c r="F7">
        <v>6.4146407078196233E-3</v>
      </c>
      <c r="G7">
        <v>6.3783358961996047E-3</v>
      </c>
      <c r="H7">
        <v>6.3405973830280822E-3</v>
      </c>
      <c r="I7">
        <v>6.3016644015562243E-3</v>
      </c>
      <c r="J7">
        <v>6.2615761613812214E-3</v>
      </c>
      <c r="K7">
        <v>6.2204256892466796E-3</v>
      </c>
      <c r="L7">
        <v>6.1782098555063598E-3</v>
      </c>
      <c r="M7">
        <v>6.1446050156051162E-3</v>
      </c>
      <c r="N7">
        <v>6.1108631156355318E-3</v>
      </c>
      <c r="O7">
        <v>6.0769569705211111E-3</v>
      </c>
      <c r="P7">
        <v>6.0428629104705301E-3</v>
      </c>
      <c r="Q7">
        <v>6.0085776872100243E-3</v>
      </c>
      <c r="R7">
        <v>5.9738762997834189E-3</v>
      </c>
      <c r="S7">
        <v>5.9387332576956147E-3</v>
      </c>
      <c r="T7">
        <v>5.9029757961210098E-3</v>
      </c>
      <c r="U7">
        <v>5.8663752853836907E-3</v>
      </c>
      <c r="V7">
        <v>5.8286661595583879E-3</v>
      </c>
      <c r="W7">
        <v>5.7760147942278748E-3</v>
      </c>
      <c r="X7">
        <v>5.7214909564130556E-3</v>
      </c>
      <c r="Y7">
        <v>5.6649296672338393E-3</v>
      </c>
      <c r="Z7">
        <v>5.6062335390859681E-3</v>
      </c>
      <c r="AA7" s="504">
        <v>5.5453107111238294E-3</v>
      </c>
      <c r="AB7" s="492">
        <v>5.5453107111238294E-3</v>
      </c>
      <c r="AC7">
        <v>5.5453107111238294E-3</v>
      </c>
      <c r="AD7">
        <v>5.5453107111238294E-3</v>
      </c>
      <c r="AE7">
        <v>5.5453107111238294E-3</v>
      </c>
      <c r="AF7">
        <v>5.5453107111238294E-3</v>
      </c>
      <c r="AG7">
        <v>5.5453107111238294E-3</v>
      </c>
      <c r="AH7" s="504">
        <v>5.5453107111238294E-3</v>
      </c>
    </row>
    <row r="8" spans="2:34" x14ac:dyDescent="0.35">
      <c r="B8" s="1286"/>
      <c r="C8" s="505" t="s">
        <v>479</v>
      </c>
      <c r="D8" s="514"/>
      <c r="E8" s="506">
        <f>E7/$D$7</f>
        <v>1.1005123435363693</v>
      </c>
      <c r="F8" s="506">
        <f t="shared" ref="F8:AA8" si="4">F7/$D$7</f>
        <v>1.0940892982729256</v>
      </c>
      <c r="G8" s="506">
        <f t="shared" si="4"/>
        <v>1.087897103311662</v>
      </c>
      <c r="H8" s="506">
        <f t="shared" si="4"/>
        <v>1.0814603743856972</v>
      </c>
      <c r="I8" s="506">
        <f t="shared" si="4"/>
        <v>1.0748199154233904</v>
      </c>
      <c r="J8" s="506">
        <f t="shared" si="4"/>
        <v>1.067982414063634</v>
      </c>
      <c r="K8" s="506">
        <f t="shared" si="4"/>
        <v>1.0609637370664333</v>
      </c>
      <c r="L8" s="506">
        <f t="shared" si="4"/>
        <v>1.0537633506353354</v>
      </c>
      <c r="M8" s="506">
        <f t="shared" si="4"/>
        <v>1.0480316662930922</v>
      </c>
      <c r="N8" s="506">
        <f t="shared" si="4"/>
        <v>1.042276604810831</v>
      </c>
      <c r="O8" s="506">
        <f t="shared" si="4"/>
        <v>1.0364935294672415</v>
      </c>
      <c r="P8" s="506">
        <f t="shared" si="4"/>
        <v>1.0306784031125351</v>
      </c>
      <c r="Q8" s="506">
        <f t="shared" si="4"/>
        <v>1.0248306717169964</v>
      </c>
      <c r="R8" s="506">
        <f t="shared" si="4"/>
        <v>1.0189119588306472</v>
      </c>
      <c r="S8" s="506">
        <f t="shared" si="4"/>
        <v>1.0129179167621414</v>
      </c>
      <c r="T8" s="506">
        <f t="shared" si="4"/>
        <v>1.0068190785225357</v>
      </c>
      <c r="U8" s="506">
        <f t="shared" si="4"/>
        <v>1.0005764487427868</v>
      </c>
      <c r="V8" s="506">
        <f t="shared" si="4"/>
        <v>0.99414473216006427</v>
      </c>
      <c r="W8" s="506">
        <f t="shared" si="4"/>
        <v>0.98516444815485882</v>
      </c>
      <c r="X8" s="506">
        <f t="shared" si="4"/>
        <v>0.97586479285518746</v>
      </c>
      <c r="Y8" s="506">
        <f t="shared" si="4"/>
        <v>0.9662176272529015</v>
      </c>
      <c r="Z8" s="506">
        <f t="shared" si="4"/>
        <v>0.95620634079404221</v>
      </c>
      <c r="AA8" s="507">
        <f t="shared" si="4"/>
        <v>0.94581526557565254</v>
      </c>
      <c r="AB8" s="925">
        <f>$AA$7/$D$7</f>
        <v>0.94581526557565254</v>
      </c>
      <c r="AC8" s="496">
        <f t="shared" ref="AC8:AH8" si="5">$AA$7/$D$7</f>
        <v>0.94581526557565254</v>
      </c>
      <c r="AD8" s="496">
        <f t="shared" si="5"/>
        <v>0.94581526557565254</v>
      </c>
      <c r="AE8" s="496">
        <f t="shared" si="5"/>
        <v>0.94581526557565254</v>
      </c>
      <c r="AF8" s="496">
        <f t="shared" si="5"/>
        <v>0.94581526557565254</v>
      </c>
      <c r="AG8" s="496">
        <f t="shared" si="5"/>
        <v>0.94581526557565254</v>
      </c>
      <c r="AH8" s="497">
        <f t="shared" si="5"/>
        <v>0.94581526557565254</v>
      </c>
    </row>
    <row r="9" spans="2:34" x14ac:dyDescent="0.35">
      <c r="C9" s="492"/>
      <c r="D9" s="512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3"/>
      <c r="AA9" s="494"/>
      <c r="AB9" s="926"/>
      <c r="AC9" s="927"/>
      <c r="AD9" s="927"/>
      <c r="AE9" s="927"/>
      <c r="AF9" s="927"/>
      <c r="AG9" s="927"/>
      <c r="AH9" s="928"/>
    </row>
    <row r="10" spans="2:34" x14ac:dyDescent="0.35">
      <c r="B10" s="1284" t="s">
        <v>480</v>
      </c>
      <c r="C10" s="508" t="s">
        <v>640</v>
      </c>
      <c r="D10" s="1132">
        <f>SUM('Combined All Buildings'!$N$4:$N$6)*'CO2 Emissions'!$D$7</f>
        <v>90209.12190572235</v>
      </c>
      <c r="E10" s="567">
        <f>$D$10*E8</f>
        <v>99276.252156824528</v>
      </c>
      <c r="F10" s="509">
        <f t="shared" ref="F10:Z10" si="6">$D$10*F8</f>
        <v>98696.834883648567</v>
      </c>
      <c r="G10" s="509">
        <f t="shared" si="6"/>
        <v>98138.242413523942</v>
      </c>
      <c r="H10" s="509">
        <f t="shared" si="6"/>
        <v>97557.590749167488</v>
      </c>
      <c r="I10" s="509">
        <f t="shared" si="6"/>
        <v>96958.560777126811</v>
      </c>
      <c r="J10" s="509">
        <f t="shared" si="6"/>
        <v>96341.755783434011</v>
      </c>
      <c r="K10" s="509">
        <f t="shared" si="6"/>
        <v>95708.607094576641</v>
      </c>
      <c r="L10" s="509">
        <f t="shared" si="6"/>
        <v>95059.066557245416</v>
      </c>
      <c r="M10" s="509">
        <f t="shared" si="6"/>
        <v>94542.016345690878</v>
      </c>
      <c r="N10" s="509">
        <f t="shared" si="6"/>
        <v>94022.857302862642</v>
      </c>
      <c r="O10" s="509">
        <f t="shared" si="6"/>
        <v>93501.171154202806</v>
      </c>
      <c r="P10" s="509">
        <f t="shared" si="6"/>
        <v>92976.593711973925</v>
      </c>
      <c r="Q10" s="509">
        <f t="shared" si="6"/>
        <v>92449.074997641845</v>
      </c>
      <c r="R10" s="509">
        <f t="shared" si="6"/>
        <v>91915.153105352205</v>
      </c>
      <c r="S10" s="509">
        <f t="shared" si="6"/>
        <v>91374.435833686337</v>
      </c>
      <c r="T10" s="509">
        <f t="shared" si="6"/>
        <v>90824.264991446471</v>
      </c>
      <c r="U10" s="509">
        <f t="shared" si="6"/>
        <v>90261.122840632801</v>
      </c>
      <c r="V10" s="509">
        <f t="shared" si="6"/>
        <v>89680.923335358937</v>
      </c>
      <c r="W10" s="509">
        <f t="shared" si="6"/>
        <v>88870.81980078535</v>
      </c>
      <c r="X10" s="509">
        <f t="shared" si="6"/>
        <v>88031.906062176087</v>
      </c>
      <c r="Y10" s="509">
        <f t="shared" si="6"/>
        <v>87161.643724314796</v>
      </c>
      <c r="Z10" s="509">
        <f t="shared" si="6"/>
        <v>86258.53436371444</v>
      </c>
      <c r="AA10" s="510">
        <f>$D$10*AA8</f>
        <v>85321.164592607194</v>
      </c>
      <c r="AB10" s="567">
        <f>$D$10*$AA$8</f>
        <v>85321.164592607194</v>
      </c>
      <c r="AC10" s="509">
        <f t="shared" ref="AC10:AH10" si="7">$D$10*$AA$8</f>
        <v>85321.164592607194</v>
      </c>
      <c r="AD10" s="509">
        <f t="shared" si="7"/>
        <v>85321.164592607194</v>
      </c>
      <c r="AE10" s="509">
        <f t="shared" si="7"/>
        <v>85321.164592607194</v>
      </c>
      <c r="AF10" s="509">
        <f t="shared" si="7"/>
        <v>85321.164592607194</v>
      </c>
      <c r="AG10" s="509">
        <f t="shared" si="7"/>
        <v>85321.164592607194</v>
      </c>
      <c r="AH10" s="510">
        <f t="shared" si="7"/>
        <v>85321.164592607194</v>
      </c>
    </row>
    <row r="11" spans="2:34" x14ac:dyDescent="0.35">
      <c r="B11" s="1285"/>
      <c r="C11" s="492" t="s">
        <v>619</v>
      </c>
      <c r="D11" s="1133">
        <f>SUM('Combined All Buildings'!$R$4:$R$6)-D10</f>
        <v>-30777.232875126589</v>
      </c>
      <c r="E11" s="568">
        <f>$D$11*E6</f>
        <v>-44493.053509168712</v>
      </c>
      <c r="F11" s="498">
        <f t="shared" ref="F11:Z11" si="8">$D$11*F6</f>
        <v>-45566.184528994607</v>
      </c>
      <c r="G11" s="498">
        <f t="shared" si="8"/>
        <v>-48409.463095342515</v>
      </c>
      <c r="H11" s="498">
        <f t="shared" si="8"/>
        <v>-47197.567180931772</v>
      </c>
      <c r="I11" s="498">
        <f t="shared" si="8"/>
        <v>-44731.798046915348</v>
      </c>
      <c r="J11" s="498">
        <f t="shared" si="8"/>
        <v>-36576.963589773579</v>
      </c>
      <c r="K11" s="498">
        <f t="shared" si="8"/>
        <v>-32300.255570329038</v>
      </c>
      <c r="L11" s="498">
        <f t="shared" si="8"/>
        <v>-34326.445024730434</v>
      </c>
      <c r="M11" s="498">
        <f t="shared" si="8"/>
        <v>-34704.301782153103</v>
      </c>
      <c r="N11" s="498">
        <f t="shared" si="8"/>
        <v>-34691.568224855393</v>
      </c>
      <c r="O11" s="498">
        <f t="shared" si="8"/>
        <v>-34452.45470052414</v>
      </c>
      <c r="P11" s="498">
        <f t="shared" si="8"/>
        <v>-34027.693517651358</v>
      </c>
      <c r="Q11" s="498">
        <f t="shared" si="8"/>
        <v>-33471.759966346268</v>
      </c>
      <c r="R11" s="498">
        <f t="shared" si="8"/>
        <v>-32056.697196703219</v>
      </c>
      <c r="S11" s="498">
        <f t="shared" si="8"/>
        <v>-30699.602969077452</v>
      </c>
      <c r="T11" s="498">
        <f t="shared" si="8"/>
        <v>-29412.350327685275</v>
      </c>
      <c r="U11" s="498">
        <f t="shared" si="8"/>
        <v>-28186.499309489718</v>
      </c>
      <c r="V11" s="498">
        <f t="shared" si="8"/>
        <v>-27022.327437805947</v>
      </c>
      <c r="W11" s="498">
        <f t="shared" si="8"/>
        <v>-26166.842710432684</v>
      </c>
      <c r="X11" s="498">
        <f t="shared" si="8"/>
        <v>-25325.9380028468</v>
      </c>
      <c r="Y11" s="498">
        <f t="shared" si="8"/>
        <v>-24496.062029933197</v>
      </c>
      <c r="Z11" s="498">
        <f t="shared" si="8"/>
        <v>-23675.963837551681</v>
      </c>
      <c r="AA11" s="499">
        <f>$D$11*AA6</f>
        <v>-17724.267357972098</v>
      </c>
      <c r="AB11" s="568">
        <f>$D$11*$AA$6</f>
        <v>-17724.267357972098</v>
      </c>
      <c r="AC11" s="498">
        <f t="shared" ref="AC11:AH11" si="9">$D$11*$AA$6</f>
        <v>-17724.267357972098</v>
      </c>
      <c r="AD11" s="498">
        <f t="shared" si="9"/>
        <v>-17724.267357972098</v>
      </c>
      <c r="AE11" s="498">
        <f t="shared" si="9"/>
        <v>-17724.267357972098</v>
      </c>
      <c r="AF11" s="498">
        <f t="shared" si="9"/>
        <v>-17724.267357972098</v>
      </c>
      <c r="AG11" s="498">
        <f t="shared" si="9"/>
        <v>-17724.267357972098</v>
      </c>
      <c r="AH11" s="499">
        <f t="shared" si="9"/>
        <v>-17724.267357972098</v>
      </c>
    </row>
    <row r="12" spans="2:34" x14ac:dyDescent="0.35">
      <c r="B12" s="1285"/>
      <c r="C12" s="500" t="s">
        <v>620</v>
      </c>
      <c r="D12" s="1133">
        <f>D10+D11</f>
        <v>59431.889030595761</v>
      </c>
      <c r="E12" s="929">
        <f t="shared" ref="E12:AA12" si="10">E10+E11</f>
        <v>54783.198647655816</v>
      </c>
      <c r="F12" s="501">
        <f t="shared" si="10"/>
        <v>53130.650354653961</v>
      </c>
      <c r="G12" s="501">
        <f t="shared" si="10"/>
        <v>49728.779318181427</v>
      </c>
      <c r="H12" s="501">
        <f t="shared" si="10"/>
        <v>50360.023568235716</v>
      </c>
      <c r="I12" s="501">
        <f t="shared" si="10"/>
        <v>52226.762730211463</v>
      </c>
      <c r="J12" s="501">
        <f t="shared" si="10"/>
        <v>59764.792193660433</v>
      </c>
      <c r="K12" s="501">
        <f t="shared" si="10"/>
        <v>63408.351524247599</v>
      </c>
      <c r="L12" s="501">
        <f t="shared" si="10"/>
        <v>60732.621532514982</v>
      </c>
      <c r="M12" s="501">
        <f t="shared" si="10"/>
        <v>59837.714563537775</v>
      </c>
      <c r="N12" s="501">
        <f t="shared" si="10"/>
        <v>59331.289078007248</v>
      </c>
      <c r="O12" s="501">
        <f t="shared" si="10"/>
        <v>59048.716453678666</v>
      </c>
      <c r="P12" s="501">
        <f t="shared" si="10"/>
        <v>58948.900194322567</v>
      </c>
      <c r="Q12" s="501">
        <f t="shared" si="10"/>
        <v>58977.315031295577</v>
      </c>
      <c r="R12" s="501">
        <f t="shared" si="10"/>
        <v>59858.45590864899</v>
      </c>
      <c r="S12" s="501">
        <f t="shared" si="10"/>
        <v>60674.832864608885</v>
      </c>
      <c r="T12" s="501">
        <f t="shared" si="10"/>
        <v>61411.914663761199</v>
      </c>
      <c r="U12" s="501">
        <f t="shared" si="10"/>
        <v>62074.623531143079</v>
      </c>
      <c r="V12" s="501">
        <f t="shared" si="10"/>
        <v>62658.595897552994</v>
      </c>
      <c r="W12" s="501">
        <f t="shared" si="10"/>
        <v>62703.977090352666</v>
      </c>
      <c r="X12" s="501">
        <f t="shared" si="10"/>
        <v>62705.968059329287</v>
      </c>
      <c r="Y12" s="501">
        <f t="shared" si="10"/>
        <v>62665.581694381603</v>
      </c>
      <c r="Z12" s="501">
        <f t="shared" si="10"/>
        <v>62582.570526162759</v>
      </c>
      <c r="AA12" s="502">
        <f t="shared" si="10"/>
        <v>67596.897234635093</v>
      </c>
      <c r="AB12" s="929">
        <f>AB10+$AA$11</f>
        <v>67596.897234635093</v>
      </c>
      <c r="AC12" s="501">
        <f t="shared" ref="AC12:AH12" si="11">AC10+$AA$11</f>
        <v>67596.897234635093</v>
      </c>
      <c r="AD12" s="501">
        <f t="shared" si="11"/>
        <v>67596.897234635093</v>
      </c>
      <c r="AE12" s="501">
        <f t="shared" si="11"/>
        <v>67596.897234635093</v>
      </c>
      <c r="AF12" s="501">
        <f t="shared" si="11"/>
        <v>67596.897234635093</v>
      </c>
      <c r="AG12" s="501">
        <f t="shared" si="11"/>
        <v>67596.897234635093</v>
      </c>
      <c r="AH12" s="502">
        <f t="shared" si="11"/>
        <v>67596.897234635093</v>
      </c>
    </row>
    <row r="13" spans="2:34" x14ac:dyDescent="0.35">
      <c r="B13" s="1285"/>
      <c r="C13" s="492"/>
      <c r="D13" s="492"/>
      <c r="E13" s="924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93"/>
      <c r="W13" s="493"/>
      <c r="X13" s="493"/>
      <c r="Y13" s="493"/>
      <c r="Z13" s="493"/>
      <c r="AA13" s="494"/>
      <c r="AB13" s="924"/>
      <c r="AC13" s="493"/>
      <c r="AD13" s="493"/>
      <c r="AE13" s="493"/>
      <c r="AF13" s="493"/>
      <c r="AG13" s="493"/>
      <c r="AH13" s="494"/>
    </row>
    <row r="14" spans="2:34" x14ac:dyDescent="0.35">
      <c r="B14" s="1285"/>
      <c r="C14" s="500" t="s">
        <v>481</v>
      </c>
      <c r="D14" s="1133">
        <f>SUM('Combined All Buildings'!R7:R8)</f>
        <v>35964.426122739715</v>
      </c>
      <c r="E14" s="929">
        <f>$D$14*'CO2 Emissions'!E6</f>
        <v>51991.910461801759</v>
      </c>
      <c r="F14" s="501">
        <f>$D$14*'CO2 Emissions'!F6</f>
        <v>53245.906928577686</v>
      </c>
      <c r="G14" s="501">
        <f>$D$14*'CO2 Emissions'!G6</f>
        <v>56568.391518426251</v>
      </c>
      <c r="H14" s="501">
        <f>$D$14*'CO2 Emissions'!H6</f>
        <v>55152.242728861107</v>
      </c>
      <c r="I14" s="501">
        <f>$D$14*'CO2 Emissions'!I6</f>
        <v>52270.892991674868</v>
      </c>
      <c r="J14" s="501">
        <f>$D$14*'CO2 Emissions'!J6</f>
        <v>42741.643154075842</v>
      </c>
      <c r="K14" s="501">
        <f>$D$14*'CO2 Emissions'!K6</f>
        <v>37744.138984747267</v>
      </c>
      <c r="L14" s="501">
        <f>$D$14*'CO2 Emissions'!L6</f>
        <v>40111.822305699279</v>
      </c>
      <c r="M14" s="501">
        <f>$D$14*'CO2 Emissions'!M6</f>
        <v>40553.363021605815</v>
      </c>
      <c r="N14" s="501">
        <f>$D$14*'CO2 Emissions'!N6</f>
        <v>40538.483351215327</v>
      </c>
      <c r="O14" s="501">
        <f>$D$14*'CO2 Emissions'!O6</f>
        <v>40259.069645777592</v>
      </c>
      <c r="P14" s="501">
        <f>$D$14*'CO2 Emissions'!P6</f>
        <v>39762.719234965261</v>
      </c>
      <c r="Q14" s="501">
        <f>$D$14*'CO2 Emissions'!Q6</f>
        <v>39113.088671483943</v>
      </c>
      <c r="R14" s="501">
        <f>$D$14*'CO2 Emissions'!R6</f>
        <v>37459.531295343208</v>
      </c>
      <c r="S14" s="501">
        <f>$D$14*'CO2 Emissions'!S6</f>
        <v>35873.712476313245</v>
      </c>
      <c r="T14" s="501">
        <f>$D$14*'CO2 Emissions'!T6</f>
        <v>34369.506340872613</v>
      </c>
      <c r="U14" s="501">
        <f>$D$14*'CO2 Emissions'!U6</f>
        <v>32937.050455047691</v>
      </c>
      <c r="V14" s="501">
        <f>$D$14*'CO2 Emissions'!V6</f>
        <v>31576.669115918925</v>
      </c>
      <c r="W14" s="501">
        <f>$D$14*'CO2 Emissions'!W6</f>
        <v>30577.001036544156</v>
      </c>
      <c r="X14" s="501">
        <f>$D$14*'CO2 Emissions'!X6</f>
        <v>29594.370292742689</v>
      </c>
      <c r="Y14" s="501">
        <f>$D$14*'CO2 Emissions'!Y6</f>
        <v>28624.627065988574</v>
      </c>
      <c r="Z14" s="501">
        <f>$D$14*'CO2 Emissions'!Z6</f>
        <v>27666.309566395099</v>
      </c>
      <c r="AA14" s="502">
        <f>$D$14*'CO2 Emissions'!AA6</f>
        <v>20711.514467911784</v>
      </c>
      <c r="AB14" s="502">
        <f>$D$14*'CO2 Emissions'!AB6</f>
        <v>20711.514467911784</v>
      </c>
      <c r="AC14" s="502">
        <f>$D$14*'CO2 Emissions'!AC6</f>
        <v>20711.514467911784</v>
      </c>
      <c r="AD14" s="502">
        <f>$D$14*'CO2 Emissions'!AD6</f>
        <v>20711.514467911784</v>
      </c>
      <c r="AE14" s="502">
        <f>$D$14*'CO2 Emissions'!AE6</f>
        <v>20711.514467911784</v>
      </c>
      <c r="AF14" s="502">
        <f>$D$14*'CO2 Emissions'!AF6</f>
        <v>20711.514467911784</v>
      </c>
      <c r="AG14" s="502">
        <f>$D$14*'CO2 Emissions'!AG6</f>
        <v>20711.514467911784</v>
      </c>
      <c r="AH14" s="502">
        <f>$D$14*'CO2 Emissions'!AH6</f>
        <v>20711.514467911784</v>
      </c>
    </row>
    <row r="15" spans="2:34" x14ac:dyDescent="0.35">
      <c r="B15" s="1285"/>
      <c r="C15" s="492"/>
      <c r="D15" s="492"/>
      <c r="E15" s="924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4"/>
      <c r="AB15" s="924"/>
      <c r="AC15" s="493"/>
      <c r="AD15" s="493"/>
      <c r="AE15" s="493"/>
      <c r="AF15" s="493"/>
      <c r="AG15" s="493"/>
      <c r="AH15" s="494"/>
    </row>
    <row r="16" spans="2:34" x14ac:dyDescent="0.35">
      <c r="B16" s="1285"/>
      <c r="C16" s="1131" t="s">
        <v>482</v>
      </c>
      <c r="D16" s="1134">
        <f>D12+D14</f>
        <v>95396.315153335483</v>
      </c>
      <c r="E16" s="930">
        <f>E12+E14</f>
        <v>106775.10910945758</v>
      </c>
      <c r="F16" s="931">
        <f t="shared" ref="F16:AA16" si="12">F12+F14</f>
        <v>106376.55728323164</v>
      </c>
      <c r="G16" s="931">
        <f t="shared" si="12"/>
        <v>106297.17083660768</v>
      </c>
      <c r="H16" s="931">
        <f t="shared" si="12"/>
        <v>105512.26629709682</v>
      </c>
      <c r="I16" s="931">
        <f t="shared" si="12"/>
        <v>104497.65572188633</v>
      </c>
      <c r="J16" s="931">
        <f t="shared" si="12"/>
        <v>102506.43534773627</v>
      </c>
      <c r="K16" s="931">
        <f t="shared" si="12"/>
        <v>101152.49050899487</v>
      </c>
      <c r="L16" s="931">
        <f t="shared" si="12"/>
        <v>100844.44383821427</v>
      </c>
      <c r="M16" s="931">
        <f t="shared" si="12"/>
        <v>100391.07758514359</v>
      </c>
      <c r="N16" s="931">
        <f t="shared" si="12"/>
        <v>99869.772429222576</v>
      </c>
      <c r="O16" s="931">
        <f t="shared" si="12"/>
        <v>99307.786099456251</v>
      </c>
      <c r="P16" s="931">
        <f t="shared" si="12"/>
        <v>98711.619429287821</v>
      </c>
      <c r="Q16" s="931">
        <f t="shared" si="12"/>
        <v>98090.403702779528</v>
      </c>
      <c r="R16" s="931">
        <f t="shared" si="12"/>
        <v>97317.987203992205</v>
      </c>
      <c r="S16" s="931">
        <f t="shared" si="12"/>
        <v>96548.545340922137</v>
      </c>
      <c r="T16" s="931">
        <f t="shared" si="12"/>
        <v>95781.421004633812</v>
      </c>
      <c r="U16" s="931">
        <f t="shared" si="12"/>
        <v>95011.67398619077</v>
      </c>
      <c r="V16" s="931">
        <f t="shared" si="12"/>
        <v>94235.265013471915</v>
      </c>
      <c r="W16" s="931">
        <f t="shared" si="12"/>
        <v>93280.978126896822</v>
      </c>
      <c r="X16" s="931">
        <f t="shared" si="12"/>
        <v>92300.33835207198</v>
      </c>
      <c r="Y16" s="931">
        <f t="shared" si="12"/>
        <v>91290.20876037018</v>
      </c>
      <c r="Z16" s="931">
        <f t="shared" si="12"/>
        <v>90248.880092557854</v>
      </c>
      <c r="AA16" s="932">
        <f t="shared" si="12"/>
        <v>88308.411702546873</v>
      </c>
      <c r="AB16" s="930">
        <f>AB12+AB14</f>
        <v>88308.411702546873</v>
      </c>
      <c r="AC16" s="931">
        <f t="shared" ref="AC16:AH16" si="13">AC12+AC14</f>
        <v>88308.411702546873</v>
      </c>
      <c r="AD16" s="931">
        <f t="shared" si="13"/>
        <v>88308.411702546873</v>
      </c>
      <c r="AE16" s="931">
        <f t="shared" si="13"/>
        <v>88308.411702546873</v>
      </c>
      <c r="AF16" s="931">
        <f t="shared" si="13"/>
        <v>88308.411702546873</v>
      </c>
      <c r="AG16" s="931">
        <f t="shared" si="13"/>
        <v>88308.411702546873</v>
      </c>
      <c r="AH16" s="932">
        <f t="shared" si="13"/>
        <v>88308.411702546873</v>
      </c>
    </row>
    <row r="17" spans="2:34" x14ac:dyDescent="0.35">
      <c r="B17" s="1286"/>
      <c r="C17" s="560" t="s">
        <v>572</v>
      </c>
      <c r="D17" s="597"/>
      <c r="E17" s="1135">
        <f>E16*E33</f>
        <v>106775.10910945758</v>
      </c>
      <c r="F17" s="561">
        <f t="shared" ref="F17:AH17" si="14">F16*F33</f>
        <v>212753.11456646328</v>
      </c>
      <c r="G17" s="561">
        <f t="shared" si="14"/>
        <v>318891.51250982302</v>
      </c>
      <c r="H17" s="561">
        <f t="shared" si="14"/>
        <v>422049.06518838729</v>
      </c>
      <c r="I17" s="561">
        <f t="shared" si="14"/>
        <v>522488.27860943164</v>
      </c>
      <c r="J17" s="561">
        <f t="shared" si="14"/>
        <v>615038.61208641762</v>
      </c>
      <c r="K17" s="561">
        <f t="shared" si="14"/>
        <v>708067.43356296408</v>
      </c>
      <c r="L17" s="561">
        <f t="shared" si="14"/>
        <v>806755.55070571415</v>
      </c>
      <c r="M17" s="561">
        <f t="shared" si="14"/>
        <v>903519.69826629234</v>
      </c>
      <c r="N17" s="561">
        <f t="shared" si="14"/>
        <v>998697.72429222579</v>
      </c>
      <c r="O17" s="561">
        <f t="shared" si="14"/>
        <v>1092385.6470940188</v>
      </c>
      <c r="P17" s="561">
        <f t="shared" si="14"/>
        <v>1184539.4331514537</v>
      </c>
      <c r="Q17" s="561">
        <f t="shared" si="14"/>
        <v>1275175.2481361339</v>
      </c>
      <c r="R17" s="561">
        <f t="shared" si="14"/>
        <v>1362451.8208558909</v>
      </c>
      <c r="S17" s="561">
        <f t="shared" si="14"/>
        <v>1448228.180113832</v>
      </c>
      <c r="T17" s="561">
        <f t="shared" si="14"/>
        <v>1532502.736074141</v>
      </c>
      <c r="U17" s="561">
        <f t="shared" si="14"/>
        <v>1615198.457765243</v>
      </c>
      <c r="V17" s="561">
        <f t="shared" si="14"/>
        <v>1696234.7702424945</v>
      </c>
      <c r="W17" s="561">
        <f t="shared" si="14"/>
        <v>1772338.5844110397</v>
      </c>
      <c r="X17" s="561">
        <f t="shared" si="14"/>
        <v>1846006.7670414397</v>
      </c>
      <c r="Y17" s="561">
        <f t="shared" si="14"/>
        <v>1917094.3839677738</v>
      </c>
      <c r="Z17" s="561">
        <f t="shared" si="14"/>
        <v>1985475.3620362729</v>
      </c>
      <c r="AA17" s="562">
        <f t="shared" si="14"/>
        <v>2031093.4691585782</v>
      </c>
      <c r="AB17" s="1135">
        <f t="shared" si="14"/>
        <v>2119401.880861125</v>
      </c>
      <c r="AC17" s="561">
        <f t="shared" si="14"/>
        <v>2207710.2925636717</v>
      </c>
      <c r="AD17" s="561">
        <f t="shared" si="14"/>
        <v>2296018.7042662185</v>
      </c>
      <c r="AE17" s="561">
        <f t="shared" si="14"/>
        <v>2384327.1159687657</v>
      </c>
      <c r="AF17" s="561">
        <f t="shared" si="14"/>
        <v>2472635.5276713124</v>
      </c>
      <c r="AG17" s="561">
        <f t="shared" si="14"/>
        <v>2560943.9393738592</v>
      </c>
      <c r="AH17" s="562">
        <f t="shared" si="14"/>
        <v>2649252.3510764064</v>
      </c>
    </row>
    <row r="18" spans="2:34" x14ac:dyDescent="0.35">
      <c r="C18" s="492"/>
      <c r="D18" s="512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503"/>
      <c r="AB18" s="492"/>
      <c r="AH18" s="504"/>
    </row>
    <row r="19" spans="2:34" ht="29" x14ac:dyDescent="0.35">
      <c r="C19" s="492"/>
      <c r="D19" s="511" t="s">
        <v>483</v>
      </c>
      <c r="E19" s="490">
        <v>2023</v>
      </c>
      <c r="F19" s="490">
        <v>2024</v>
      </c>
      <c r="G19" s="490">
        <v>2025</v>
      </c>
      <c r="H19" s="490">
        <v>2026</v>
      </c>
      <c r="I19" s="490">
        <v>2027</v>
      </c>
      <c r="J19" s="490">
        <v>2028</v>
      </c>
      <c r="K19" s="490">
        <v>2029</v>
      </c>
      <c r="L19" s="490">
        <v>2030</v>
      </c>
      <c r="M19" s="490">
        <v>2031</v>
      </c>
      <c r="N19" s="490">
        <v>2032</v>
      </c>
      <c r="O19" s="490">
        <v>2033</v>
      </c>
      <c r="P19" s="490">
        <v>2034</v>
      </c>
      <c r="Q19" s="490">
        <v>2035</v>
      </c>
      <c r="R19" s="490">
        <v>2036</v>
      </c>
      <c r="S19" s="490">
        <v>2037</v>
      </c>
      <c r="T19" s="490">
        <v>2038</v>
      </c>
      <c r="U19" s="490">
        <v>2039</v>
      </c>
      <c r="V19" s="490">
        <v>2040</v>
      </c>
      <c r="W19" s="490">
        <v>2041</v>
      </c>
      <c r="X19" s="490">
        <v>2042</v>
      </c>
      <c r="Y19" s="490">
        <v>2043</v>
      </c>
      <c r="Z19" s="490">
        <v>2044</v>
      </c>
      <c r="AA19" s="491">
        <v>2045</v>
      </c>
      <c r="AB19" s="485">
        <v>2046</v>
      </c>
      <c r="AC19" s="487">
        <v>2047</v>
      </c>
      <c r="AD19" s="487">
        <v>2048</v>
      </c>
      <c r="AE19" s="487">
        <v>2049</v>
      </c>
      <c r="AF19" s="487">
        <v>2050</v>
      </c>
      <c r="AG19" s="487">
        <v>2051</v>
      </c>
      <c r="AH19" s="486">
        <v>2052</v>
      </c>
    </row>
    <row r="20" spans="2:34" x14ac:dyDescent="0.35">
      <c r="B20" s="1284" t="s">
        <v>484</v>
      </c>
      <c r="C20" s="508" t="s">
        <v>485</v>
      </c>
      <c r="D20" s="520">
        <f>529.9/2204.6/1000</f>
        <v>2.4036106323142519E-4</v>
      </c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21"/>
      <c r="P20" s="521"/>
      <c r="Q20" s="521"/>
      <c r="R20" s="521"/>
      <c r="S20" s="521"/>
      <c r="T20" s="521"/>
      <c r="U20" s="521"/>
      <c r="V20" s="521"/>
      <c r="W20" s="521"/>
      <c r="X20" s="521"/>
      <c r="Y20" s="521"/>
      <c r="Z20" s="521"/>
      <c r="AA20" s="522"/>
      <c r="AB20" s="492"/>
      <c r="AH20" s="504"/>
    </row>
    <row r="21" spans="2:34" x14ac:dyDescent="0.35">
      <c r="B21" s="1285"/>
      <c r="C21" s="492" t="s">
        <v>486</v>
      </c>
      <c r="D21" s="524">
        <f>D4/$D$20</f>
        <v>0.62447456595611539</v>
      </c>
      <c r="E21" s="496">
        <f t="shared" ref="E21:AA21" si="15">E4/$D$20</f>
        <v>0.90277057690444074</v>
      </c>
      <c r="F21" s="496">
        <f t="shared" si="15"/>
        <v>0.92454456258206175</v>
      </c>
      <c r="G21" s="496">
        <f t="shared" si="15"/>
        <v>0.98223510142343362</v>
      </c>
      <c r="H21" s="496">
        <f t="shared" si="15"/>
        <v>0.95764555569636267</v>
      </c>
      <c r="I21" s="496">
        <f t="shared" si="15"/>
        <v>0.9076147385673371</v>
      </c>
      <c r="J21" s="496">
        <f t="shared" si="15"/>
        <v>0.74215195220413532</v>
      </c>
      <c r="K21" s="496">
        <f t="shared" si="15"/>
        <v>0.6553769196662993</v>
      </c>
      <c r="L21" s="496">
        <f t="shared" si="15"/>
        <v>0.69648860066815954</v>
      </c>
      <c r="M21" s="496">
        <f t="shared" si="15"/>
        <v>0.70415536965751213</v>
      </c>
      <c r="N21" s="496">
        <f t="shared" si="15"/>
        <v>0.7038970039136252</v>
      </c>
      <c r="O21" s="496">
        <f t="shared" si="15"/>
        <v>0.69904535545884561</v>
      </c>
      <c r="P21" s="496">
        <f t="shared" si="15"/>
        <v>0.69042688880247971</v>
      </c>
      <c r="Q21" s="496">
        <f t="shared" si="15"/>
        <v>0.6791469155651112</v>
      </c>
      <c r="R21" s="496">
        <f t="shared" si="15"/>
        <v>0.65043508456786581</v>
      </c>
      <c r="S21" s="496">
        <f t="shared" si="15"/>
        <v>0.62289944378441331</v>
      </c>
      <c r="T21" s="496">
        <f t="shared" si="15"/>
        <v>0.59678089902209652</v>
      </c>
      <c r="U21" s="496">
        <f t="shared" si="15"/>
        <v>0.57190820219387706</v>
      </c>
      <c r="V21" s="496">
        <f t="shared" si="15"/>
        <v>0.54828698428849532</v>
      </c>
      <c r="W21" s="496">
        <f t="shared" si="15"/>
        <v>0.53092907378445342</v>
      </c>
      <c r="X21" s="496">
        <f t="shared" si="15"/>
        <v>0.51386699401884395</v>
      </c>
      <c r="Y21" s="496">
        <f t="shared" si="15"/>
        <v>0.49702868889618113</v>
      </c>
      <c r="Z21" s="496">
        <f t="shared" si="15"/>
        <v>0.4803887763736121</v>
      </c>
      <c r="AA21" s="497">
        <f t="shared" si="15"/>
        <v>0.35962798248197753</v>
      </c>
      <c r="AB21" s="925">
        <f>$AA$4/$D$20</f>
        <v>0.35962798248197753</v>
      </c>
      <c r="AC21" s="496">
        <f t="shared" ref="AC21:AH21" si="16">$AA$4/$D$20</f>
        <v>0.35962798248197753</v>
      </c>
      <c r="AD21" s="496">
        <f t="shared" si="16"/>
        <v>0.35962798248197753</v>
      </c>
      <c r="AE21" s="496">
        <f t="shared" si="16"/>
        <v>0.35962798248197753</v>
      </c>
      <c r="AF21" s="496">
        <f t="shared" si="16"/>
        <v>0.35962798248197753</v>
      </c>
      <c r="AG21" s="496">
        <f t="shared" si="16"/>
        <v>0.35962798248197753</v>
      </c>
      <c r="AH21" s="497">
        <f t="shared" si="16"/>
        <v>0.35962798248197753</v>
      </c>
    </row>
    <row r="22" spans="2:34" x14ac:dyDescent="0.35">
      <c r="B22" s="1285"/>
      <c r="C22" s="492" t="s">
        <v>487</v>
      </c>
      <c r="D22" s="517">
        <f>5454.4/1000000</f>
        <v>5.4543999999999999E-3</v>
      </c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503"/>
      <c r="AB22" s="933"/>
      <c r="AC22" s="350"/>
      <c r="AD22" s="350"/>
      <c r="AE22" s="350"/>
      <c r="AF22" s="350"/>
      <c r="AG22" s="350"/>
      <c r="AH22" s="503"/>
    </row>
    <row r="23" spans="2:34" x14ac:dyDescent="0.35">
      <c r="B23" s="1286"/>
      <c r="C23" s="523" t="s">
        <v>488</v>
      </c>
      <c r="D23" s="525">
        <f>D7/$D$22</f>
        <v>1.0749111852740905</v>
      </c>
      <c r="E23" s="506">
        <f t="shared" ref="E23:AA23" si="17">E7/$D$22</f>
        <v>1.182953027599446</v>
      </c>
      <c r="F23" s="506">
        <f t="shared" si="17"/>
        <v>1.1760488244022484</v>
      </c>
      <c r="G23" s="506">
        <f t="shared" si="17"/>
        <v>1.1693927647769882</v>
      </c>
      <c r="H23" s="506">
        <f t="shared" si="17"/>
        <v>1.1624738528578913</v>
      </c>
      <c r="I23" s="506">
        <f t="shared" si="17"/>
        <v>1.1553359492439543</v>
      </c>
      <c r="J23" s="506">
        <f t="shared" si="17"/>
        <v>1.1479862425530254</v>
      </c>
      <c r="K23" s="506">
        <f t="shared" si="17"/>
        <v>1.1404417881429085</v>
      </c>
      <c r="L23" s="506">
        <f t="shared" si="17"/>
        <v>1.1327020122298255</v>
      </c>
      <c r="M23" s="506">
        <f t="shared" si="17"/>
        <v>1.126540960619888</v>
      </c>
      <c r="N23" s="506">
        <f t="shared" si="17"/>
        <v>1.1203547806606651</v>
      </c>
      <c r="O23" s="506">
        <f t="shared" si="17"/>
        <v>1.1141384882885581</v>
      </c>
      <c r="P23" s="506">
        <f t="shared" si="17"/>
        <v>1.1078877439261019</v>
      </c>
      <c r="Q23" s="506">
        <f t="shared" si="17"/>
        <v>1.1016019520405589</v>
      </c>
      <c r="R23" s="506">
        <f t="shared" si="17"/>
        <v>1.0952398613565963</v>
      </c>
      <c r="S23" s="506">
        <f t="shared" si="17"/>
        <v>1.0887967984921558</v>
      </c>
      <c r="T23" s="506">
        <f t="shared" si="17"/>
        <v>1.0822410890512266</v>
      </c>
      <c r="U23" s="506">
        <f t="shared" si="17"/>
        <v>1.0755308164754493</v>
      </c>
      <c r="V23" s="506">
        <f t="shared" si="17"/>
        <v>1.068617292380168</v>
      </c>
      <c r="W23" s="506">
        <f t="shared" si="17"/>
        <v>1.0589642846560345</v>
      </c>
      <c r="X23" s="506">
        <f t="shared" si="17"/>
        <v>1.0489679811552244</v>
      </c>
      <c r="Y23" s="506">
        <f t="shared" si="17"/>
        <v>1.0385981349431357</v>
      </c>
      <c r="Z23" s="506">
        <f t="shared" si="17"/>
        <v>1.0278368911495248</v>
      </c>
      <c r="AA23" s="507">
        <f t="shared" si="17"/>
        <v>1.0166674081702534</v>
      </c>
      <c r="AB23" s="925">
        <f>$AA$7/$D$22</f>
        <v>1.0166674081702534</v>
      </c>
      <c r="AC23" s="496">
        <f t="shared" ref="AC23:AH23" si="18">$AA$7/$D$22</f>
        <v>1.0166674081702534</v>
      </c>
      <c r="AD23" s="496">
        <f t="shared" si="18"/>
        <v>1.0166674081702534</v>
      </c>
      <c r="AE23" s="496">
        <f t="shared" si="18"/>
        <v>1.0166674081702534</v>
      </c>
      <c r="AF23" s="496">
        <f t="shared" si="18"/>
        <v>1.0166674081702534</v>
      </c>
      <c r="AG23" s="496">
        <f t="shared" si="18"/>
        <v>1.0166674081702534</v>
      </c>
      <c r="AH23" s="497">
        <f t="shared" si="18"/>
        <v>1.0166674081702534</v>
      </c>
    </row>
    <row r="24" spans="2:34" x14ac:dyDescent="0.35">
      <c r="C24" s="492"/>
      <c r="D24" s="512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934"/>
      <c r="AC24" s="935"/>
      <c r="AD24" s="935"/>
      <c r="AE24" s="935"/>
      <c r="AF24" s="935"/>
      <c r="AG24" s="935"/>
      <c r="AH24" s="936"/>
    </row>
    <row r="25" spans="2:34" x14ac:dyDescent="0.35">
      <c r="B25" s="1287" t="s">
        <v>489</v>
      </c>
      <c r="C25" s="532" t="s">
        <v>641</v>
      </c>
      <c r="D25" s="530">
        <f>SUM('Combined All Buildings'!$N$9:$N$16,'Combined All Buildings'!$N$12,'Combined All Buildings'!$N$11)*'CO2 Emissions'!D7</f>
        <v>144960.55560865661</v>
      </c>
      <c r="E25" s="526">
        <f>SUM('Combined All Buildings'!$N$9:$N$16,'Combined All Buildings'!$N$12,'Combined All Buildings'!$N$11)*'CO2 Emissions'!E7</f>
        <v>159530.88077321686</v>
      </c>
      <c r="F25" s="526">
        <f>SUM('Combined All Buildings'!$N$9:$N$16,'Combined All Buildings'!$N$12,'Combined All Buildings'!$N$11)*'CO2 Emissions'!F7</f>
        <v>158599.79256312852</v>
      </c>
      <c r="G25" s="526">
        <f>SUM('Combined All Buildings'!$N$9:$N$16,'Combined All Buildings'!$N$12,'Combined All Buildings'!$N$11)*'CO2 Emissions'!G7</f>
        <v>157702.1685411066</v>
      </c>
      <c r="H25" s="526">
        <f>SUM('Combined All Buildings'!$N$9:$N$16,'Combined All Buildings'!$N$12,'Combined All Buildings'!$N$11)*'CO2 Emissions'!H7</f>
        <v>156769.09673969643</v>
      </c>
      <c r="I25" s="526">
        <f>SUM('Combined All Buildings'!$N$9:$N$16,'Combined All Buildings'!$N$12,'Combined All Buildings'!$N$11)*'CO2 Emissions'!I7</f>
        <v>155806.49211902398</v>
      </c>
      <c r="J25" s="526">
        <f>SUM('Combined All Buildings'!$N$9:$N$16,'Combined All Buildings'!$N$12,'Combined All Buildings'!$N$11)*'CO2 Emissions'!J7</f>
        <v>154815.32412293873</v>
      </c>
      <c r="K25" s="526">
        <f>SUM('Combined All Buildings'!$N$9:$N$16,'Combined All Buildings'!$N$12,'Combined All Buildings'!$N$11)*'CO2 Emissions'!K7</f>
        <v>153797.89280578683</v>
      </c>
      <c r="L25" s="526">
        <f>SUM('Combined All Buildings'!$N$9:$N$16,'Combined All Buildings'!$N$12,'Combined All Buildings'!$N$11)*'CO2 Emissions'!L7</f>
        <v>152754.12078813784</v>
      </c>
      <c r="M25" s="526">
        <f>SUM('Combined All Buildings'!$N$9:$N$16,'Combined All Buildings'!$N$12,'Combined All Buildings'!$N$11)*'CO2 Emissions'!M7</f>
        <v>151923.25264131284</v>
      </c>
      <c r="N25" s="526">
        <f>SUM('Combined All Buildings'!$N$9:$N$16,'Combined All Buildings'!$N$12,'Combined All Buildings'!$N$11)*'CO2 Emissions'!N7</f>
        <v>151088.99573128225</v>
      </c>
      <c r="O25" s="526">
        <f>SUM('Combined All Buildings'!$N$9:$N$16,'Combined All Buildings'!$N$12,'Combined All Buildings'!$N$11)*'CO2 Emissions'!O7</f>
        <v>150250.67791634882</v>
      </c>
      <c r="P25" s="526">
        <f>SUM('Combined All Buildings'!$N$9:$N$16,'Combined All Buildings'!$N$12,'Combined All Buildings'!$N$11)*'CO2 Emissions'!P7</f>
        <v>149407.71396903603</v>
      </c>
      <c r="Q25" s="526">
        <f>SUM('Combined All Buildings'!$N$9:$N$16,'Combined All Buildings'!$N$12,'Combined All Buildings'!$N$11)*'CO2 Emissions'!Q7</f>
        <v>148560.02357688855</v>
      </c>
      <c r="R25" s="526">
        <f>SUM('Combined All Buildings'!$N$9:$N$16,'Combined All Buildings'!$N$12,'Combined All Buildings'!$N$11)*'CO2 Emissions'!R7</f>
        <v>147702.04366839526</v>
      </c>
      <c r="S25" s="526">
        <f>SUM('Combined All Buildings'!$N$9:$N$16,'Combined All Buildings'!$N$12,'Combined All Buildings'!$N$11)*'CO2 Emissions'!S7</f>
        <v>146833.14399980297</v>
      </c>
      <c r="T25" s="526">
        <f>SUM('Combined All Buildings'!$N$9:$N$16,'Combined All Buildings'!$N$12,'Combined All Buildings'!$N$11)*'CO2 Emissions'!T7</f>
        <v>145949.05302002243</v>
      </c>
      <c r="U25" s="526">
        <f>SUM('Combined All Buildings'!$N$9:$N$16,'Combined All Buildings'!$N$12,'Combined All Buildings'!$N$11)*'CO2 Emissions'!U7</f>
        <v>145044.11793869091</v>
      </c>
      <c r="V25" s="526">
        <f>SUM('Combined All Buildings'!$N$9:$N$16,'Combined All Buildings'!$N$12,'Combined All Buildings'!$N$11)*'CO2 Emissions'!V7</f>
        <v>144111.77272934202</v>
      </c>
      <c r="W25" s="526">
        <f>SUM('Combined All Buildings'!$N$9:$N$16,'Combined All Buildings'!$N$12,'Combined All Buildings'!$N$11)*'CO2 Emissions'!W7</f>
        <v>142809.9857704239</v>
      </c>
      <c r="X25" s="526">
        <f>SUM('Combined All Buildings'!$N$9:$N$16,'Combined All Buildings'!$N$12,'Combined All Buildings'!$N$11)*'CO2 Emissions'!X7</f>
        <v>141461.90257121457</v>
      </c>
      <c r="Y25" s="526">
        <f>SUM('Combined All Buildings'!$N$9:$N$16,'Combined All Buildings'!$N$12,'Combined All Buildings'!$N$11)*'CO2 Emissions'!Y7</f>
        <v>140063.44408545847</v>
      </c>
      <c r="Z25" s="526">
        <f>SUM('Combined All Buildings'!$N$9:$N$16,'Combined All Buildings'!$N$12,'Combined All Buildings'!$N$11)*'CO2 Emissions'!Z7</f>
        <v>138612.2024380248</v>
      </c>
      <c r="AA25" s="527">
        <f>SUM('Combined All Buildings'!$N$9:$N$16,'Combined All Buildings'!$N$12,'Combined All Buildings'!$N$11)*'CO2 Emissions'!AA7</f>
        <v>137105.90640099568</v>
      </c>
      <c r="AB25" s="527">
        <f>SUM('Combined All Buildings'!$N$9:$N$16,'Combined All Buildings'!$N$12,'Combined All Buildings'!$N$11)*'CO2 Emissions'!AB7</f>
        <v>137105.90640099568</v>
      </c>
      <c r="AC25" s="527">
        <f>SUM('Combined All Buildings'!$N$9:$N$16,'Combined All Buildings'!$N$12,'Combined All Buildings'!$N$11)*'CO2 Emissions'!AC7</f>
        <v>137105.90640099568</v>
      </c>
      <c r="AD25" s="527">
        <f>SUM('Combined All Buildings'!$N$9:$N$16,'Combined All Buildings'!$N$12,'Combined All Buildings'!$N$11)*'CO2 Emissions'!AD7</f>
        <v>137105.90640099568</v>
      </c>
      <c r="AE25" s="527">
        <f>SUM('Combined All Buildings'!$N$9:$N$16,'Combined All Buildings'!$N$12,'Combined All Buildings'!$N$11)*'CO2 Emissions'!AE7</f>
        <v>137105.90640099568</v>
      </c>
      <c r="AF25" s="527">
        <f>SUM('Combined All Buildings'!$N$9:$N$16,'Combined All Buildings'!$N$12,'Combined All Buildings'!$N$11)*'CO2 Emissions'!AF7</f>
        <v>137105.90640099568</v>
      </c>
      <c r="AG25" s="527">
        <f>SUM('Combined All Buildings'!$N$9:$N$16,'Combined All Buildings'!$N$12,'Combined All Buildings'!$N$11)*'CO2 Emissions'!AG7</f>
        <v>137105.90640099568</v>
      </c>
      <c r="AH25" s="527">
        <f>SUM('Combined All Buildings'!$N$9:$N$16,'Combined All Buildings'!$N$12,'Combined All Buildings'!$N$11)*'CO2 Emissions'!AH7</f>
        <v>137105.90640099568</v>
      </c>
    </row>
    <row r="26" spans="2:34" x14ac:dyDescent="0.35">
      <c r="B26" s="1288"/>
      <c r="C26" s="495" t="s">
        <v>621</v>
      </c>
      <c r="D26" s="589">
        <f>SUM('Combined All Buildings'!$O$9:$O$16,'Combined All Buildings'!$O$12,'Combined All Buildings'!$O$11)*'CO2 Emissions'!D4</f>
        <v>267792.61351565644</v>
      </c>
      <c r="E26" s="587">
        <f>SUM('Combined All Buildings'!$O$9:$O$16,'Combined All Buildings'!$O$12,'Combined All Buildings'!$O$11)*'CO2 Emissions'!E4</f>
        <v>387133.92886407214</v>
      </c>
      <c r="F26" s="587">
        <f>SUM('Combined All Buildings'!$O$9:$O$16,'Combined All Buildings'!$O$12,'Combined All Buildings'!$O$11)*'CO2 Emissions'!F4</f>
        <v>396471.23873887077</v>
      </c>
      <c r="G26" s="587">
        <f>SUM('Combined All Buildings'!$O$9:$O$16,'Combined All Buildings'!$O$12,'Combined All Buildings'!$O$11)*'CO2 Emissions'!G4</f>
        <v>421210.59725510399</v>
      </c>
      <c r="H26" s="587">
        <f>SUM('Combined All Buildings'!$O$9:$O$16,'Combined All Buildings'!$O$12,'Combined All Buildings'!$O$11)*'CO2 Emissions'!H4</f>
        <v>410665.89443709067</v>
      </c>
      <c r="I26" s="587">
        <f>SUM('Combined All Buildings'!$O$9:$O$16,'Combined All Buildings'!$O$12,'Combined All Buildings'!$O$11)*'CO2 Emissions'!I4</f>
        <v>389211.24439094751</v>
      </c>
      <c r="J26" s="587">
        <f>SUM('Combined All Buildings'!$O$9:$O$16,'Combined All Buildings'!$O$12,'Combined All Buildings'!$O$11)*'CO2 Emissions'!J4</f>
        <v>318256.05355472316</v>
      </c>
      <c r="K26" s="587">
        <f>SUM('Combined All Buildings'!$O$9:$O$16,'Combined All Buildings'!$O$12,'Combined All Buildings'!$O$11)*'CO2 Emissions'!K4</f>
        <v>281044.42954625032</v>
      </c>
      <c r="L26" s="587">
        <f>SUM('Combined All Buildings'!$O$9:$O$16,'Combined All Buildings'!$O$12,'Combined All Buildings'!$O$11)*'CO2 Emissions'!L4</f>
        <v>298674.29808165482</v>
      </c>
      <c r="M26" s="587">
        <f>SUM('Combined All Buildings'!$O$9:$O$16,'Combined All Buildings'!$O$12,'Combined All Buildings'!$O$11)*'CO2 Emissions'!M4</f>
        <v>301962.02862635057</v>
      </c>
      <c r="N26" s="587">
        <f>SUM('Combined All Buildings'!$O$9:$O$16,'Combined All Buildings'!$O$12,'Combined All Buildings'!$O$11)*'CO2 Emissions'!N4</f>
        <v>301851.23398142779</v>
      </c>
      <c r="O26" s="587">
        <f>SUM('Combined All Buildings'!$O$9:$O$16,'Combined All Buildings'!$O$12,'Combined All Buildings'!$O$11)*'CO2 Emissions'!O4</f>
        <v>299770.70790335542</v>
      </c>
      <c r="P26" s="587">
        <f>SUM('Combined All Buildings'!$O$9:$O$16,'Combined All Buildings'!$O$12,'Combined All Buildings'!$O$11)*'CO2 Emissions'!P4</f>
        <v>296074.86208956782</v>
      </c>
      <c r="Q26" s="587">
        <f>SUM('Combined All Buildings'!$O$9:$O$16,'Combined All Buildings'!$O$12,'Combined All Buildings'!$O$11)*'CO2 Emissions'!Q4</f>
        <v>291237.68588048284</v>
      </c>
      <c r="R26" s="587">
        <f>SUM('Combined All Buildings'!$O$9:$O$16,'Combined All Buildings'!$O$12,'Combined All Buildings'!$O$11)*'CO2 Emissions'!R4</f>
        <v>278925.22884742491</v>
      </c>
      <c r="S26" s="587">
        <f>SUM('Combined All Buildings'!$O$9:$O$16,'Combined All Buildings'!$O$12,'Combined All Buildings'!$O$11)*'CO2 Emissions'!S4</f>
        <v>267117.15592945239</v>
      </c>
      <c r="T26" s="587">
        <f>SUM('Combined All Buildings'!$O$9:$O$16,'Combined All Buildings'!$O$12,'Combined All Buildings'!$O$11)*'CO2 Emissions'!T4</f>
        <v>255916.77444967566</v>
      </c>
      <c r="U26" s="587">
        <f>SUM('Combined All Buildings'!$O$9:$O$16,'Combined All Buildings'!$O$12,'Combined All Buildings'!$O$11)*'CO2 Emissions'!U4</f>
        <v>245250.6483143167</v>
      </c>
      <c r="V26" s="587">
        <f>SUM('Combined All Buildings'!$O$9:$O$16,'Combined All Buildings'!$O$12,'Combined All Buildings'!$O$11)*'CO2 Emissions'!V4</f>
        <v>235121.19225293165</v>
      </c>
      <c r="W26" s="587">
        <f>SUM('Combined All Buildings'!$O$9:$O$16,'Combined All Buildings'!$O$12,'Combined All Buildings'!$O$11)*'CO2 Emissions'!W4</f>
        <v>227677.62213421697</v>
      </c>
      <c r="X26" s="587">
        <f>SUM('Combined All Buildings'!$O$9:$O$16,'Combined All Buildings'!$O$12,'Combined All Buildings'!$O$11)*'CO2 Emissions'!X4</f>
        <v>220360.91272516435</v>
      </c>
      <c r="Y26" s="587">
        <f>SUM('Combined All Buildings'!$O$9:$O$16,'Combined All Buildings'!$O$12,'Combined All Buildings'!$O$11)*'CO2 Emissions'!Y4</f>
        <v>213140.16430434101</v>
      </c>
      <c r="Z26" s="587">
        <f>SUM('Combined All Buildings'!$O$9:$O$16,'Combined All Buildings'!$O$12,'Combined All Buildings'!$O$11)*'CO2 Emissions'!Z4</f>
        <v>206004.49232342033</v>
      </c>
      <c r="AA26" s="588">
        <f>SUM('Combined All Buildings'!$O$9:$O$16,'Combined All Buildings'!$O$12,'Combined All Buildings'!$O$11)*'CO2 Emissions'!AA4</f>
        <v>154218.7986067303</v>
      </c>
      <c r="AB26" s="588">
        <f>SUM('Combined All Buildings'!$O$9:$O$16,'Combined All Buildings'!$O$12,'Combined All Buildings'!$O$11)*'CO2 Emissions'!AB4</f>
        <v>154218.7986067303</v>
      </c>
      <c r="AC26" s="588">
        <f>SUM('Combined All Buildings'!$O$9:$O$16,'Combined All Buildings'!$O$12,'Combined All Buildings'!$O$11)*'CO2 Emissions'!AC4</f>
        <v>154218.7986067303</v>
      </c>
      <c r="AD26" s="588">
        <f>SUM('Combined All Buildings'!$O$9:$O$16,'Combined All Buildings'!$O$12,'Combined All Buildings'!$O$11)*'CO2 Emissions'!AD4</f>
        <v>154218.7986067303</v>
      </c>
      <c r="AE26" s="588">
        <f>SUM('Combined All Buildings'!$O$9:$O$16,'Combined All Buildings'!$O$12,'Combined All Buildings'!$O$11)*'CO2 Emissions'!AE4</f>
        <v>154218.7986067303</v>
      </c>
      <c r="AF26" s="588">
        <f>SUM('Combined All Buildings'!$O$9:$O$16,'Combined All Buildings'!$O$12,'Combined All Buildings'!$O$11)*'CO2 Emissions'!AF4</f>
        <v>154218.7986067303</v>
      </c>
      <c r="AG26" s="588">
        <f>SUM('Combined All Buildings'!$O$9:$O$16,'Combined All Buildings'!$O$12,'Combined All Buildings'!$O$11)*'CO2 Emissions'!AG4</f>
        <v>154218.7986067303</v>
      </c>
      <c r="AH26" s="588">
        <f>SUM('Combined All Buildings'!$O$9:$O$16,'Combined All Buildings'!$O$12,'Combined All Buildings'!$O$11)*'CO2 Emissions'!AH4</f>
        <v>154218.7986067303</v>
      </c>
    </row>
    <row r="27" spans="2:34" x14ac:dyDescent="0.35">
      <c r="B27" s="1289"/>
      <c r="C27" s="535" t="s">
        <v>490</v>
      </c>
      <c r="D27" s="534">
        <f>SUM(D25:D26)</f>
        <v>412753.16912431305</v>
      </c>
      <c r="E27" s="536">
        <f t="shared" ref="E27:AH27" si="19">SUM(E25:E26)</f>
        <v>546664.80963728903</v>
      </c>
      <c r="F27" s="536">
        <f t="shared" si="19"/>
        <v>555071.03130199923</v>
      </c>
      <c r="G27" s="536">
        <f t="shared" si="19"/>
        <v>578912.76579621062</v>
      </c>
      <c r="H27" s="536">
        <f t="shared" si="19"/>
        <v>567434.99117678707</v>
      </c>
      <c r="I27" s="536">
        <f t="shared" si="19"/>
        <v>545017.73650997155</v>
      </c>
      <c r="J27" s="536">
        <f t="shared" si="19"/>
        <v>473071.37767766189</v>
      </c>
      <c r="K27" s="536">
        <f t="shared" si="19"/>
        <v>434842.32235203718</v>
      </c>
      <c r="L27" s="536">
        <f t="shared" si="19"/>
        <v>451428.41886979266</v>
      </c>
      <c r="M27" s="536">
        <f t="shared" si="19"/>
        <v>453885.28126766341</v>
      </c>
      <c r="N27" s="536">
        <f t="shared" si="19"/>
        <v>452940.22971271002</v>
      </c>
      <c r="O27" s="536">
        <f t="shared" si="19"/>
        <v>450021.38581970427</v>
      </c>
      <c r="P27" s="536">
        <f t="shared" si="19"/>
        <v>445482.57605860382</v>
      </c>
      <c r="Q27" s="536">
        <f t="shared" si="19"/>
        <v>439797.70945737138</v>
      </c>
      <c r="R27" s="536">
        <f t="shared" si="19"/>
        <v>426627.27251582016</v>
      </c>
      <c r="S27" s="536">
        <f t="shared" si="19"/>
        <v>413950.29992925539</v>
      </c>
      <c r="T27" s="536">
        <f t="shared" si="19"/>
        <v>401865.8274696981</v>
      </c>
      <c r="U27" s="536">
        <f t="shared" si="19"/>
        <v>390294.76625300758</v>
      </c>
      <c r="V27" s="536">
        <f t="shared" si="19"/>
        <v>379232.96498227364</v>
      </c>
      <c r="W27" s="536">
        <f t="shared" si="19"/>
        <v>370487.60790464084</v>
      </c>
      <c r="X27" s="536">
        <f t="shared" si="19"/>
        <v>361822.81529637892</v>
      </c>
      <c r="Y27" s="536">
        <f t="shared" si="19"/>
        <v>353203.60838979948</v>
      </c>
      <c r="Z27" s="536">
        <f t="shared" si="19"/>
        <v>344616.69476144516</v>
      </c>
      <c r="AA27" s="537">
        <f t="shared" si="19"/>
        <v>291324.70500772598</v>
      </c>
      <c r="AB27" s="538">
        <f t="shared" si="19"/>
        <v>291324.70500772598</v>
      </c>
      <c r="AC27" s="536">
        <f t="shared" si="19"/>
        <v>291324.70500772598</v>
      </c>
      <c r="AD27" s="536">
        <f t="shared" si="19"/>
        <v>291324.70500772598</v>
      </c>
      <c r="AE27" s="536">
        <f t="shared" si="19"/>
        <v>291324.70500772598</v>
      </c>
      <c r="AF27" s="536">
        <f t="shared" si="19"/>
        <v>291324.70500772598</v>
      </c>
      <c r="AG27" s="536">
        <f t="shared" si="19"/>
        <v>291324.70500772598</v>
      </c>
      <c r="AH27" s="537">
        <f t="shared" si="19"/>
        <v>291324.70500772598</v>
      </c>
    </row>
    <row r="28" spans="2:34" x14ac:dyDescent="0.35">
      <c r="B28" s="13"/>
      <c r="C28" s="492"/>
      <c r="D28" s="952"/>
      <c r="E28" s="919"/>
      <c r="F28" s="919"/>
      <c r="G28" s="919"/>
      <c r="H28" s="919"/>
      <c r="I28" s="919"/>
      <c r="J28" s="919"/>
      <c r="K28" s="919"/>
      <c r="L28" s="919"/>
      <c r="M28" s="919"/>
      <c r="N28" s="919"/>
      <c r="O28" s="919"/>
      <c r="P28" s="919"/>
      <c r="Q28" s="919"/>
      <c r="R28" s="919"/>
      <c r="S28" s="919"/>
      <c r="T28" s="919"/>
      <c r="U28" s="919"/>
      <c r="V28" s="919"/>
      <c r="W28" s="919"/>
      <c r="X28" s="919"/>
      <c r="Y28" s="919"/>
      <c r="Z28" s="919"/>
      <c r="AA28" s="919"/>
      <c r="AB28" s="953"/>
      <c r="AC28" s="919"/>
      <c r="AD28" s="919"/>
      <c r="AE28" s="919"/>
      <c r="AF28" s="919"/>
      <c r="AG28" s="919"/>
      <c r="AH28" s="954"/>
    </row>
    <row r="29" spans="2:34" x14ac:dyDescent="0.35">
      <c r="B29" s="13"/>
      <c r="C29" s="492" t="s">
        <v>491</v>
      </c>
      <c r="D29" s="952">
        <f>'GWP Impact By Building Type'!G26</f>
        <v>20566.741596634154</v>
      </c>
      <c r="E29" s="919">
        <f>D29</f>
        <v>20566.741596634154</v>
      </c>
      <c r="F29" s="919">
        <f t="shared" ref="F29:AH29" si="20">E29</f>
        <v>20566.741596634154</v>
      </c>
      <c r="G29" s="919">
        <f t="shared" si="20"/>
        <v>20566.741596634154</v>
      </c>
      <c r="H29" s="919">
        <f t="shared" si="20"/>
        <v>20566.741596634154</v>
      </c>
      <c r="I29" s="919">
        <f t="shared" si="20"/>
        <v>20566.741596634154</v>
      </c>
      <c r="J29" s="919">
        <f t="shared" si="20"/>
        <v>20566.741596634154</v>
      </c>
      <c r="K29" s="919">
        <f t="shared" si="20"/>
        <v>20566.741596634154</v>
      </c>
      <c r="L29" s="919">
        <f t="shared" si="20"/>
        <v>20566.741596634154</v>
      </c>
      <c r="M29" s="919">
        <f t="shared" si="20"/>
        <v>20566.741596634154</v>
      </c>
      <c r="N29" s="919">
        <f t="shared" si="20"/>
        <v>20566.741596634154</v>
      </c>
      <c r="O29" s="919">
        <f t="shared" si="20"/>
        <v>20566.741596634154</v>
      </c>
      <c r="P29" s="919">
        <f t="shared" si="20"/>
        <v>20566.741596634154</v>
      </c>
      <c r="Q29" s="919">
        <f t="shared" si="20"/>
        <v>20566.741596634154</v>
      </c>
      <c r="R29" s="919">
        <f t="shared" si="20"/>
        <v>20566.741596634154</v>
      </c>
      <c r="S29" s="919">
        <f t="shared" si="20"/>
        <v>20566.741596634154</v>
      </c>
      <c r="T29" s="919">
        <f t="shared" si="20"/>
        <v>20566.741596634154</v>
      </c>
      <c r="U29" s="919">
        <f t="shared" si="20"/>
        <v>20566.741596634154</v>
      </c>
      <c r="V29" s="919">
        <f t="shared" si="20"/>
        <v>20566.741596634154</v>
      </c>
      <c r="W29" s="919">
        <f t="shared" si="20"/>
        <v>20566.741596634154</v>
      </c>
      <c r="X29" s="919">
        <f t="shared" si="20"/>
        <v>20566.741596634154</v>
      </c>
      <c r="Y29" s="919">
        <f t="shared" si="20"/>
        <v>20566.741596634154</v>
      </c>
      <c r="Z29" s="919">
        <f t="shared" si="20"/>
        <v>20566.741596634154</v>
      </c>
      <c r="AA29" s="919">
        <f t="shared" si="20"/>
        <v>20566.741596634154</v>
      </c>
      <c r="AB29" s="919">
        <f t="shared" si="20"/>
        <v>20566.741596634154</v>
      </c>
      <c r="AC29" s="919">
        <f t="shared" si="20"/>
        <v>20566.741596634154</v>
      </c>
      <c r="AD29" s="919">
        <f t="shared" si="20"/>
        <v>20566.741596634154</v>
      </c>
      <c r="AE29" s="919">
        <f t="shared" si="20"/>
        <v>20566.741596634154</v>
      </c>
      <c r="AF29" s="919">
        <f t="shared" si="20"/>
        <v>20566.741596634154</v>
      </c>
      <c r="AG29" s="919">
        <f t="shared" si="20"/>
        <v>20566.741596634154</v>
      </c>
      <c r="AH29" s="919">
        <f t="shared" si="20"/>
        <v>20566.741596634154</v>
      </c>
    </row>
    <row r="30" spans="2:34" x14ac:dyDescent="0.35">
      <c r="C30" s="492"/>
      <c r="D30" s="512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489"/>
      <c r="V30" s="489"/>
      <c r="W30" s="489"/>
      <c r="X30" s="489"/>
      <c r="Y30" s="489"/>
      <c r="Z30" s="489"/>
      <c r="AA30" s="489"/>
      <c r="AB30" s="937"/>
      <c r="AC30" s="489"/>
      <c r="AD30" s="489"/>
      <c r="AE30" s="489"/>
      <c r="AF30" s="489"/>
      <c r="AG30" s="489"/>
      <c r="AH30" s="938"/>
    </row>
    <row r="31" spans="2:34" x14ac:dyDescent="0.35">
      <c r="B31" s="1280" t="s">
        <v>492</v>
      </c>
      <c r="C31" s="533" t="s">
        <v>493</v>
      </c>
      <c r="D31" s="534">
        <f>D16+D27-D29</f>
        <v>487582.74268101435</v>
      </c>
      <c r="E31" s="538">
        <f>E16+E27-E29</f>
        <v>632873.17715011246</v>
      </c>
      <c r="F31" s="538">
        <f t="shared" ref="F31:AH31" si="21">F16+F27-F29</f>
        <v>640880.84698859672</v>
      </c>
      <c r="G31" s="538">
        <f t="shared" si="21"/>
        <v>664643.19503618416</v>
      </c>
      <c r="H31" s="538">
        <f t="shared" si="21"/>
        <v>652380.51587724977</v>
      </c>
      <c r="I31" s="538">
        <f t="shared" si="21"/>
        <v>628948.65063522372</v>
      </c>
      <c r="J31" s="538">
        <f t="shared" si="21"/>
        <v>555011.07142876403</v>
      </c>
      <c r="K31" s="538">
        <f t="shared" si="21"/>
        <v>515428.07126439794</v>
      </c>
      <c r="L31" s="538">
        <f t="shared" si="21"/>
        <v>531706.12111137284</v>
      </c>
      <c r="M31" s="538">
        <f t="shared" si="21"/>
        <v>533709.61725617282</v>
      </c>
      <c r="N31" s="538">
        <f t="shared" si="21"/>
        <v>532243.26054529846</v>
      </c>
      <c r="O31" s="538">
        <f t="shared" si="21"/>
        <v>528762.43032252637</v>
      </c>
      <c r="P31" s="538">
        <f t="shared" si="21"/>
        <v>523627.45389125752</v>
      </c>
      <c r="Q31" s="538">
        <f t="shared" si="21"/>
        <v>517321.37156351679</v>
      </c>
      <c r="R31" s="538">
        <f t="shared" si="21"/>
        <v>503378.51812317822</v>
      </c>
      <c r="S31" s="538">
        <f t="shared" si="21"/>
        <v>489932.10367354337</v>
      </c>
      <c r="T31" s="538">
        <f t="shared" si="21"/>
        <v>477080.50687769777</v>
      </c>
      <c r="U31" s="538">
        <f t="shared" si="21"/>
        <v>464739.69864256418</v>
      </c>
      <c r="V31" s="538">
        <f t="shared" si="21"/>
        <v>452901.48839911143</v>
      </c>
      <c r="W31" s="538">
        <f t="shared" si="21"/>
        <v>443201.84443490353</v>
      </c>
      <c r="X31" s="538">
        <f t="shared" si="21"/>
        <v>433556.41205181676</v>
      </c>
      <c r="Y31" s="538">
        <f t="shared" si="21"/>
        <v>423927.07555353548</v>
      </c>
      <c r="Z31" s="538">
        <f t="shared" si="21"/>
        <v>414298.83325736888</v>
      </c>
      <c r="AA31" s="538">
        <f>AA16+AA27-AA29</f>
        <v>359066.3751136387</v>
      </c>
      <c r="AB31" s="538">
        <f t="shared" si="21"/>
        <v>359066.3751136387</v>
      </c>
      <c r="AC31" s="538">
        <f t="shared" si="21"/>
        <v>359066.3751136387</v>
      </c>
      <c r="AD31" s="538">
        <f t="shared" si="21"/>
        <v>359066.3751136387</v>
      </c>
      <c r="AE31" s="538">
        <f t="shared" si="21"/>
        <v>359066.3751136387</v>
      </c>
      <c r="AF31" s="538">
        <f t="shared" si="21"/>
        <v>359066.3751136387</v>
      </c>
      <c r="AG31" s="538">
        <f t="shared" si="21"/>
        <v>359066.3751136387</v>
      </c>
      <c r="AH31" s="538">
        <f t="shared" si="21"/>
        <v>359066.3751136387</v>
      </c>
    </row>
    <row r="32" spans="2:34" x14ac:dyDescent="0.35">
      <c r="B32" s="1281"/>
      <c r="C32" s="492"/>
      <c r="D32" s="512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503"/>
      <c r="AB32" s="492"/>
      <c r="AH32" s="504"/>
    </row>
    <row r="33" spans="2:35" x14ac:dyDescent="0.35">
      <c r="B33" s="1281"/>
      <c r="C33" s="492" t="s">
        <v>494</v>
      </c>
      <c r="D33" s="512"/>
      <c r="E33">
        <v>1</v>
      </c>
      <c r="F33">
        <f>E33+1</f>
        <v>2</v>
      </c>
      <c r="G33">
        <f t="shared" ref="G33:AH33" si="22">F33+1</f>
        <v>3</v>
      </c>
      <c r="H33">
        <f t="shared" si="22"/>
        <v>4</v>
      </c>
      <c r="I33">
        <f t="shared" si="22"/>
        <v>5</v>
      </c>
      <c r="J33">
        <f t="shared" si="22"/>
        <v>6</v>
      </c>
      <c r="K33">
        <f t="shared" si="22"/>
        <v>7</v>
      </c>
      <c r="L33">
        <f t="shared" si="22"/>
        <v>8</v>
      </c>
      <c r="M33">
        <f t="shared" si="22"/>
        <v>9</v>
      </c>
      <c r="N33">
        <f t="shared" si="22"/>
        <v>10</v>
      </c>
      <c r="O33">
        <f t="shared" si="22"/>
        <v>11</v>
      </c>
      <c r="P33">
        <f t="shared" si="22"/>
        <v>12</v>
      </c>
      <c r="Q33">
        <f t="shared" si="22"/>
        <v>13</v>
      </c>
      <c r="R33">
        <f t="shared" si="22"/>
        <v>14</v>
      </c>
      <c r="S33">
        <f t="shared" si="22"/>
        <v>15</v>
      </c>
      <c r="T33">
        <f t="shared" si="22"/>
        <v>16</v>
      </c>
      <c r="U33">
        <f t="shared" si="22"/>
        <v>17</v>
      </c>
      <c r="V33">
        <f t="shared" si="22"/>
        <v>18</v>
      </c>
      <c r="W33">
        <f t="shared" si="22"/>
        <v>19</v>
      </c>
      <c r="X33">
        <f t="shared" si="22"/>
        <v>20</v>
      </c>
      <c r="Y33">
        <f t="shared" si="22"/>
        <v>21</v>
      </c>
      <c r="Z33">
        <f t="shared" si="22"/>
        <v>22</v>
      </c>
      <c r="AA33" s="504">
        <f t="shared" si="22"/>
        <v>23</v>
      </c>
      <c r="AB33" s="492">
        <f t="shared" si="22"/>
        <v>24</v>
      </c>
      <c r="AC33">
        <f t="shared" si="22"/>
        <v>25</v>
      </c>
      <c r="AD33">
        <f t="shared" si="22"/>
        <v>26</v>
      </c>
      <c r="AE33">
        <f t="shared" si="22"/>
        <v>27</v>
      </c>
      <c r="AF33">
        <f t="shared" si="22"/>
        <v>28</v>
      </c>
      <c r="AG33">
        <f t="shared" si="22"/>
        <v>29</v>
      </c>
      <c r="AH33" s="504">
        <f t="shared" si="22"/>
        <v>30</v>
      </c>
    </row>
    <row r="34" spans="2:35" ht="15" thickBot="1" x14ac:dyDescent="0.4">
      <c r="B34" s="1281"/>
      <c r="C34" s="492"/>
      <c r="D34" s="512"/>
      <c r="AA34" s="504"/>
      <c r="AB34" s="492"/>
      <c r="AH34" s="504"/>
    </row>
    <row r="35" spans="2:35" x14ac:dyDescent="0.35">
      <c r="B35" s="1281"/>
      <c r="C35" s="539" t="s">
        <v>578</v>
      </c>
      <c r="D35" s="540"/>
      <c r="E35" s="541">
        <f>E33*E31</f>
        <v>632873.17715011246</v>
      </c>
      <c r="F35" s="542">
        <f t="shared" ref="F35:Z35" si="23">F33*F31</f>
        <v>1281761.6939771934</v>
      </c>
      <c r="G35" s="542">
        <f t="shared" si="23"/>
        <v>1993929.5851085526</v>
      </c>
      <c r="H35" s="542">
        <f t="shared" si="23"/>
        <v>2609522.0635089991</v>
      </c>
      <c r="I35" s="542">
        <f t="shared" si="23"/>
        <v>3144743.2531761187</v>
      </c>
      <c r="J35" s="542">
        <f t="shared" si="23"/>
        <v>3330066.4285725839</v>
      </c>
      <c r="K35" s="542">
        <f t="shared" si="23"/>
        <v>3607996.4988507857</v>
      </c>
      <c r="L35" s="542">
        <f t="shared" si="23"/>
        <v>4253648.9688909827</v>
      </c>
      <c r="M35" s="542">
        <f t="shared" si="23"/>
        <v>4803386.5553055555</v>
      </c>
      <c r="N35" s="542">
        <f t="shared" si="23"/>
        <v>5322432.6054529846</v>
      </c>
      <c r="O35" s="542">
        <f t="shared" si="23"/>
        <v>5816386.73354779</v>
      </c>
      <c r="P35" s="542">
        <f t="shared" si="23"/>
        <v>6283529.4466950903</v>
      </c>
      <c r="Q35" s="542">
        <f t="shared" si="23"/>
        <v>6725177.830325718</v>
      </c>
      <c r="R35" s="542">
        <f t="shared" si="23"/>
        <v>7047299.2537244949</v>
      </c>
      <c r="S35" s="542">
        <f t="shared" si="23"/>
        <v>7348981.5551031502</v>
      </c>
      <c r="T35" s="542">
        <f t="shared" si="23"/>
        <v>7633288.1100431643</v>
      </c>
      <c r="U35" s="542">
        <f t="shared" si="23"/>
        <v>7900574.8769235909</v>
      </c>
      <c r="V35" s="542">
        <f t="shared" si="23"/>
        <v>8152226.7911840063</v>
      </c>
      <c r="W35" s="542">
        <f t="shared" si="23"/>
        <v>8420835.0442631673</v>
      </c>
      <c r="X35" s="542">
        <f t="shared" si="23"/>
        <v>8671128.241036335</v>
      </c>
      <c r="Y35" s="542">
        <f t="shared" si="23"/>
        <v>8902468.5866242461</v>
      </c>
      <c r="Z35" s="542">
        <f t="shared" si="23"/>
        <v>9114574.3316621147</v>
      </c>
      <c r="AA35" s="543">
        <f>AA33*AA31</f>
        <v>8258526.6276136898</v>
      </c>
      <c r="AB35" s="939">
        <f>AB33*AB31</f>
        <v>8617593.0027273297</v>
      </c>
      <c r="AC35" s="542">
        <f t="shared" ref="AC35:AH35" si="24">AC33*AC31</f>
        <v>8976659.3778409678</v>
      </c>
      <c r="AD35" s="542">
        <f t="shared" si="24"/>
        <v>9335725.752954606</v>
      </c>
      <c r="AE35" s="542">
        <f t="shared" si="24"/>
        <v>9694792.1280682441</v>
      </c>
      <c r="AF35" s="542">
        <f t="shared" si="24"/>
        <v>10053858.503181884</v>
      </c>
      <c r="AG35" s="542">
        <f t="shared" si="24"/>
        <v>10412924.878295522</v>
      </c>
      <c r="AH35" s="543">
        <f t="shared" si="24"/>
        <v>10771991.25340916</v>
      </c>
    </row>
    <row r="36" spans="2:35" ht="15" thickBot="1" x14ac:dyDescent="0.4">
      <c r="B36" s="1282"/>
      <c r="C36" s="544" t="s">
        <v>495</v>
      </c>
      <c r="D36" s="545"/>
      <c r="E36" s="546">
        <f>E35+D36</f>
        <v>632873.17715011246</v>
      </c>
      <c r="F36" s="546">
        <f t="shared" ref="F36:AH36" si="25">F35+E36</f>
        <v>1914634.871127306</v>
      </c>
      <c r="G36" s="546">
        <f t="shared" si="25"/>
        <v>3908564.4562358586</v>
      </c>
      <c r="H36" s="546">
        <f>H35+G36</f>
        <v>6518086.5197448581</v>
      </c>
      <c r="I36" s="546">
        <f t="shared" si="25"/>
        <v>9662829.7729209773</v>
      </c>
      <c r="J36" s="546">
        <f t="shared" si="25"/>
        <v>12992896.201493561</v>
      </c>
      <c r="K36" s="546">
        <f t="shared" si="25"/>
        <v>16600892.700344346</v>
      </c>
      <c r="L36" s="546">
        <f t="shared" si="25"/>
        <v>20854541.66923533</v>
      </c>
      <c r="M36" s="546">
        <f t="shared" si="25"/>
        <v>25657928.224540886</v>
      </c>
      <c r="N36" s="546">
        <f t="shared" si="25"/>
        <v>30980360.82999387</v>
      </c>
      <c r="O36" s="546">
        <f t="shared" si="25"/>
        <v>36796747.563541658</v>
      </c>
      <c r="P36" s="546">
        <f t="shared" si="25"/>
        <v>43080277.010236748</v>
      </c>
      <c r="Q36" s="546">
        <f t="shared" si="25"/>
        <v>49805454.840562463</v>
      </c>
      <c r="R36" s="546">
        <f t="shared" si="25"/>
        <v>56852754.094286956</v>
      </c>
      <c r="S36" s="546">
        <f t="shared" si="25"/>
        <v>64201735.649390109</v>
      </c>
      <c r="T36" s="546">
        <f t="shared" si="25"/>
        <v>71835023.75943327</v>
      </c>
      <c r="U36" s="546">
        <f t="shared" si="25"/>
        <v>79735598.63635686</v>
      </c>
      <c r="V36" s="546">
        <f t="shared" si="25"/>
        <v>87887825.427540869</v>
      </c>
      <c r="W36" s="546">
        <f t="shared" si="25"/>
        <v>96308660.471804038</v>
      </c>
      <c r="X36" s="546">
        <f t="shared" si="25"/>
        <v>104979788.71284038</v>
      </c>
      <c r="Y36" s="546">
        <f t="shared" si="25"/>
        <v>113882257.29946463</v>
      </c>
      <c r="Z36" s="546">
        <f t="shared" si="25"/>
        <v>122996831.63112675</v>
      </c>
      <c r="AA36" s="547">
        <f t="shared" si="25"/>
        <v>131255358.25874044</v>
      </c>
      <c r="AB36" s="940">
        <f t="shared" si="25"/>
        <v>139872951.26146775</v>
      </c>
      <c r="AC36" s="546">
        <f t="shared" si="25"/>
        <v>148849610.63930872</v>
      </c>
      <c r="AD36" s="546">
        <f t="shared" si="25"/>
        <v>158185336.39226332</v>
      </c>
      <c r="AE36" s="546">
        <f t="shared" si="25"/>
        <v>167880128.52033156</v>
      </c>
      <c r="AF36" s="546">
        <f t="shared" si="25"/>
        <v>177933987.02351344</v>
      </c>
      <c r="AG36" s="546">
        <f t="shared" si="25"/>
        <v>188346911.90180895</v>
      </c>
      <c r="AH36" s="547">
        <f t="shared" si="25"/>
        <v>199118903.15521809</v>
      </c>
    </row>
    <row r="37" spans="2:35" ht="15" thickBot="1" x14ac:dyDescent="0.4"/>
    <row r="38" spans="2:35" x14ac:dyDescent="0.35">
      <c r="B38" s="1142" t="s">
        <v>639</v>
      </c>
      <c r="C38" s="1101"/>
      <c r="D38" s="1102" t="s">
        <v>496</v>
      </c>
      <c r="E38" s="1103">
        <f>E16+E27</f>
        <v>653439.91874674661</v>
      </c>
      <c r="F38" s="1103">
        <f t="shared" ref="F38:AH38" si="26">F16+F27</f>
        <v>661447.58858523087</v>
      </c>
      <c r="G38" s="1103">
        <f t="shared" si="26"/>
        <v>685209.93663281831</v>
      </c>
      <c r="H38" s="1103">
        <f t="shared" si="26"/>
        <v>672947.25747388392</v>
      </c>
      <c r="I38" s="1103">
        <f t="shared" si="26"/>
        <v>649515.39223185787</v>
      </c>
      <c r="J38" s="1103">
        <f t="shared" si="26"/>
        <v>575577.81302539818</v>
      </c>
      <c r="K38" s="1103">
        <f t="shared" si="26"/>
        <v>535994.81286103209</v>
      </c>
      <c r="L38" s="1103">
        <f t="shared" si="26"/>
        <v>552272.86270800699</v>
      </c>
      <c r="M38" s="1103">
        <f t="shared" si="26"/>
        <v>554276.35885280697</v>
      </c>
      <c r="N38" s="1103">
        <f t="shared" si="26"/>
        <v>552810.00214193261</v>
      </c>
      <c r="O38" s="1103">
        <f t="shared" si="26"/>
        <v>549329.17191916052</v>
      </c>
      <c r="P38" s="1103">
        <f t="shared" si="26"/>
        <v>544194.19548789167</v>
      </c>
      <c r="Q38" s="1103">
        <f t="shared" si="26"/>
        <v>537888.11316015094</v>
      </c>
      <c r="R38" s="1103">
        <f t="shared" si="26"/>
        <v>523945.25971981237</v>
      </c>
      <c r="S38" s="1103">
        <f t="shared" si="26"/>
        <v>510498.84527017752</v>
      </c>
      <c r="T38" s="1103">
        <f t="shared" si="26"/>
        <v>497647.24847433192</v>
      </c>
      <c r="U38" s="1103">
        <f t="shared" si="26"/>
        <v>485306.44023919833</v>
      </c>
      <c r="V38" s="1103">
        <f t="shared" si="26"/>
        <v>473468.22999574558</v>
      </c>
      <c r="W38" s="1103">
        <f t="shared" si="26"/>
        <v>463768.58603153768</v>
      </c>
      <c r="X38" s="1103">
        <f t="shared" si="26"/>
        <v>454123.15364845091</v>
      </c>
      <c r="Y38" s="1103">
        <f t="shared" si="26"/>
        <v>444493.81715016963</v>
      </c>
      <c r="Z38" s="1103">
        <f t="shared" si="26"/>
        <v>434865.57485400303</v>
      </c>
      <c r="AA38" s="1103">
        <f t="shared" si="26"/>
        <v>379633.11671027285</v>
      </c>
      <c r="AB38" s="1103">
        <f t="shared" si="26"/>
        <v>379633.11671027285</v>
      </c>
      <c r="AC38" s="1103">
        <f t="shared" si="26"/>
        <v>379633.11671027285</v>
      </c>
      <c r="AD38" s="1103">
        <f t="shared" si="26"/>
        <v>379633.11671027285</v>
      </c>
      <c r="AE38" s="1103">
        <f t="shared" si="26"/>
        <v>379633.11671027285</v>
      </c>
      <c r="AF38" s="1103">
        <f t="shared" si="26"/>
        <v>379633.11671027285</v>
      </c>
      <c r="AG38" s="1103">
        <f t="shared" si="26"/>
        <v>379633.11671027285</v>
      </c>
      <c r="AH38" s="1103">
        <f t="shared" si="26"/>
        <v>379633.11671027285</v>
      </c>
      <c r="AI38" s="871"/>
    </row>
    <row r="39" spans="2:35" x14ac:dyDescent="0.35">
      <c r="C39" s="736"/>
      <c r="D39" s="908" t="s">
        <v>497</v>
      </c>
      <c r="E39" s="698">
        <f>E33*E38</f>
        <v>653439.91874674661</v>
      </c>
      <c r="F39" s="698">
        <f>F33*F38</f>
        <v>1322895.1771704617</v>
      </c>
      <c r="G39" s="698">
        <f t="shared" ref="G39:AH39" si="27">G33*G38</f>
        <v>2055629.8098984549</v>
      </c>
      <c r="H39" s="698">
        <f t="shared" si="27"/>
        <v>2691789.0298955357</v>
      </c>
      <c r="I39" s="698">
        <f t="shared" si="27"/>
        <v>3247576.9611592893</v>
      </c>
      <c r="J39" s="698">
        <f t="shared" si="27"/>
        <v>3453466.8781523891</v>
      </c>
      <c r="K39" s="698">
        <f t="shared" si="27"/>
        <v>3751963.6900272248</v>
      </c>
      <c r="L39" s="698">
        <f t="shared" si="27"/>
        <v>4418182.9016640559</v>
      </c>
      <c r="M39" s="698">
        <f t="shared" si="27"/>
        <v>4988487.2296752632</v>
      </c>
      <c r="N39" s="698">
        <f t="shared" si="27"/>
        <v>5528100.0214193258</v>
      </c>
      <c r="O39" s="698">
        <f t="shared" si="27"/>
        <v>6042620.8911107657</v>
      </c>
      <c r="P39" s="698">
        <f t="shared" si="27"/>
        <v>6530330.3458546996</v>
      </c>
      <c r="Q39" s="698">
        <f t="shared" si="27"/>
        <v>6992545.4710819619</v>
      </c>
      <c r="R39" s="698">
        <f t="shared" si="27"/>
        <v>7335233.6360773733</v>
      </c>
      <c r="S39" s="698">
        <f t="shared" si="27"/>
        <v>7657482.679052663</v>
      </c>
      <c r="T39" s="698">
        <f t="shared" si="27"/>
        <v>7962355.9755893108</v>
      </c>
      <c r="U39" s="698">
        <f t="shared" si="27"/>
        <v>8250209.4840663718</v>
      </c>
      <c r="V39" s="698">
        <f t="shared" si="27"/>
        <v>8522428.1399234198</v>
      </c>
      <c r="W39" s="698">
        <f t="shared" si="27"/>
        <v>8811603.1345992163</v>
      </c>
      <c r="X39" s="698">
        <f t="shared" si="27"/>
        <v>9082463.0729690176</v>
      </c>
      <c r="Y39" s="698">
        <f t="shared" si="27"/>
        <v>9334370.1601535622</v>
      </c>
      <c r="Z39" s="698">
        <f t="shared" si="27"/>
        <v>9567042.6467880663</v>
      </c>
      <c r="AA39" s="698">
        <f t="shared" si="27"/>
        <v>8731561.6843362749</v>
      </c>
      <c r="AB39" s="698">
        <f t="shared" si="27"/>
        <v>9111194.8010465484</v>
      </c>
      <c r="AC39" s="698">
        <f t="shared" si="27"/>
        <v>9490827.917756822</v>
      </c>
      <c r="AD39" s="698">
        <f t="shared" si="27"/>
        <v>9870461.0344670936</v>
      </c>
      <c r="AE39" s="698">
        <f t="shared" si="27"/>
        <v>10250094.151177367</v>
      </c>
      <c r="AF39" s="698">
        <f t="shared" si="27"/>
        <v>10629727.267887641</v>
      </c>
      <c r="AG39" s="698">
        <f t="shared" si="27"/>
        <v>11009360.384597912</v>
      </c>
      <c r="AH39" s="698">
        <f t="shared" si="27"/>
        <v>11388993.501308186</v>
      </c>
      <c r="AI39" s="728"/>
    </row>
    <row r="40" spans="2:35" x14ac:dyDescent="0.35">
      <c r="B40" s="909"/>
      <c r="C40" s="736"/>
      <c r="D40" s="908" t="s">
        <v>498</v>
      </c>
      <c r="E40" s="698">
        <f>E39</f>
        <v>653439.91874674661</v>
      </c>
      <c r="F40" s="698">
        <f>F39+E40</f>
        <v>1976335.0959172084</v>
      </c>
      <c r="G40" s="698">
        <f t="shared" ref="G40:AH40" si="28">G39+F40</f>
        <v>4031964.9058156633</v>
      </c>
      <c r="H40" s="698">
        <f t="shared" si="28"/>
        <v>6723753.9357111994</v>
      </c>
      <c r="I40" s="698">
        <f t="shared" si="28"/>
        <v>9971330.8968704883</v>
      </c>
      <c r="J40" s="698">
        <f t="shared" si="28"/>
        <v>13424797.775022877</v>
      </c>
      <c r="K40" s="698">
        <f t="shared" si="28"/>
        <v>17176761.465050101</v>
      </c>
      <c r="L40" s="698">
        <f t="shared" si="28"/>
        <v>21594944.366714157</v>
      </c>
      <c r="M40" s="698">
        <f t="shared" si="28"/>
        <v>26583431.59638942</v>
      </c>
      <c r="N40" s="698">
        <f t="shared" si="28"/>
        <v>32111531.617808744</v>
      </c>
      <c r="O40" s="698">
        <f t="shared" si="28"/>
        <v>38154152.508919507</v>
      </c>
      <c r="P40" s="698">
        <f t="shared" si="28"/>
        <v>44684482.854774207</v>
      </c>
      <c r="Q40" s="698">
        <f t="shared" si="28"/>
        <v>51677028.325856172</v>
      </c>
      <c r="R40" s="698">
        <f t="shared" si="28"/>
        <v>59012261.961933546</v>
      </c>
      <c r="S40" s="698">
        <f t="shared" si="28"/>
        <v>66669744.640986212</v>
      </c>
      <c r="T40" s="698">
        <f t="shared" si="28"/>
        <v>74632100.616575524</v>
      </c>
      <c r="U40" s="698">
        <f t="shared" si="28"/>
        <v>82882310.100641891</v>
      </c>
      <c r="V40" s="698">
        <f t="shared" si="28"/>
        <v>91404738.240565315</v>
      </c>
      <c r="W40" s="698">
        <f t="shared" si="28"/>
        <v>100216341.37516454</v>
      </c>
      <c r="X40" s="698">
        <f t="shared" si="28"/>
        <v>109298804.44813356</v>
      </c>
      <c r="Y40" s="698">
        <f t="shared" si="28"/>
        <v>118633174.60828713</v>
      </c>
      <c r="Z40" s="698">
        <f t="shared" si="28"/>
        <v>128200217.25507519</v>
      </c>
      <c r="AA40" s="698">
        <f t="shared" si="28"/>
        <v>136931778.93941146</v>
      </c>
      <c r="AB40" s="698">
        <f t="shared" si="28"/>
        <v>146042973.74045801</v>
      </c>
      <c r="AC40" s="698">
        <f t="shared" si="28"/>
        <v>155533801.65821484</v>
      </c>
      <c r="AD40" s="698">
        <f t="shared" si="28"/>
        <v>165404262.69268194</v>
      </c>
      <c r="AE40" s="698">
        <f t="shared" si="28"/>
        <v>175654356.84385931</v>
      </c>
      <c r="AF40" s="698">
        <f t="shared" si="28"/>
        <v>186284084.11174697</v>
      </c>
      <c r="AG40" s="698">
        <f t="shared" si="28"/>
        <v>197293444.49634486</v>
      </c>
      <c r="AH40" s="698">
        <f t="shared" si="28"/>
        <v>208682437.99765304</v>
      </c>
      <c r="AI40" s="728"/>
    </row>
    <row r="41" spans="2:35" x14ac:dyDescent="0.35">
      <c r="C41" s="736"/>
      <c r="D41" s="908"/>
      <c r="AI41" s="728"/>
    </row>
    <row r="42" spans="2:35" x14ac:dyDescent="0.35">
      <c r="C42" s="1104"/>
      <c r="E42" s="918">
        <f>E3</f>
        <v>2023</v>
      </c>
      <c r="F42" s="918">
        <f t="shared" ref="F42:AA42" si="29">F3</f>
        <v>2024</v>
      </c>
      <c r="G42" s="918">
        <f t="shared" si="29"/>
        <v>2025</v>
      </c>
      <c r="H42" s="918">
        <f t="shared" si="29"/>
        <v>2026</v>
      </c>
      <c r="I42" s="918">
        <f t="shared" si="29"/>
        <v>2027</v>
      </c>
      <c r="J42" s="918">
        <f t="shared" si="29"/>
        <v>2028</v>
      </c>
      <c r="K42" s="918">
        <f t="shared" si="29"/>
        <v>2029</v>
      </c>
      <c r="L42" s="918">
        <f t="shared" si="29"/>
        <v>2030</v>
      </c>
      <c r="M42" s="918">
        <f t="shared" si="29"/>
        <v>2031</v>
      </c>
      <c r="N42" s="918">
        <f t="shared" si="29"/>
        <v>2032</v>
      </c>
      <c r="O42" s="918">
        <f t="shared" si="29"/>
        <v>2033</v>
      </c>
      <c r="P42" s="918">
        <f t="shared" si="29"/>
        <v>2034</v>
      </c>
      <c r="Q42" s="918">
        <f t="shared" si="29"/>
        <v>2035</v>
      </c>
      <c r="R42" s="918">
        <f t="shared" si="29"/>
        <v>2036</v>
      </c>
      <c r="S42" s="918">
        <f t="shared" si="29"/>
        <v>2037</v>
      </c>
      <c r="T42" s="918">
        <f t="shared" si="29"/>
        <v>2038</v>
      </c>
      <c r="U42" s="918">
        <f t="shared" si="29"/>
        <v>2039</v>
      </c>
      <c r="V42" s="918">
        <f t="shared" si="29"/>
        <v>2040</v>
      </c>
      <c r="W42" s="918">
        <f t="shared" si="29"/>
        <v>2041</v>
      </c>
      <c r="X42" s="918">
        <f t="shared" si="29"/>
        <v>2042</v>
      </c>
      <c r="Y42" s="918">
        <f t="shared" si="29"/>
        <v>2043</v>
      </c>
      <c r="Z42" s="918">
        <f t="shared" si="29"/>
        <v>2044</v>
      </c>
      <c r="AA42" s="918">
        <f t="shared" si="29"/>
        <v>2045</v>
      </c>
      <c r="AB42" s="918">
        <v>2046</v>
      </c>
      <c r="AC42" s="918">
        <v>2047</v>
      </c>
      <c r="AD42" s="918">
        <v>2048</v>
      </c>
      <c r="AE42" s="918">
        <v>2049</v>
      </c>
      <c r="AF42" s="918">
        <v>2050</v>
      </c>
      <c r="AG42" s="918">
        <v>2051</v>
      </c>
      <c r="AH42" s="918">
        <v>2052</v>
      </c>
      <c r="AI42" s="728"/>
    </row>
    <row r="43" spans="2:35" x14ac:dyDescent="0.35">
      <c r="C43" s="726"/>
      <c r="D43" s="908" t="s">
        <v>496</v>
      </c>
      <c r="E43" s="920">
        <f>'Combined All Buildings'!$G$27-E39</f>
        <v>80861464.990102977</v>
      </c>
      <c r="F43" s="920">
        <f>'Combined All Buildings'!$G$27-F39</f>
        <v>80192009.731679261</v>
      </c>
      <c r="G43" s="920">
        <f>'Combined All Buildings'!$G$27-G39</f>
        <v>79459275.098951265</v>
      </c>
      <c r="H43" s="920">
        <f>'Combined All Buildings'!$G$27-H39</f>
        <v>78823115.878954187</v>
      </c>
      <c r="I43" s="920">
        <f>'Combined All Buildings'!$G$27-I39</f>
        <v>78267327.947690427</v>
      </c>
      <c r="J43" s="920">
        <f>'Combined All Buildings'!$G$27-J39</f>
        <v>78061438.030697331</v>
      </c>
      <c r="K43" s="920">
        <f>'Combined All Buildings'!$G$27-K39</f>
        <v>77762941.218822494</v>
      </c>
      <c r="L43" s="920">
        <f>'Combined All Buildings'!$G$27-L39</f>
        <v>77096722.007185668</v>
      </c>
      <c r="M43" s="920">
        <f>'Combined All Buildings'!$G$27-M39</f>
        <v>76526417.679174453</v>
      </c>
      <c r="N43" s="920">
        <f>'Combined All Buildings'!$G$27-N39</f>
        <v>75986804.887430385</v>
      </c>
      <c r="O43" s="920">
        <f>'Combined All Buildings'!$G$27-O39</f>
        <v>75472284.017738953</v>
      </c>
      <c r="P43" s="920">
        <f>'Combined All Buildings'!$G$27-P39</f>
        <v>74984574.562995017</v>
      </c>
      <c r="Q43" s="920">
        <f>'Combined All Buildings'!$G$27-Q39</f>
        <v>74522359.437767759</v>
      </c>
      <c r="R43" s="920">
        <f>'Combined All Buildings'!$G$27-R39</f>
        <v>74179671.272772342</v>
      </c>
      <c r="S43" s="920">
        <f>'Combined All Buildings'!$G$27-S39</f>
        <v>73857422.22979705</v>
      </c>
      <c r="T43" s="920">
        <f>'Combined All Buildings'!$G$27-T39</f>
        <v>73552548.933260411</v>
      </c>
      <c r="U43" s="920">
        <f>'Combined All Buildings'!$G$27-U39</f>
        <v>73264695.424783349</v>
      </c>
      <c r="V43" s="920">
        <f>'Combined All Buildings'!$G$27-V39</f>
        <v>72992476.768926293</v>
      </c>
      <c r="W43" s="920">
        <f>'Combined All Buildings'!$G$27-W39</f>
        <v>72703301.774250507</v>
      </c>
      <c r="X43" s="920">
        <f>'Combined All Buildings'!$G$27-X39</f>
        <v>72432441.835880697</v>
      </c>
      <c r="Y43" s="920">
        <f>'Combined All Buildings'!$G$27-Y39</f>
        <v>72180534.748696148</v>
      </c>
      <c r="Z43" s="920">
        <f>'Combined All Buildings'!$G$27-Z39</f>
        <v>71947862.262061656</v>
      </c>
      <c r="AA43" s="920">
        <f>'Combined All Buildings'!$G$27-AA39</f>
        <v>72783343.224513441</v>
      </c>
      <c r="AB43" s="920">
        <f>'Combined All Buildings'!$G$27-AB39</f>
        <v>72403710.107803166</v>
      </c>
      <c r="AC43" s="920">
        <f>'Combined All Buildings'!$G$27-AC39</f>
        <v>72024076.991092891</v>
      </c>
      <c r="AD43" s="920">
        <f>'Combined All Buildings'!$G$27-AD39</f>
        <v>71644443.874382615</v>
      </c>
      <c r="AE43" s="920">
        <f>'Combined All Buildings'!$G$27-AE39</f>
        <v>71264810.757672355</v>
      </c>
      <c r="AF43" s="920">
        <f>'Combined All Buildings'!$G$27-AF39</f>
        <v>70885177.640962079</v>
      </c>
      <c r="AG43" s="920">
        <f>'Combined All Buildings'!$G$27-AG39</f>
        <v>70505544.524251804</v>
      </c>
      <c r="AH43" s="920">
        <f>'Combined All Buildings'!$G$27-AH39</f>
        <v>70125911.407541528</v>
      </c>
      <c r="AI43" s="728"/>
    </row>
    <row r="44" spans="2:35" x14ac:dyDescent="0.35">
      <c r="C44" s="726"/>
      <c r="D44" s="908" t="s">
        <v>499</v>
      </c>
      <c r="E44" s="1105">
        <f>E43/1000000</f>
        <v>80.861464990102974</v>
      </c>
      <c r="F44" s="1105">
        <f t="shared" ref="F44:AH44" si="30">F43/1000000</f>
        <v>80.192009731679263</v>
      </c>
      <c r="G44" s="1106">
        <f t="shared" si="30"/>
        <v>79.459275098951267</v>
      </c>
      <c r="H44" s="1105">
        <f t="shared" si="30"/>
        <v>78.823115878954184</v>
      </c>
      <c r="I44" s="1105">
        <f t="shared" si="30"/>
        <v>78.267327947690433</v>
      </c>
      <c r="J44" s="1105">
        <f t="shared" si="30"/>
        <v>78.061438030697332</v>
      </c>
      <c r="K44" s="1105">
        <f t="shared" si="30"/>
        <v>77.76294121882249</v>
      </c>
      <c r="L44" s="1106">
        <f t="shared" si="30"/>
        <v>77.096722007185662</v>
      </c>
      <c r="M44" s="1105">
        <f t="shared" si="30"/>
        <v>76.526417679174457</v>
      </c>
      <c r="N44" s="1105">
        <f t="shared" si="30"/>
        <v>75.986804887430381</v>
      </c>
      <c r="O44" s="1105">
        <f t="shared" si="30"/>
        <v>75.472284017738957</v>
      </c>
      <c r="P44" s="1105">
        <f t="shared" si="30"/>
        <v>74.984574562995022</v>
      </c>
      <c r="Q44" s="1106">
        <f t="shared" si="30"/>
        <v>74.522359437767761</v>
      </c>
      <c r="R44" s="1105">
        <f t="shared" si="30"/>
        <v>74.179671272772339</v>
      </c>
      <c r="S44" s="1105">
        <f t="shared" si="30"/>
        <v>73.857422229797052</v>
      </c>
      <c r="T44" s="1105">
        <f t="shared" si="30"/>
        <v>73.552548933260411</v>
      </c>
      <c r="U44" s="1105">
        <f t="shared" si="30"/>
        <v>73.264695424783355</v>
      </c>
      <c r="V44" s="1106">
        <f t="shared" si="30"/>
        <v>72.992476768926295</v>
      </c>
      <c r="W44" s="1105">
        <f t="shared" si="30"/>
        <v>72.703301774250505</v>
      </c>
      <c r="X44" s="1105">
        <f t="shared" si="30"/>
        <v>72.432441835880695</v>
      </c>
      <c r="Y44" s="1105">
        <f t="shared" si="30"/>
        <v>72.180534748696147</v>
      </c>
      <c r="Z44" s="1105">
        <f t="shared" si="30"/>
        <v>71.947862262061662</v>
      </c>
      <c r="AA44" s="1106">
        <f t="shared" si="30"/>
        <v>72.783343224513445</v>
      </c>
      <c r="AB44" s="1105">
        <f t="shared" si="30"/>
        <v>72.403710107803164</v>
      </c>
      <c r="AC44" s="1105">
        <f t="shared" si="30"/>
        <v>72.024076991092898</v>
      </c>
      <c r="AD44" s="1105">
        <f t="shared" si="30"/>
        <v>71.644443874382617</v>
      </c>
      <c r="AE44" s="1105">
        <f t="shared" si="30"/>
        <v>71.26481075767235</v>
      </c>
      <c r="AF44" s="1106">
        <f t="shared" si="30"/>
        <v>70.885177640962084</v>
      </c>
      <c r="AG44" s="1105">
        <f t="shared" si="30"/>
        <v>70.505544524251803</v>
      </c>
      <c r="AH44" s="1105">
        <f t="shared" si="30"/>
        <v>70.125911407541523</v>
      </c>
      <c r="AI44" s="728"/>
    </row>
    <row r="45" spans="2:35" x14ac:dyDescent="0.35">
      <c r="C45" s="726"/>
      <c r="E45" s="920"/>
      <c r="F45" s="920"/>
      <c r="G45" s="920"/>
      <c r="H45" s="920"/>
      <c r="I45" s="920"/>
      <c r="J45" s="920"/>
      <c r="K45" s="920"/>
      <c r="L45" s="920"/>
      <c r="M45" s="920"/>
      <c r="N45" s="920"/>
      <c r="O45" s="920"/>
      <c r="P45" s="920"/>
      <c r="Q45" s="920"/>
      <c r="R45" s="920"/>
      <c r="S45" s="920"/>
      <c r="T45" s="920"/>
      <c r="U45" s="920"/>
      <c r="V45" s="920"/>
      <c r="W45" s="920"/>
      <c r="X45" s="920"/>
      <c r="Y45" s="920"/>
      <c r="Z45" s="920"/>
      <c r="AA45" s="920"/>
      <c r="AB45" s="920"/>
      <c r="AC45" s="920"/>
      <c r="AD45" s="920"/>
      <c r="AE45" s="920"/>
      <c r="AF45" s="920"/>
      <c r="AG45" s="920"/>
      <c r="AH45" s="920"/>
      <c r="AI45" s="728"/>
    </row>
    <row r="46" spans="2:35" x14ac:dyDescent="0.35">
      <c r="C46" s="726"/>
      <c r="D46" s="333" t="s">
        <v>500</v>
      </c>
      <c r="E46" s="920"/>
      <c r="F46" s="920"/>
      <c r="G46" s="920"/>
      <c r="H46" s="920"/>
      <c r="I46" s="920"/>
      <c r="J46" s="920"/>
      <c r="K46" s="920"/>
      <c r="L46" s="920"/>
      <c r="M46" s="920"/>
      <c r="N46" s="920"/>
      <c r="O46" s="920"/>
      <c r="P46" s="920"/>
      <c r="Q46" s="920"/>
      <c r="R46" s="920"/>
      <c r="S46" s="920"/>
      <c r="T46" s="920"/>
      <c r="U46" s="920"/>
      <c r="V46" s="920"/>
      <c r="W46" s="920"/>
      <c r="X46" s="920"/>
      <c r="Y46" s="920"/>
      <c r="Z46" s="920"/>
      <c r="AA46" s="920"/>
      <c r="AB46" s="920"/>
      <c r="AC46" s="920"/>
      <c r="AD46" s="920"/>
      <c r="AE46" s="920"/>
      <c r="AF46" s="920"/>
      <c r="AG46" s="920"/>
      <c r="AH46" s="920"/>
      <c r="AI46" s="728"/>
    </row>
    <row r="47" spans="2:35" x14ac:dyDescent="0.35">
      <c r="C47" s="736"/>
      <c r="D47" s="909" t="s">
        <v>501</v>
      </c>
      <c r="E47" s="919">
        <f>E29*E33</f>
        <v>20566.741596634154</v>
      </c>
      <c r="F47" s="919">
        <f>F29*F33</f>
        <v>41133.483193268308</v>
      </c>
      <c r="G47" s="919">
        <f t="shared" ref="G47:AH47" si="31">G29*G33</f>
        <v>61700.224789902466</v>
      </c>
      <c r="H47" s="919">
        <f t="shared" si="31"/>
        <v>82266.966386536616</v>
      </c>
      <c r="I47" s="919">
        <f t="shared" si="31"/>
        <v>102833.70798317077</v>
      </c>
      <c r="J47" s="919">
        <f t="shared" si="31"/>
        <v>123400.44957980493</v>
      </c>
      <c r="K47" s="919">
        <f t="shared" si="31"/>
        <v>143967.19117643908</v>
      </c>
      <c r="L47" s="919">
        <f t="shared" si="31"/>
        <v>164533.93277307323</v>
      </c>
      <c r="M47" s="919">
        <f t="shared" si="31"/>
        <v>185100.67436970738</v>
      </c>
      <c r="N47" s="919">
        <f t="shared" si="31"/>
        <v>205667.41596634153</v>
      </c>
      <c r="O47" s="919">
        <f t="shared" si="31"/>
        <v>226234.15756297568</v>
      </c>
      <c r="P47" s="919">
        <f t="shared" si="31"/>
        <v>246800.89915960986</v>
      </c>
      <c r="Q47" s="919">
        <f t="shared" si="31"/>
        <v>267367.64075624401</v>
      </c>
      <c r="R47" s="919">
        <f t="shared" si="31"/>
        <v>287934.38235287816</v>
      </c>
      <c r="S47" s="919">
        <f t="shared" si="31"/>
        <v>308501.12394951232</v>
      </c>
      <c r="T47" s="919">
        <f t="shared" si="31"/>
        <v>329067.86554614647</v>
      </c>
      <c r="U47" s="919">
        <f t="shared" si="31"/>
        <v>349634.60714278062</v>
      </c>
      <c r="V47" s="919">
        <f t="shared" si="31"/>
        <v>370201.34873941477</v>
      </c>
      <c r="W47" s="919">
        <f t="shared" si="31"/>
        <v>390768.09033604892</v>
      </c>
      <c r="X47" s="919">
        <f t="shared" si="31"/>
        <v>411334.83193268307</v>
      </c>
      <c r="Y47" s="919">
        <f t="shared" si="31"/>
        <v>431901.57352931722</v>
      </c>
      <c r="Z47" s="919">
        <f t="shared" si="31"/>
        <v>452468.31512595137</v>
      </c>
      <c r="AA47" s="919">
        <f t="shared" si="31"/>
        <v>473035.05672258552</v>
      </c>
      <c r="AB47" s="919">
        <f t="shared" si="31"/>
        <v>493601.79831921973</v>
      </c>
      <c r="AC47" s="919">
        <f t="shared" si="31"/>
        <v>514168.53991585388</v>
      </c>
      <c r="AD47" s="919">
        <f t="shared" si="31"/>
        <v>534735.28151248803</v>
      </c>
      <c r="AE47" s="919">
        <f t="shared" si="31"/>
        <v>555302.02310912218</v>
      </c>
      <c r="AF47" s="919">
        <f t="shared" si="31"/>
        <v>575868.76470575633</v>
      </c>
      <c r="AG47" s="919">
        <f t="shared" si="31"/>
        <v>596435.50630239048</v>
      </c>
      <c r="AH47" s="919">
        <f t="shared" si="31"/>
        <v>617002.24789902463</v>
      </c>
      <c r="AI47" s="728"/>
    </row>
    <row r="48" spans="2:35" x14ac:dyDescent="0.35">
      <c r="C48" s="1107"/>
      <c r="D48" t="s">
        <v>502</v>
      </c>
      <c r="E48" s="1108">
        <f>E47/1000000</f>
        <v>2.0566741596634155E-2</v>
      </c>
      <c r="F48" s="1108">
        <f t="shared" ref="F48:AH48" si="32">F47/1000000</f>
        <v>4.113348319326831E-2</v>
      </c>
      <c r="G48" s="1109">
        <f t="shared" si="32"/>
        <v>6.1700224789902468E-2</v>
      </c>
      <c r="H48" s="1108">
        <f t="shared" si="32"/>
        <v>8.2266966386536619E-2</v>
      </c>
      <c r="I48" s="1108">
        <f t="shared" si="32"/>
        <v>0.10283370798317076</v>
      </c>
      <c r="J48" s="1108">
        <f t="shared" si="32"/>
        <v>0.12340044957980494</v>
      </c>
      <c r="K48" s="1108">
        <f t="shared" si="32"/>
        <v>0.14396719117643908</v>
      </c>
      <c r="L48" s="1109">
        <f t="shared" si="32"/>
        <v>0.16453393277307324</v>
      </c>
      <c r="M48" s="1108">
        <f t="shared" si="32"/>
        <v>0.1851006743697074</v>
      </c>
      <c r="N48" s="1108">
        <f t="shared" si="32"/>
        <v>0.20566741596634153</v>
      </c>
      <c r="O48" s="1108">
        <f t="shared" si="32"/>
        <v>0.22623415756297569</v>
      </c>
      <c r="P48" s="1108">
        <f t="shared" si="32"/>
        <v>0.24680089915960987</v>
      </c>
      <c r="Q48" s="1109">
        <f t="shared" si="32"/>
        <v>0.26736764075624403</v>
      </c>
      <c r="R48" s="1108">
        <f t="shared" si="32"/>
        <v>0.28793438235287816</v>
      </c>
      <c r="S48" s="1108">
        <f t="shared" si="32"/>
        <v>0.30850112394951229</v>
      </c>
      <c r="T48" s="1108">
        <f t="shared" si="32"/>
        <v>0.32906786554614648</v>
      </c>
      <c r="U48" s="1108">
        <f t="shared" si="32"/>
        <v>0.34963460714278061</v>
      </c>
      <c r="V48" s="1109">
        <f t="shared" si="32"/>
        <v>0.37020134873941479</v>
      </c>
      <c r="W48" s="1108">
        <f t="shared" si="32"/>
        <v>0.39076809033604892</v>
      </c>
      <c r="X48" s="1108">
        <f t="shared" si="32"/>
        <v>0.41133483193268305</v>
      </c>
      <c r="Y48" s="1108">
        <f t="shared" si="32"/>
        <v>0.43190157352931724</v>
      </c>
      <c r="Z48" s="1108">
        <f t="shared" si="32"/>
        <v>0.45246831512595137</v>
      </c>
      <c r="AA48" s="1109">
        <f t="shared" si="32"/>
        <v>0.4730350567225855</v>
      </c>
      <c r="AB48" s="1108">
        <f t="shared" si="32"/>
        <v>0.49360179831921974</v>
      </c>
      <c r="AC48" s="1108">
        <f t="shared" si="32"/>
        <v>0.51416853991585387</v>
      </c>
      <c r="AD48" s="1108">
        <f t="shared" si="32"/>
        <v>0.53473528151248806</v>
      </c>
      <c r="AE48" s="1108">
        <f t="shared" si="32"/>
        <v>0.55530202310912213</v>
      </c>
      <c r="AF48" s="1109">
        <f t="shared" si="32"/>
        <v>0.57586876470575632</v>
      </c>
      <c r="AG48" s="1108">
        <f t="shared" si="32"/>
        <v>0.59643550630239051</v>
      </c>
      <c r="AH48" s="1108">
        <f t="shared" si="32"/>
        <v>0.61700224789902458</v>
      </c>
      <c r="AI48" s="728"/>
    </row>
    <row r="49" spans="3:35" x14ac:dyDescent="0.35">
      <c r="C49" s="1110"/>
      <c r="E49" s="919"/>
      <c r="F49" s="919"/>
      <c r="G49" s="919"/>
      <c r="H49" s="919"/>
      <c r="I49" s="919"/>
      <c r="J49" s="919"/>
      <c r="K49" s="919"/>
      <c r="L49" s="919"/>
      <c r="M49" s="919"/>
      <c r="N49" s="919"/>
      <c r="O49" s="919"/>
      <c r="P49" s="919"/>
      <c r="Q49" s="919"/>
      <c r="R49" s="919"/>
      <c r="S49" s="919"/>
      <c r="T49" s="919"/>
      <c r="U49" s="919"/>
      <c r="V49" s="919"/>
      <c r="W49" s="919"/>
      <c r="X49" s="919"/>
      <c r="Y49" s="919"/>
      <c r="Z49" s="919"/>
      <c r="AA49" s="919"/>
      <c r="AB49" s="919"/>
      <c r="AC49" s="919"/>
      <c r="AD49" s="919"/>
      <c r="AE49" s="919"/>
      <c r="AF49" s="919"/>
      <c r="AG49" s="919"/>
      <c r="AH49" s="919"/>
      <c r="AI49" s="728"/>
    </row>
    <row r="50" spans="3:35" x14ac:dyDescent="0.35">
      <c r="C50" s="736"/>
      <c r="D50" t="s">
        <v>503</v>
      </c>
      <c r="E50" s="920">
        <f>E43+E47</f>
        <v>80882031.731699616</v>
      </c>
      <c r="F50" s="920">
        <f t="shared" ref="F50:AH50" si="33">F43+F47</f>
        <v>80233143.214872524</v>
      </c>
      <c r="G50" s="920">
        <f t="shared" si="33"/>
        <v>79520975.323741168</v>
      </c>
      <c r="H50" s="920">
        <f t="shared" si="33"/>
        <v>78905382.845340729</v>
      </c>
      <c r="I50" s="920">
        <f t="shared" si="33"/>
        <v>78370161.655673593</v>
      </c>
      <c r="J50" s="920">
        <f t="shared" si="33"/>
        <v>78184838.480277136</v>
      </c>
      <c r="K50" s="920">
        <f t="shared" si="33"/>
        <v>77906908.409998938</v>
      </c>
      <c r="L50" s="920">
        <f t="shared" si="33"/>
        <v>77261255.939958736</v>
      </c>
      <c r="M50" s="920">
        <f t="shared" si="33"/>
        <v>76711518.353544161</v>
      </c>
      <c r="N50" s="920">
        <f t="shared" si="33"/>
        <v>76192472.303396732</v>
      </c>
      <c r="O50" s="920">
        <f t="shared" si="33"/>
        <v>75698518.175301924</v>
      </c>
      <c r="P50" s="920">
        <f t="shared" si="33"/>
        <v>75231375.462154627</v>
      </c>
      <c r="Q50" s="920">
        <f t="shared" si="33"/>
        <v>74789727.078524008</v>
      </c>
      <c r="R50" s="920">
        <f t="shared" si="33"/>
        <v>74467605.655125216</v>
      </c>
      <c r="S50" s="920">
        <f t="shared" si="33"/>
        <v>74165923.353746563</v>
      </c>
      <c r="T50" s="920">
        <f t="shared" si="33"/>
        <v>73881616.798806563</v>
      </c>
      <c r="U50" s="920">
        <f t="shared" si="33"/>
        <v>73614330.031926125</v>
      </c>
      <c r="V50" s="920">
        <f t="shared" si="33"/>
        <v>73362678.117665708</v>
      </c>
      <c r="W50" s="920">
        <f t="shared" si="33"/>
        <v>73094069.864586562</v>
      </c>
      <c r="X50" s="920">
        <f t="shared" si="33"/>
        <v>72843776.667813376</v>
      </c>
      <c r="Y50" s="920">
        <f t="shared" si="33"/>
        <v>72612436.322225466</v>
      </c>
      <c r="Z50" s="920">
        <f t="shared" si="33"/>
        <v>72400330.577187613</v>
      </c>
      <c r="AA50" s="920">
        <f t="shared" si="33"/>
        <v>73256378.281236023</v>
      </c>
      <c r="AB50" s="920">
        <f t="shared" si="33"/>
        <v>72897311.906122386</v>
      </c>
      <c r="AC50" s="920">
        <f t="shared" si="33"/>
        <v>72538245.53100875</v>
      </c>
      <c r="AD50" s="920">
        <f t="shared" si="33"/>
        <v>72179179.155895099</v>
      </c>
      <c r="AE50" s="920">
        <f t="shared" si="33"/>
        <v>71820112.780781478</v>
      </c>
      <c r="AF50" s="920">
        <f t="shared" si="33"/>
        <v>71461046.405667841</v>
      </c>
      <c r="AG50" s="920">
        <f t="shared" si="33"/>
        <v>71101980.03055419</v>
      </c>
      <c r="AH50" s="920">
        <f t="shared" si="33"/>
        <v>70742913.655440554</v>
      </c>
      <c r="AI50" s="728"/>
    </row>
    <row r="51" spans="3:35" x14ac:dyDescent="0.35">
      <c r="C51" s="1110"/>
      <c r="D51" t="s">
        <v>502</v>
      </c>
      <c r="E51" s="1105">
        <f>E44+E48</f>
        <v>80.882031731699612</v>
      </c>
      <c r="F51" s="1105">
        <f t="shared" ref="F51:AH51" si="34">F44+F48</f>
        <v>80.233143214872527</v>
      </c>
      <c r="G51" s="1106">
        <f t="shared" si="34"/>
        <v>79.520975323741169</v>
      </c>
      <c r="H51" s="1105">
        <f t="shared" si="34"/>
        <v>78.905382845340725</v>
      </c>
      <c r="I51" s="1105">
        <f t="shared" si="34"/>
        <v>78.370161655673598</v>
      </c>
      <c r="J51" s="1105">
        <f t="shared" si="34"/>
        <v>78.184838480277136</v>
      </c>
      <c r="K51" s="1105">
        <f t="shared" si="34"/>
        <v>77.906908409998934</v>
      </c>
      <c r="L51" s="1106">
        <f t="shared" si="34"/>
        <v>77.26125593995873</v>
      </c>
      <c r="M51" s="1105">
        <f t="shared" si="34"/>
        <v>76.711518353544164</v>
      </c>
      <c r="N51" s="1105">
        <f t="shared" si="34"/>
        <v>76.192472303396727</v>
      </c>
      <c r="O51" s="1105">
        <f t="shared" si="34"/>
        <v>75.698518175301928</v>
      </c>
      <c r="P51" s="1105">
        <f t="shared" si="34"/>
        <v>75.231375462154631</v>
      </c>
      <c r="Q51" s="1111">
        <f t="shared" si="34"/>
        <v>74.78972707852401</v>
      </c>
      <c r="R51" s="1105">
        <f t="shared" si="34"/>
        <v>74.467605655125212</v>
      </c>
      <c r="S51" s="1105">
        <f t="shared" si="34"/>
        <v>74.165923353746564</v>
      </c>
      <c r="T51" s="1105">
        <f t="shared" si="34"/>
        <v>73.881616798806562</v>
      </c>
      <c r="U51" s="1105">
        <f t="shared" si="34"/>
        <v>73.61433003192613</v>
      </c>
      <c r="V51" s="1106">
        <f t="shared" si="34"/>
        <v>73.362678117665709</v>
      </c>
      <c r="W51" s="1105">
        <f t="shared" si="34"/>
        <v>73.094069864586558</v>
      </c>
      <c r="X51" s="1105">
        <f t="shared" si="34"/>
        <v>72.843776667813373</v>
      </c>
      <c r="Y51" s="1105">
        <f t="shared" si="34"/>
        <v>72.612436322225463</v>
      </c>
      <c r="Z51" s="1105">
        <f t="shared" si="34"/>
        <v>72.400330577187617</v>
      </c>
      <c r="AA51" s="1106">
        <f t="shared" si="34"/>
        <v>73.256378281236024</v>
      </c>
      <c r="AB51" s="1105">
        <f t="shared" si="34"/>
        <v>72.897311906122383</v>
      </c>
      <c r="AC51" s="1105">
        <f t="shared" si="34"/>
        <v>72.538245531008755</v>
      </c>
      <c r="AD51" s="1105">
        <f t="shared" si="34"/>
        <v>72.179179155895099</v>
      </c>
      <c r="AE51" s="1105">
        <f t="shared" si="34"/>
        <v>71.820112780781471</v>
      </c>
      <c r="AF51" s="1106">
        <f t="shared" si="34"/>
        <v>71.461046405667844</v>
      </c>
      <c r="AG51" s="1105">
        <f t="shared" si="34"/>
        <v>71.101980030554188</v>
      </c>
      <c r="AH51" s="1105">
        <f t="shared" si="34"/>
        <v>70.742913655440546</v>
      </c>
      <c r="AI51" s="728"/>
    </row>
    <row r="52" spans="3:35" ht="15" thickBot="1" x14ac:dyDescent="0.4">
      <c r="C52" s="1112"/>
      <c r="D52" s="1113"/>
      <c r="E52" s="1113"/>
      <c r="F52" s="1113"/>
      <c r="G52" s="1113"/>
      <c r="H52" s="1113"/>
      <c r="I52" s="1113"/>
      <c r="J52" s="1113"/>
      <c r="K52" s="1113"/>
      <c r="L52" s="1113"/>
      <c r="M52" s="1113"/>
      <c r="N52" s="1113"/>
      <c r="O52" s="1113"/>
      <c r="P52" s="1113"/>
      <c r="Q52" s="1113"/>
      <c r="R52" s="1113"/>
      <c r="S52" s="1113"/>
      <c r="T52" s="1113"/>
      <c r="U52" s="1113"/>
      <c r="V52" s="1113"/>
      <c r="W52" s="1113"/>
      <c r="X52" s="1113"/>
      <c r="Y52" s="1113"/>
      <c r="Z52" s="1113"/>
      <c r="AA52" s="1113"/>
      <c r="AB52" s="1113"/>
      <c r="AC52" s="1113"/>
      <c r="AD52" s="1113"/>
      <c r="AE52" s="1113"/>
      <c r="AF52" s="1113"/>
      <c r="AG52" s="1113"/>
      <c r="AH52" s="1113"/>
      <c r="AI52" s="875"/>
    </row>
    <row r="55" spans="3:35" ht="29" x14ac:dyDescent="0.35">
      <c r="C55" s="56" t="s">
        <v>581</v>
      </c>
      <c r="D55" s="1128" t="s">
        <v>576</v>
      </c>
      <c r="E55" s="4" t="s">
        <v>577</v>
      </c>
    </row>
    <row r="56" spans="3:35" x14ac:dyDescent="0.35">
      <c r="C56" s="56" t="s">
        <v>573</v>
      </c>
      <c r="D56" s="1136">
        <f>E17</f>
        <v>106775.10910945758</v>
      </c>
      <c r="E56" s="1136">
        <f>(D56/'SF-HPSD'!E$78)*1000</f>
        <v>23955.953966865483</v>
      </c>
    </row>
    <row r="57" spans="3:35" x14ac:dyDescent="0.35">
      <c r="C57" s="56" t="s">
        <v>574</v>
      </c>
      <c r="D57" s="1136">
        <f>G17</f>
        <v>318891.51250982302</v>
      </c>
      <c r="E57" s="1136">
        <f>(D57/'SF-HPSD'!E$78)*1000</f>
        <v>71546.172678485949</v>
      </c>
    </row>
    <row r="58" spans="3:35" x14ac:dyDescent="0.35">
      <c r="C58" s="56" t="s">
        <v>575</v>
      </c>
      <c r="D58" s="1136">
        <f>AH17</f>
        <v>2649252.3510764064</v>
      </c>
      <c r="E58" s="1136">
        <f>(D58/'SF-HPSD'!E$78)*1000</f>
        <v>594383.54030560399</v>
      </c>
    </row>
    <row r="59" spans="3:35" x14ac:dyDescent="0.35">
      <c r="D59" s="698"/>
      <c r="E59" s="1087"/>
    </row>
    <row r="60" spans="3:35" ht="29" x14ac:dyDescent="0.35">
      <c r="C60" s="56" t="s">
        <v>579</v>
      </c>
      <c r="D60" s="1128" t="s">
        <v>576</v>
      </c>
      <c r="E60" s="4" t="s">
        <v>577</v>
      </c>
    </row>
    <row r="61" spans="3:35" x14ac:dyDescent="0.35">
      <c r="C61" s="56" t="s">
        <v>573</v>
      </c>
      <c r="D61" s="1136">
        <f>E35</f>
        <v>632873.17715011246</v>
      </c>
      <c r="E61" s="1136">
        <f>(D61/'SF-HPSD'!E$78)*1000</f>
        <v>141990.77692470473</v>
      </c>
    </row>
    <row r="62" spans="3:35" x14ac:dyDescent="0.35">
      <c r="C62" s="56" t="s">
        <v>574</v>
      </c>
      <c r="D62" s="1136">
        <f>G35</f>
        <v>1993929.5851085526</v>
      </c>
      <c r="E62" s="1136">
        <f>(D62/'SF-HPSD'!E$78)*1000</f>
        <v>447355.99665897019</v>
      </c>
    </row>
    <row r="63" spans="3:35" x14ac:dyDescent="0.35">
      <c r="C63" s="56" t="s">
        <v>575</v>
      </c>
      <c r="D63" s="1136">
        <f>AH35</f>
        <v>10771991.25340916</v>
      </c>
      <c r="E63" s="1136">
        <f>(D63/'SF-HPSD'!E$78)*1000</f>
        <v>2416792.9094187221</v>
      </c>
    </row>
    <row r="64" spans="3:35" x14ac:dyDescent="0.35">
      <c r="C64" s="56"/>
      <c r="D64" s="1136"/>
      <c r="E64" s="1136"/>
    </row>
    <row r="65" spans="3:5" x14ac:dyDescent="0.35">
      <c r="C65" s="56" t="s">
        <v>580</v>
      </c>
      <c r="D65" s="51">
        <f>AH36</f>
        <v>199118903.15521809</v>
      </c>
      <c r="E65" s="1136">
        <f>(D65/'SF-HPSD'!E$78)*1000</f>
        <v>44674112.887388676</v>
      </c>
    </row>
  </sheetData>
  <mergeCells count="6">
    <mergeCell ref="B31:B36"/>
    <mergeCell ref="C2:AA2"/>
    <mergeCell ref="B4:B8"/>
    <mergeCell ref="B20:B23"/>
    <mergeCell ref="B25:B27"/>
    <mergeCell ref="B10:B1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9A83-D5BA-4A83-8286-399E00199E89}">
  <dimension ref="B2:AH26"/>
  <sheetViews>
    <sheetView zoomScaleNormal="100" workbookViewId="0">
      <selection activeCell="C38" sqref="C38"/>
    </sheetView>
  </sheetViews>
  <sheetFormatPr defaultRowHeight="14.5" x14ac:dyDescent="0.35"/>
  <cols>
    <col min="1" max="1" width="5.7265625" customWidth="1"/>
    <col min="2" max="2" width="14.26953125" customWidth="1"/>
    <col min="3" max="3" width="59.54296875" bestFit="1" customWidth="1"/>
    <col min="4" max="7" width="13.7265625" customWidth="1"/>
    <col min="8" max="8" width="14.81640625" customWidth="1"/>
    <col min="9" max="9" width="15.7265625" customWidth="1"/>
  </cols>
  <sheetData>
    <row r="2" spans="2:34" x14ac:dyDescent="0.35">
      <c r="C2" s="710" t="s">
        <v>504</v>
      </c>
      <c r="D2" s="711">
        <v>0.02</v>
      </c>
    </row>
    <row r="3" spans="2:34" x14ac:dyDescent="0.35">
      <c r="C3" s="712" t="s">
        <v>505</v>
      </c>
      <c r="D3" s="713">
        <v>0.03</v>
      </c>
    </row>
    <row r="4" spans="2:34" x14ac:dyDescent="0.35">
      <c r="C4" s="712" t="s">
        <v>506</v>
      </c>
      <c r="D4" s="713">
        <f>(1+D2)*(1+D3)-1</f>
        <v>5.0599999999999978E-2</v>
      </c>
    </row>
    <row r="5" spans="2:34" ht="29" x14ac:dyDescent="0.35">
      <c r="B5" s="1284" t="s">
        <v>507</v>
      </c>
      <c r="C5" s="716"/>
      <c r="D5" s="488" t="s">
        <v>508</v>
      </c>
      <c r="E5" s="487">
        <v>2023</v>
      </c>
      <c r="F5" s="487">
        <v>2024</v>
      </c>
      <c r="G5" s="487">
        <v>2025</v>
      </c>
      <c r="H5" s="487">
        <v>2026</v>
      </c>
      <c r="I5" s="487">
        <v>2027</v>
      </c>
      <c r="J5" s="487">
        <v>2028</v>
      </c>
      <c r="K5" s="487">
        <v>2029</v>
      </c>
      <c r="L5" s="487">
        <v>2030</v>
      </c>
      <c r="M5" s="487">
        <v>2031</v>
      </c>
      <c r="N5" s="487">
        <v>2032</v>
      </c>
      <c r="O5" s="487">
        <v>2033</v>
      </c>
      <c r="P5" s="487">
        <v>2034</v>
      </c>
      <c r="Q5" s="487">
        <v>2035</v>
      </c>
      <c r="R5" s="487">
        <v>2036</v>
      </c>
      <c r="S5" s="487">
        <v>2037</v>
      </c>
      <c r="T5" s="487">
        <v>2038</v>
      </c>
      <c r="U5" s="487">
        <v>2039</v>
      </c>
      <c r="V5" s="487">
        <v>2040</v>
      </c>
      <c r="W5" s="487">
        <v>2041</v>
      </c>
      <c r="X5" s="487">
        <v>2042</v>
      </c>
      <c r="Y5" s="487">
        <v>2043</v>
      </c>
      <c r="Z5" s="487">
        <v>2044</v>
      </c>
      <c r="AA5" s="487">
        <v>2045</v>
      </c>
      <c r="AB5" s="487">
        <v>2046</v>
      </c>
      <c r="AC5" s="487">
        <v>2047</v>
      </c>
      <c r="AD5" s="487">
        <v>2048</v>
      </c>
      <c r="AE5" s="487">
        <v>2049</v>
      </c>
      <c r="AF5" s="487">
        <v>2050</v>
      </c>
      <c r="AG5" s="487">
        <v>2051</v>
      </c>
      <c r="AH5" s="486">
        <v>2052</v>
      </c>
    </row>
    <row r="6" spans="2:34" x14ac:dyDescent="0.35">
      <c r="B6" s="1285"/>
      <c r="C6" s="492" t="s">
        <v>509</v>
      </c>
      <c r="D6" s="717">
        <f>-PMT($D$3,30,(1+$D$4)*NPV($D$4,E6:AH6))</f>
        <v>90.289449299154271</v>
      </c>
      <c r="E6" s="714">
        <v>29.63391646869092</v>
      </c>
      <c r="F6" s="714">
        <v>34.011481529198456</v>
      </c>
      <c r="G6" s="714">
        <v>39.035706840612185</v>
      </c>
      <c r="H6" s="714">
        <v>44.802117991774765</v>
      </c>
      <c r="I6" s="714">
        <v>51.420351749865439</v>
      </c>
      <c r="J6" s="714">
        <v>59.016240584101666</v>
      </c>
      <c r="K6" s="714">
        <v>67.734205118300949</v>
      </c>
      <c r="L6" s="714">
        <v>77.740000000000038</v>
      </c>
      <c r="M6" s="714">
        <v>83.394776971372821</v>
      </c>
      <c r="N6" s="714">
        <v>89.423753836021817</v>
      </c>
      <c r="O6" s="714">
        <v>95.872990647124226</v>
      </c>
      <c r="P6" s="714">
        <v>102.77694857844749</v>
      </c>
      <c r="Q6" s="714">
        <v>110.18789882986582</v>
      </c>
      <c r="R6" s="714">
        <v>118.1385579865416</v>
      </c>
      <c r="S6" s="714">
        <v>126.65846551366805</v>
      </c>
      <c r="T6" s="714">
        <v>135.78783521591492</v>
      </c>
      <c r="U6" s="714">
        <v>145.57623419921026</v>
      </c>
      <c r="V6" s="714">
        <v>156.07878902668378</v>
      </c>
      <c r="W6" s="714">
        <v>167.33956130038266</v>
      </c>
      <c r="X6" s="714">
        <v>179.39714944211838</v>
      </c>
      <c r="Y6" s="714">
        <v>192.32243770246572</v>
      </c>
      <c r="Z6" s="714">
        <v>206.1845973461237</v>
      </c>
      <c r="AA6" s="714">
        <v>221.0391237865733</v>
      </c>
      <c r="AB6" s="714">
        <v>225.45990626230477</v>
      </c>
      <c r="AC6" s="714">
        <v>229.96910438755086</v>
      </c>
      <c r="AD6" s="714">
        <v>234.56848647530188</v>
      </c>
      <c r="AE6" s="714">
        <v>239.25985620480793</v>
      </c>
      <c r="AF6" s="714">
        <v>244.04505332890409</v>
      </c>
      <c r="AG6" s="714">
        <v>248.92595439548217</v>
      </c>
      <c r="AH6" s="715">
        <v>253.90447348339183</v>
      </c>
    </row>
    <row r="7" spans="2:34" x14ac:dyDescent="0.35">
      <c r="B7" s="1285"/>
      <c r="C7" s="492" t="s">
        <v>510</v>
      </c>
      <c r="D7" s="718">
        <f>-PMT($D$3,30,(1+$D$4)*NPV($D$4,E7:AH7))</f>
        <v>68.083393435440527</v>
      </c>
      <c r="E7" s="714">
        <v>76.563400201954323</v>
      </c>
      <c r="F7" s="714">
        <v>77.559419364981437</v>
      </c>
      <c r="G7" s="714">
        <v>78.180681638813212</v>
      </c>
      <c r="H7" s="714">
        <v>78.345419744709559</v>
      </c>
      <c r="I7" s="714">
        <v>77.958451396084996</v>
      </c>
      <c r="J7" s="714">
        <v>76.909130001033844</v>
      </c>
      <c r="K7" s="714">
        <v>75.068989218442411</v>
      </c>
      <c r="L7" s="714">
        <v>72.289035970182539</v>
      </c>
      <c r="M7" s="714">
        <v>74.225728218900983</v>
      </c>
      <c r="N7" s="714">
        <v>76.172348916879841</v>
      </c>
      <c r="O7" s="714">
        <v>78.102274905074239</v>
      </c>
      <c r="P7" s="714">
        <v>80.001465410692205</v>
      </c>
      <c r="Q7" s="714">
        <v>81.839102907124357</v>
      </c>
      <c r="R7" s="714">
        <v>83.605010038340282</v>
      </c>
      <c r="S7" s="714">
        <v>85.293327053272847</v>
      </c>
      <c r="T7" s="714">
        <v>86.88871805491317</v>
      </c>
      <c r="U7" s="714">
        <v>88.367752667121721</v>
      </c>
      <c r="V7" s="714">
        <v>89.702763575084589</v>
      </c>
      <c r="W7" s="714">
        <v>90.878537863035177</v>
      </c>
      <c r="X7" s="714">
        <v>91.886785538968383</v>
      </c>
      <c r="Y7" s="714">
        <v>92.688464388664045</v>
      </c>
      <c r="Z7" s="714">
        <v>93.247856390817248</v>
      </c>
      <c r="AA7" s="714">
        <v>93.544612109456835</v>
      </c>
      <c r="AB7" s="714">
        <v>95.415504351645978</v>
      </c>
      <c r="AC7" s="714">
        <v>97.323814438678909</v>
      </c>
      <c r="AD7" s="714">
        <v>99.270290727452505</v>
      </c>
      <c r="AE7" s="714">
        <v>101.25569654200154</v>
      </c>
      <c r="AF7" s="714">
        <v>103.28081047284161</v>
      </c>
      <c r="AG7" s="714">
        <v>105.34642668229844</v>
      </c>
      <c r="AH7" s="715">
        <v>107.45335521594438</v>
      </c>
    </row>
    <row r="8" spans="2:34" x14ac:dyDescent="0.35">
      <c r="B8" s="1286"/>
      <c r="C8" s="719" t="s">
        <v>511</v>
      </c>
      <c r="D8" s="720">
        <f>-PMT($D$3,30,(1+$D$4)*NPV($D$4,E8:AH8))</f>
        <v>158.37284273459477</v>
      </c>
      <c r="E8" s="721">
        <f t="shared" ref="E8:AH8" si="0">SUM(E6:E7)</f>
        <v>106.19731667064525</v>
      </c>
      <c r="F8" s="721">
        <f t="shared" si="0"/>
        <v>111.57090089417989</v>
      </c>
      <c r="G8" s="721">
        <f t="shared" si="0"/>
        <v>117.2163884794254</v>
      </c>
      <c r="H8" s="721">
        <f t="shared" si="0"/>
        <v>123.14753773648432</v>
      </c>
      <c r="I8" s="721">
        <f t="shared" si="0"/>
        <v>129.37880314595043</v>
      </c>
      <c r="J8" s="721">
        <f t="shared" si="0"/>
        <v>135.92537058513551</v>
      </c>
      <c r="K8" s="721">
        <f t="shared" si="0"/>
        <v>142.80319433674336</v>
      </c>
      <c r="L8" s="721">
        <f t="shared" si="0"/>
        <v>150.02903597018258</v>
      </c>
      <c r="M8" s="721">
        <f t="shared" si="0"/>
        <v>157.6205051902738</v>
      </c>
      <c r="N8" s="721">
        <f t="shared" si="0"/>
        <v>165.59610275290166</v>
      </c>
      <c r="O8" s="721">
        <f t="shared" si="0"/>
        <v>173.97526555219847</v>
      </c>
      <c r="P8" s="721">
        <f t="shared" si="0"/>
        <v>182.77841398913969</v>
      </c>
      <c r="Q8" s="721">
        <f t="shared" si="0"/>
        <v>192.02700173699017</v>
      </c>
      <c r="R8" s="721">
        <f t="shared" si="0"/>
        <v>201.74356802488188</v>
      </c>
      <c r="S8" s="721">
        <f t="shared" si="0"/>
        <v>211.9517925669409</v>
      </c>
      <c r="T8" s="721">
        <f t="shared" si="0"/>
        <v>222.67655327082809</v>
      </c>
      <c r="U8" s="721">
        <f t="shared" si="0"/>
        <v>233.94398686633198</v>
      </c>
      <c r="V8" s="721">
        <f t="shared" si="0"/>
        <v>245.78155260176837</v>
      </c>
      <c r="W8" s="721">
        <f t="shared" si="0"/>
        <v>258.21809916341783</v>
      </c>
      <c r="X8" s="721">
        <f t="shared" si="0"/>
        <v>271.28393498108676</v>
      </c>
      <c r="Y8" s="721">
        <f t="shared" si="0"/>
        <v>285.01090209112976</v>
      </c>
      <c r="Z8" s="721">
        <f t="shared" si="0"/>
        <v>299.43245373694094</v>
      </c>
      <c r="AA8" s="721">
        <f t="shared" si="0"/>
        <v>314.58373589603013</v>
      </c>
      <c r="AB8" s="721">
        <f t="shared" si="0"/>
        <v>320.87541061395075</v>
      </c>
      <c r="AC8" s="721">
        <f t="shared" si="0"/>
        <v>327.29291882622977</v>
      </c>
      <c r="AD8" s="721">
        <f t="shared" si="0"/>
        <v>333.83877720275439</v>
      </c>
      <c r="AE8" s="721">
        <f t="shared" si="0"/>
        <v>340.51555274680948</v>
      </c>
      <c r="AF8" s="721">
        <f t="shared" si="0"/>
        <v>347.3258638017457</v>
      </c>
      <c r="AG8" s="721">
        <f t="shared" si="0"/>
        <v>354.27238107778061</v>
      </c>
      <c r="AH8" s="722">
        <f t="shared" si="0"/>
        <v>361.35782869933621</v>
      </c>
    </row>
    <row r="10" spans="2:34" ht="15" thickBot="1" x14ac:dyDescent="0.4"/>
    <row r="11" spans="2:34" ht="72.5" x14ac:dyDescent="0.35">
      <c r="C11" s="737" t="s">
        <v>256</v>
      </c>
      <c r="D11" s="733" t="s">
        <v>512</v>
      </c>
      <c r="E11" s="734" t="s">
        <v>513</v>
      </c>
      <c r="F11" s="733" t="s">
        <v>514</v>
      </c>
      <c r="G11" s="734" t="s">
        <v>515</v>
      </c>
      <c r="H11" s="733" t="s">
        <v>516</v>
      </c>
      <c r="I11" s="735" t="s">
        <v>517</v>
      </c>
    </row>
    <row r="12" spans="2:34" x14ac:dyDescent="0.35">
      <c r="C12" s="732" t="s">
        <v>622</v>
      </c>
      <c r="D12" s="726">
        <f>'Combined All Buildings'!N4*'CO2 Emissions'!$E$7+('Combined All Buildings'!R4-'Combined All Buildings'!N4*'CO2 Emissions'!$D$7)*'CO2 Emissions'!$E$6</f>
        <v>46438.59433478539</v>
      </c>
      <c r="E12" s="729">
        <f>D12*$E$8</f>
        <v>4931654.1083108364</v>
      </c>
      <c r="F12" s="726">
        <f>'Combined All Buildings'!R4</f>
        <v>49880.0285</v>
      </c>
      <c r="G12" s="729">
        <f>F12*$D$8</f>
        <v>7899641.909227605</v>
      </c>
      <c r="H12" s="726">
        <f>F12*30</f>
        <v>1496400.855</v>
      </c>
      <c r="I12" s="727">
        <f>H12*$D$8</f>
        <v>236989257.27682814</v>
      </c>
    </row>
    <row r="13" spans="2:34" x14ac:dyDescent="0.35">
      <c r="C13" s="648" t="s">
        <v>623</v>
      </c>
      <c r="D13" s="726">
        <f>'Combined All Buildings'!N5*'CO2 Emissions'!$E$7+('Combined All Buildings'!R5-'Combined All Buildings'!N5*'CO2 Emissions'!$D$7)*'CO2 Emissions'!$E$6</f>
        <v>2042.121279963239</v>
      </c>
      <c r="E13" s="729">
        <f t="shared" ref="E13:E23" si="1">D13*$E$8</f>
        <v>216867.80024811949</v>
      </c>
      <c r="F13" s="726">
        <f>'Combined All Buildings'!R5</f>
        <v>2387.9651326489388</v>
      </c>
      <c r="G13" s="729">
        <f t="shared" ref="G13:G23" si="2">F13*$D$8</f>
        <v>378188.82640870614</v>
      </c>
      <c r="H13" s="726">
        <f t="shared" ref="H13:H23" si="3">F13*30</f>
        <v>71638.953979468162</v>
      </c>
      <c r="I13" s="727">
        <f t="shared" ref="I13:I23" si="4">H13*$D$8</f>
        <v>11345664.792261183</v>
      </c>
    </row>
    <row r="14" spans="2:34" x14ac:dyDescent="0.35">
      <c r="C14" s="649" t="s">
        <v>624</v>
      </c>
      <c r="D14" s="726">
        <f>'Combined All Buildings'!N6*'CO2 Emissions'!$E$7+('Combined All Buildings'!R6-'Combined All Buildings'!N6*'CO2 Emissions'!$D$7)*'CO2 Emissions'!$E$6</f>
        <v>6302.4830329072047</v>
      </c>
      <c r="E14" s="729">
        <f t="shared" si="1"/>
        <v>669306.78645701509</v>
      </c>
      <c r="F14" s="726">
        <f>'Combined All Buildings'!R6</f>
        <v>7163.895397946817</v>
      </c>
      <c r="G14" s="729">
        <f t="shared" si="2"/>
        <v>1134566.4792261184</v>
      </c>
      <c r="H14" s="726">
        <f t="shared" si="3"/>
        <v>214916.8619384045</v>
      </c>
      <c r="I14" s="727">
        <f t="shared" si="4"/>
        <v>34036994.37678355</v>
      </c>
    </row>
    <row r="15" spans="2:34" x14ac:dyDescent="0.35">
      <c r="C15" s="648" t="s">
        <v>418</v>
      </c>
      <c r="D15" s="726">
        <f>'Combined All Buildings'!N7*'CO2 Emissions'!$E$7+('Combined All Buildings'!R7-'Combined All Buildings'!N7*'CO2 Emissions'!$D$7)*'CO2 Emissions'!$E$6</f>
        <v>9767.8386456183198</v>
      </c>
      <c r="E15" s="729">
        <f t="shared" si="1"/>
        <v>1037318.2538364953</v>
      </c>
      <c r="F15" s="726">
        <f>'Combined All Buildings'!R7</f>
        <v>6756.7186554392292</v>
      </c>
      <c r="G15" s="729">
        <f t="shared" si="2"/>
        <v>1070080.7410197796</v>
      </c>
      <c r="H15" s="726">
        <f t="shared" si="3"/>
        <v>202701.55966317689</v>
      </c>
      <c r="I15" s="727">
        <f t="shared" si="4"/>
        <v>32102422.230593391</v>
      </c>
    </row>
    <row r="16" spans="2:34" x14ac:dyDescent="0.35">
      <c r="C16" s="649" t="s">
        <v>420</v>
      </c>
      <c r="D16" s="726">
        <f>'Combined All Buildings'!N8*'CO2 Emissions'!$E$7+('Combined All Buildings'!R8-'Combined All Buildings'!N8*'CO2 Emissions'!$D$7)*'CO2 Emissions'!$E$6</f>
        <v>42224.071816183437</v>
      </c>
      <c r="E16" s="729">
        <f t="shared" si="1"/>
        <v>4484083.1257873001</v>
      </c>
      <c r="F16" s="726">
        <f>'Combined All Buildings'!R8</f>
        <v>29207.707467300483</v>
      </c>
      <c r="G16" s="729">
        <f t="shared" si="2"/>
        <v>4625707.6613568282</v>
      </c>
      <c r="H16" s="726">
        <f t="shared" si="3"/>
        <v>876231.22401901451</v>
      </c>
      <c r="I16" s="727">
        <f t="shared" si="4"/>
        <v>138771229.84070486</v>
      </c>
    </row>
    <row r="17" spans="3:9" x14ac:dyDescent="0.35">
      <c r="C17" s="648" t="s">
        <v>421</v>
      </c>
      <c r="D17" s="726">
        <f>'Combined All Buildings'!N9*'CO2 Emissions'!$E$7+'Combined All Buildings'!O9*'CO2 Emissions'!$E$4</f>
        <v>3448.5522612545496</v>
      </c>
      <c r="E17" s="729">
        <f t="shared" si="1"/>
        <v>366226.99654371914</v>
      </c>
      <c r="F17" s="726">
        <f>'Combined All Buildings'!R9</f>
        <v>2973.8493141022145</v>
      </c>
      <c r="G17" s="729">
        <f t="shared" si="2"/>
        <v>470976.96973869257</v>
      </c>
      <c r="H17" s="726">
        <f t="shared" si="3"/>
        <v>89215.479423066441</v>
      </c>
      <c r="I17" s="727">
        <f t="shared" si="4"/>
        <v>14129309.092160776</v>
      </c>
    </row>
    <row r="18" spans="3:9" x14ac:dyDescent="0.35">
      <c r="C18" s="649" t="s">
        <v>422</v>
      </c>
      <c r="D18" s="726">
        <f>'Combined All Buildings'!N10*'CO2 Emissions'!$E$7+'Combined All Buildings'!O10*'CO2 Emissions'!$E$4</f>
        <v>33765.081422386458</v>
      </c>
      <c r="E18" s="729">
        <f t="shared" si="1"/>
        <v>3585761.0442232955</v>
      </c>
      <c r="F18" s="726">
        <f>'Combined All Buildings'!R10</f>
        <v>25626.442650067147</v>
      </c>
      <c r="G18" s="729">
        <f t="shared" si="2"/>
        <v>4058532.5716661965</v>
      </c>
      <c r="H18" s="726">
        <f t="shared" si="3"/>
        <v>768793.2795020144</v>
      </c>
      <c r="I18" s="727">
        <f t="shared" si="4"/>
        <v>121755977.14998588</v>
      </c>
    </row>
    <row r="19" spans="3:9" x14ac:dyDescent="0.35">
      <c r="C19" s="650" t="s">
        <v>518</v>
      </c>
      <c r="D19" s="726">
        <f>'Combined All Buildings'!N16*'CO2 Emissions'!$E$7+'Combined All Buildings'!O16*'CO2 Emissions'!$E$4</f>
        <v>145793.91584766467</v>
      </c>
      <c r="E19" s="729">
        <f t="shared" si="1"/>
        <v>15482922.649927851</v>
      </c>
      <c r="F19" s="726">
        <f>'Combined All Buildings'!R16</f>
        <v>114524.66286498652</v>
      </c>
      <c r="G19" s="729">
        <f t="shared" si="2"/>
        <v>18137596.421148997</v>
      </c>
      <c r="H19" s="726">
        <f t="shared" si="3"/>
        <v>3435739.8859495954</v>
      </c>
      <c r="I19" s="727">
        <f t="shared" si="4"/>
        <v>544127892.63446987</v>
      </c>
    </row>
    <row r="20" spans="3:9" x14ac:dyDescent="0.35">
      <c r="C20" s="681" t="s">
        <v>429</v>
      </c>
      <c r="D20" s="726">
        <f>'Combined All Buildings'!N17*'CO2 Emissions'!$E$7+'Combined All Buildings'!O17*'CO2 Emissions'!$E$4</f>
        <v>145793.91584766522</v>
      </c>
      <c r="E20" s="729">
        <f t="shared" si="1"/>
        <v>15482922.649927909</v>
      </c>
      <c r="F20" s="726">
        <f>'Combined All Buildings'!R17</f>
        <v>114524.66286498652</v>
      </c>
      <c r="G20" s="729">
        <f t="shared" si="2"/>
        <v>18137596.421148997</v>
      </c>
      <c r="H20" s="726">
        <f t="shared" si="3"/>
        <v>3435739.8859495954</v>
      </c>
      <c r="I20" s="727">
        <f t="shared" si="4"/>
        <v>544127892.63446987</v>
      </c>
    </row>
    <row r="21" spans="3:9" x14ac:dyDescent="0.35">
      <c r="C21" s="682" t="s">
        <v>519</v>
      </c>
      <c r="D21" s="726">
        <f>'Combined All Buildings'!N12*'CO2 Emissions'!$E$7+'Combined All Buildings'!O12*'CO2 Emissions'!$E$4</f>
        <v>45690.574330381081</v>
      </c>
      <c r="E21" s="729">
        <f t="shared" si="1"/>
        <v>4852216.3910271348</v>
      </c>
      <c r="F21" s="726">
        <f>'Combined All Buildings'!R12</f>
        <v>32586.812490559667</v>
      </c>
      <c r="G21" s="729">
        <f t="shared" si="2"/>
        <v>5160866.1297891345</v>
      </c>
      <c r="H21" s="726">
        <f t="shared" si="3"/>
        <v>977604.37471679004</v>
      </c>
      <c r="I21" s="727">
        <f t="shared" si="4"/>
        <v>154825983.89367405</v>
      </c>
    </row>
    <row r="22" spans="3:9" x14ac:dyDescent="0.35">
      <c r="C22" s="682" t="s">
        <v>426</v>
      </c>
      <c r="D22" s="726">
        <f>'Combined All Buildings'!N13*'CO2 Emissions'!$E$7+'Combined All Buildings'!O13*'CO2 Emissions'!$E$4</f>
        <v>45690.574330381081</v>
      </c>
      <c r="E22" s="729">
        <f t="shared" si="1"/>
        <v>4852216.3910271348</v>
      </c>
      <c r="F22" s="726">
        <f>'Combined All Buildings'!R13</f>
        <v>32586.812490559667</v>
      </c>
      <c r="G22" s="729">
        <f t="shared" si="2"/>
        <v>5160866.1297891345</v>
      </c>
      <c r="H22" s="726">
        <f t="shared" si="3"/>
        <v>977604.37471679004</v>
      </c>
      <c r="I22" s="727">
        <f t="shared" si="4"/>
        <v>154825983.89367405</v>
      </c>
    </row>
    <row r="23" spans="3:9" ht="15" thickBot="1" x14ac:dyDescent="0.4">
      <c r="C23" s="673" t="s">
        <v>263</v>
      </c>
      <c r="D23" s="726">
        <f>'Combined All Buildings'!N11*'CO2 Emissions'!$E$7+'Combined All Buildings'!O11*'CO2 Emissions'!$E$4</f>
        <v>109047.79721442226</v>
      </c>
      <c r="E23" s="729">
        <f t="shared" si="1"/>
        <v>11580583.453016307</v>
      </c>
      <c r="F23" s="726">
        <f>'Combined All Buildings'!R11</f>
        <v>82690.809588595468</v>
      </c>
      <c r="G23" s="729">
        <f t="shared" si="2"/>
        <v>13095978.582570951</v>
      </c>
      <c r="H23" s="726">
        <f t="shared" si="3"/>
        <v>2480724.2876578639</v>
      </c>
      <c r="I23" s="727">
        <f t="shared" si="4"/>
        <v>392879357.47712851</v>
      </c>
    </row>
    <row r="24" spans="3:9" ht="15" thickBot="1" x14ac:dyDescent="0.4">
      <c r="C24" s="738"/>
      <c r="D24" s="726"/>
      <c r="F24" s="726"/>
      <c r="H24" s="736"/>
      <c r="I24" s="728"/>
    </row>
    <row r="25" spans="3:9" ht="15" thickBot="1" x14ac:dyDescent="0.4">
      <c r="C25" s="644" t="s">
        <v>440</v>
      </c>
      <c r="D25" s="670">
        <f>D12+D13+D14+D15+D16+D17+D18+D20+D22+D23</f>
        <v>444521.03018556716</v>
      </c>
      <c r="E25" s="730">
        <f t="shared" ref="E25" si="5">E12+E13+E14+E15+E16+E17+E18+E20+E22+E23</f>
        <v>47206940.609378129</v>
      </c>
      <c r="F25" s="670">
        <f t="shared" ref="F25:G25" si="6">F12+F13+F14+F15+F16+F17+F18+F20+F22+F23</f>
        <v>353798.8920616465</v>
      </c>
      <c r="G25" s="730">
        <f t="shared" si="6"/>
        <v>56032136.292153001</v>
      </c>
      <c r="H25" s="670">
        <f t="shared" ref="H25:I25" si="7">H12+H13+H14+H15+H16+H17+H18+H20+H22+H23</f>
        <v>10613966.761849396</v>
      </c>
      <c r="I25" s="723">
        <f t="shared" si="7"/>
        <v>1680964088.7645903</v>
      </c>
    </row>
    <row r="26" spans="3:9" ht="15" thickBot="1" x14ac:dyDescent="0.4">
      <c r="C26" s="643" t="s">
        <v>441</v>
      </c>
      <c r="D26" s="724">
        <f>D12+D13+D14+D15+D16+D17+D18+D19+D21+D23</f>
        <v>444521.03018556657</v>
      </c>
      <c r="E26" s="731">
        <f t="shared" ref="E26" si="8">E12+E13+E14+E15+E16+E17+E18+E19+E21+E23</f>
        <v>47206940.60937807</v>
      </c>
      <c r="F26" s="724">
        <f t="shared" ref="F26:G26" si="9">F12+F13+F14+F15+F16+F17+F18+F19+F21+F23</f>
        <v>353798.8920616465</v>
      </c>
      <c r="G26" s="731">
        <f t="shared" si="9"/>
        <v>56032136.292153001</v>
      </c>
      <c r="H26" s="724">
        <f t="shared" ref="H26:I26" si="10">H12+H13+H14+H15+H16+H17+H18+H19+H21+H23</f>
        <v>10613966.761849396</v>
      </c>
      <c r="I26" s="725">
        <f t="shared" si="10"/>
        <v>1680964088.7645903</v>
      </c>
    </row>
  </sheetData>
  <mergeCells count="1">
    <mergeCell ref="B5:B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0E5C-7650-4D0B-9BE2-776203E57DCF}">
  <dimension ref="B2:AH61"/>
  <sheetViews>
    <sheetView zoomScaleNormal="100" workbookViewId="0">
      <selection activeCell="AG30" sqref="AG30"/>
    </sheetView>
  </sheetViews>
  <sheetFormatPr defaultColWidth="8.81640625" defaultRowHeight="14.5" x14ac:dyDescent="0.35"/>
  <cols>
    <col min="1" max="1" width="3.453125" customWidth="1"/>
    <col min="2" max="2" width="44.7265625" customWidth="1"/>
    <col min="3" max="3" width="61.1796875" customWidth="1"/>
    <col min="4" max="4" width="17.81640625" customWidth="1"/>
    <col min="5" max="5" width="13.1796875" customWidth="1"/>
    <col min="6" max="6" width="12.54296875" customWidth="1"/>
    <col min="7" max="7" width="13.26953125" customWidth="1"/>
    <col min="8" max="8" width="13" customWidth="1"/>
    <col min="9" max="9" width="13.453125" customWidth="1"/>
    <col min="10" max="10" width="12.81640625" customWidth="1"/>
    <col min="11" max="11" width="13.26953125" customWidth="1"/>
    <col min="12" max="12" width="13.1796875" customWidth="1"/>
    <col min="13" max="13" width="13.453125" customWidth="1"/>
    <col min="14" max="14" width="12.1796875" customWidth="1"/>
    <col min="15" max="27" width="12.7265625" customWidth="1"/>
    <col min="28" max="28" width="12.81640625" customWidth="1"/>
    <col min="29" max="34" width="13.1796875" customWidth="1"/>
  </cols>
  <sheetData>
    <row r="2" spans="2:34" ht="15" thickBot="1" x14ac:dyDescent="0.4">
      <c r="B2" t="s">
        <v>520</v>
      </c>
    </row>
    <row r="3" spans="2:34" ht="23.5" thickBot="1" x14ac:dyDescent="0.4">
      <c r="B3" s="548"/>
      <c r="C3" s="549" t="s">
        <v>521</v>
      </c>
    </row>
    <row r="4" spans="2:34" ht="15" thickBot="1" x14ac:dyDescent="0.4">
      <c r="B4" s="550" t="s">
        <v>522</v>
      </c>
      <c r="C4" s="551">
        <v>0.23799999999999999</v>
      </c>
      <c r="D4" t="s">
        <v>523</v>
      </c>
    </row>
    <row r="5" spans="2:34" ht="15" thickBot="1" x14ac:dyDescent="0.4">
      <c r="B5" s="552" t="s">
        <v>524</v>
      </c>
      <c r="C5" s="553">
        <v>1.1599999999999999E-2</v>
      </c>
      <c r="D5" t="s">
        <v>525</v>
      </c>
    </row>
    <row r="7" spans="2:34" ht="15" thickBot="1" x14ac:dyDescent="0.4">
      <c r="B7" t="s">
        <v>526</v>
      </c>
    </row>
    <row r="8" spans="2:34" ht="15" thickBot="1" x14ac:dyDescent="0.4">
      <c r="B8" s="548"/>
      <c r="C8" s="549" t="s">
        <v>527</v>
      </c>
    </row>
    <row r="9" spans="2:34" ht="15" thickBot="1" x14ac:dyDescent="0.4">
      <c r="B9" s="550" t="s">
        <v>528</v>
      </c>
      <c r="C9" s="570">
        <f>0.64/102.8</f>
        <v>6.2256809338521405E-3</v>
      </c>
      <c r="D9" t="s">
        <v>529</v>
      </c>
    </row>
    <row r="10" spans="2:34" ht="15" thickBot="1" x14ac:dyDescent="0.4">
      <c r="B10" s="552" t="s">
        <v>524</v>
      </c>
      <c r="C10" s="571">
        <f>0.6/102.8</f>
        <v>5.8365758754863814E-3</v>
      </c>
      <c r="D10" t="s">
        <v>530</v>
      </c>
    </row>
    <row r="14" spans="2:34" x14ac:dyDescent="0.35">
      <c r="C14" s="1283" t="s">
        <v>470</v>
      </c>
      <c r="D14" s="1283"/>
      <c r="E14" s="1158"/>
      <c r="F14" s="1158"/>
      <c r="G14" s="1158"/>
      <c r="H14" s="1158"/>
      <c r="I14" s="1158"/>
      <c r="J14" s="1158"/>
      <c r="K14" s="1158"/>
      <c r="L14" s="1158"/>
      <c r="M14" s="1158"/>
      <c r="N14" s="1158"/>
      <c r="O14" s="1158"/>
      <c r="P14" s="1158"/>
      <c r="Q14" s="1158"/>
      <c r="R14" s="1158"/>
      <c r="S14" s="1158"/>
      <c r="T14" s="1158"/>
      <c r="U14" s="1158"/>
      <c r="V14" s="1158"/>
      <c r="W14" s="1158"/>
      <c r="X14" s="1158"/>
      <c r="Y14" s="1158"/>
      <c r="Z14" s="1158"/>
      <c r="AA14" s="1158"/>
    </row>
    <row r="15" spans="2:34" ht="46.5" customHeight="1" x14ac:dyDescent="0.35">
      <c r="B15" t="s">
        <v>471</v>
      </c>
      <c r="C15" s="485" t="s">
        <v>472</v>
      </c>
      <c r="D15" s="488" t="s">
        <v>473</v>
      </c>
      <c r="E15" s="487">
        <v>2023</v>
      </c>
      <c r="F15" s="487">
        <v>2024</v>
      </c>
      <c r="G15" s="487">
        <v>2025</v>
      </c>
      <c r="H15" s="487">
        <v>2026</v>
      </c>
      <c r="I15" s="487">
        <v>2027</v>
      </c>
      <c r="J15" s="487">
        <v>2028</v>
      </c>
      <c r="K15" s="487">
        <v>2029</v>
      </c>
      <c r="L15" s="487">
        <v>2030</v>
      </c>
      <c r="M15" s="487">
        <v>2031</v>
      </c>
      <c r="N15" s="487">
        <v>2032</v>
      </c>
      <c r="O15" s="487">
        <v>2033</v>
      </c>
      <c r="P15" s="487">
        <v>2034</v>
      </c>
      <c r="Q15" s="487">
        <v>2035</v>
      </c>
      <c r="R15" s="487">
        <v>2036</v>
      </c>
      <c r="S15" s="487">
        <v>2037</v>
      </c>
      <c r="T15" s="487">
        <v>2038</v>
      </c>
      <c r="U15" s="487">
        <v>2039</v>
      </c>
      <c r="V15" s="487">
        <v>2040</v>
      </c>
      <c r="W15" s="487">
        <v>2041</v>
      </c>
      <c r="X15" s="487">
        <v>2042</v>
      </c>
      <c r="Y15" s="487">
        <v>2043</v>
      </c>
      <c r="Z15" s="487">
        <v>2044</v>
      </c>
      <c r="AA15" s="486">
        <v>2045</v>
      </c>
      <c r="AB15" s="716">
        <f>AA15+1</f>
        <v>2046</v>
      </c>
      <c r="AC15" s="941">
        <f t="shared" ref="AC15:AH15" si="0">AB15+1</f>
        <v>2047</v>
      </c>
      <c r="AD15" s="941">
        <f t="shared" si="0"/>
        <v>2048</v>
      </c>
      <c r="AE15" s="941">
        <f t="shared" si="0"/>
        <v>2049</v>
      </c>
      <c r="AF15" s="941">
        <f t="shared" si="0"/>
        <v>2050</v>
      </c>
      <c r="AG15" s="941">
        <f t="shared" si="0"/>
        <v>2051</v>
      </c>
      <c r="AH15" s="888">
        <f t="shared" si="0"/>
        <v>2052</v>
      </c>
    </row>
    <row r="16" spans="2:34" ht="14.5" customHeight="1" x14ac:dyDescent="0.35">
      <c r="B16" s="1284" t="s">
        <v>474</v>
      </c>
      <c r="C16" s="492" t="s">
        <v>531</v>
      </c>
      <c r="D16" s="518">
        <v>1.5009937063419464E-4</v>
      </c>
      <c r="E16" s="467">
        <v>2.1699089571879847E-4</v>
      </c>
      <c r="F16" s="467">
        <v>2.2222451406705729E-4</v>
      </c>
      <c r="G16" s="467">
        <v>2.3609107332136326E-4</v>
      </c>
      <c r="H16" s="467">
        <v>2.3018070396602674E-4</v>
      </c>
      <c r="I16" s="467">
        <v>2.1815524356655716E-4</v>
      </c>
      <c r="J16" s="467">
        <v>1.7838443231106381E-4</v>
      </c>
      <c r="K16" s="467">
        <v>1.5752709322832802E-4</v>
      </c>
      <c r="L16" s="467">
        <v>1.6740874058516635E-4</v>
      </c>
      <c r="M16" s="467">
        <v>1.6925153333099686E-4</v>
      </c>
      <c r="N16" s="467">
        <v>1.6918943226609362E-4</v>
      </c>
      <c r="O16" s="467">
        <v>1.6802328488507769E-4</v>
      </c>
      <c r="P16" s="467">
        <v>1.6595174107612899E-4</v>
      </c>
      <c r="Q16" s="467">
        <v>1.6324047471557307E-4</v>
      </c>
      <c r="R16" s="467">
        <v>1.5633926848975419E-4</v>
      </c>
      <c r="S16" s="467">
        <v>1.4972077259428496E-4</v>
      </c>
      <c r="T16" s="467">
        <v>1.4344289140515691E-4</v>
      </c>
      <c r="U16" s="467">
        <v>1.3746446355009318E-4</v>
      </c>
      <c r="V16" s="467">
        <v>1.3178684249953447E-4</v>
      </c>
      <c r="W16" s="467">
        <v>1.2761467667530703E-4</v>
      </c>
      <c r="X16" s="467">
        <v>1.2351361704190575E-4</v>
      </c>
      <c r="Y16" s="467">
        <v>1.1946634411960735E-4</v>
      </c>
      <c r="Z16" s="467">
        <v>1.1546675705360475E-4</v>
      </c>
      <c r="AA16" s="519">
        <v>8.6440564237140469E-5</v>
      </c>
      <c r="AB16" s="519">
        <v>8.6440564237140469E-5</v>
      </c>
      <c r="AC16" s="519">
        <v>8.6440564237140469E-5</v>
      </c>
      <c r="AD16" s="519">
        <v>8.6440564237140469E-5</v>
      </c>
      <c r="AE16" s="519">
        <v>8.6440564237140469E-5</v>
      </c>
      <c r="AF16" s="519">
        <v>8.6440564237140469E-5</v>
      </c>
      <c r="AG16" s="519">
        <v>8.6440564237140469E-5</v>
      </c>
      <c r="AH16" s="519">
        <v>8.6440564237140469E-5</v>
      </c>
    </row>
    <row r="17" spans="2:34" x14ac:dyDescent="0.35">
      <c r="B17" s="1285"/>
      <c r="C17" s="492" t="s">
        <v>532</v>
      </c>
      <c r="D17" s="512"/>
      <c r="E17" s="493">
        <f>E16/$E16</f>
        <v>1</v>
      </c>
      <c r="F17" s="493">
        <f>F16/$E16</f>
        <v>1.0241190688250863</v>
      </c>
      <c r="G17" s="493">
        <f t="shared" ref="G17:AH17" si="1">G16/$E16</f>
        <v>1.0880229446461063</v>
      </c>
      <c r="H17" s="493">
        <f t="shared" si="1"/>
        <v>1.0607850767357592</v>
      </c>
      <c r="I17" s="493">
        <f t="shared" si="1"/>
        <v>1.0053658834113832</v>
      </c>
      <c r="J17" s="493">
        <f t="shared" si="1"/>
        <v>0.82208256581527128</v>
      </c>
      <c r="K17" s="493">
        <f t="shared" si="1"/>
        <v>0.72596176308000304</v>
      </c>
      <c r="L17" s="493">
        <f t="shared" si="1"/>
        <v>0.77150121912079517</v>
      </c>
      <c r="M17" s="493">
        <f t="shared" si="1"/>
        <v>0.77999370789423483</v>
      </c>
      <c r="N17" s="493">
        <f t="shared" si="1"/>
        <v>0.77970751586439169</v>
      </c>
      <c r="O17" s="493">
        <f t="shared" si="1"/>
        <v>0.77433333932508119</v>
      </c>
      <c r="P17" s="493">
        <f t="shared" si="1"/>
        <v>0.76478665395799905</v>
      </c>
      <c r="Q17" s="493">
        <f t="shared" si="1"/>
        <v>0.75229181470875484</v>
      </c>
      <c r="R17" s="493">
        <f t="shared" si="1"/>
        <v>0.72048768669242436</v>
      </c>
      <c r="S17" s="493">
        <f t="shared" si="1"/>
        <v>0.68998642592042292</v>
      </c>
      <c r="T17" s="493">
        <f t="shared" si="1"/>
        <v>0.66105488403092516</v>
      </c>
      <c r="U17" s="493">
        <f t="shared" si="1"/>
        <v>0.63350336932216411</v>
      </c>
      <c r="V17" s="493">
        <f t="shared" si="1"/>
        <v>0.60733811924680414</v>
      </c>
      <c r="W17" s="493">
        <f t="shared" si="1"/>
        <v>0.58811074193953594</v>
      </c>
      <c r="X17" s="493">
        <f t="shared" si="1"/>
        <v>0.56921105667939531</v>
      </c>
      <c r="Y17" s="493">
        <f t="shared" si="1"/>
        <v>0.55055924684704494</v>
      </c>
      <c r="Z17" s="493">
        <f t="shared" si="1"/>
        <v>0.5321271967246024</v>
      </c>
      <c r="AA17" s="494">
        <f t="shared" si="1"/>
        <v>0.39836032728838544</v>
      </c>
      <c r="AB17" s="494">
        <f t="shared" si="1"/>
        <v>0.39836032728838544</v>
      </c>
      <c r="AC17" s="494">
        <f t="shared" si="1"/>
        <v>0.39836032728838544</v>
      </c>
      <c r="AD17" s="494">
        <f t="shared" si="1"/>
        <v>0.39836032728838544</v>
      </c>
      <c r="AE17" s="494">
        <f t="shared" si="1"/>
        <v>0.39836032728838544</v>
      </c>
      <c r="AF17" s="494">
        <f t="shared" si="1"/>
        <v>0.39836032728838544</v>
      </c>
      <c r="AG17" s="494">
        <f t="shared" si="1"/>
        <v>0.39836032728838544</v>
      </c>
      <c r="AH17" s="494">
        <f t="shared" si="1"/>
        <v>0.39836032728838544</v>
      </c>
    </row>
    <row r="18" spans="2:34" x14ac:dyDescent="0.35">
      <c r="B18" s="1285"/>
      <c r="C18" s="495" t="s">
        <v>477</v>
      </c>
      <c r="D18" s="513"/>
      <c r="E18" s="496">
        <f>E16/$D$16</f>
        <v>1.4456482715548777</v>
      </c>
      <c r="F18" s="496">
        <f t="shared" ref="F18:AH18" si="2">F16/$D$16</f>
        <v>1.480515961713377</v>
      </c>
      <c r="G18" s="496">
        <f t="shared" si="2"/>
        <v>1.572898489339692</v>
      </c>
      <c r="H18" s="496">
        <f t="shared" si="2"/>
        <v>1.5335221126742586</v>
      </c>
      <c r="I18" s="496">
        <f t="shared" si="2"/>
        <v>1.453405451633909</v>
      </c>
      <c r="J18" s="496">
        <f t="shared" si="2"/>
        <v>1.188442240346246</v>
      </c>
      <c r="K18" s="496">
        <f t="shared" si="2"/>
        <v>1.0494853680115381</v>
      </c>
      <c r="L18" s="496">
        <f t="shared" si="2"/>
        <v>1.1153194039244585</v>
      </c>
      <c r="M18" s="496">
        <f t="shared" si="2"/>
        <v>1.1275965556409808</v>
      </c>
      <c r="N18" s="496">
        <f t="shared" si="2"/>
        <v>1.1271828226277052</v>
      </c>
      <c r="O18" s="496">
        <f t="shared" si="2"/>
        <v>1.1194136536026205</v>
      </c>
      <c r="P18" s="496">
        <f t="shared" si="2"/>
        <v>1.1056125044026199</v>
      </c>
      <c r="Q18" s="496">
        <f t="shared" si="2"/>
        <v>1.0875493616385938</v>
      </c>
      <c r="R18" s="496">
        <f t="shared" si="2"/>
        <v>1.0415717789434755</v>
      </c>
      <c r="S18" s="496">
        <f t="shared" si="2"/>
        <v>0.99747768402818715</v>
      </c>
      <c r="T18" s="496">
        <f t="shared" si="2"/>
        <v>0.95565285050221727</v>
      </c>
      <c r="U18" s="496">
        <f t="shared" si="2"/>
        <v>0.91582305088477789</v>
      </c>
      <c r="V18" s="496">
        <f t="shared" si="2"/>
        <v>0.87799730233853268</v>
      </c>
      <c r="W18" s="496">
        <f t="shared" si="2"/>
        <v>0.85020127756774688</v>
      </c>
      <c r="X18" s="496">
        <f t="shared" si="2"/>
        <v>0.82287898023849337</v>
      </c>
      <c r="Y18" s="496">
        <f t="shared" si="2"/>
        <v>0.79591502359298583</v>
      </c>
      <c r="Z18" s="496">
        <f t="shared" si="2"/>
        <v>0.76926876219226381</v>
      </c>
      <c r="AA18" s="497">
        <f t="shared" si="2"/>
        <v>0.57588891860048985</v>
      </c>
      <c r="AB18" s="497">
        <f t="shared" si="2"/>
        <v>0.57588891860048985</v>
      </c>
      <c r="AC18" s="497">
        <f t="shared" si="2"/>
        <v>0.57588891860048985</v>
      </c>
      <c r="AD18" s="497">
        <f t="shared" si="2"/>
        <v>0.57588891860048985</v>
      </c>
      <c r="AE18" s="497">
        <f t="shared" si="2"/>
        <v>0.57588891860048985</v>
      </c>
      <c r="AF18" s="497">
        <f t="shared" si="2"/>
        <v>0.57588891860048985</v>
      </c>
      <c r="AG18" s="497">
        <f t="shared" si="2"/>
        <v>0.57588891860048985</v>
      </c>
      <c r="AH18" s="497">
        <f t="shared" si="2"/>
        <v>0.57588891860048985</v>
      </c>
    </row>
    <row r="19" spans="2:34" x14ac:dyDescent="0.35">
      <c r="B19" s="1285"/>
      <c r="C19" s="554" t="s">
        <v>533</v>
      </c>
      <c r="D19" s="555">
        <f>D16*$C$4</f>
        <v>3.5723650210938324E-5</v>
      </c>
      <c r="E19" s="556">
        <f t="shared" ref="E19:AH19" si="3">E16*$C$4</f>
        <v>5.1643833181074033E-5</v>
      </c>
      <c r="F19" s="557">
        <f t="shared" si="3"/>
        <v>5.2889434347959632E-5</v>
      </c>
      <c r="G19" s="557">
        <f t="shared" si="3"/>
        <v>5.6189675450484451E-5</v>
      </c>
      <c r="H19" s="557">
        <f t="shared" si="3"/>
        <v>5.478300754391436E-5</v>
      </c>
      <c r="I19" s="557">
        <f t="shared" si="3"/>
        <v>5.1920947968840603E-5</v>
      </c>
      <c r="J19" s="557">
        <f t="shared" si="3"/>
        <v>4.2455494890033182E-5</v>
      </c>
      <c r="K19" s="557">
        <f t="shared" si="3"/>
        <v>3.7491448188342068E-5</v>
      </c>
      <c r="L19" s="557">
        <f t="shared" si="3"/>
        <v>3.9843280259269586E-5</v>
      </c>
      <c r="M19" s="557">
        <f t="shared" si="3"/>
        <v>4.0281864932777252E-5</v>
      </c>
      <c r="N19" s="557">
        <f t="shared" si="3"/>
        <v>4.0267084879330282E-5</v>
      </c>
      <c r="O19" s="557">
        <f t="shared" si="3"/>
        <v>3.9989541802648488E-5</v>
      </c>
      <c r="P19" s="557">
        <f t="shared" si="3"/>
        <v>3.9496514376118701E-5</v>
      </c>
      <c r="Q19" s="557">
        <f t="shared" si="3"/>
        <v>3.8851232982306392E-5</v>
      </c>
      <c r="R19" s="557">
        <f t="shared" si="3"/>
        <v>3.7208745900561497E-5</v>
      </c>
      <c r="S19" s="557">
        <f t="shared" si="3"/>
        <v>3.5633543877439819E-5</v>
      </c>
      <c r="T19" s="557">
        <f t="shared" si="3"/>
        <v>3.4139408154427343E-5</v>
      </c>
      <c r="U19" s="557">
        <f t="shared" si="3"/>
        <v>3.2716542324922176E-5</v>
      </c>
      <c r="V19" s="557">
        <f t="shared" si="3"/>
        <v>3.1365268514889199E-5</v>
      </c>
      <c r="W19" s="557">
        <f t="shared" si="3"/>
        <v>3.0372293048723071E-5</v>
      </c>
      <c r="X19" s="557">
        <f t="shared" si="3"/>
        <v>2.9396240855973567E-5</v>
      </c>
      <c r="Y19" s="557">
        <f t="shared" si="3"/>
        <v>2.8432989900466547E-5</v>
      </c>
      <c r="Z19" s="557">
        <f t="shared" si="3"/>
        <v>2.7481088178757929E-5</v>
      </c>
      <c r="AA19" s="558">
        <f t="shared" si="3"/>
        <v>2.057285428843943E-5</v>
      </c>
      <c r="AB19" s="558">
        <f t="shared" si="3"/>
        <v>2.057285428843943E-5</v>
      </c>
      <c r="AC19" s="558">
        <f t="shared" si="3"/>
        <v>2.057285428843943E-5</v>
      </c>
      <c r="AD19" s="558">
        <f t="shared" si="3"/>
        <v>2.057285428843943E-5</v>
      </c>
      <c r="AE19" s="558">
        <f t="shared" si="3"/>
        <v>2.057285428843943E-5</v>
      </c>
      <c r="AF19" s="558">
        <f t="shared" si="3"/>
        <v>2.057285428843943E-5</v>
      </c>
      <c r="AG19" s="558">
        <f t="shared" si="3"/>
        <v>2.057285428843943E-5</v>
      </c>
      <c r="AH19" s="558">
        <f t="shared" si="3"/>
        <v>2.057285428843943E-5</v>
      </c>
    </row>
    <row r="20" spans="2:34" x14ac:dyDescent="0.35">
      <c r="B20" s="1285"/>
      <c r="C20" s="554" t="s">
        <v>534</v>
      </c>
      <c r="D20" s="555">
        <f>$C$5*D16</f>
        <v>1.7411526993566576E-6</v>
      </c>
      <c r="E20" s="556">
        <f t="shared" ref="E20:AH20" si="4">$C$5*E16</f>
        <v>2.5170943903380621E-6</v>
      </c>
      <c r="F20" s="557">
        <f t="shared" si="4"/>
        <v>2.5778043631778646E-6</v>
      </c>
      <c r="G20" s="557">
        <f t="shared" si="4"/>
        <v>2.7386564505278137E-6</v>
      </c>
      <c r="H20" s="557">
        <f t="shared" si="4"/>
        <v>2.6700961660059101E-6</v>
      </c>
      <c r="I20" s="557">
        <f t="shared" si="4"/>
        <v>2.5306008253720629E-6</v>
      </c>
      <c r="J20" s="557">
        <f t="shared" si="4"/>
        <v>2.0692594148083403E-6</v>
      </c>
      <c r="K20" s="557">
        <f t="shared" si="4"/>
        <v>1.827314281448605E-6</v>
      </c>
      <c r="L20" s="557">
        <f t="shared" si="4"/>
        <v>1.9419413907879295E-6</v>
      </c>
      <c r="M20" s="557">
        <f t="shared" si="4"/>
        <v>1.9633177866395635E-6</v>
      </c>
      <c r="N20" s="557">
        <f t="shared" si="4"/>
        <v>1.9625974142866857E-6</v>
      </c>
      <c r="O20" s="557">
        <f t="shared" si="4"/>
        <v>1.9490701046669009E-6</v>
      </c>
      <c r="P20" s="557">
        <f t="shared" si="4"/>
        <v>1.9250401964830962E-6</v>
      </c>
      <c r="Q20" s="557">
        <f t="shared" si="4"/>
        <v>1.8935895067006475E-6</v>
      </c>
      <c r="R20" s="557">
        <f t="shared" si="4"/>
        <v>1.8135355144811485E-6</v>
      </c>
      <c r="S20" s="557">
        <f t="shared" si="4"/>
        <v>1.7367609620937054E-6</v>
      </c>
      <c r="T20" s="557">
        <f t="shared" si="4"/>
        <v>1.6639375402998201E-6</v>
      </c>
      <c r="U20" s="557">
        <f t="shared" si="4"/>
        <v>1.5945877771810808E-6</v>
      </c>
      <c r="V20" s="557">
        <f t="shared" si="4"/>
        <v>1.5287273729945997E-6</v>
      </c>
      <c r="W20" s="557">
        <f t="shared" si="4"/>
        <v>1.4803302494335614E-6</v>
      </c>
      <c r="X20" s="557">
        <f t="shared" si="4"/>
        <v>1.4327579576861066E-6</v>
      </c>
      <c r="Y20" s="557">
        <f t="shared" si="4"/>
        <v>1.3858095917874451E-6</v>
      </c>
      <c r="Z20" s="557">
        <f t="shared" si="4"/>
        <v>1.3394143818218151E-6</v>
      </c>
      <c r="AA20" s="558">
        <f t="shared" si="4"/>
        <v>1.0027105451508294E-6</v>
      </c>
      <c r="AB20" s="558">
        <f t="shared" si="4"/>
        <v>1.0027105451508294E-6</v>
      </c>
      <c r="AC20" s="558">
        <f t="shared" si="4"/>
        <v>1.0027105451508294E-6</v>
      </c>
      <c r="AD20" s="558">
        <f t="shared" si="4"/>
        <v>1.0027105451508294E-6</v>
      </c>
      <c r="AE20" s="558">
        <f t="shared" si="4"/>
        <v>1.0027105451508294E-6</v>
      </c>
      <c r="AF20" s="558">
        <f t="shared" si="4"/>
        <v>1.0027105451508294E-6</v>
      </c>
      <c r="AG20" s="558">
        <f t="shared" si="4"/>
        <v>1.0027105451508294E-6</v>
      </c>
      <c r="AH20" s="558">
        <f t="shared" si="4"/>
        <v>1.0027105451508294E-6</v>
      </c>
    </row>
    <row r="21" spans="2:34" x14ac:dyDescent="0.35">
      <c r="B21" s="1285"/>
      <c r="C21" s="492" t="s">
        <v>535</v>
      </c>
      <c r="D21" s="577">
        <v>5.862995568958999E-3</v>
      </c>
      <c r="E21" s="578">
        <v>6.4522989937384175E-3</v>
      </c>
      <c r="F21" s="578">
        <v>6.4146407078196233E-3</v>
      </c>
      <c r="G21" s="578">
        <v>6.3783358961996047E-3</v>
      </c>
      <c r="H21" s="578">
        <v>6.3405973830280822E-3</v>
      </c>
      <c r="I21" s="578">
        <v>6.3016644015562243E-3</v>
      </c>
      <c r="J21" s="578">
        <v>6.2615761613812214E-3</v>
      </c>
      <c r="K21" s="578">
        <v>6.2204256892466796E-3</v>
      </c>
      <c r="L21" s="578">
        <v>6.1782098555063598E-3</v>
      </c>
      <c r="M21" s="578">
        <v>6.1446050156051162E-3</v>
      </c>
      <c r="N21" s="578">
        <v>6.1108631156355318E-3</v>
      </c>
      <c r="O21" s="578">
        <v>6.0769569705211111E-3</v>
      </c>
      <c r="P21" s="578">
        <v>6.0428629104705301E-3</v>
      </c>
      <c r="Q21" s="578">
        <v>6.0085776872100243E-3</v>
      </c>
      <c r="R21" s="578">
        <v>5.9738762997834189E-3</v>
      </c>
      <c r="S21" s="578">
        <v>5.9387332576956147E-3</v>
      </c>
      <c r="T21" s="578">
        <v>5.9029757961210098E-3</v>
      </c>
      <c r="U21" s="578">
        <v>5.8663752853836907E-3</v>
      </c>
      <c r="V21" s="578">
        <v>5.8286661595583879E-3</v>
      </c>
      <c r="W21" s="578">
        <v>5.7760147942278748E-3</v>
      </c>
      <c r="X21" s="578">
        <v>5.7214909564130556E-3</v>
      </c>
      <c r="Y21" s="578">
        <v>5.6649296672338393E-3</v>
      </c>
      <c r="Z21" s="578">
        <v>5.6062335390859681E-3</v>
      </c>
      <c r="AA21" s="579">
        <v>5.5453107111238294E-3</v>
      </c>
      <c r="AB21" s="579">
        <v>5.5453107111238294E-3</v>
      </c>
      <c r="AC21" s="579">
        <v>5.5453107111238294E-3</v>
      </c>
      <c r="AD21" s="579">
        <v>5.5453107111238294E-3</v>
      </c>
      <c r="AE21" s="579">
        <v>5.5453107111238294E-3</v>
      </c>
      <c r="AF21" s="579">
        <v>5.5453107111238294E-3</v>
      </c>
      <c r="AG21" s="579">
        <v>5.5453107111238294E-3</v>
      </c>
      <c r="AH21" s="579">
        <v>5.5453107111238294E-3</v>
      </c>
    </row>
    <row r="22" spans="2:34" x14ac:dyDescent="0.35">
      <c r="B22" s="1285"/>
      <c r="C22" s="495" t="s">
        <v>479</v>
      </c>
      <c r="D22" s="513"/>
      <c r="E22" s="496">
        <f>E21/$D$21</f>
        <v>1.1005123435363693</v>
      </c>
      <c r="F22" s="496">
        <f t="shared" ref="F22:AH22" si="5">F21/$D$21</f>
        <v>1.0940892982729256</v>
      </c>
      <c r="G22" s="496">
        <f t="shared" si="5"/>
        <v>1.087897103311662</v>
      </c>
      <c r="H22" s="496">
        <f t="shared" si="5"/>
        <v>1.0814603743856972</v>
      </c>
      <c r="I22" s="496">
        <f t="shared" si="5"/>
        <v>1.0748199154233904</v>
      </c>
      <c r="J22" s="496">
        <f t="shared" si="5"/>
        <v>1.067982414063634</v>
      </c>
      <c r="K22" s="496">
        <f t="shared" si="5"/>
        <v>1.0609637370664333</v>
      </c>
      <c r="L22" s="496">
        <f t="shared" si="5"/>
        <v>1.0537633506353354</v>
      </c>
      <c r="M22" s="496">
        <f t="shared" si="5"/>
        <v>1.0480316662930922</v>
      </c>
      <c r="N22" s="496">
        <f t="shared" si="5"/>
        <v>1.042276604810831</v>
      </c>
      <c r="O22" s="496">
        <f t="shared" si="5"/>
        <v>1.0364935294672415</v>
      </c>
      <c r="P22" s="496">
        <f t="shared" si="5"/>
        <v>1.0306784031125351</v>
      </c>
      <c r="Q22" s="496">
        <f t="shared" si="5"/>
        <v>1.0248306717169964</v>
      </c>
      <c r="R22" s="496">
        <f t="shared" si="5"/>
        <v>1.0189119588306472</v>
      </c>
      <c r="S22" s="496">
        <f t="shared" si="5"/>
        <v>1.0129179167621414</v>
      </c>
      <c r="T22" s="496">
        <f t="shared" si="5"/>
        <v>1.0068190785225357</v>
      </c>
      <c r="U22" s="496">
        <f t="shared" si="5"/>
        <v>1.0005764487427868</v>
      </c>
      <c r="V22" s="496">
        <f t="shared" si="5"/>
        <v>0.99414473216006427</v>
      </c>
      <c r="W22" s="496">
        <f t="shared" si="5"/>
        <v>0.98516444815485882</v>
      </c>
      <c r="X22" s="496">
        <f t="shared" si="5"/>
        <v>0.97586479285518746</v>
      </c>
      <c r="Y22" s="496">
        <f t="shared" si="5"/>
        <v>0.9662176272529015</v>
      </c>
      <c r="Z22" s="496">
        <f t="shared" si="5"/>
        <v>0.95620634079404221</v>
      </c>
      <c r="AA22" s="497">
        <f t="shared" si="5"/>
        <v>0.94581526557565254</v>
      </c>
      <c r="AB22" s="497">
        <f t="shared" si="5"/>
        <v>0.94581526557565254</v>
      </c>
      <c r="AC22" s="497">
        <f t="shared" si="5"/>
        <v>0.94581526557565254</v>
      </c>
      <c r="AD22" s="497">
        <f t="shared" si="5"/>
        <v>0.94581526557565254</v>
      </c>
      <c r="AE22" s="497">
        <f t="shared" si="5"/>
        <v>0.94581526557565254</v>
      </c>
      <c r="AF22" s="497">
        <f t="shared" si="5"/>
        <v>0.94581526557565254</v>
      </c>
      <c r="AG22" s="497">
        <f t="shared" si="5"/>
        <v>0.94581526557565254</v>
      </c>
      <c r="AH22" s="497">
        <f t="shared" si="5"/>
        <v>0.94581526557565254</v>
      </c>
    </row>
    <row r="23" spans="2:34" x14ac:dyDescent="0.35">
      <c r="B23" s="1285"/>
      <c r="C23" s="554" t="s">
        <v>536</v>
      </c>
      <c r="D23" s="555">
        <f>$C$9</f>
        <v>6.2256809338521405E-3</v>
      </c>
      <c r="E23" s="556">
        <f t="shared" ref="E23:AH23" si="6">$C$9</f>
        <v>6.2256809338521405E-3</v>
      </c>
      <c r="F23" s="557">
        <f t="shared" si="6"/>
        <v>6.2256809338521405E-3</v>
      </c>
      <c r="G23" s="557">
        <f t="shared" si="6"/>
        <v>6.2256809338521405E-3</v>
      </c>
      <c r="H23" s="557">
        <f t="shared" si="6"/>
        <v>6.2256809338521405E-3</v>
      </c>
      <c r="I23" s="557">
        <f t="shared" si="6"/>
        <v>6.2256809338521405E-3</v>
      </c>
      <c r="J23" s="557">
        <f t="shared" si="6"/>
        <v>6.2256809338521405E-3</v>
      </c>
      <c r="K23" s="557">
        <f t="shared" si="6"/>
        <v>6.2256809338521405E-3</v>
      </c>
      <c r="L23" s="557">
        <f t="shared" si="6"/>
        <v>6.2256809338521405E-3</v>
      </c>
      <c r="M23" s="557">
        <f t="shared" si="6"/>
        <v>6.2256809338521405E-3</v>
      </c>
      <c r="N23" s="557">
        <f t="shared" si="6"/>
        <v>6.2256809338521405E-3</v>
      </c>
      <c r="O23" s="557">
        <f t="shared" si="6"/>
        <v>6.2256809338521405E-3</v>
      </c>
      <c r="P23" s="557">
        <f t="shared" si="6"/>
        <v>6.2256809338521405E-3</v>
      </c>
      <c r="Q23" s="557">
        <f t="shared" si="6"/>
        <v>6.2256809338521405E-3</v>
      </c>
      <c r="R23" s="557">
        <f t="shared" si="6"/>
        <v>6.2256809338521405E-3</v>
      </c>
      <c r="S23" s="557">
        <f t="shared" si="6"/>
        <v>6.2256809338521405E-3</v>
      </c>
      <c r="T23" s="557">
        <f t="shared" si="6"/>
        <v>6.2256809338521405E-3</v>
      </c>
      <c r="U23" s="557">
        <f t="shared" si="6"/>
        <v>6.2256809338521405E-3</v>
      </c>
      <c r="V23" s="557">
        <f t="shared" si="6"/>
        <v>6.2256809338521405E-3</v>
      </c>
      <c r="W23" s="557">
        <f t="shared" si="6"/>
        <v>6.2256809338521405E-3</v>
      </c>
      <c r="X23" s="557">
        <f t="shared" si="6"/>
        <v>6.2256809338521405E-3</v>
      </c>
      <c r="Y23" s="557">
        <f t="shared" si="6"/>
        <v>6.2256809338521405E-3</v>
      </c>
      <c r="Z23" s="557">
        <f t="shared" si="6"/>
        <v>6.2256809338521405E-3</v>
      </c>
      <c r="AA23" s="558">
        <f t="shared" si="6"/>
        <v>6.2256809338521405E-3</v>
      </c>
      <c r="AB23" s="558">
        <f t="shared" si="6"/>
        <v>6.2256809338521405E-3</v>
      </c>
      <c r="AC23" s="558">
        <f t="shared" si="6"/>
        <v>6.2256809338521405E-3</v>
      </c>
      <c r="AD23" s="558">
        <f t="shared" si="6"/>
        <v>6.2256809338521405E-3</v>
      </c>
      <c r="AE23" s="558">
        <f t="shared" si="6"/>
        <v>6.2256809338521405E-3</v>
      </c>
      <c r="AF23" s="558">
        <f t="shared" si="6"/>
        <v>6.2256809338521405E-3</v>
      </c>
      <c r="AG23" s="558">
        <f t="shared" si="6"/>
        <v>6.2256809338521405E-3</v>
      </c>
      <c r="AH23" s="558">
        <f t="shared" si="6"/>
        <v>6.2256809338521405E-3</v>
      </c>
    </row>
    <row r="24" spans="2:34" x14ac:dyDescent="0.35">
      <c r="B24" s="1286"/>
      <c r="C24" s="572" t="s">
        <v>537</v>
      </c>
      <c r="D24" s="573">
        <f>$C$10</f>
        <v>5.8365758754863814E-3</v>
      </c>
      <c r="E24" s="574">
        <f t="shared" ref="E24:AH24" si="7">$C$10</f>
        <v>5.8365758754863814E-3</v>
      </c>
      <c r="F24" s="575">
        <f t="shared" si="7"/>
        <v>5.8365758754863814E-3</v>
      </c>
      <c r="G24" s="575">
        <f t="shared" si="7"/>
        <v>5.8365758754863814E-3</v>
      </c>
      <c r="H24" s="575">
        <f t="shared" si="7"/>
        <v>5.8365758754863814E-3</v>
      </c>
      <c r="I24" s="575">
        <f t="shared" si="7"/>
        <v>5.8365758754863814E-3</v>
      </c>
      <c r="J24" s="575">
        <f t="shared" si="7"/>
        <v>5.8365758754863814E-3</v>
      </c>
      <c r="K24" s="575">
        <f t="shared" si="7"/>
        <v>5.8365758754863814E-3</v>
      </c>
      <c r="L24" s="575">
        <f t="shared" si="7"/>
        <v>5.8365758754863814E-3</v>
      </c>
      <c r="M24" s="575">
        <f t="shared" si="7"/>
        <v>5.8365758754863814E-3</v>
      </c>
      <c r="N24" s="575">
        <f t="shared" si="7"/>
        <v>5.8365758754863814E-3</v>
      </c>
      <c r="O24" s="575">
        <f t="shared" si="7"/>
        <v>5.8365758754863814E-3</v>
      </c>
      <c r="P24" s="575">
        <f t="shared" si="7"/>
        <v>5.8365758754863814E-3</v>
      </c>
      <c r="Q24" s="575">
        <f t="shared" si="7"/>
        <v>5.8365758754863814E-3</v>
      </c>
      <c r="R24" s="575">
        <f t="shared" si="7"/>
        <v>5.8365758754863814E-3</v>
      </c>
      <c r="S24" s="575">
        <f t="shared" si="7"/>
        <v>5.8365758754863814E-3</v>
      </c>
      <c r="T24" s="575">
        <f t="shared" si="7"/>
        <v>5.8365758754863814E-3</v>
      </c>
      <c r="U24" s="575">
        <f t="shared" si="7"/>
        <v>5.8365758754863814E-3</v>
      </c>
      <c r="V24" s="575">
        <f t="shared" si="7"/>
        <v>5.8365758754863814E-3</v>
      </c>
      <c r="W24" s="575">
        <f t="shared" si="7"/>
        <v>5.8365758754863814E-3</v>
      </c>
      <c r="X24" s="575">
        <f t="shared" si="7"/>
        <v>5.8365758754863814E-3</v>
      </c>
      <c r="Y24" s="575">
        <f t="shared" si="7"/>
        <v>5.8365758754863814E-3</v>
      </c>
      <c r="Z24" s="575">
        <f t="shared" si="7"/>
        <v>5.8365758754863814E-3</v>
      </c>
      <c r="AA24" s="576">
        <f t="shared" si="7"/>
        <v>5.8365758754863814E-3</v>
      </c>
      <c r="AB24" s="576">
        <f t="shared" si="7"/>
        <v>5.8365758754863814E-3</v>
      </c>
      <c r="AC24" s="576">
        <f t="shared" si="7"/>
        <v>5.8365758754863814E-3</v>
      </c>
      <c r="AD24" s="576">
        <f t="shared" si="7"/>
        <v>5.8365758754863814E-3</v>
      </c>
      <c r="AE24" s="576">
        <f t="shared" si="7"/>
        <v>5.8365758754863814E-3</v>
      </c>
      <c r="AF24" s="576">
        <f t="shared" si="7"/>
        <v>5.8365758754863814E-3</v>
      </c>
      <c r="AG24" s="576">
        <f t="shared" si="7"/>
        <v>5.8365758754863814E-3</v>
      </c>
      <c r="AH24" s="576">
        <f t="shared" si="7"/>
        <v>5.8365758754863814E-3</v>
      </c>
    </row>
    <row r="25" spans="2:34" x14ac:dyDescent="0.35">
      <c r="C25" s="492"/>
      <c r="D25" s="512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4"/>
    </row>
    <row r="26" spans="2:34" ht="14.5" customHeight="1" x14ac:dyDescent="0.35">
      <c r="B26" s="1284" t="s">
        <v>629</v>
      </c>
      <c r="C26" s="580" t="s">
        <v>634</v>
      </c>
      <c r="D26" s="515">
        <f>SUM('Combined All Buildings'!$N$4:$N$6)*'Criteria Pollutants'!D$23</f>
        <v>95789.4652490273</v>
      </c>
      <c r="E26" s="567">
        <f>SUM('Combined All Buildings'!$N$4:$N$6)*'Criteria Pollutants'!E$23</f>
        <v>95789.4652490273</v>
      </c>
      <c r="F26" s="509">
        <f>SUM('Combined All Buildings'!$N$4:$N$6)*'Criteria Pollutants'!F$23</f>
        <v>95789.4652490273</v>
      </c>
      <c r="G26" s="509">
        <f>SUM('Combined All Buildings'!$N$4:$N$6)*'Criteria Pollutants'!G$23</f>
        <v>95789.4652490273</v>
      </c>
      <c r="H26" s="509">
        <f>SUM('Combined All Buildings'!$N$4:$N$6)*'Criteria Pollutants'!H$23</f>
        <v>95789.4652490273</v>
      </c>
      <c r="I26" s="509">
        <f>SUM('Combined All Buildings'!$N$4:$N$6)*'Criteria Pollutants'!I$23</f>
        <v>95789.4652490273</v>
      </c>
      <c r="J26" s="509">
        <f>SUM('Combined All Buildings'!$N$4:$N$6)*'Criteria Pollutants'!J$23</f>
        <v>95789.4652490273</v>
      </c>
      <c r="K26" s="509">
        <f>SUM('Combined All Buildings'!$N$4:$N$6)*'Criteria Pollutants'!K$23</f>
        <v>95789.4652490273</v>
      </c>
      <c r="L26" s="509">
        <f>SUM('Combined All Buildings'!$N$4:$N$6)*'Criteria Pollutants'!L$23</f>
        <v>95789.4652490273</v>
      </c>
      <c r="M26" s="509">
        <f>SUM('Combined All Buildings'!$N$4:$N$6)*'Criteria Pollutants'!M$23</f>
        <v>95789.4652490273</v>
      </c>
      <c r="N26" s="509">
        <f>SUM('Combined All Buildings'!$N$4:$N$6)*'Criteria Pollutants'!N$23</f>
        <v>95789.4652490273</v>
      </c>
      <c r="O26" s="509">
        <f>SUM('Combined All Buildings'!$N$4:$N$6)*'Criteria Pollutants'!O$23</f>
        <v>95789.4652490273</v>
      </c>
      <c r="P26" s="509">
        <f>SUM('Combined All Buildings'!$N$4:$N$6)*'Criteria Pollutants'!P$23</f>
        <v>95789.4652490273</v>
      </c>
      <c r="Q26" s="509">
        <f>SUM('Combined All Buildings'!$N$4:$N$6)*'Criteria Pollutants'!Q$23</f>
        <v>95789.4652490273</v>
      </c>
      <c r="R26" s="509">
        <f>SUM('Combined All Buildings'!$N$4:$N$6)*'Criteria Pollutants'!R$23</f>
        <v>95789.4652490273</v>
      </c>
      <c r="S26" s="509">
        <f>SUM('Combined All Buildings'!$N$4:$N$6)*'Criteria Pollutants'!S$23</f>
        <v>95789.4652490273</v>
      </c>
      <c r="T26" s="509">
        <f>SUM('Combined All Buildings'!$N$4:$N$6)*'Criteria Pollutants'!T$23</f>
        <v>95789.4652490273</v>
      </c>
      <c r="U26" s="509">
        <f>SUM('Combined All Buildings'!$N$4:$N$6)*'Criteria Pollutants'!U$23</f>
        <v>95789.4652490273</v>
      </c>
      <c r="V26" s="509">
        <f>SUM('Combined All Buildings'!$N$4:$N$6)*'Criteria Pollutants'!V$23</f>
        <v>95789.4652490273</v>
      </c>
      <c r="W26" s="509">
        <f>SUM('Combined All Buildings'!$N$4:$N$6)*'Criteria Pollutants'!W$23</f>
        <v>95789.4652490273</v>
      </c>
      <c r="X26" s="509">
        <f>SUM('Combined All Buildings'!$N$4:$N$6)*'Criteria Pollutants'!X$23</f>
        <v>95789.4652490273</v>
      </c>
      <c r="Y26" s="509">
        <f>SUM('Combined All Buildings'!$N$4:$N$6)*'Criteria Pollutants'!Y$23</f>
        <v>95789.4652490273</v>
      </c>
      <c r="Z26" s="509">
        <f>SUM('Combined All Buildings'!$N$4:$N$6)*'Criteria Pollutants'!Z$23</f>
        <v>95789.4652490273</v>
      </c>
      <c r="AA26" s="510">
        <f>SUM('Combined All Buildings'!$N$4:$N$6)*'Criteria Pollutants'!AA$23</f>
        <v>95789.4652490273</v>
      </c>
      <c r="AB26" s="510">
        <f>SUM('Combined All Buildings'!$N$4:$N$6)*'Criteria Pollutants'!AB$23</f>
        <v>95789.4652490273</v>
      </c>
      <c r="AC26" s="510">
        <f>SUM('Combined All Buildings'!$N$4:$N$6)*'Criteria Pollutants'!AC$23</f>
        <v>95789.4652490273</v>
      </c>
      <c r="AD26" s="510">
        <f>SUM('Combined All Buildings'!$N$4:$N$6)*'Criteria Pollutants'!AD$23</f>
        <v>95789.4652490273</v>
      </c>
      <c r="AE26" s="510">
        <f>SUM('Combined All Buildings'!$N$4:$N$6)*'Criteria Pollutants'!AE$23</f>
        <v>95789.4652490273</v>
      </c>
      <c r="AF26" s="510">
        <f>SUM('Combined All Buildings'!$N$4:$N$6)*'Criteria Pollutants'!AF$23</f>
        <v>95789.4652490273</v>
      </c>
      <c r="AG26" s="510">
        <f>SUM('Combined All Buildings'!$N$4:$N$6)*'Criteria Pollutants'!AG$23</f>
        <v>95789.4652490273</v>
      </c>
      <c r="AH26" s="510">
        <f>SUM('Combined All Buildings'!$N$4:$N$6)*'Criteria Pollutants'!AH$23</f>
        <v>95789.4652490273</v>
      </c>
    </row>
    <row r="27" spans="2:34" x14ac:dyDescent="0.35">
      <c r="B27" s="1285"/>
      <c r="C27" s="512" t="s">
        <v>635</v>
      </c>
      <c r="D27" s="516">
        <f>SUM('Combined All Buildings'!$N$4:$N$6)*'Criteria Pollutants'!D$24</f>
        <v>89802.62367096309</v>
      </c>
      <c r="E27" s="568">
        <f>SUM('Combined All Buildings'!$N$4:$N$6)*'Criteria Pollutants'!E$24</f>
        <v>89802.62367096309</v>
      </c>
      <c r="F27" s="498">
        <f>SUM('Combined All Buildings'!$N$4:$N$6)*'Criteria Pollutants'!F$24</f>
        <v>89802.62367096309</v>
      </c>
      <c r="G27" s="498">
        <f>SUM('Combined All Buildings'!$N$4:$N$6)*'Criteria Pollutants'!G$24</f>
        <v>89802.62367096309</v>
      </c>
      <c r="H27" s="498">
        <f>SUM('Combined All Buildings'!$N$4:$N$6)*'Criteria Pollutants'!H$24</f>
        <v>89802.62367096309</v>
      </c>
      <c r="I27" s="498">
        <f>SUM('Combined All Buildings'!$N$4:$N$6)*'Criteria Pollutants'!I$24</f>
        <v>89802.62367096309</v>
      </c>
      <c r="J27" s="498">
        <f>SUM('Combined All Buildings'!$N$4:$N$6)*'Criteria Pollutants'!J$24</f>
        <v>89802.62367096309</v>
      </c>
      <c r="K27" s="498">
        <f>SUM('Combined All Buildings'!$N$4:$N$6)*'Criteria Pollutants'!K$24</f>
        <v>89802.62367096309</v>
      </c>
      <c r="L27" s="498">
        <f>SUM('Combined All Buildings'!$N$4:$N$6)*'Criteria Pollutants'!L$24</f>
        <v>89802.62367096309</v>
      </c>
      <c r="M27" s="498">
        <f>SUM('Combined All Buildings'!$N$4:$N$6)*'Criteria Pollutants'!M$24</f>
        <v>89802.62367096309</v>
      </c>
      <c r="N27" s="498">
        <f>SUM('Combined All Buildings'!$N$4:$N$6)*'Criteria Pollutants'!N$24</f>
        <v>89802.62367096309</v>
      </c>
      <c r="O27" s="498">
        <f>SUM('Combined All Buildings'!$N$4:$N$6)*'Criteria Pollutants'!O$24</f>
        <v>89802.62367096309</v>
      </c>
      <c r="P27" s="498">
        <f>SUM('Combined All Buildings'!$N$4:$N$6)*'Criteria Pollutants'!P$24</f>
        <v>89802.62367096309</v>
      </c>
      <c r="Q27" s="498">
        <f>SUM('Combined All Buildings'!$N$4:$N$6)*'Criteria Pollutants'!Q$24</f>
        <v>89802.62367096309</v>
      </c>
      <c r="R27" s="498">
        <f>SUM('Combined All Buildings'!$N$4:$N$6)*'Criteria Pollutants'!R$24</f>
        <v>89802.62367096309</v>
      </c>
      <c r="S27" s="498">
        <f>SUM('Combined All Buildings'!$N$4:$N$6)*'Criteria Pollutants'!S$24</f>
        <v>89802.62367096309</v>
      </c>
      <c r="T27" s="498">
        <f>SUM('Combined All Buildings'!$N$4:$N$6)*'Criteria Pollutants'!T$24</f>
        <v>89802.62367096309</v>
      </c>
      <c r="U27" s="498">
        <f>SUM('Combined All Buildings'!$N$4:$N$6)*'Criteria Pollutants'!U$24</f>
        <v>89802.62367096309</v>
      </c>
      <c r="V27" s="498">
        <f>SUM('Combined All Buildings'!$N$4:$N$6)*'Criteria Pollutants'!V$24</f>
        <v>89802.62367096309</v>
      </c>
      <c r="W27" s="498">
        <f>SUM('Combined All Buildings'!$N$4:$N$6)*'Criteria Pollutants'!W$24</f>
        <v>89802.62367096309</v>
      </c>
      <c r="X27" s="498">
        <f>SUM('Combined All Buildings'!$N$4:$N$6)*'Criteria Pollutants'!X$24</f>
        <v>89802.62367096309</v>
      </c>
      <c r="Y27" s="498">
        <f>SUM('Combined All Buildings'!$N$4:$N$6)*'Criteria Pollutants'!Y$24</f>
        <v>89802.62367096309</v>
      </c>
      <c r="Z27" s="498">
        <f>SUM('Combined All Buildings'!$N$4:$N$6)*'Criteria Pollutants'!Z$24</f>
        <v>89802.62367096309</v>
      </c>
      <c r="AA27" s="499">
        <f>SUM('Combined All Buildings'!$N$4:$N$6)*'Criteria Pollutants'!AA$24</f>
        <v>89802.62367096309</v>
      </c>
      <c r="AB27" s="499">
        <f>SUM('Combined All Buildings'!$N$4:$N$6)*'Criteria Pollutants'!AB$24</f>
        <v>89802.62367096309</v>
      </c>
      <c r="AC27" s="499">
        <f>SUM('Combined All Buildings'!$N$4:$N$6)*'Criteria Pollutants'!AC$24</f>
        <v>89802.62367096309</v>
      </c>
      <c r="AD27" s="499">
        <f>SUM('Combined All Buildings'!$N$4:$N$6)*'Criteria Pollutants'!AD$24</f>
        <v>89802.62367096309</v>
      </c>
      <c r="AE27" s="499">
        <f>SUM('Combined All Buildings'!$N$4:$N$6)*'Criteria Pollutants'!AE$24</f>
        <v>89802.62367096309</v>
      </c>
      <c r="AF27" s="499">
        <f>SUM('Combined All Buildings'!$N$4:$N$6)*'Criteria Pollutants'!AF$24</f>
        <v>89802.62367096309</v>
      </c>
      <c r="AG27" s="499">
        <f>SUM('Combined All Buildings'!$N$4:$N$6)*'Criteria Pollutants'!AG$24</f>
        <v>89802.62367096309</v>
      </c>
      <c r="AH27" s="499">
        <f>SUM('Combined All Buildings'!$N$4:$N$6)*'Criteria Pollutants'!AH$24</f>
        <v>89802.62367096309</v>
      </c>
    </row>
    <row r="28" spans="2:34" x14ac:dyDescent="0.35">
      <c r="B28" s="1285"/>
      <c r="C28" s="492" t="s">
        <v>625</v>
      </c>
      <c r="D28" s="516">
        <f>'CO2 Emissions'!D$11*'Criteria Pollutants'!$C$4</f>
        <v>-7324.9814242801276</v>
      </c>
      <c r="E28" s="568">
        <f>'CO2 Emissions'!E$11*'Criteria Pollutants'!$C$4</f>
        <v>-10589.346735182153</v>
      </c>
      <c r="F28" s="498">
        <f>'CO2 Emissions'!F$11*'Criteria Pollutants'!$C$4</f>
        <v>-10844.751917900716</v>
      </c>
      <c r="G28" s="498">
        <f>'CO2 Emissions'!G$11*'Criteria Pollutants'!$C$4</f>
        <v>-11521.452216691518</v>
      </c>
      <c r="H28" s="498">
        <f>'CO2 Emissions'!H$11*'Criteria Pollutants'!$C$4</f>
        <v>-11233.020989061761</v>
      </c>
      <c r="I28" s="498">
        <f>'CO2 Emissions'!I$11*'Criteria Pollutants'!$C$4</f>
        <v>-10646.167935165853</v>
      </c>
      <c r="J28" s="498">
        <f>'CO2 Emissions'!J$11*'Criteria Pollutants'!$C$4</f>
        <v>-8705.317334366111</v>
      </c>
      <c r="K28" s="498">
        <f>'CO2 Emissions'!K$11*'Criteria Pollutants'!$C$4</f>
        <v>-7687.4608257383106</v>
      </c>
      <c r="L28" s="498">
        <f>'CO2 Emissions'!L$11*'Criteria Pollutants'!$C$4</f>
        <v>-8169.6939158858431</v>
      </c>
      <c r="M28" s="498">
        <f>'CO2 Emissions'!M$11*'Criteria Pollutants'!$C$4</f>
        <v>-8259.6238241524388</v>
      </c>
      <c r="N28" s="498">
        <f>'CO2 Emissions'!N$11*'Criteria Pollutants'!$C$4</f>
        <v>-8256.5932375155826</v>
      </c>
      <c r="O28" s="498">
        <f>'CO2 Emissions'!O$11*'Criteria Pollutants'!$C$4</f>
        <v>-8199.6842187247457</v>
      </c>
      <c r="P28" s="498">
        <f>'CO2 Emissions'!P$11*'Criteria Pollutants'!$C$4</f>
        <v>-8098.5910572010225</v>
      </c>
      <c r="Q28" s="498">
        <f>'CO2 Emissions'!Q$11*'Criteria Pollutants'!$C$4</f>
        <v>-7966.2788719904111</v>
      </c>
      <c r="R28" s="498">
        <f>'CO2 Emissions'!R$11*'Criteria Pollutants'!$C$4</f>
        <v>-7629.493932815366</v>
      </c>
      <c r="S28" s="498">
        <f>'CO2 Emissions'!S$11*'Criteria Pollutants'!$C$4</f>
        <v>-7306.5055066404329</v>
      </c>
      <c r="T28" s="498">
        <f>'CO2 Emissions'!T$11*'Criteria Pollutants'!$C$4</f>
        <v>-7000.139377989095</v>
      </c>
      <c r="U28" s="498">
        <f>'CO2 Emissions'!U$11*'Criteria Pollutants'!$C$4</f>
        <v>-6708.3868356585526</v>
      </c>
      <c r="V28" s="498">
        <f>'CO2 Emissions'!V$11*'Criteria Pollutants'!$C$4</f>
        <v>-6431.3139301978154</v>
      </c>
      <c r="W28" s="498">
        <f>'CO2 Emissions'!W$11*'Criteria Pollutants'!$C$4</f>
        <v>-6227.7085650829786</v>
      </c>
      <c r="X28" s="498">
        <f>'CO2 Emissions'!X$11*'Criteria Pollutants'!$C$4</f>
        <v>-6027.5732446775382</v>
      </c>
      <c r="Y28" s="498">
        <f>'CO2 Emissions'!Y$11*'Criteria Pollutants'!$C$4</f>
        <v>-5830.0627631241005</v>
      </c>
      <c r="Z28" s="498">
        <f>'CO2 Emissions'!Z$11*'Criteria Pollutants'!$C$4</f>
        <v>-5634.8793933372999</v>
      </c>
      <c r="AA28" s="499">
        <f>'CO2 Emissions'!AA$11*'Criteria Pollutants'!$C$4</f>
        <v>-4218.3756311973593</v>
      </c>
      <c r="AB28" s="499">
        <f>'CO2 Emissions'!AB$11*'Criteria Pollutants'!$C$4</f>
        <v>-4218.3756311973593</v>
      </c>
      <c r="AC28" s="499">
        <f>'CO2 Emissions'!AC$11*'Criteria Pollutants'!$C$4</f>
        <v>-4218.3756311973593</v>
      </c>
      <c r="AD28" s="499">
        <f>'CO2 Emissions'!AD$11*'Criteria Pollutants'!$C$4</f>
        <v>-4218.3756311973593</v>
      </c>
      <c r="AE28" s="499">
        <f>'CO2 Emissions'!AE$11*'Criteria Pollutants'!$C$4</f>
        <v>-4218.3756311973593</v>
      </c>
      <c r="AF28" s="499">
        <f>'CO2 Emissions'!AF$11*'Criteria Pollutants'!$C$4</f>
        <v>-4218.3756311973593</v>
      </c>
      <c r="AG28" s="499">
        <f>'CO2 Emissions'!AG$11*'Criteria Pollutants'!$C$4</f>
        <v>-4218.3756311973593</v>
      </c>
      <c r="AH28" s="499">
        <f>'CO2 Emissions'!AH$11*'Criteria Pollutants'!$C$4</f>
        <v>-4218.3756311973593</v>
      </c>
    </row>
    <row r="29" spans="2:34" x14ac:dyDescent="0.35">
      <c r="B29" s="1285"/>
      <c r="C29" s="492" t="s">
        <v>626</v>
      </c>
      <c r="D29" s="516">
        <f>'CO2 Emissions'!D$11*'Criteria Pollutants'!$C$5</f>
        <v>-357.01590135146841</v>
      </c>
      <c r="E29" s="568">
        <f>'CO2 Emissions'!E$11*'Criteria Pollutants'!$C$5</f>
        <v>-516.119420706357</v>
      </c>
      <c r="F29" s="498">
        <f>'CO2 Emissions'!F$11*'Criteria Pollutants'!$C$5</f>
        <v>-528.5677405363374</v>
      </c>
      <c r="G29" s="498">
        <f>'CO2 Emissions'!G$11*'Criteria Pollutants'!$C$5</f>
        <v>-561.5497719059731</v>
      </c>
      <c r="H29" s="498">
        <f>'CO2 Emissions'!H$11*'Criteria Pollutants'!$C$5</f>
        <v>-547.49177929880852</v>
      </c>
      <c r="I29" s="498">
        <f>'CO2 Emissions'!I$11*'Criteria Pollutants'!$C$5</f>
        <v>-518.88885734421797</v>
      </c>
      <c r="J29" s="498">
        <f>'CO2 Emissions'!J$11*'Criteria Pollutants'!$C$5</f>
        <v>-424.2927776413735</v>
      </c>
      <c r="K29" s="498">
        <f>'CO2 Emissions'!K$11*'Criteria Pollutants'!$C$5</f>
        <v>-374.68296461581684</v>
      </c>
      <c r="L29" s="498">
        <f>'CO2 Emissions'!L$11*'Criteria Pollutants'!$C$5</f>
        <v>-398.18676228687303</v>
      </c>
      <c r="M29" s="498">
        <f>'CO2 Emissions'!M$11*'Criteria Pollutants'!$C$5</f>
        <v>-402.56990067297596</v>
      </c>
      <c r="N29" s="498">
        <f>'CO2 Emissions'!N$11*'Criteria Pollutants'!$C$5</f>
        <v>-402.42219140832253</v>
      </c>
      <c r="O29" s="498">
        <f>'CO2 Emissions'!O$11*'Criteria Pollutants'!$C$5</f>
        <v>-399.64847452608001</v>
      </c>
      <c r="P29" s="498">
        <f>'CO2 Emissions'!P$11*'Criteria Pollutants'!$C$5</f>
        <v>-394.72124480475571</v>
      </c>
      <c r="Q29" s="498">
        <f>'CO2 Emissions'!Q$11*'Criteria Pollutants'!$C$5</f>
        <v>-388.2724156096167</v>
      </c>
      <c r="R29" s="498">
        <f>'CO2 Emissions'!R$11*'Criteria Pollutants'!$C$5</f>
        <v>-371.8576874817573</v>
      </c>
      <c r="S29" s="498">
        <f>'CO2 Emissions'!S$11*'Criteria Pollutants'!$C$5</f>
        <v>-356.11539444129841</v>
      </c>
      <c r="T29" s="498">
        <f>'CO2 Emissions'!T$11*'Criteria Pollutants'!$C$5</f>
        <v>-341.18326380114917</v>
      </c>
      <c r="U29" s="498">
        <f>'CO2 Emissions'!U$11*'Criteria Pollutants'!$C$5</f>
        <v>-326.96339199008071</v>
      </c>
      <c r="V29" s="498">
        <f>'CO2 Emissions'!V$11*'Criteria Pollutants'!$C$5</f>
        <v>-313.45899827854896</v>
      </c>
      <c r="W29" s="498">
        <f>'CO2 Emissions'!W$11*'Criteria Pollutants'!$C$5</f>
        <v>-303.53537544101908</v>
      </c>
      <c r="X29" s="498">
        <f>'CO2 Emissions'!X$11*'Criteria Pollutants'!$C$5</f>
        <v>-293.78088083302288</v>
      </c>
      <c r="Y29" s="498">
        <f>'CO2 Emissions'!Y$11*'Criteria Pollutants'!$C$5</f>
        <v>-284.15431954722504</v>
      </c>
      <c r="Z29" s="498">
        <f>'CO2 Emissions'!Z$11*'Criteria Pollutants'!$C$5</f>
        <v>-274.6411805155995</v>
      </c>
      <c r="AA29" s="499">
        <f>'CO2 Emissions'!AA$11*'Criteria Pollutants'!$C$5</f>
        <v>-205.6015013524763</v>
      </c>
      <c r="AB29" s="499">
        <f>'CO2 Emissions'!AB$11*'Criteria Pollutants'!$C$5</f>
        <v>-205.6015013524763</v>
      </c>
      <c r="AC29" s="499">
        <f>'CO2 Emissions'!AC$11*'Criteria Pollutants'!$C$5</f>
        <v>-205.6015013524763</v>
      </c>
      <c r="AD29" s="499">
        <f>'CO2 Emissions'!AD$11*'Criteria Pollutants'!$C$5</f>
        <v>-205.6015013524763</v>
      </c>
      <c r="AE29" s="499">
        <f>'CO2 Emissions'!AE$11*'Criteria Pollutants'!$C$5</f>
        <v>-205.6015013524763</v>
      </c>
      <c r="AF29" s="499">
        <f>'CO2 Emissions'!AF$11*'Criteria Pollutants'!$C$5</f>
        <v>-205.6015013524763</v>
      </c>
      <c r="AG29" s="499">
        <f>'CO2 Emissions'!AG$11*'Criteria Pollutants'!$C$5</f>
        <v>-205.6015013524763</v>
      </c>
      <c r="AH29" s="499">
        <f>'CO2 Emissions'!AH$11*'Criteria Pollutants'!$C$5</f>
        <v>-205.6015013524763</v>
      </c>
    </row>
    <row r="30" spans="2:34" x14ac:dyDescent="0.35">
      <c r="B30" s="1285"/>
      <c r="C30" s="500" t="s">
        <v>627</v>
      </c>
      <c r="D30" s="569">
        <f>D28+D26</f>
        <v>88464.483824747178</v>
      </c>
      <c r="E30" s="501">
        <f>E26+E28</f>
        <v>85200.11851384514</v>
      </c>
      <c r="F30" s="501">
        <f t="shared" ref="F30:AH31" si="8">F26+F28</f>
        <v>84944.713331126579</v>
      </c>
      <c r="G30" s="501">
        <f t="shared" si="8"/>
        <v>84268.013032335788</v>
      </c>
      <c r="H30" s="501">
        <f t="shared" si="8"/>
        <v>84556.444259965545</v>
      </c>
      <c r="I30" s="501">
        <f t="shared" si="8"/>
        <v>85143.297313861447</v>
      </c>
      <c r="J30" s="501">
        <f t="shared" si="8"/>
        <v>87084.147914661182</v>
      </c>
      <c r="K30" s="501">
        <f t="shared" si="8"/>
        <v>88102.004423288992</v>
      </c>
      <c r="L30" s="501">
        <f t="shared" si="8"/>
        <v>87619.771333141456</v>
      </c>
      <c r="M30" s="501">
        <f t="shared" si="8"/>
        <v>87529.84142487486</v>
      </c>
      <c r="N30" s="501">
        <f t="shared" si="8"/>
        <v>87532.872011511718</v>
      </c>
      <c r="O30" s="501">
        <f t="shared" si="8"/>
        <v>87589.781030302547</v>
      </c>
      <c r="P30" s="501">
        <f t="shared" si="8"/>
        <v>87690.874191826282</v>
      </c>
      <c r="Q30" s="501">
        <f t="shared" si="8"/>
        <v>87823.186377036895</v>
      </c>
      <c r="R30" s="501">
        <f t="shared" si="8"/>
        <v>88159.97131621193</v>
      </c>
      <c r="S30" s="501">
        <f t="shared" si="8"/>
        <v>88482.959742386869</v>
      </c>
      <c r="T30" s="501">
        <f t="shared" si="8"/>
        <v>88789.325871038207</v>
      </c>
      <c r="U30" s="501">
        <f>U26+U28</f>
        <v>89081.078413368741</v>
      </c>
      <c r="V30" s="501">
        <f t="shared" si="8"/>
        <v>89358.151318829478</v>
      </c>
      <c r="W30" s="501">
        <f t="shared" si="8"/>
        <v>89561.756683944317</v>
      </c>
      <c r="X30" s="501">
        <f t="shared" si="8"/>
        <v>89761.892004349764</v>
      </c>
      <c r="Y30" s="501">
        <f t="shared" si="8"/>
        <v>89959.402485903207</v>
      </c>
      <c r="Z30" s="501">
        <f t="shared" si="8"/>
        <v>90154.585855690006</v>
      </c>
      <c r="AA30" s="502">
        <f t="shared" si="8"/>
        <v>91571.089617829944</v>
      </c>
      <c r="AB30" s="502">
        <f t="shared" si="8"/>
        <v>91571.089617829944</v>
      </c>
      <c r="AC30" s="502">
        <f t="shared" si="8"/>
        <v>91571.089617829944</v>
      </c>
      <c r="AD30" s="502">
        <f t="shared" si="8"/>
        <v>91571.089617829944</v>
      </c>
      <c r="AE30" s="502">
        <f t="shared" si="8"/>
        <v>91571.089617829944</v>
      </c>
      <c r="AF30" s="502">
        <f t="shared" si="8"/>
        <v>91571.089617829944</v>
      </c>
      <c r="AG30" s="502">
        <f t="shared" si="8"/>
        <v>91571.089617829944</v>
      </c>
      <c r="AH30" s="502">
        <f t="shared" si="8"/>
        <v>91571.089617829944</v>
      </c>
    </row>
    <row r="31" spans="2:34" x14ac:dyDescent="0.35">
      <c r="B31" s="1285"/>
      <c r="C31" s="500" t="s">
        <v>628</v>
      </c>
      <c r="D31" s="569">
        <f>D29+D27</f>
        <v>89445.607769611626</v>
      </c>
      <c r="E31" s="501">
        <f>E27+E29</f>
        <v>89286.504250256738</v>
      </c>
      <c r="F31" s="501">
        <f t="shared" ref="F31:AA31" si="9">F27+F29</f>
        <v>89274.055930426752</v>
      </c>
      <c r="G31" s="501">
        <f t="shared" si="9"/>
        <v>89241.073899057112</v>
      </c>
      <c r="H31" s="501">
        <f t="shared" si="9"/>
        <v>89255.131891664278</v>
      </c>
      <c r="I31" s="501">
        <f t="shared" si="9"/>
        <v>89283.734813618867</v>
      </c>
      <c r="J31" s="501">
        <f t="shared" si="9"/>
        <v>89378.330893321719</v>
      </c>
      <c r="K31" s="501">
        <f t="shared" si="9"/>
        <v>89427.940706347275</v>
      </c>
      <c r="L31" s="501">
        <f t="shared" si="9"/>
        <v>89404.436908676216</v>
      </c>
      <c r="M31" s="501">
        <f t="shared" si="9"/>
        <v>89400.05377029012</v>
      </c>
      <c r="N31" s="501">
        <f t="shared" si="9"/>
        <v>89400.201479554773</v>
      </c>
      <c r="O31" s="501">
        <f t="shared" si="9"/>
        <v>89402.975196437008</v>
      </c>
      <c r="P31" s="501">
        <f t="shared" si="9"/>
        <v>89407.90242615834</v>
      </c>
      <c r="Q31" s="501">
        <f t="shared" si="9"/>
        <v>89414.351255353467</v>
      </c>
      <c r="R31" s="501">
        <f t="shared" si="9"/>
        <v>89430.765983481338</v>
      </c>
      <c r="S31" s="501">
        <f t="shared" si="9"/>
        <v>89446.508276521796</v>
      </c>
      <c r="T31" s="501">
        <f t="shared" si="9"/>
        <v>89461.440407161936</v>
      </c>
      <c r="U31" s="501">
        <f t="shared" si="9"/>
        <v>89475.66027897301</v>
      </c>
      <c r="V31" s="501">
        <f t="shared" si="9"/>
        <v>89489.164672684536</v>
      </c>
      <c r="W31" s="501">
        <f t="shared" si="9"/>
        <v>89499.088295522073</v>
      </c>
      <c r="X31" s="501">
        <f t="shared" si="9"/>
        <v>89508.84279013006</v>
      </c>
      <c r="Y31" s="501">
        <f t="shared" si="9"/>
        <v>89518.469351415872</v>
      </c>
      <c r="Z31" s="501">
        <f t="shared" si="9"/>
        <v>89527.982490447495</v>
      </c>
      <c r="AA31" s="502">
        <f t="shared" si="9"/>
        <v>89597.022169610616</v>
      </c>
      <c r="AB31" s="502">
        <f t="shared" si="8"/>
        <v>89597.022169610616</v>
      </c>
      <c r="AC31" s="502">
        <f t="shared" si="8"/>
        <v>89597.022169610616</v>
      </c>
      <c r="AD31" s="502">
        <f t="shared" si="8"/>
        <v>89597.022169610616</v>
      </c>
      <c r="AE31" s="502">
        <f t="shared" si="8"/>
        <v>89597.022169610616</v>
      </c>
      <c r="AF31" s="502">
        <f t="shared" si="8"/>
        <v>89597.022169610616</v>
      </c>
      <c r="AG31" s="502">
        <f t="shared" si="8"/>
        <v>89597.022169610616</v>
      </c>
      <c r="AH31" s="502">
        <f t="shared" si="8"/>
        <v>89597.022169610616</v>
      </c>
    </row>
    <row r="32" spans="2:34" x14ac:dyDescent="0.35">
      <c r="B32" s="1285"/>
      <c r="C32" s="492"/>
      <c r="D32" s="512"/>
      <c r="E32" s="493"/>
      <c r="F32" s="493"/>
      <c r="G32" s="493"/>
      <c r="H32" s="493"/>
      <c r="I32" s="493"/>
      <c r="J32" s="493"/>
      <c r="K32" s="493"/>
      <c r="L32" s="493"/>
      <c r="M32" s="493"/>
      <c r="N32" s="493"/>
      <c r="O32" s="493"/>
      <c r="P32" s="493"/>
      <c r="Q32" s="493"/>
      <c r="R32" s="493"/>
      <c r="S32" s="493"/>
      <c r="T32" s="493"/>
      <c r="U32" s="493"/>
      <c r="V32" s="493"/>
      <c r="W32" s="493"/>
      <c r="X32" s="493"/>
      <c r="Y32" s="493"/>
      <c r="Z32" s="493"/>
      <c r="AA32" s="494"/>
      <c r="AB32" s="494"/>
      <c r="AC32" s="494"/>
      <c r="AD32" s="494"/>
      <c r="AE32" s="494"/>
      <c r="AF32" s="494"/>
      <c r="AG32" s="494"/>
      <c r="AH32" s="494"/>
    </row>
    <row r="33" spans="2:34" x14ac:dyDescent="0.35">
      <c r="B33" s="1285"/>
      <c r="C33" s="500" t="s">
        <v>538</v>
      </c>
      <c r="D33" s="516">
        <f>SUM('Combined All Buildings'!R7:R8)*$C$4</f>
        <v>8559.5334172120511</v>
      </c>
      <c r="E33" s="501">
        <f>$D$33*'Criteria Pollutants'!E18</f>
        <v>12374.074689908817</v>
      </c>
      <c r="F33" s="501">
        <f>$D$33*'Criteria Pollutants'!F18</f>
        <v>12672.525849001488</v>
      </c>
      <c r="G33" s="501">
        <f>$D$33*'Criteria Pollutants'!G18</f>
        <v>13463.277181385447</v>
      </c>
      <c r="H33" s="501">
        <f>$D$33*'Criteria Pollutants'!H18</f>
        <v>13126.233769468941</v>
      </c>
      <c r="I33" s="501">
        <f>$D$33*'Criteria Pollutants'!I18</f>
        <v>12440.472532018617</v>
      </c>
      <c r="J33" s="501">
        <f>$D$33*'Criteria Pollutants'!J18</f>
        <v>10172.511070670049</v>
      </c>
      <c r="K33" s="501">
        <f>$D$33*'Criteria Pollutants'!K18</f>
        <v>8983.1050783698483</v>
      </c>
      <c r="L33" s="501">
        <f>$D$33*'Criteria Pollutants'!L18</f>
        <v>9546.6137087564275</v>
      </c>
      <c r="M33" s="501">
        <f>$D$33*'Criteria Pollutants'!M18</f>
        <v>9651.7003991421825</v>
      </c>
      <c r="N33" s="501">
        <f>$D$33*'Criteria Pollutants'!N18</f>
        <v>9648.1590375892465</v>
      </c>
      <c r="O33" s="501">
        <f>$D$33*'Criteria Pollutants'!O18</f>
        <v>9581.6585756950644</v>
      </c>
      <c r="P33" s="501">
        <f>$D$33*'Criteria Pollutants'!P18</f>
        <v>9463.527177921731</v>
      </c>
      <c r="Q33" s="501">
        <f>$D$33*'Criteria Pollutants'!Q18</f>
        <v>9308.9151038131786</v>
      </c>
      <c r="R33" s="501">
        <f>$D$33*'Criteria Pollutants'!R18</f>
        <v>8915.3684482916815</v>
      </c>
      <c r="S33" s="501">
        <f>$D$33*'Criteria Pollutants'!S18</f>
        <v>8537.943569362551</v>
      </c>
      <c r="T33" s="501">
        <f>$D$33*'Criteria Pollutants'!T18</f>
        <v>8179.9425091276808</v>
      </c>
      <c r="U33" s="501">
        <f>$D$33*'Criteria Pollutants'!U18</f>
        <v>7839.0180083013493</v>
      </c>
      <c r="V33" s="501">
        <f>$D$33*'Criteria Pollutants'!V18</f>
        <v>7515.2472495887032</v>
      </c>
      <c r="W33" s="501">
        <f>$D$33*'Criteria Pollutants'!W18</f>
        <v>7277.3262466975084</v>
      </c>
      <c r="X33" s="501">
        <f>$D$33*'Criteria Pollutants'!X18</f>
        <v>7043.4601296727587</v>
      </c>
      <c r="Y33" s="501">
        <f>$D$33*'Criteria Pollutants'!Y18</f>
        <v>6812.6612417052802</v>
      </c>
      <c r="Z33" s="501">
        <f>$D$33*'Criteria Pollutants'!Z18</f>
        <v>6584.5816768020322</v>
      </c>
      <c r="AA33" s="502">
        <f>$D$33*'Criteria Pollutants'!AA18</f>
        <v>4929.3404433630039</v>
      </c>
      <c r="AB33" s="502">
        <f>$D$33*'Criteria Pollutants'!AB18</f>
        <v>4929.3404433630039</v>
      </c>
      <c r="AC33" s="502">
        <f>$D$33*'Criteria Pollutants'!AC18</f>
        <v>4929.3404433630039</v>
      </c>
      <c r="AD33" s="502">
        <f>$D$33*'Criteria Pollutants'!AD18</f>
        <v>4929.3404433630039</v>
      </c>
      <c r="AE33" s="502">
        <f>$D$33*'Criteria Pollutants'!AE18</f>
        <v>4929.3404433630039</v>
      </c>
      <c r="AF33" s="502">
        <f>$D$33*'Criteria Pollutants'!AF18</f>
        <v>4929.3404433630039</v>
      </c>
      <c r="AG33" s="502">
        <f>$D$33*'Criteria Pollutants'!AG18</f>
        <v>4929.3404433630039</v>
      </c>
      <c r="AH33" s="502">
        <f>$D$33*'Criteria Pollutants'!AH18</f>
        <v>4929.3404433630039</v>
      </c>
    </row>
    <row r="34" spans="2:34" x14ac:dyDescent="0.35">
      <c r="B34" s="1285"/>
      <c r="C34" s="500" t="s">
        <v>539</v>
      </c>
      <c r="D34" s="516">
        <f>SUM('Combined All Buildings'!R7:R8)*$C$5</f>
        <v>417.18734302378067</v>
      </c>
      <c r="E34" s="501">
        <f>$D$34*'Criteria Pollutants'!E18</f>
        <v>603.10616135690043</v>
      </c>
      <c r="F34" s="501">
        <f>$D$34*'Criteria Pollutants'!F18</f>
        <v>617.65252037150117</v>
      </c>
      <c r="G34" s="501">
        <f>$D$34*'Criteria Pollutants'!G18</f>
        <v>656.19334161374456</v>
      </c>
      <c r="H34" s="501">
        <f>$D$34*'Criteria Pollutants'!H18</f>
        <v>639.76601565478882</v>
      </c>
      <c r="I34" s="501">
        <f>$D$34*'Criteria Pollutants'!I18</f>
        <v>606.34235870342843</v>
      </c>
      <c r="J34" s="501">
        <f>$D$34*'Criteria Pollutants'!J18</f>
        <v>495.80306058727973</v>
      </c>
      <c r="K34" s="501">
        <f>$D$34*'Criteria Pollutants'!K18</f>
        <v>437.83201222306826</v>
      </c>
      <c r="L34" s="501">
        <f>$D$34*'Criteria Pollutants'!L18</f>
        <v>465.29713874611167</v>
      </c>
      <c r="M34" s="501">
        <f>$D$34*'Criteria Pollutants'!M18</f>
        <v>470.41901105062743</v>
      </c>
      <c r="N34" s="501">
        <f>$D$34*'Criteria Pollutants'!N18</f>
        <v>470.24640687409777</v>
      </c>
      <c r="O34" s="501">
        <f>$D$34*'Criteria Pollutants'!O18</f>
        <v>467.00520789102001</v>
      </c>
      <c r="P34" s="501">
        <f>$D$34*'Criteria Pollutants'!P18</f>
        <v>461.24754312559702</v>
      </c>
      <c r="Q34" s="501">
        <f>$D$34*'Criteria Pollutants'!Q18</f>
        <v>453.71182858921372</v>
      </c>
      <c r="R34" s="501">
        <f>$D$34*'Criteria Pollutants'!R18</f>
        <v>434.53056302598117</v>
      </c>
      <c r="S34" s="501">
        <f>$D$34*'Criteria Pollutants'!S18</f>
        <v>416.13506472523363</v>
      </c>
      <c r="T34" s="501">
        <f>$D$34*'Criteria Pollutants'!T18</f>
        <v>398.68627355412229</v>
      </c>
      <c r="U34" s="501">
        <f>$D$34*'Criteria Pollutants'!U18</f>
        <v>382.06978527855318</v>
      </c>
      <c r="V34" s="501">
        <f>$D$34*'Criteria Pollutants'!V18</f>
        <v>366.28936174465952</v>
      </c>
      <c r="W34" s="501">
        <f>$D$34*'Criteria Pollutants'!W18</f>
        <v>354.69321202391217</v>
      </c>
      <c r="X34" s="501">
        <f>$D$34*'Criteria Pollutants'!X18</f>
        <v>343.29469539581515</v>
      </c>
      <c r="Y34" s="501">
        <f>$D$34*'Criteria Pollutants'!Y18</f>
        <v>332.04567396546747</v>
      </c>
      <c r="Z34" s="501">
        <f>$D$34*'Criteria Pollutants'!Z18</f>
        <v>320.92919097018313</v>
      </c>
      <c r="AA34" s="502">
        <f>$D$34*'Criteria Pollutants'!AA18</f>
        <v>240.25356782777666</v>
      </c>
      <c r="AB34" s="502">
        <f>$D$34*'Criteria Pollutants'!AB18</f>
        <v>240.25356782777666</v>
      </c>
      <c r="AC34" s="502">
        <f>$D$34*'Criteria Pollutants'!AC18</f>
        <v>240.25356782777666</v>
      </c>
      <c r="AD34" s="502">
        <f>$D$34*'Criteria Pollutants'!AD18</f>
        <v>240.25356782777666</v>
      </c>
      <c r="AE34" s="502">
        <f>$D$34*'Criteria Pollutants'!AE18</f>
        <v>240.25356782777666</v>
      </c>
      <c r="AF34" s="502">
        <f>$D$34*'Criteria Pollutants'!AF18</f>
        <v>240.25356782777666</v>
      </c>
      <c r="AG34" s="502">
        <f>$D$34*'Criteria Pollutants'!AG18</f>
        <v>240.25356782777666</v>
      </c>
      <c r="AH34" s="502">
        <f>$D$34*'Criteria Pollutants'!AH18</f>
        <v>240.25356782777666</v>
      </c>
    </row>
    <row r="35" spans="2:34" x14ac:dyDescent="0.35">
      <c r="B35" s="1285"/>
      <c r="C35" s="492"/>
      <c r="D35" s="512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3"/>
      <c r="P35" s="493"/>
      <c r="Q35" s="493"/>
      <c r="R35" s="493"/>
      <c r="S35" s="493"/>
      <c r="T35" s="493"/>
      <c r="U35" s="493"/>
      <c r="V35" s="493"/>
      <c r="W35" s="493"/>
      <c r="X35" s="493"/>
      <c r="Y35" s="493"/>
      <c r="Z35" s="493"/>
      <c r="AA35" s="494"/>
      <c r="AB35" s="494"/>
      <c r="AC35" s="494"/>
      <c r="AD35" s="494"/>
      <c r="AE35" s="494"/>
      <c r="AF35" s="494"/>
      <c r="AG35" s="494"/>
      <c r="AH35" s="494"/>
    </row>
    <row r="36" spans="2:34" x14ac:dyDescent="0.35">
      <c r="B36" s="1285"/>
      <c r="C36" s="581" t="s">
        <v>540</v>
      </c>
      <c r="D36" s="564">
        <f>D30+D33</f>
        <v>97024.017241959227</v>
      </c>
      <c r="E36" s="565">
        <f>E30+E33</f>
        <v>97574.193203753952</v>
      </c>
      <c r="F36" s="565">
        <f t="shared" ref="F36:AH37" si="10">F30+F33</f>
        <v>97617.239180128061</v>
      </c>
      <c r="G36" s="565">
        <f t="shared" si="10"/>
        <v>97731.290213721237</v>
      </c>
      <c r="H36" s="565">
        <f t="shared" si="10"/>
        <v>97682.678029434494</v>
      </c>
      <c r="I36" s="565">
        <f t="shared" si="10"/>
        <v>97583.769845880059</v>
      </c>
      <c r="J36" s="565">
        <f t="shared" si="10"/>
        <v>97256.658985331233</v>
      </c>
      <c r="K36" s="565">
        <f t="shared" si="10"/>
        <v>97085.109501658837</v>
      </c>
      <c r="L36" s="565">
        <f t="shared" si="10"/>
        <v>97166.385041897884</v>
      </c>
      <c r="M36" s="565">
        <f t="shared" si="10"/>
        <v>97181.54182401704</v>
      </c>
      <c r="N36" s="565">
        <f t="shared" si="10"/>
        <v>97181.031049100959</v>
      </c>
      <c r="O36" s="565">
        <f t="shared" si="10"/>
        <v>97171.439605997613</v>
      </c>
      <c r="P36" s="565">
        <f t="shared" si="10"/>
        <v>97154.401369748011</v>
      </c>
      <c r="Q36" s="565">
        <f t="shared" si="10"/>
        <v>97132.101480850077</v>
      </c>
      <c r="R36" s="565">
        <f t="shared" si="10"/>
        <v>97075.339764503617</v>
      </c>
      <c r="S36" s="565">
        <f t="shared" si="10"/>
        <v>97020.903311749425</v>
      </c>
      <c r="T36" s="565">
        <f t="shared" si="10"/>
        <v>96969.268380165886</v>
      </c>
      <c r="U36" s="565">
        <f t="shared" si="10"/>
        <v>96920.096421670096</v>
      </c>
      <c r="V36" s="565">
        <f t="shared" si="10"/>
        <v>96873.398568418183</v>
      </c>
      <c r="W36" s="565">
        <f t="shared" si="10"/>
        <v>96839.082930641831</v>
      </c>
      <c r="X36" s="565">
        <f t="shared" si="10"/>
        <v>96805.352134022527</v>
      </c>
      <c r="Y36" s="565">
        <f t="shared" si="10"/>
        <v>96772.063727608489</v>
      </c>
      <c r="Z36" s="565">
        <f t="shared" si="10"/>
        <v>96739.167532492036</v>
      </c>
      <c r="AA36" s="566">
        <f t="shared" si="10"/>
        <v>96500.43006119295</v>
      </c>
      <c r="AB36" s="566">
        <f t="shared" si="10"/>
        <v>96500.43006119295</v>
      </c>
      <c r="AC36" s="566">
        <f t="shared" si="10"/>
        <v>96500.43006119295</v>
      </c>
      <c r="AD36" s="566">
        <f t="shared" si="10"/>
        <v>96500.43006119295</v>
      </c>
      <c r="AE36" s="566">
        <f t="shared" si="10"/>
        <v>96500.43006119295</v>
      </c>
      <c r="AF36" s="566">
        <f t="shared" si="10"/>
        <v>96500.43006119295</v>
      </c>
      <c r="AG36" s="566">
        <f t="shared" si="10"/>
        <v>96500.43006119295</v>
      </c>
      <c r="AH36" s="566">
        <f t="shared" si="10"/>
        <v>96500.43006119295</v>
      </c>
    </row>
    <row r="37" spans="2:34" x14ac:dyDescent="0.35">
      <c r="B37" s="1286"/>
      <c r="C37" s="582" t="s">
        <v>541</v>
      </c>
      <c r="D37" s="559">
        <f>D31+D34</f>
        <v>89862.795112635402</v>
      </c>
      <c r="E37" s="561">
        <f t="shared" ref="E37:AA37" si="11">E31+E34</f>
        <v>89889.610411613641</v>
      </c>
      <c r="F37" s="561">
        <f t="shared" si="11"/>
        <v>89891.708450798251</v>
      </c>
      <c r="G37" s="561">
        <f t="shared" si="11"/>
        <v>89897.267240670859</v>
      </c>
      <c r="H37" s="561">
        <f t="shared" si="11"/>
        <v>89894.897907319071</v>
      </c>
      <c r="I37" s="561">
        <f t="shared" si="11"/>
        <v>89890.077172322301</v>
      </c>
      <c r="J37" s="561">
        <f t="shared" si="11"/>
        <v>89874.133953908997</v>
      </c>
      <c r="K37" s="561">
        <f t="shared" si="11"/>
        <v>89865.772718570341</v>
      </c>
      <c r="L37" s="561">
        <f t="shared" si="11"/>
        <v>89869.734047422331</v>
      </c>
      <c r="M37" s="561">
        <f t="shared" si="11"/>
        <v>89870.472781340752</v>
      </c>
      <c r="N37" s="561">
        <f t="shared" si="11"/>
        <v>89870.447886428869</v>
      </c>
      <c r="O37" s="561">
        <f t="shared" si="11"/>
        <v>89869.980404328031</v>
      </c>
      <c r="P37" s="561">
        <f t="shared" si="11"/>
        <v>89869.149969283942</v>
      </c>
      <c r="Q37" s="561">
        <f t="shared" si="11"/>
        <v>89868.063083942674</v>
      </c>
      <c r="R37" s="561">
        <f t="shared" si="11"/>
        <v>89865.296546507321</v>
      </c>
      <c r="S37" s="561">
        <f t="shared" si="11"/>
        <v>89862.643341247036</v>
      </c>
      <c r="T37" s="561">
        <f t="shared" si="11"/>
        <v>89860.126680716057</v>
      </c>
      <c r="U37" s="561">
        <f t="shared" si="11"/>
        <v>89857.730064251562</v>
      </c>
      <c r="V37" s="561">
        <f t="shared" si="11"/>
        <v>89855.454034429189</v>
      </c>
      <c r="W37" s="561">
        <f t="shared" si="11"/>
        <v>89853.78150754598</v>
      </c>
      <c r="X37" s="561">
        <f t="shared" si="11"/>
        <v>89852.137485525876</v>
      </c>
      <c r="Y37" s="561">
        <f t="shared" si="11"/>
        <v>89850.515025381334</v>
      </c>
      <c r="Z37" s="561">
        <f t="shared" si="11"/>
        <v>89848.911681417681</v>
      </c>
      <c r="AA37" s="562">
        <f t="shared" si="11"/>
        <v>89837.275737438395</v>
      </c>
      <c r="AB37" s="562">
        <f t="shared" si="10"/>
        <v>89837.275737438395</v>
      </c>
      <c r="AC37" s="562">
        <f t="shared" si="10"/>
        <v>89837.275737438395</v>
      </c>
      <c r="AD37" s="562">
        <f t="shared" si="10"/>
        <v>89837.275737438395</v>
      </c>
      <c r="AE37" s="562">
        <f t="shared" si="10"/>
        <v>89837.275737438395</v>
      </c>
      <c r="AF37" s="562">
        <f t="shared" si="10"/>
        <v>89837.275737438395</v>
      </c>
      <c r="AG37" s="562">
        <f t="shared" si="10"/>
        <v>89837.275737438395</v>
      </c>
      <c r="AH37" s="562">
        <f t="shared" si="10"/>
        <v>89837.275737438395</v>
      </c>
    </row>
    <row r="38" spans="2:34" x14ac:dyDescent="0.35">
      <c r="C38" s="492"/>
      <c r="D38" s="512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503"/>
    </row>
    <row r="39" spans="2:34" ht="29" x14ac:dyDescent="0.35">
      <c r="C39" s="492"/>
      <c r="D39" s="511" t="s">
        <v>483</v>
      </c>
      <c r="E39" s="490">
        <v>2023</v>
      </c>
      <c r="F39" s="490">
        <v>2024</v>
      </c>
      <c r="G39" s="490">
        <v>2025</v>
      </c>
      <c r="H39" s="490">
        <v>2026</v>
      </c>
      <c r="I39" s="490">
        <v>2027</v>
      </c>
      <c r="J39" s="490">
        <v>2028</v>
      </c>
      <c r="K39" s="490">
        <v>2029</v>
      </c>
      <c r="L39" s="490">
        <v>2030</v>
      </c>
      <c r="M39" s="490">
        <v>2031</v>
      </c>
      <c r="N39" s="490">
        <v>2032</v>
      </c>
      <c r="O39" s="490">
        <v>2033</v>
      </c>
      <c r="P39" s="490">
        <v>2034</v>
      </c>
      <c r="Q39" s="490">
        <v>2035</v>
      </c>
      <c r="R39" s="490">
        <v>2036</v>
      </c>
      <c r="S39" s="490">
        <v>2037</v>
      </c>
      <c r="T39" s="490">
        <v>2038</v>
      </c>
      <c r="U39" s="490">
        <v>2039</v>
      </c>
      <c r="V39" s="490">
        <v>2040</v>
      </c>
      <c r="W39" s="490">
        <v>2041</v>
      </c>
      <c r="X39" s="490">
        <v>2042</v>
      </c>
      <c r="Y39" s="490">
        <v>2043</v>
      </c>
      <c r="Z39" s="490">
        <v>2044</v>
      </c>
      <c r="AA39" s="491">
        <v>2045</v>
      </c>
      <c r="AB39" s="716">
        <f>AA39+1</f>
        <v>2046</v>
      </c>
      <c r="AC39" s="941">
        <f t="shared" ref="AC39:AH39" si="12">AB39+1</f>
        <v>2047</v>
      </c>
      <c r="AD39" s="941">
        <f t="shared" si="12"/>
        <v>2048</v>
      </c>
      <c r="AE39" s="941">
        <f t="shared" si="12"/>
        <v>2049</v>
      </c>
      <c r="AF39" s="941">
        <f t="shared" si="12"/>
        <v>2050</v>
      </c>
      <c r="AG39" s="941">
        <f t="shared" si="12"/>
        <v>2051</v>
      </c>
      <c r="AH39" s="888">
        <f t="shared" si="12"/>
        <v>2052</v>
      </c>
    </row>
    <row r="40" spans="2:34" ht="14.5" customHeight="1" x14ac:dyDescent="0.35">
      <c r="B40" s="1284" t="s">
        <v>489</v>
      </c>
      <c r="C40" s="586" t="s">
        <v>632</v>
      </c>
      <c r="D40" s="530">
        <f>SUM('Combined All Buildings'!$N$9:$N$16,'Combined All Buildings'!$N$12,'Combined All Buildings'!$N$11)*$C$9</f>
        <v>153927.82692715994</v>
      </c>
      <c r="E40" s="526">
        <f>SUM('Combined All Buildings'!$N$9:$N$16,'Combined All Buildings'!$N$12,'Combined All Buildings'!$N$11)*$C$9</f>
        <v>153927.82692715994</v>
      </c>
      <c r="F40" s="526">
        <f>SUM('Combined All Buildings'!$N$9:$N$16,'Combined All Buildings'!$N$12,'Combined All Buildings'!$N$11)*$C$9</f>
        <v>153927.82692715994</v>
      </c>
      <c r="G40" s="526">
        <f>SUM('Combined All Buildings'!$N$9:$N$16,'Combined All Buildings'!$N$12,'Combined All Buildings'!$N$11)*$C$9</f>
        <v>153927.82692715994</v>
      </c>
      <c r="H40" s="526">
        <f>SUM('Combined All Buildings'!$N$9:$N$16,'Combined All Buildings'!$N$12,'Combined All Buildings'!$N$11)*$C$9</f>
        <v>153927.82692715994</v>
      </c>
      <c r="I40" s="526">
        <f>SUM('Combined All Buildings'!$N$9:$N$16,'Combined All Buildings'!$N$12,'Combined All Buildings'!$N$11)*$C$9</f>
        <v>153927.82692715994</v>
      </c>
      <c r="J40" s="526">
        <f>SUM('Combined All Buildings'!$N$9:$N$16,'Combined All Buildings'!$N$12,'Combined All Buildings'!$N$11)*$C$9</f>
        <v>153927.82692715994</v>
      </c>
      <c r="K40" s="526">
        <f>SUM('Combined All Buildings'!$N$9:$N$16,'Combined All Buildings'!$N$12,'Combined All Buildings'!$N$11)*$C$9</f>
        <v>153927.82692715994</v>
      </c>
      <c r="L40" s="526">
        <f>SUM('Combined All Buildings'!$N$9:$N$16,'Combined All Buildings'!$N$12,'Combined All Buildings'!$N$11)*$C$9</f>
        <v>153927.82692715994</v>
      </c>
      <c r="M40" s="526">
        <f>SUM('Combined All Buildings'!$N$9:$N$16,'Combined All Buildings'!$N$12,'Combined All Buildings'!$N$11)*$C$9</f>
        <v>153927.82692715994</v>
      </c>
      <c r="N40" s="526">
        <f>SUM('Combined All Buildings'!$N$9:$N$16,'Combined All Buildings'!$N$12,'Combined All Buildings'!$N$11)*$C$9</f>
        <v>153927.82692715994</v>
      </c>
      <c r="O40" s="526">
        <f>SUM('Combined All Buildings'!$N$9:$N$16,'Combined All Buildings'!$N$12,'Combined All Buildings'!$N$11)*$C$9</f>
        <v>153927.82692715994</v>
      </c>
      <c r="P40" s="526">
        <f>SUM('Combined All Buildings'!$N$9:$N$16,'Combined All Buildings'!$N$12,'Combined All Buildings'!$N$11)*$C$9</f>
        <v>153927.82692715994</v>
      </c>
      <c r="Q40" s="526">
        <f>SUM('Combined All Buildings'!$N$9:$N$16,'Combined All Buildings'!$N$12,'Combined All Buildings'!$N$11)*$C$9</f>
        <v>153927.82692715994</v>
      </c>
      <c r="R40" s="526">
        <f>SUM('Combined All Buildings'!$N$9:$N$16,'Combined All Buildings'!$N$12,'Combined All Buildings'!$N$11)*$C$9</f>
        <v>153927.82692715994</v>
      </c>
      <c r="S40" s="526">
        <f>SUM('Combined All Buildings'!$N$9:$N$16,'Combined All Buildings'!$N$12,'Combined All Buildings'!$N$11)*$C$9</f>
        <v>153927.82692715994</v>
      </c>
      <c r="T40" s="526">
        <f>SUM('Combined All Buildings'!$N$9:$N$16,'Combined All Buildings'!$N$12,'Combined All Buildings'!$N$11)*$C$9</f>
        <v>153927.82692715994</v>
      </c>
      <c r="U40" s="526">
        <f>SUM('Combined All Buildings'!$N$9:$N$16,'Combined All Buildings'!$N$12,'Combined All Buildings'!$N$11)*$C$9</f>
        <v>153927.82692715994</v>
      </c>
      <c r="V40" s="526">
        <f>SUM('Combined All Buildings'!$N$9:$N$16,'Combined All Buildings'!$N$12,'Combined All Buildings'!$N$11)*$C$9</f>
        <v>153927.82692715994</v>
      </c>
      <c r="W40" s="526">
        <f>SUM('Combined All Buildings'!$N$9:$N$16,'Combined All Buildings'!$N$12,'Combined All Buildings'!$N$11)*$C$9</f>
        <v>153927.82692715994</v>
      </c>
      <c r="X40" s="526">
        <f>SUM('Combined All Buildings'!$N$9:$N$16,'Combined All Buildings'!$N$12,'Combined All Buildings'!$N$11)*$C$9</f>
        <v>153927.82692715994</v>
      </c>
      <c r="Y40" s="526">
        <f>SUM('Combined All Buildings'!$N$9:$N$16,'Combined All Buildings'!$N$12,'Combined All Buildings'!$N$11)*$C$9</f>
        <v>153927.82692715994</v>
      </c>
      <c r="Z40" s="526">
        <f>SUM('Combined All Buildings'!$N$9:$N$16,'Combined All Buildings'!$N$12,'Combined All Buildings'!$N$11)*$C$9</f>
        <v>153927.82692715994</v>
      </c>
      <c r="AA40" s="527">
        <f>SUM('Combined All Buildings'!$N$9:$N$16,'Combined All Buildings'!$N$12,'Combined All Buildings'!$N$11)*$C$9</f>
        <v>153927.82692715994</v>
      </c>
      <c r="AB40" s="527">
        <f>SUM('Combined All Buildings'!$N$9:$N$16,'Combined All Buildings'!$N$12,'Combined All Buildings'!$N$11)*$C$9</f>
        <v>153927.82692715994</v>
      </c>
      <c r="AC40" s="527">
        <f>SUM('Combined All Buildings'!$N$9:$N$16,'Combined All Buildings'!$N$12,'Combined All Buildings'!$N$11)*$C$9</f>
        <v>153927.82692715994</v>
      </c>
      <c r="AD40" s="527">
        <f>SUM('Combined All Buildings'!$N$9:$N$16,'Combined All Buildings'!$N$12,'Combined All Buildings'!$N$11)*$C$9</f>
        <v>153927.82692715994</v>
      </c>
      <c r="AE40" s="527">
        <f>SUM('Combined All Buildings'!$N$9:$N$16,'Combined All Buildings'!$N$12,'Combined All Buildings'!$N$11)*$C$9</f>
        <v>153927.82692715994</v>
      </c>
      <c r="AF40" s="527">
        <f>SUM('Combined All Buildings'!$N$9:$N$16,'Combined All Buildings'!$N$12,'Combined All Buildings'!$N$11)*$C$9</f>
        <v>153927.82692715994</v>
      </c>
      <c r="AG40" s="527">
        <f>SUM('Combined All Buildings'!$N$9:$N$16,'Combined All Buildings'!$N$12,'Combined All Buildings'!$N$11)*$C$9</f>
        <v>153927.82692715994</v>
      </c>
      <c r="AH40" s="527">
        <f>SUM('Combined All Buildings'!$N$9:$N$16,'Combined All Buildings'!$N$12,'Combined All Buildings'!$N$11)*$C$9</f>
        <v>153927.82692715994</v>
      </c>
    </row>
    <row r="41" spans="2:34" x14ac:dyDescent="0.35">
      <c r="B41" s="1285"/>
      <c r="C41" s="513" t="s">
        <v>633</v>
      </c>
      <c r="D41" s="531">
        <f>SUM('Combined All Buildings'!$N$9:$N$16,'Combined All Buildings'!$N$12,'Combined All Buildings'!$N$11)*$C$10</f>
        <v>144307.33774421242</v>
      </c>
      <c r="E41" s="528">
        <f>SUM('Combined All Buildings'!$N$9:$N$16,'Combined All Buildings'!$N$12,'Combined All Buildings'!$N$11)*$C$10</f>
        <v>144307.33774421242</v>
      </c>
      <c r="F41" s="528">
        <f>SUM('Combined All Buildings'!$N$9:$N$16,'Combined All Buildings'!$N$12,'Combined All Buildings'!$N$11)*$C$10</f>
        <v>144307.33774421242</v>
      </c>
      <c r="G41" s="528">
        <f>SUM('Combined All Buildings'!$N$9:$N$16,'Combined All Buildings'!$N$12,'Combined All Buildings'!$N$11)*$C$10</f>
        <v>144307.33774421242</v>
      </c>
      <c r="H41" s="528">
        <f>SUM('Combined All Buildings'!$N$9:$N$16,'Combined All Buildings'!$N$12,'Combined All Buildings'!$N$11)*$C$10</f>
        <v>144307.33774421242</v>
      </c>
      <c r="I41" s="528">
        <f>SUM('Combined All Buildings'!$N$9:$N$16,'Combined All Buildings'!$N$12,'Combined All Buildings'!$N$11)*$C$10</f>
        <v>144307.33774421242</v>
      </c>
      <c r="J41" s="528">
        <f>SUM('Combined All Buildings'!$N$9:$N$16,'Combined All Buildings'!$N$12,'Combined All Buildings'!$N$11)*$C$10</f>
        <v>144307.33774421242</v>
      </c>
      <c r="K41" s="528">
        <f>SUM('Combined All Buildings'!$N$9:$N$16,'Combined All Buildings'!$N$12,'Combined All Buildings'!$N$11)*$C$10</f>
        <v>144307.33774421242</v>
      </c>
      <c r="L41" s="528">
        <f>SUM('Combined All Buildings'!$N$9:$N$16,'Combined All Buildings'!$N$12,'Combined All Buildings'!$N$11)*$C$10</f>
        <v>144307.33774421242</v>
      </c>
      <c r="M41" s="528">
        <f>SUM('Combined All Buildings'!$N$9:$N$16,'Combined All Buildings'!$N$12,'Combined All Buildings'!$N$11)*$C$10</f>
        <v>144307.33774421242</v>
      </c>
      <c r="N41" s="528">
        <f>SUM('Combined All Buildings'!$N$9:$N$16,'Combined All Buildings'!$N$12,'Combined All Buildings'!$N$11)*$C$10</f>
        <v>144307.33774421242</v>
      </c>
      <c r="O41" s="528">
        <f>SUM('Combined All Buildings'!$N$9:$N$16,'Combined All Buildings'!$N$12,'Combined All Buildings'!$N$11)*$C$10</f>
        <v>144307.33774421242</v>
      </c>
      <c r="P41" s="528">
        <f>SUM('Combined All Buildings'!$N$9:$N$16,'Combined All Buildings'!$N$12,'Combined All Buildings'!$N$11)*$C$10</f>
        <v>144307.33774421242</v>
      </c>
      <c r="Q41" s="528">
        <f>SUM('Combined All Buildings'!$N$9:$N$16,'Combined All Buildings'!$N$12,'Combined All Buildings'!$N$11)*$C$10</f>
        <v>144307.33774421242</v>
      </c>
      <c r="R41" s="528">
        <f>SUM('Combined All Buildings'!$N$9:$N$16,'Combined All Buildings'!$N$12,'Combined All Buildings'!$N$11)*$C$10</f>
        <v>144307.33774421242</v>
      </c>
      <c r="S41" s="528">
        <f>SUM('Combined All Buildings'!$N$9:$N$16,'Combined All Buildings'!$N$12,'Combined All Buildings'!$N$11)*$C$10</f>
        <v>144307.33774421242</v>
      </c>
      <c r="T41" s="528">
        <f>SUM('Combined All Buildings'!$N$9:$N$16,'Combined All Buildings'!$N$12,'Combined All Buildings'!$N$11)*$C$10</f>
        <v>144307.33774421242</v>
      </c>
      <c r="U41" s="528">
        <f>SUM('Combined All Buildings'!$N$9:$N$16,'Combined All Buildings'!$N$12,'Combined All Buildings'!$N$11)*$C$10</f>
        <v>144307.33774421242</v>
      </c>
      <c r="V41" s="528">
        <f>SUM('Combined All Buildings'!$N$9:$N$16,'Combined All Buildings'!$N$12,'Combined All Buildings'!$N$11)*$C$10</f>
        <v>144307.33774421242</v>
      </c>
      <c r="W41" s="528">
        <f>SUM('Combined All Buildings'!$N$9:$N$16,'Combined All Buildings'!$N$12,'Combined All Buildings'!$N$11)*$C$10</f>
        <v>144307.33774421242</v>
      </c>
      <c r="X41" s="528">
        <f>SUM('Combined All Buildings'!$N$9:$N$16,'Combined All Buildings'!$N$12,'Combined All Buildings'!$N$11)*$C$10</f>
        <v>144307.33774421242</v>
      </c>
      <c r="Y41" s="528">
        <f>SUM('Combined All Buildings'!$N$9:$N$16,'Combined All Buildings'!$N$12,'Combined All Buildings'!$N$11)*$C$10</f>
        <v>144307.33774421242</v>
      </c>
      <c r="Z41" s="528">
        <f>SUM('Combined All Buildings'!$N$9:$N$16,'Combined All Buildings'!$N$12,'Combined All Buildings'!$N$11)*$C$10</f>
        <v>144307.33774421242</v>
      </c>
      <c r="AA41" s="529">
        <f>SUM('Combined All Buildings'!$N$9:$N$16,'Combined All Buildings'!$N$12,'Combined All Buildings'!$N$11)*$C$10</f>
        <v>144307.33774421242</v>
      </c>
      <c r="AB41" s="529">
        <f>SUM('Combined All Buildings'!$N$9:$N$16,'Combined All Buildings'!$N$12,'Combined All Buildings'!$N$11)*$C$10</f>
        <v>144307.33774421242</v>
      </c>
      <c r="AC41" s="529">
        <f>SUM('Combined All Buildings'!$N$9:$N$16,'Combined All Buildings'!$N$12,'Combined All Buildings'!$N$11)*$C$10</f>
        <v>144307.33774421242</v>
      </c>
      <c r="AD41" s="529">
        <f>SUM('Combined All Buildings'!$N$9:$N$16,'Combined All Buildings'!$N$12,'Combined All Buildings'!$N$11)*$C$10</f>
        <v>144307.33774421242</v>
      </c>
      <c r="AE41" s="529">
        <f>SUM('Combined All Buildings'!$N$9:$N$16,'Combined All Buildings'!$N$12,'Combined All Buildings'!$N$11)*$C$10</f>
        <v>144307.33774421242</v>
      </c>
      <c r="AF41" s="529">
        <f>SUM('Combined All Buildings'!$N$9:$N$16,'Combined All Buildings'!$N$12,'Combined All Buildings'!$N$11)*$C$10</f>
        <v>144307.33774421242</v>
      </c>
      <c r="AG41" s="529">
        <f>SUM('Combined All Buildings'!$N$9:$N$16,'Combined All Buildings'!$N$12,'Combined All Buildings'!$N$11)*$C$10</f>
        <v>144307.33774421242</v>
      </c>
      <c r="AH41" s="529">
        <f>SUM('Combined All Buildings'!$N$9:$N$16,'Combined All Buildings'!$N$12,'Combined All Buildings'!$N$11)*$C$10</f>
        <v>144307.33774421242</v>
      </c>
    </row>
    <row r="42" spans="2:34" x14ac:dyDescent="0.35">
      <c r="B42" s="1285"/>
      <c r="C42" s="495" t="s">
        <v>630</v>
      </c>
      <c r="D42" s="531">
        <f>SUM('Combined All Buildings'!$O$9:$O$16,'Combined All Buildings'!$O$12,'Combined All Buildings'!$O$11)*'Criteria Pollutants'!D19</f>
        <v>63734.642016726233</v>
      </c>
      <c r="E42" s="528">
        <f>SUM('Combined All Buildings'!$O$9:$O$16,'Combined All Buildings'!$O$12,'Combined All Buildings'!$O$11)*'Criteria Pollutants'!E19</f>
        <v>92137.875069649162</v>
      </c>
      <c r="F42" s="528">
        <f>SUM('Combined All Buildings'!$O$9:$O$16,'Combined All Buildings'!$O$12,'Combined All Buildings'!$O$11)*'Criteria Pollutants'!F19</f>
        <v>94360.154819851232</v>
      </c>
      <c r="G42" s="528">
        <f>SUM('Combined All Buildings'!$O$9:$O$16,'Combined All Buildings'!$O$12,'Combined All Buildings'!$O$11)*'Criteria Pollutants'!G19</f>
        <v>100248.12214671474</v>
      </c>
      <c r="H42" s="528">
        <f>SUM('Combined All Buildings'!$O$9:$O$16,'Combined All Buildings'!$O$12,'Combined All Buildings'!$O$11)*'Criteria Pollutants'!H19</f>
        <v>97738.48287602757</v>
      </c>
      <c r="I42" s="528">
        <f>SUM('Combined All Buildings'!$O$9:$O$16,'Combined All Buildings'!$O$12,'Combined All Buildings'!$O$11)*'Criteria Pollutants'!I19</f>
        <v>92632.276165045507</v>
      </c>
      <c r="J42" s="528">
        <f>SUM('Combined All Buildings'!$O$9:$O$16,'Combined All Buildings'!$O$12,'Combined All Buildings'!$O$11)*'Criteria Pollutants'!J19</f>
        <v>75744.940746024105</v>
      </c>
      <c r="K42" s="528">
        <f>SUM('Combined All Buildings'!$O$9:$O$16,'Combined All Buildings'!$O$12,'Combined All Buildings'!$O$11)*'Criteria Pollutants'!K19</f>
        <v>66888.574232007566</v>
      </c>
      <c r="L42" s="528">
        <f>SUM('Combined All Buildings'!$O$9:$O$16,'Combined All Buildings'!$O$12,'Combined All Buildings'!$O$11)*'Criteria Pollutants'!L19</f>
        <v>71084.482943433846</v>
      </c>
      <c r="M42" s="528">
        <f>SUM('Combined All Buildings'!$O$9:$O$16,'Combined All Buildings'!$O$12,'Combined All Buildings'!$O$11)*'Criteria Pollutants'!M19</f>
        <v>71866.962813071441</v>
      </c>
      <c r="N42" s="528">
        <f>SUM('Combined All Buildings'!$O$9:$O$16,'Combined All Buildings'!$O$12,'Combined All Buildings'!$O$11)*'Criteria Pollutants'!N19</f>
        <v>71840.593687579822</v>
      </c>
      <c r="O42" s="528">
        <f>SUM('Combined All Buildings'!$O$9:$O$16,'Combined All Buildings'!$O$12,'Combined All Buildings'!$O$11)*'Criteria Pollutants'!O19</f>
        <v>71345.428480998584</v>
      </c>
      <c r="P42" s="528">
        <f>SUM('Combined All Buildings'!$O$9:$O$16,'Combined All Buildings'!$O$12,'Combined All Buildings'!$O$11)*'Criteria Pollutants'!P19</f>
        <v>70465.817177317134</v>
      </c>
      <c r="Q42" s="528">
        <f>SUM('Combined All Buildings'!$O$9:$O$16,'Combined All Buildings'!$O$12,'Combined All Buildings'!$O$11)*'Criteria Pollutants'!Q19</f>
        <v>69314.569239554912</v>
      </c>
      <c r="R42" s="528">
        <f>SUM('Combined All Buildings'!$O$9:$O$16,'Combined All Buildings'!$O$12,'Combined All Buildings'!$O$11)*'Criteria Pollutants'!R19</f>
        <v>66384.204465687129</v>
      </c>
      <c r="S42" s="528">
        <f>SUM('Combined All Buildings'!$O$9:$O$16,'Combined All Buildings'!$O$12,'Combined All Buildings'!$O$11)*'Criteria Pollutants'!S19</f>
        <v>63573.883111209667</v>
      </c>
      <c r="T42" s="528">
        <f>SUM('Combined All Buildings'!$O$9:$O$16,'Combined All Buildings'!$O$12,'Combined All Buildings'!$O$11)*'Criteria Pollutants'!T19</f>
        <v>60908.192319022804</v>
      </c>
      <c r="U42" s="528">
        <f>SUM('Combined All Buildings'!$O$9:$O$16,'Combined All Buildings'!$O$12,'Combined All Buildings'!$O$11)*'Criteria Pollutants'!U19</f>
        <v>58369.654298807371</v>
      </c>
      <c r="V42" s="528">
        <f>SUM('Combined All Buildings'!$O$9:$O$16,'Combined All Buildings'!$O$12,'Combined All Buildings'!$O$11)*'Criteria Pollutants'!V19</f>
        <v>55958.843756197726</v>
      </c>
      <c r="W42" s="528">
        <f>SUM('Combined All Buildings'!$O$9:$O$16,'Combined All Buildings'!$O$12,'Combined All Buildings'!$O$11)*'Criteria Pollutants'!W19</f>
        <v>54187.274067943639</v>
      </c>
      <c r="X42" s="528">
        <f>SUM('Combined All Buildings'!$O$9:$O$16,'Combined All Buildings'!$O$12,'Combined All Buildings'!$O$11)*'Criteria Pollutants'!X19</f>
        <v>52445.897228589114</v>
      </c>
      <c r="Y42" s="528">
        <f>SUM('Combined All Buildings'!$O$9:$O$16,'Combined All Buildings'!$O$12,'Combined All Buildings'!$O$11)*'Criteria Pollutants'!Y19</f>
        <v>50727.359104433162</v>
      </c>
      <c r="Z42" s="528">
        <f>SUM('Combined All Buildings'!$O$9:$O$16,'Combined All Buildings'!$O$12,'Combined All Buildings'!$O$11)*'Criteria Pollutants'!Z19</f>
        <v>49029.069172974036</v>
      </c>
      <c r="AA42" s="529">
        <f>SUM('Combined All Buildings'!$O$9:$O$16,'Combined All Buildings'!$O$12,'Combined All Buildings'!$O$11)*'Criteria Pollutants'!AA19</f>
        <v>36704.074068401809</v>
      </c>
      <c r="AB42" s="529">
        <f>SUM('Combined All Buildings'!$O$9:$O$16,'Combined All Buildings'!$O$12,'Combined All Buildings'!$O$11)*'Criteria Pollutants'!AB19</f>
        <v>36704.074068401809</v>
      </c>
      <c r="AC42" s="529">
        <f>SUM('Combined All Buildings'!$O$9:$O$16,'Combined All Buildings'!$O$12,'Combined All Buildings'!$O$11)*'Criteria Pollutants'!AC19</f>
        <v>36704.074068401809</v>
      </c>
      <c r="AD42" s="529">
        <f>SUM('Combined All Buildings'!$O$9:$O$16,'Combined All Buildings'!$O$12,'Combined All Buildings'!$O$11)*'Criteria Pollutants'!AD19</f>
        <v>36704.074068401809</v>
      </c>
      <c r="AE42" s="529">
        <f>SUM('Combined All Buildings'!$O$9:$O$16,'Combined All Buildings'!$O$12,'Combined All Buildings'!$O$11)*'Criteria Pollutants'!AE19</f>
        <v>36704.074068401809</v>
      </c>
      <c r="AF42" s="529">
        <f>SUM('Combined All Buildings'!$O$9:$O$16,'Combined All Buildings'!$O$12,'Combined All Buildings'!$O$11)*'Criteria Pollutants'!AF19</f>
        <v>36704.074068401809</v>
      </c>
      <c r="AG42" s="529">
        <f>SUM('Combined All Buildings'!$O$9:$O$16,'Combined All Buildings'!$O$12,'Combined All Buildings'!$O$11)*'Criteria Pollutants'!AG19</f>
        <v>36704.074068401809</v>
      </c>
      <c r="AH42" s="529">
        <f>SUM('Combined All Buildings'!$O$9:$O$16,'Combined All Buildings'!$O$12,'Combined All Buildings'!$O$11)*'Criteria Pollutants'!AH19</f>
        <v>36704.074068401809</v>
      </c>
    </row>
    <row r="43" spans="2:34" x14ac:dyDescent="0.35">
      <c r="B43" s="1285"/>
      <c r="C43" s="495" t="s">
        <v>631</v>
      </c>
      <c r="D43" s="589">
        <f>SUM('Combined All Buildings'!$O$9:$O$16,'Combined All Buildings'!$O$12,'Combined All Buildings'!$O$11)*'Criteria Pollutants'!D20</f>
        <v>3106.3943167816142</v>
      </c>
      <c r="E43" s="587">
        <f>SUM('Combined All Buildings'!$O$9:$O$16,'Combined All Buildings'!$O$12,'Combined All Buildings'!$O$11)*'Criteria Pollutants'!E20</f>
        <v>4490.7535748232367</v>
      </c>
      <c r="F43" s="587">
        <f>SUM('Combined All Buildings'!$O$9:$O$16,'Combined All Buildings'!$O$12,'Combined All Buildings'!$O$11)*'Criteria Pollutants'!F20</f>
        <v>4599.0663693709012</v>
      </c>
      <c r="G43" s="587">
        <f>SUM('Combined All Buildings'!$O$9:$O$16,'Combined All Buildings'!$O$12,'Combined All Buildings'!$O$11)*'Criteria Pollutants'!G20</f>
        <v>4886.042928159206</v>
      </c>
      <c r="H43" s="587">
        <f>SUM('Combined All Buildings'!$O$9:$O$16,'Combined All Buildings'!$O$12,'Combined All Buildings'!$O$11)*'Criteria Pollutants'!H20</f>
        <v>4763.7243754702522</v>
      </c>
      <c r="I43" s="587">
        <f>SUM('Combined All Buildings'!$O$9:$O$16,'Combined All Buildings'!$O$12,'Combined All Buildings'!$O$11)*'Criteria Pollutants'!I20</f>
        <v>4514.8504349349905</v>
      </c>
      <c r="J43" s="587">
        <f>SUM('Combined All Buildings'!$O$9:$O$16,'Combined All Buildings'!$O$12,'Combined All Buildings'!$O$11)*'Criteria Pollutants'!J20</f>
        <v>3691.7702212347886</v>
      </c>
      <c r="K43" s="587">
        <f>SUM('Combined All Buildings'!$O$9:$O$16,'Combined All Buildings'!$O$12,'Combined All Buildings'!$O$11)*'Criteria Pollutants'!K20</f>
        <v>3260.1153827365033</v>
      </c>
      <c r="L43" s="587">
        <f>SUM('Combined All Buildings'!$O$9:$O$16,'Combined All Buildings'!$O$12,'Combined All Buildings'!$O$11)*'Criteria Pollutants'!L20</f>
        <v>3464.6218577471959</v>
      </c>
      <c r="M43" s="587">
        <f>SUM('Combined All Buildings'!$O$9:$O$16,'Combined All Buildings'!$O$12,'Combined All Buildings'!$O$11)*'Criteria Pollutants'!M20</f>
        <v>3502.7595320656665</v>
      </c>
      <c r="N43" s="587">
        <f>SUM('Combined All Buildings'!$O$9:$O$16,'Combined All Buildings'!$O$12,'Combined All Buildings'!$O$11)*'Criteria Pollutants'!N20</f>
        <v>3501.474314184562</v>
      </c>
      <c r="O43" s="587">
        <f>SUM('Combined All Buildings'!$O$9:$O$16,'Combined All Buildings'!$O$12,'Combined All Buildings'!$O$11)*'Criteria Pollutants'!O20</f>
        <v>3477.3402116789225</v>
      </c>
      <c r="P43" s="587">
        <f>SUM('Combined All Buildings'!$O$9:$O$16,'Combined All Buildings'!$O$12,'Combined All Buildings'!$O$11)*'Criteria Pollutants'!P20</f>
        <v>3434.4684002389863</v>
      </c>
      <c r="Q43" s="587">
        <f>SUM('Combined All Buildings'!$O$9:$O$16,'Combined All Buildings'!$O$12,'Combined All Buildings'!$O$11)*'Criteria Pollutants'!Q20</f>
        <v>3378.3571562136003</v>
      </c>
      <c r="R43" s="587">
        <f>SUM('Combined All Buildings'!$O$9:$O$16,'Combined All Buildings'!$O$12,'Combined All Buildings'!$O$11)*'Criteria Pollutants'!R20</f>
        <v>3235.5326546301289</v>
      </c>
      <c r="S43" s="587">
        <f>SUM('Combined All Buildings'!$O$9:$O$16,'Combined All Buildings'!$O$12,'Combined All Buildings'!$O$11)*'Criteria Pollutants'!S20</f>
        <v>3098.5590087816477</v>
      </c>
      <c r="T43" s="587">
        <f>SUM('Combined All Buildings'!$O$9:$O$16,'Combined All Buildings'!$O$12,'Combined All Buildings'!$O$11)*'Criteria Pollutants'!T20</f>
        <v>2968.6345836162377</v>
      </c>
      <c r="U43" s="587">
        <f>SUM('Combined All Buildings'!$O$9:$O$16,'Combined All Buildings'!$O$12,'Combined All Buildings'!$O$11)*'Criteria Pollutants'!U20</f>
        <v>2844.9075204460737</v>
      </c>
      <c r="V43" s="587">
        <f>SUM('Combined All Buildings'!$O$9:$O$16,'Combined All Buildings'!$O$12,'Combined All Buildings'!$O$11)*'Criteria Pollutants'!V20</f>
        <v>2727.4058301340069</v>
      </c>
      <c r="W43" s="587">
        <f>SUM('Combined All Buildings'!$O$9:$O$16,'Combined All Buildings'!$O$12,'Combined All Buildings'!$O$11)*'Criteria Pollutants'!W20</f>
        <v>2641.0604167569168</v>
      </c>
      <c r="X43" s="587">
        <f>SUM('Combined All Buildings'!$O$9:$O$16,'Combined All Buildings'!$O$12,'Combined All Buildings'!$O$11)*'Criteria Pollutants'!X20</f>
        <v>2556.1865876119064</v>
      </c>
      <c r="Y43" s="587">
        <f>SUM('Combined All Buildings'!$O$9:$O$16,'Combined All Buildings'!$O$12,'Combined All Buildings'!$O$11)*'Criteria Pollutants'!Y20</f>
        <v>2472.4259059303558</v>
      </c>
      <c r="Z43" s="587">
        <f>SUM('Combined All Buildings'!$O$9:$O$16,'Combined All Buildings'!$O$12,'Combined All Buildings'!$O$11)*'Criteria Pollutants'!Z20</f>
        <v>2389.6521109516757</v>
      </c>
      <c r="AA43" s="588">
        <f>SUM('Combined All Buildings'!$O$9:$O$16,'Combined All Buildings'!$O$12,'Combined All Buildings'!$O$11)*'Criteria Pollutants'!AA20</f>
        <v>1788.9380638380715</v>
      </c>
      <c r="AB43" s="588">
        <f>SUM('Combined All Buildings'!$O$9:$O$16,'Combined All Buildings'!$O$12,'Combined All Buildings'!$O$11)*'Criteria Pollutants'!AB20</f>
        <v>1788.9380638380715</v>
      </c>
      <c r="AC43" s="588">
        <f>SUM('Combined All Buildings'!$O$9:$O$16,'Combined All Buildings'!$O$12,'Combined All Buildings'!$O$11)*'Criteria Pollutants'!AC20</f>
        <v>1788.9380638380715</v>
      </c>
      <c r="AD43" s="588">
        <f>SUM('Combined All Buildings'!$O$9:$O$16,'Combined All Buildings'!$O$12,'Combined All Buildings'!$O$11)*'Criteria Pollutants'!AD20</f>
        <v>1788.9380638380715</v>
      </c>
      <c r="AE43" s="588">
        <f>SUM('Combined All Buildings'!$O$9:$O$16,'Combined All Buildings'!$O$12,'Combined All Buildings'!$O$11)*'Criteria Pollutants'!AE20</f>
        <v>1788.9380638380715</v>
      </c>
      <c r="AF43" s="588">
        <f>SUM('Combined All Buildings'!$O$9:$O$16,'Combined All Buildings'!$O$12,'Combined All Buildings'!$O$11)*'Criteria Pollutants'!AF20</f>
        <v>1788.9380638380715</v>
      </c>
      <c r="AG43" s="588">
        <f>SUM('Combined All Buildings'!$O$9:$O$16,'Combined All Buildings'!$O$12,'Combined All Buildings'!$O$11)*'Criteria Pollutants'!AG20</f>
        <v>1788.9380638380715</v>
      </c>
      <c r="AH43" s="588">
        <f>SUM('Combined All Buildings'!$O$9:$O$16,'Combined All Buildings'!$O$12,'Combined All Buildings'!$O$11)*'Criteria Pollutants'!AH20</f>
        <v>1788.9380638380715</v>
      </c>
    </row>
    <row r="44" spans="2:34" x14ac:dyDescent="0.35">
      <c r="B44" s="1285"/>
      <c r="C44" s="590" t="s">
        <v>542</v>
      </c>
      <c r="D44" s="564">
        <f>SUM(D40,D42)</f>
        <v>217662.46894388617</v>
      </c>
      <c r="E44" s="591">
        <f t="shared" ref="E44:AH45" si="13">SUM(E40,E42)</f>
        <v>246065.7019968091</v>
      </c>
      <c r="F44" s="591">
        <f t="shared" si="13"/>
        <v>248287.98174701119</v>
      </c>
      <c r="G44" s="591">
        <f t="shared" si="13"/>
        <v>254175.94907387468</v>
      </c>
      <c r="H44" s="591">
        <f t="shared" si="13"/>
        <v>251666.3098031875</v>
      </c>
      <c r="I44" s="591">
        <f t="shared" si="13"/>
        <v>246560.10309220545</v>
      </c>
      <c r="J44" s="591">
        <f t="shared" si="13"/>
        <v>229672.76767318405</v>
      </c>
      <c r="K44" s="591">
        <f t="shared" si="13"/>
        <v>220816.40115916752</v>
      </c>
      <c r="L44" s="591">
        <f t="shared" si="13"/>
        <v>225012.30987059377</v>
      </c>
      <c r="M44" s="591">
        <f t="shared" si="13"/>
        <v>225794.78974023138</v>
      </c>
      <c r="N44" s="591">
        <f t="shared" si="13"/>
        <v>225768.42061473976</v>
      </c>
      <c r="O44" s="591">
        <f t="shared" si="13"/>
        <v>225273.25540815853</v>
      </c>
      <c r="P44" s="591">
        <f t="shared" si="13"/>
        <v>224393.64410447708</v>
      </c>
      <c r="Q44" s="591">
        <f t="shared" si="13"/>
        <v>223242.39616671484</v>
      </c>
      <c r="R44" s="591">
        <f t="shared" si="13"/>
        <v>220312.03139284707</v>
      </c>
      <c r="S44" s="591">
        <f t="shared" si="13"/>
        <v>217501.71003836961</v>
      </c>
      <c r="T44" s="591">
        <f t="shared" si="13"/>
        <v>214836.01924618275</v>
      </c>
      <c r="U44" s="591">
        <f t="shared" si="13"/>
        <v>212297.48122596732</v>
      </c>
      <c r="V44" s="591">
        <f t="shared" si="13"/>
        <v>209886.67068335766</v>
      </c>
      <c r="W44" s="591">
        <f t="shared" si="13"/>
        <v>208115.1009951036</v>
      </c>
      <c r="X44" s="591">
        <f t="shared" si="13"/>
        <v>206373.72415574905</v>
      </c>
      <c r="Y44" s="591">
        <f t="shared" si="13"/>
        <v>204655.1860315931</v>
      </c>
      <c r="Z44" s="591">
        <f t="shared" si="13"/>
        <v>202956.89610013398</v>
      </c>
      <c r="AA44" s="592">
        <f t="shared" si="13"/>
        <v>190631.90099556174</v>
      </c>
      <c r="AB44" s="592">
        <f t="shared" si="13"/>
        <v>190631.90099556174</v>
      </c>
      <c r="AC44" s="592">
        <f t="shared" si="13"/>
        <v>190631.90099556174</v>
      </c>
      <c r="AD44" s="592">
        <f t="shared" si="13"/>
        <v>190631.90099556174</v>
      </c>
      <c r="AE44" s="592">
        <f t="shared" si="13"/>
        <v>190631.90099556174</v>
      </c>
      <c r="AF44" s="592">
        <f t="shared" si="13"/>
        <v>190631.90099556174</v>
      </c>
      <c r="AG44" s="592">
        <f t="shared" si="13"/>
        <v>190631.90099556174</v>
      </c>
      <c r="AH44" s="592">
        <f t="shared" si="13"/>
        <v>190631.90099556174</v>
      </c>
    </row>
    <row r="45" spans="2:34" x14ac:dyDescent="0.35">
      <c r="B45" s="1286"/>
      <c r="C45" s="593" t="s">
        <v>543</v>
      </c>
      <c r="D45" s="559">
        <f>SUM(D41,D43)</f>
        <v>147413.73206099402</v>
      </c>
      <c r="E45" s="594">
        <f t="shared" ref="E45:AA45" si="14">SUM(E41,E43)</f>
        <v>148798.09131903565</v>
      </c>
      <c r="F45" s="594">
        <f t="shared" si="14"/>
        <v>148906.40411358332</v>
      </c>
      <c r="G45" s="594">
        <f t="shared" si="14"/>
        <v>149193.38067237163</v>
      </c>
      <c r="H45" s="594">
        <f t="shared" si="14"/>
        <v>149071.06211968267</v>
      </c>
      <c r="I45" s="594">
        <f t="shared" si="14"/>
        <v>148822.1881791474</v>
      </c>
      <c r="J45" s="594">
        <f t="shared" si="14"/>
        <v>147999.10796544721</v>
      </c>
      <c r="K45" s="594">
        <f t="shared" si="14"/>
        <v>147567.45312694891</v>
      </c>
      <c r="L45" s="594">
        <f t="shared" si="14"/>
        <v>147771.95960195962</v>
      </c>
      <c r="M45" s="594">
        <f t="shared" si="14"/>
        <v>147810.09727627807</v>
      </c>
      <c r="N45" s="594">
        <f t="shared" si="14"/>
        <v>147808.81205839699</v>
      </c>
      <c r="O45" s="594">
        <f t="shared" si="14"/>
        <v>147784.67795589135</v>
      </c>
      <c r="P45" s="594">
        <f t="shared" si="14"/>
        <v>147741.8061444514</v>
      </c>
      <c r="Q45" s="594">
        <f t="shared" si="14"/>
        <v>147685.69490042602</v>
      </c>
      <c r="R45" s="594">
        <f t="shared" si="14"/>
        <v>147542.87039884256</v>
      </c>
      <c r="S45" s="594">
        <f t="shared" si="14"/>
        <v>147405.89675299407</v>
      </c>
      <c r="T45" s="594">
        <f t="shared" si="14"/>
        <v>147275.97232782867</v>
      </c>
      <c r="U45" s="594">
        <f t="shared" si="14"/>
        <v>147152.2452646585</v>
      </c>
      <c r="V45" s="594">
        <f t="shared" si="14"/>
        <v>147034.74357434642</v>
      </c>
      <c r="W45" s="594">
        <f t="shared" si="14"/>
        <v>146948.39816096934</v>
      </c>
      <c r="X45" s="594">
        <f t="shared" si="14"/>
        <v>146863.52433182433</v>
      </c>
      <c r="Y45" s="594">
        <f t="shared" si="14"/>
        <v>146779.76365014276</v>
      </c>
      <c r="Z45" s="594">
        <f t="shared" si="14"/>
        <v>146696.98985516408</v>
      </c>
      <c r="AA45" s="595">
        <f t="shared" si="14"/>
        <v>146096.2758080505</v>
      </c>
      <c r="AB45" s="595">
        <f t="shared" si="13"/>
        <v>146096.2758080505</v>
      </c>
      <c r="AC45" s="595">
        <f t="shared" si="13"/>
        <v>146096.2758080505</v>
      </c>
      <c r="AD45" s="595">
        <f t="shared" si="13"/>
        <v>146096.2758080505</v>
      </c>
      <c r="AE45" s="595">
        <f t="shared" si="13"/>
        <v>146096.2758080505</v>
      </c>
      <c r="AF45" s="595">
        <f t="shared" si="13"/>
        <v>146096.2758080505</v>
      </c>
      <c r="AG45" s="595">
        <f t="shared" si="13"/>
        <v>146096.2758080505</v>
      </c>
      <c r="AH45" s="595">
        <f t="shared" si="13"/>
        <v>146096.2758080505</v>
      </c>
    </row>
    <row r="46" spans="2:34" x14ac:dyDescent="0.35">
      <c r="C46" s="492"/>
      <c r="D46" s="512"/>
      <c r="E46" s="489"/>
      <c r="F46" s="489"/>
      <c r="G46" s="489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  <c r="T46" s="489"/>
      <c r="U46" s="489"/>
      <c r="V46" s="489"/>
      <c r="W46" s="489"/>
      <c r="X46" s="489"/>
      <c r="Y46" s="489"/>
      <c r="Z46" s="489"/>
      <c r="AA46" s="489"/>
      <c r="AB46" s="489"/>
      <c r="AC46" s="489"/>
      <c r="AD46" s="489"/>
      <c r="AE46" s="489"/>
      <c r="AF46" s="489"/>
      <c r="AG46" s="489"/>
      <c r="AH46" s="489"/>
    </row>
    <row r="47" spans="2:34" x14ac:dyDescent="0.35">
      <c r="B47" s="1284" t="s">
        <v>492</v>
      </c>
      <c r="C47" s="563" t="s">
        <v>544</v>
      </c>
      <c r="D47" s="564">
        <f t="shared" ref="D47:AH48" si="15">D36+D44</f>
        <v>314686.4861858454</v>
      </c>
      <c r="E47" s="596">
        <f t="shared" si="15"/>
        <v>343639.89520056307</v>
      </c>
      <c r="F47" s="591">
        <f t="shared" si="15"/>
        <v>345905.22092713928</v>
      </c>
      <c r="G47" s="591">
        <f t="shared" si="15"/>
        <v>351907.2392875959</v>
      </c>
      <c r="H47" s="591">
        <f t="shared" si="15"/>
        <v>349348.98783262202</v>
      </c>
      <c r="I47" s="591">
        <f t="shared" si="15"/>
        <v>344143.87293808552</v>
      </c>
      <c r="J47" s="591">
        <f t="shared" si="15"/>
        <v>326929.42665851529</v>
      </c>
      <c r="K47" s="591">
        <f t="shared" si="15"/>
        <v>317901.51066082634</v>
      </c>
      <c r="L47" s="591">
        <f t="shared" si="15"/>
        <v>322178.69491249166</v>
      </c>
      <c r="M47" s="591">
        <f t="shared" si="15"/>
        <v>322976.33156424842</v>
      </c>
      <c r="N47" s="591">
        <f t="shared" si="15"/>
        <v>322949.45166384074</v>
      </c>
      <c r="O47" s="591">
        <f t="shared" si="15"/>
        <v>322444.69501415617</v>
      </c>
      <c r="P47" s="591">
        <f t="shared" si="15"/>
        <v>321548.04547422507</v>
      </c>
      <c r="Q47" s="591">
        <f t="shared" si="15"/>
        <v>320374.49764756492</v>
      </c>
      <c r="R47" s="591">
        <f t="shared" si="15"/>
        <v>317387.37115735072</v>
      </c>
      <c r="S47" s="591">
        <f t="shared" si="15"/>
        <v>314522.61335011903</v>
      </c>
      <c r="T47" s="591">
        <f t="shared" si="15"/>
        <v>311805.28762634867</v>
      </c>
      <c r="U47" s="591">
        <f t="shared" si="15"/>
        <v>309217.5776476374</v>
      </c>
      <c r="V47" s="591">
        <f t="shared" si="15"/>
        <v>306760.06925177586</v>
      </c>
      <c r="W47" s="591">
        <f t="shared" si="15"/>
        <v>304954.18392574543</v>
      </c>
      <c r="X47" s="591">
        <f t="shared" si="15"/>
        <v>303179.07628977159</v>
      </c>
      <c r="Y47" s="591">
        <f t="shared" si="15"/>
        <v>301427.2497592016</v>
      </c>
      <c r="Z47" s="591">
        <f t="shared" si="15"/>
        <v>299696.06363262603</v>
      </c>
      <c r="AA47" s="592">
        <f t="shared" si="15"/>
        <v>287132.33105675469</v>
      </c>
      <c r="AB47" s="592">
        <f t="shared" si="15"/>
        <v>287132.33105675469</v>
      </c>
      <c r="AC47" s="592">
        <f t="shared" si="15"/>
        <v>287132.33105675469</v>
      </c>
      <c r="AD47" s="592">
        <f t="shared" si="15"/>
        <v>287132.33105675469</v>
      </c>
      <c r="AE47" s="592">
        <f t="shared" si="15"/>
        <v>287132.33105675469</v>
      </c>
      <c r="AF47" s="592">
        <f t="shared" si="15"/>
        <v>287132.33105675469</v>
      </c>
      <c r="AG47" s="592">
        <f t="shared" si="15"/>
        <v>287132.33105675469</v>
      </c>
      <c r="AH47" s="592">
        <f t="shared" si="15"/>
        <v>287132.33105675469</v>
      </c>
    </row>
    <row r="48" spans="2:34" x14ac:dyDescent="0.35">
      <c r="B48" s="1285"/>
      <c r="C48" s="560" t="s">
        <v>545</v>
      </c>
      <c r="D48" s="559">
        <f t="shared" ref="D48:AA48" si="16">D37+D45</f>
        <v>237276.52717362944</v>
      </c>
      <c r="E48" s="597">
        <f t="shared" si="16"/>
        <v>238687.70173064928</v>
      </c>
      <c r="F48" s="594">
        <f t="shared" si="16"/>
        <v>238798.11256438156</v>
      </c>
      <c r="G48" s="594">
        <f t="shared" si="16"/>
        <v>239090.64791304249</v>
      </c>
      <c r="H48" s="594">
        <f t="shared" si="16"/>
        <v>238965.96002700174</v>
      </c>
      <c r="I48" s="594">
        <f t="shared" si="16"/>
        <v>238712.26535146969</v>
      </c>
      <c r="J48" s="594">
        <f t="shared" si="16"/>
        <v>237873.24191935622</v>
      </c>
      <c r="K48" s="594">
        <f t="shared" si="16"/>
        <v>237433.22584551925</v>
      </c>
      <c r="L48" s="594">
        <f t="shared" si="16"/>
        <v>237641.69364938195</v>
      </c>
      <c r="M48" s="594">
        <f t="shared" si="16"/>
        <v>237680.57005761884</v>
      </c>
      <c r="N48" s="594">
        <f t="shared" si="16"/>
        <v>237679.25994482584</v>
      </c>
      <c r="O48" s="594">
        <f t="shared" si="16"/>
        <v>237654.65836021939</v>
      </c>
      <c r="P48" s="594">
        <f t="shared" si="16"/>
        <v>237610.95611373533</v>
      </c>
      <c r="Q48" s="594">
        <f t="shared" si="16"/>
        <v>237553.75798436871</v>
      </c>
      <c r="R48" s="594">
        <f t="shared" si="16"/>
        <v>237408.16694534989</v>
      </c>
      <c r="S48" s="594">
        <f t="shared" si="16"/>
        <v>237268.54009424109</v>
      </c>
      <c r="T48" s="594">
        <f t="shared" si="16"/>
        <v>237136.09900854473</v>
      </c>
      <c r="U48" s="594">
        <f t="shared" si="16"/>
        <v>237009.97532891005</v>
      </c>
      <c r="V48" s="594">
        <f t="shared" si="16"/>
        <v>236890.1976087756</v>
      </c>
      <c r="W48" s="594">
        <f t="shared" si="16"/>
        <v>236802.17966851534</v>
      </c>
      <c r="X48" s="594">
        <f t="shared" si="16"/>
        <v>236715.66181735019</v>
      </c>
      <c r="Y48" s="594">
        <f t="shared" si="16"/>
        <v>236630.27867552411</v>
      </c>
      <c r="Z48" s="594">
        <f t="shared" si="16"/>
        <v>236545.90153658175</v>
      </c>
      <c r="AA48" s="595">
        <f t="shared" si="16"/>
        <v>235933.55154548888</v>
      </c>
      <c r="AB48" s="595">
        <f t="shared" si="15"/>
        <v>235933.55154548888</v>
      </c>
      <c r="AC48" s="595">
        <f t="shared" si="15"/>
        <v>235933.55154548888</v>
      </c>
      <c r="AD48" s="595">
        <f t="shared" si="15"/>
        <v>235933.55154548888</v>
      </c>
      <c r="AE48" s="595">
        <f t="shared" si="15"/>
        <v>235933.55154548888</v>
      </c>
      <c r="AF48" s="595">
        <f t="shared" si="15"/>
        <v>235933.55154548888</v>
      </c>
      <c r="AG48" s="595">
        <f t="shared" si="15"/>
        <v>235933.55154548888</v>
      </c>
      <c r="AH48" s="595">
        <f t="shared" si="15"/>
        <v>235933.55154548888</v>
      </c>
    </row>
    <row r="49" spans="2:34" x14ac:dyDescent="0.35">
      <c r="B49" s="1285"/>
      <c r="D49" s="512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503"/>
      <c r="AB49" s="503"/>
      <c r="AC49" s="503"/>
      <c r="AD49" s="503"/>
      <c r="AE49" s="503"/>
      <c r="AF49" s="503"/>
      <c r="AG49" s="503"/>
      <c r="AH49" s="503"/>
    </row>
    <row r="50" spans="2:34" x14ac:dyDescent="0.35">
      <c r="B50" s="1285"/>
      <c r="C50" t="s">
        <v>494</v>
      </c>
      <c r="D50" s="512"/>
      <c r="E50">
        <v>1</v>
      </c>
      <c r="F50">
        <f>E50+1</f>
        <v>2</v>
      </c>
      <c r="G50">
        <f t="shared" ref="G50:AH50" si="17">F50+1</f>
        <v>3</v>
      </c>
      <c r="H50">
        <f t="shared" si="17"/>
        <v>4</v>
      </c>
      <c r="I50">
        <f t="shared" si="17"/>
        <v>5</v>
      </c>
      <c r="J50">
        <f t="shared" si="17"/>
        <v>6</v>
      </c>
      <c r="K50">
        <f t="shared" si="17"/>
        <v>7</v>
      </c>
      <c r="L50">
        <f t="shared" si="17"/>
        <v>8</v>
      </c>
      <c r="M50">
        <f t="shared" si="17"/>
        <v>9</v>
      </c>
      <c r="N50">
        <f t="shared" si="17"/>
        <v>10</v>
      </c>
      <c r="O50">
        <f t="shared" si="17"/>
        <v>11</v>
      </c>
      <c r="P50">
        <f t="shared" si="17"/>
        <v>12</v>
      </c>
      <c r="Q50">
        <f t="shared" si="17"/>
        <v>13</v>
      </c>
      <c r="R50">
        <f t="shared" si="17"/>
        <v>14</v>
      </c>
      <c r="S50">
        <f t="shared" si="17"/>
        <v>15</v>
      </c>
      <c r="T50">
        <f t="shared" si="17"/>
        <v>16</v>
      </c>
      <c r="U50">
        <f t="shared" si="17"/>
        <v>17</v>
      </c>
      <c r="V50">
        <f t="shared" si="17"/>
        <v>18</v>
      </c>
      <c r="W50">
        <f t="shared" si="17"/>
        <v>19</v>
      </c>
      <c r="X50">
        <f t="shared" si="17"/>
        <v>20</v>
      </c>
      <c r="Y50">
        <f t="shared" si="17"/>
        <v>21</v>
      </c>
      <c r="Z50">
        <f t="shared" si="17"/>
        <v>22</v>
      </c>
      <c r="AA50" s="504">
        <f t="shared" si="17"/>
        <v>23</v>
      </c>
      <c r="AB50" s="504">
        <f t="shared" si="17"/>
        <v>24</v>
      </c>
      <c r="AC50" s="504">
        <f t="shared" si="17"/>
        <v>25</v>
      </c>
      <c r="AD50" s="504">
        <f t="shared" si="17"/>
        <v>26</v>
      </c>
      <c r="AE50" s="504">
        <f t="shared" si="17"/>
        <v>27</v>
      </c>
      <c r="AF50" s="504">
        <f t="shared" si="17"/>
        <v>28</v>
      </c>
      <c r="AG50" s="504">
        <f t="shared" si="17"/>
        <v>29</v>
      </c>
      <c r="AH50" s="504">
        <f t="shared" si="17"/>
        <v>30</v>
      </c>
    </row>
    <row r="51" spans="2:34" ht="15" thickBot="1" x14ac:dyDescent="0.4">
      <c r="B51" s="1285"/>
      <c r="D51" s="512"/>
      <c r="AA51" s="504"/>
      <c r="AB51" s="504"/>
      <c r="AC51" s="504"/>
      <c r="AD51" s="504"/>
      <c r="AE51" s="504"/>
      <c r="AF51" s="504"/>
      <c r="AG51" s="504"/>
      <c r="AH51" s="504"/>
    </row>
    <row r="52" spans="2:34" x14ac:dyDescent="0.35">
      <c r="B52" s="1281"/>
      <c r="C52" s="598" t="s">
        <v>546</v>
      </c>
      <c r="D52" s="540"/>
      <c r="E52" s="541">
        <f>E50*E47</f>
        <v>343639.89520056307</v>
      </c>
      <c r="F52" s="542">
        <f t="shared" ref="F52:Z52" si="18">F50*F47</f>
        <v>691810.44185427856</v>
      </c>
      <c r="G52" s="542">
        <f t="shared" si="18"/>
        <v>1055721.7178627877</v>
      </c>
      <c r="H52" s="542">
        <f t="shared" si="18"/>
        <v>1397395.9513304881</v>
      </c>
      <c r="I52" s="542">
        <f t="shared" si="18"/>
        <v>1720719.3646904277</v>
      </c>
      <c r="J52" s="542">
        <f t="shared" si="18"/>
        <v>1961576.5599510917</v>
      </c>
      <c r="K52" s="542">
        <f t="shared" si="18"/>
        <v>2225310.5746257845</v>
      </c>
      <c r="L52" s="542">
        <f t="shared" si="18"/>
        <v>2577429.5592999333</v>
      </c>
      <c r="M52" s="542">
        <f t="shared" si="18"/>
        <v>2906786.9840782359</v>
      </c>
      <c r="N52" s="542">
        <f t="shared" si="18"/>
        <v>3229494.5166384075</v>
      </c>
      <c r="O52" s="542">
        <f t="shared" si="18"/>
        <v>3546891.6451557176</v>
      </c>
      <c r="P52" s="542">
        <f t="shared" si="18"/>
        <v>3858576.5456907009</v>
      </c>
      <c r="Q52" s="542">
        <f t="shared" si="18"/>
        <v>4164868.4694183441</v>
      </c>
      <c r="R52" s="542">
        <f t="shared" si="18"/>
        <v>4443423.1962029096</v>
      </c>
      <c r="S52" s="542">
        <f t="shared" si="18"/>
        <v>4717839.2002517851</v>
      </c>
      <c r="T52" s="542">
        <f t="shared" si="18"/>
        <v>4988884.6020215787</v>
      </c>
      <c r="U52" s="542">
        <f t="shared" si="18"/>
        <v>5256698.820009836</v>
      </c>
      <c r="V52" s="542">
        <f t="shared" si="18"/>
        <v>5521681.2465319652</v>
      </c>
      <c r="W52" s="542">
        <f t="shared" si="18"/>
        <v>5794129.494589163</v>
      </c>
      <c r="X52" s="542">
        <f t="shared" si="18"/>
        <v>6063581.5257954318</v>
      </c>
      <c r="Y52" s="542">
        <f t="shared" si="18"/>
        <v>6329972.2449432332</v>
      </c>
      <c r="Z52" s="542">
        <f t="shared" si="18"/>
        <v>6593313.399917773</v>
      </c>
      <c r="AA52" s="543">
        <f>AA50*AA47</f>
        <v>6604043.6143053574</v>
      </c>
      <c r="AB52" s="543">
        <f t="shared" ref="AB52:AH52" si="19">AB50*AB47</f>
        <v>6891175.9453621125</v>
      </c>
      <c r="AC52" s="543">
        <f t="shared" si="19"/>
        <v>7178308.2764188675</v>
      </c>
      <c r="AD52" s="543">
        <f t="shared" si="19"/>
        <v>7465440.6074756216</v>
      </c>
      <c r="AE52" s="543">
        <f t="shared" si="19"/>
        <v>7752572.9385323767</v>
      </c>
      <c r="AF52" s="543">
        <f t="shared" si="19"/>
        <v>8039705.2695891317</v>
      </c>
      <c r="AG52" s="543">
        <f t="shared" si="19"/>
        <v>8326837.6006458858</v>
      </c>
      <c r="AH52" s="543">
        <f t="shared" si="19"/>
        <v>8613969.9317026399</v>
      </c>
    </row>
    <row r="53" spans="2:34" x14ac:dyDescent="0.35">
      <c r="B53" s="1281"/>
      <c r="C53" s="599" t="s">
        <v>547</v>
      </c>
      <c r="D53" s="583"/>
      <c r="E53" s="600">
        <f>E50*E48</f>
        <v>238687.70173064928</v>
      </c>
      <c r="F53" s="584">
        <f t="shared" ref="F53:AH53" si="20">F50*F48</f>
        <v>477596.22512876312</v>
      </c>
      <c r="G53" s="584">
        <f t="shared" si="20"/>
        <v>717271.94373912748</v>
      </c>
      <c r="H53" s="584">
        <f t="shared" si="20"/>
        <v>955863.84010800696</v>
      </c>
      <c r="I53" s="584">
        <f t="shared" si="20"/>
        <v>1193561.3267573484</v>
      </c>
      <c r="J53" s="584">
        <f t="shared" si="20"/>
        <v>1427239.4515161375</v>
      </c>
      <c r="K53" s="584">
        <f t="shared" si="20"/>
        <v>1662032.5809186348</v>
      </c>
      <c r="L53" s="584">
        <f t="shared" si="20"/>
        <v>1901133.5491950556</v>
      </c>
      <c r="M53" s="584">
        <f t="shared" si="20"/>
        <v>2139125.1305185696</v>
      </c>
      <c r="N53" s="584">
        <f t="shared" si="20"/>
        <v>2376792.5994482585</v>
      </c>
      <c r="O53" s="584">
        <f t="shared" si="20"/>
        <v>2614201.2419624133</v>
      </c>
      <c r="P53" s="584">
        <f t="shared" si="20"/>
        <v>2851331.473364824</v>
      </c>
      <c r="Q53" s="584">
        <f t="shared" si="20"/>
        <v>3088198.8537967931</v>
      </c>
      <c r="R53" s="584">
        <f t="shared" si="20"/>
        <v>3323714.3372348985</v>
      </c>
      <c r="S53" s="584">
        <f t="shared" si="20"/>
        <v>3559028.1014136164</v>
      </c>
      <c r="T53" s="584">
        <f t="shared" si="20"/>
        <v>3794177.5841367156</v>
      </c>
      <c r="U53" s="584">
        <f t="shared" si="20"/>
        <v>4029169.5805914709</v>
      </c>
      <c r="V53" s="584">
        <f t="shared" si="20"/>
        <v>4264023.5569579611</v>
      </c>
      <c r="W53" s="584">
        <f t="shared" si="20"/>
        <v>4499241.4137017913</v>
      </c>
      <c r="X53" s="584">
        <f t="shared" si="20"/>
        <v>4734313.2363470038</v>
      </c>
      <c r="Y53" s="584">
        <f t="shared" si="20"/>
        <v>4969235.8521860065</v>
      </c>
      <c r="Z53" s="584">
        <f t="shared" si="20"/>
        <v>5204009.8338047983</v>
      </c>
      <c r="AA53" s="585">
        <f t="shared" si="20"/>
        <v>5426471.6855462445</v>
      </c>
      <c r="AB53" s="585">
        <f t="shared" si="20"/>
        <v>5662405.2370917331</v>
      </c>
      <c r="AC53" s="585">
        <f t="shared" si="20"/>
        <v>5898338.7886372218</v>
      </c>
      <c r="AD53" s="585">
        <f t="shared" si="20"/>
        <v>6134272.3401827104</v>
      </c>
      <c r="AE53" s="585">
        <f t="shared" si="20"/>
        <v>6370205.8917282</v>
      </c>
      <c r="AF53" s="585">
        <f t="shared" si="20"/>
        <v>6606139.4432736887</v>
      </c>
      <c r="AG53" s="585">
        <f t="shared" si="20"/>
        <v>6842072.9948191773</v>
      </c>
      <c r="AH53" s="585">
        <f t="shared" si="20"/>
        <v>7078006.5463646669</v>
      </c>
    </row>
    <row r="54" spans="2:34" x14ac:dyDescent="0.35">
      <c r="B54" s="1281"/>
      <c r="C54" s="602" t="s">
        <v>548</v>
      </c>
      <c r="D54" s="603"/>
      <c r="E54" s="604">
        <f>E52+D54</f>
        <v>343639.89520056307</v>
      </c>
      <c r="F54" s="605">
        <f t="shared" ref="F54:AH55" si="21">F52+E54</f>
        <v>1035450.3370548417</v>
      </c>
      <c r="G54" s="605">
        <f t="shared" si="21"/>
        <v>2091172.0549176293</v>
      </c>
      <c r="H54" s="605">
        <f t="shared" si="21"/>
        <v>3488568.0062481174</v>
      </c>
      <c r="I54" s="605">
        <f t="shared" si="21"/>
        <v>5209287.3709385451</v>
      </c>
      <c r="J54" s="605">
        <f t="shared" si="21"/>
        <v>7170863.9308896363</v>
      </c>
      <c r="K54" s="605">
        <f t="shared" si="21"/>
        <v>9396174.5055154208</v>
      </c>
      <c r="L54" s="605">
        <f t="shared" si="21"/>
        <v>11973604.064815354</v>
      </c>
      <c r="M54" s="605">
        <f t="shared" si="21"/>
        <v>14880391.04889359</v>
      </c>
      <c r="N54" s="605">
        <f t="shared" si="21"/>
        <v>18109885.565531999</v>
      </c>
      <c r="O54" s="605">
        <f t="shared" si="21"/>
        <v>21656777.210687716</v>
      </c>
      <c r="P54" s="605">
        <f t="shared" si="21"/>
        <v>25515353.756378416</v>
      </c>
      <c r="Q54" s="605">
        <f t="shared" si="21"/>
        <v>29680222.225796759</v>
      </c>
      <c r="R54" s="605">
        <f t="shared" si="21"/>
        <v>34123645.421999671</v>
      </c>
      <c r="S54" s="605">
        <f t="shared" si="21"/>
        <v>38841484.622251458</v>
      </c>
      <c r="T54" s="605">
        <f t="shared" si="21"/>
        <v>43830369.224273041</v>
      </c>
      <c r="U54" s="605">
        <f t="shared" si="21"/>
        <v>49087068.044282876</v>
      </c>
      <c r="V54" s="605">
        <f t="shared" si="21"/>
        <v>54608749.290814839</v>
      </c>
      <c r="W54" s="605">
        <f t="shared" si="21"/>
        <v>60402878.785404004</v>
      </c>
      <c r="X54" s="605">
        <f t="shared" si="21"/>
        <v>66466460.311199434</v>
      </c>
      <c r="Y54" s="605">
        <f t="shared" si="21"/>
        <v>72796432.556142673</v>
      </c>
      <c r="Z54" s="605">
        <f t="shared" si="21"/>
        <v>79389745.956060439</v>
      </c>
      <c r="AA54" s="606">
        <f t="shared" si="21"/>
        <v>85993789.570365801</v>
      </c>
      <c r="AB54" s="606">
        <f t="shared" si="21"/>
        <v>92884965.515727907</v>
      </c>
      <c r="AC54" s="606">
        <f t="shared" si="21"/>
        <v>100063273.79214677</v>
      </c>
      <c r="AD54" s="606">
        <f t="shared" si="21"/>
        <v>107528714.3996224</v>
      </c>
      <c r="AE54" s="606">
        <f t="shared" si="21"/>
        <v>115281287.33815478</v>
      </c>
      <c r="AF54" s="606">
        <f t="shared" si="21"/>
        <v>123320992.6077439</v>
      </c>
      <c r="AG54" s="606">
        <f t="shared" si="21"/>
        <v>131647830.20838979</v>
      </c>
      <c r="AH54" s="606">
        <f t="shared" si="21"/>
        <v>140261800.14009243</v>
      </c>
    </row>
    <row r="55" spans="2:34" ht="15" thickBot="1" x14ac:dyDescent="0.4">
      <c r="B55" s="1282"/>
      <c r="C55" s="544" t="s">
        <v>549</v>
      </c>
      <c r="D55" s="545"/>
      <c r="E55" s="601">
        <f>E53+D55</f>
        <v>238687.70173064928</v>
      </c>
      <c r="F55" s="546">
        <f t="shared" ref="F55:AA55" si="22">F53+E55</f>
        <v>716283.92685941234</v>
      </c>
      <c r="G55" s="546">
        <f t="shared" si="22"/>
        <v>1433555.8705985397</v>
      </c>
      <c r="H55" s="546">
        <f t="shared" si="22"/>
        <v>2389419.7107065469</v>
      </c>
      <c r="I55" s="546">
        <f t="shared" si="22"/>
        <v>3582981.037463895</v>
      </c>
      <c r="J55" s="546">
        <f t="shared" si="22"/>
        <v>5010220.4889800325</v>
      </c>
      <c r="K55" s="546">
        <f t="shared" si="22"/>
        <v>6672253.0698986668</v>
      </c>
      <c r="L55" s="546">
        <f t="shared" si="22"/>
        <v>8573386.6190937217</v>
      </c>
      <c r="M55" s="546">
        <f t="shared" si="22"/>
        <v>10712511.74961229</v>
      </c>
      <c r="N55" s="546">
        <f t="shared" si="22"/>
        <v>13089304.349060548</v>
      </c>
      <c r="O55" s="546">
        <f t="shared" si="22"/>
        <v>15703505.591022961</v>
      </c>
      <c r="P55" s="546">
        <f t="shared" si="22"/>
        <v>18554837.064387783</v>
      </c>
      <c r="Q55" s="546">
        <f t="shared" si="22"/>
        <v>21643035.918184578</v>
      </c>
      <c r="R55" s="546">
        <f t="shared" si="22"/>
        <v>24966750.255419478</v>
      </c>
      <c r="S55" s="546">
        <f t="shared" si="22"/>
        <v>28525778.356833093</v>
      </c>
      <c r="T55" s="546">
        <f t="shared" si="22"/>
        <v>32319955.94096981</v>
      </c>
      <c r="U55" s="546">
        <f t="shared" si="22"/>
        <v>36349125.52156128</v>
      </c>
      <c r="V55" s="546">
        <f t="shared" si="22"/>
        <v>40613149.07851924</v>
      </c>
      <c r="W55" s="546">
        <f t="shared" si="22"/>
        <v>45112390.492221028</v>
      </c>
      <c r="X55" s="546">
        <f t="shared" si="22"/>
        <v>49846703.728568032</v>
      </c>
      <c r="Y55" s="546">
        <f t="shared" si="22"/>
        <v>54815939.580754042</v>
      </c>
      <c r="Z55" s="546">
        <f t="shared" si="22"/>
        <v>60019949.414558843</v>
      </c>
      <c r="AA55" s="547">
        <f t="shared" si="22"/>
        <v>65446421.100105084</v>
      </c>
      <c r="AB55" s="547">
        <f t="shared" si="21"/>
        <v>71108826.337196812</v>
      </c>
      <c r="AC55" s="547">
        <f t="shared" si="21"/>
        <v>77007165.125834033</v>
      </c>
      <c r="AD55" s="547">
        <f t="shared" si="21"/>
        <v>83141437.46601674</v>
      </c>
      <c r="AE55" s="547">
        <f t="shared" si="21"/>
        <v>89511643.357744932</v>
      </c>
      <c r="AF55" s="547">
        <f t="shared" si="21"/>
        <v>96117782.801018625</v>
      </c>
      <c r="AG55" s="547">
        <f t="shared" si="21"/>
        <v>102959855.7958378</v>
      </c>
      <c r="AH55" s="547">
        <f t="shared" si="21"/>
        <v>110037862.34220247</v>
      </c>
    </row>
    <row r="57" spans="2:34" x14ac:dyDescent="0.35">
      <c r="B57" s="1142" t="s">
        <v>639</v>
      </c>
    </row>
    <row r="59" spans="2:34" x14ac:dyDescent="0.35">
      <c r="C59" s="900" t="s">
        <v>550</v>
      </c>
      <c r="E59" s="918">
        <f>E15</f>
        <v>2023</v>
      </c>
      <c r="F59" s="918">
        <f t="shared" ref="F59:AA59" si="23">F15</f>
        <v>2024</v>
      </c>
      <c r="G59" s="918">
        <f t="shared" si="23"/>
        <v>2025</v>
      </c>
      <c r="H59" s="918">
        <f t="shared" si="23"/>
        <v>2026</v>
      </c>
      <c r="I59" s="918">
        <f t="shared" si="23"/>
        <v>2027</v>
      </c>
      <c r="J59" s="918">
        <f t="shared" si="23"/>
        <v>2028</v>
      </c>
      <c r="K59" s="918">
        <f t="shared" si="23"/>
        <v>2029</v>
      </c>
      <c r="L59" s="918">
        <f t="shared" si="23"/>
        <v>2030</v>
      </c>
      <c r="M59" s="918">
        <f t="shared" si="23"/>
        <v>2031</v>
      </c>
      <c r="N59" s="918">
        <f t="shared" si="23"/>
        <v>2032</v>
      </c>
      <c r="O59" s="918">
        <f t="shared" si="23"/>
        <v>2033</v>
      </c>
      <c r="P59" s="918">
        <f t="shared" si="23"/>
        <v>2034</v>
      </c>
      <c r="Q59" s="918">
        <f t="shared" si="23"/>
        <v>2035</v>
      </c>
      <c r="R59" s="918">
        <f t="shared" si="23"/>
        <v>2036</v>
      </c>
      <c r="S59" s="918">
        <f t="shared" si="23"/>
        <v>2037</v>
      </c>
      <c r="T59" s="918">
        <f t="shared" si="23"/>
        <v>2038</v>
      </c>
      <c r="U59" s="918">
        <f t="shared" si="23"/>
        <v>2039</v>
      </c>
      <c r="V59" s="918">
        <f t="shared" si="23"/>
        <v>2040</v>
      </c>
      <c r="W59" s="918">
        <f t="shared" si="23"/>
        <v>2041</v>
      </c>
      <c r="X59" s="918">
        <f t="shared" si="23"/>
        <v>2042</v>
      </c>
      <c r="Y59" s="918">
        <f t="shared" si="23"/>
        <v>2043</v>
      </c>
      <c r="Z59" s="918">
        <f t="shared" si="23"/>
        <v>2044</v>
      </c>
      <c r="AA59" s="918">
        <f t="shared" si="23"/>
        <v>2045</v>
      </c>
      <c r="AB59" s="918">
        <f>AA59+1</f>
        <v>2046</v>
      </c>
      <c r="AC59" s="918">
        <f t="shared" ref="AC59:AH59" si="24">AB59+1</f>
        <v>2047</v>
      </c>
      <c r="AD59" s="918">
        <f t="shared" si="24"/>
        <v>2048</v>
      </c>
      <c r="AE59" s="918">
        <f t="shared" si="24"/>
        <v>2049</v>
      </c>
      <c r="AF59" s="918">
        <f t="shared" si="24"/>
        <v>2050</v>
      </c>
      <c r="AG59" s="918">
        <f t="shared" si="24"/>
        <v>2051</v>
      </c>
      <c r="AH59" s="918">
        <f t="shared" si="24"/>
        <v>2052</v>
      </c>
    </row>
    <row r="60" spans="2:34" x14ac:dyDescent="0.35">
      <c r="B60" t="s">
        <v>551</v>
      </c>
      <c r="C60" s="919">
        <f>'Combined All Buildings'!H19/2000</f>
        <v>22770.889761273294</v>
      </c>
      <c r="E60" s="920">
        <f>$C$60-E52/2000</f>
        <v>22599.069813673013</v>
      </c>
      <c r="F60" s="920">
        <f t="shared" ref="F60:AH61" si="25">$C$60-F52/2000</f>
        <v>22424.984540346155</v>
      </c>
      <c r="G60" s="1138">
        <f t="shared" si="25"/>
        <v>22243.028902341899</v>
      </c>
      <c r="H60" s="920">
        <f t="shared" si="25"/>
        <v>22072.191785608051</v>
      </c>
      <c r="I60" s="920">
        <f t="shared" si="25"/>
        <v>21910.530078928081</v>
      </c>
      <c r="J60" s="920">
        <f t="shared" si="25"/>
        <v>21790.101481297748</v>
      </c>
      <c r="K60" s="920">
        <f t="shared" si="25"/>
        <v>21658.234473960401</v>
      </c>
      <c r="L60" s="1138">
        <f t="shared" si="25"/>
        <v>21482.174981623328</v>
      </c>
      <c r="M60" s="920">
        <f t="shared" si="25"/>
        <v>21317.496269234176</v>
      </c>
      <c r="N60" s="920">
        <f t="shared" si="25"/>
        <v>21156.142502954091</v>
      </c>
      <c r="O60" s="920">
        <f t="shared" si="25"/>
        <v>20997.443938695436</v>
      </c>
      <c r="P60" s="920">
        <f t="shared" si="25"/>
        <v>20841.601488427943</v>
      </c>
      <c r="Q60" s="1138">
        <f t="shared" si="25"/>
        <v>20688.455526564121</v>
      </c>
      <c r="R60" s="920">
        <f t="shared" si="25"/>
        <v>20549.17816317184</v>
      </c>
      <c r="S60" s="920">
        <f t="shared" si="25"/>
        <v>20411.970161147401</v>
      </c>
      <c r="T60" s="920">
        <f t="shared" si="25"/>
        <v>20276.447460262505</v>
      </c>
      <c r="U60" s="920">
        <f t="shared" si="25"/>
        <v>20142.540351268377</v>
      </c>
      <c r="V60" s="1138">
        <f t="shared" si="25"/>
        <v>20010.049138007311</v>
      </c>
      <c r="W60" s="920">
        <f t="shared" si="25"/>
        <v>19873.825013978712</v>
      </c>
      <c r="X60" s="920">
        <f t="shared" si="25"/>
        <v>19739.098998375579</v>
      </c>
      <c r="Y60" s="920">
        <f t="shared" si="25"/>
        <v>19605.903638801679</v>
      </c>
      <c r="Z60" s="920">
        <f t="shared" si="25"/>
        <v>19474.233061314408</v>
      </c>
      <c r="AA60" s="1138">
        <f t="shared" si="25"/>
        <v>19468.867954120615</v>
      </c>
      <c r="AB60" s="1137">
        <f t="shared" si="25"/>
        <v>19325.301788592238</v>
      </c>
      <c r="AC60" s="1137">
        <f t="shared" si="25"/>
        <v>19181.735623063862</v>
      </c>
      <c r="AD60" s="1137">
        <f t="shared" si="25"/>
        <v>19038.169457535485</v>
      </c>
      <c r="AE60" s="1137">
        <f t="shared" si="25"/>
        <v>18894.603292007105</v>
      </c>
      <c r="AF60" s="1138">
        <f t="shared" si="25"/>
        <v>18751.037126478728</v>
      </c>
      <c r="AG60" s="1137">
        <f t="shared" si="25"/>
        <v>18607.470960950352</v>
      </c>
      <c r="AH60" s="1137">
        <f t="shared" si="25"/>
        <v>18463.904795421975</v>
      </c>
    </row>
    <row r="61" spans="2:34" x14ac:dyDescent="0.35">
      <c r="B61" t="s">
        <v>552</v>
      </c>
      <c r="C61" s="919">
        <f>'Combined All Buildings'!I19/2000</f>
        <v>18170.177018418333</v>
      </c>
      <c r="E61" s="920">
        <f>$C$60-E53/2000</f>
        <v>22651.545910407971</v>
      </c>
      <c r="F61" s="920">
        <f t="shared" ref="F61:AA61" si="26">$C$60-F53/2000</f>
        <v>22532.091648708913</v>
      </c>
      <c r="G61" s="1138">
        <f t="shared" si="26"/>
        <v>22412.25378940373</v>
      </c>
      <c r="H61" s="920">
        <f t="shared" si="26"/>
        <v>22292.95784121929</v>
      </c>
      <c r="I61" s="920">
        <f t="shared" si="26"/>
        <v>22174.109097894619</v>
      </c>
      <c r="J61" s="920">
        <f t="shared" si="26"/>
        <v>22057.270035515226</v>
      </c>
      <c r="K61" s="920">
        <f t="shared" si="26"/>
        <v>21939.873470813978</v>
      </c>
      <c r="L61" s="1138">
        <f t="shared" si="26"/>
        <v>21820.322986675768</v>
      </c>
      <c r="M61" s="920">
        <f t="shared" si="26"/>
        <v>21701.327196014008</v>
      </c>
      <c r="N61" s="920">
        <f t="shared" si="26"/>
        <v>21582.493461549166</v>
      </c>
      <c r="O61" s="920">
        <f t="shared" si="26"/>
        <v>21463.789140292087</v>
      </c>
      <c r="P61" s="920">
        <f t="shared" si="26"/>
        <v>21345.224024590883</v>
      </c>
      <c r="Q61" s="1138">
        <f t="shared" si="26"/>
        <v>21226.790334374899</v>
      </c>
      <c r="R61" s="920">
        <f t="shared" si="26"/>
        <v>21109.032592655843</v>
      </c>
      <c r="S61" s="920">
        <f t="shared" si="26"/>
        <v>20991.375710566484</v>
      </c>
      <c r="T61" s="920">
        <f t="shared" si="26"/>
        <v>20873.800969204938</v>
      </c>
      <c r="U61" s="920">
        <f t="shared" si="26"/>
        <v>20756.304970977559</v>
      </c>
      <c r="V61" s="1138">
        <f t="shared" si="26"/>
        <v>20638.877982794314</v>
      </c>
      <c r="W61" s="920">
        <f t="shared" si="26"/>
        <v>20521.269054422399</v>
      </c>
      <c r="X61" s="920">
        <f t="shared" si="26"/>
        <v>20403.733143099791</v>
      </c>
      <c r="Y61" s="920">
        <f t="shared" si="26"/>
        <v>20286.271835180291</v>
      </c>
      <c r="Z61" s="920">
        <f t="shared" si="26"/>
        <v>20168.884844370896</v>
      </c>
      <c r="AA61" s="1138">
        <f t="shared" si="26"/>
        <v>20057.653918500171</v>
      </c>
      <c r="AB61" s="1137">
        <f t="shared" si="25"/>
        <v>19939.687142727427</v>
      </c>
      <c r="AC61" s="1137">
        <f t="shared" si="25"/>
        <v>19821.720366954683</v>
      </c>
      <c r="AD61" s="1137">
        <f t="shared" si="25"/>
        <v>19703.75359118194</v>
      </c>
      <c r="AE61" s="1137">
        <f t="shared" si="25"/>
        <v>19585.786815409196</v>
      </c>
      <c r="AF61" s="1138">
        <f t="shared" si="25"/>
        <v>19467.820039636448</v>
      </c>
      <c r="AG61" s="1137">
        <f t="shared" si="25"/>
        <v>19349.853263863704</v>
      </c>
      <c r="AH61" s="1137">
        <f t="shared" si="25"/>
        <v>19231.88648809096</v>
      </c>
    </row>
  </sheetData>
  <mergeCells count="5">
    <mergeCell ref="C14:AA14"/>
    <mergeCell ref="B16:B24"/>
    <mergeCell ref="B26:B37"/>
    <mergeCell ref="B40:B45"/>
    <mergeCell ref="B47:B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5999-6810-4344-9FFE-295A08D92FEE}">
  <dimension ref="A1:AC235"/>
  <sheetViews>
    <sheetView zoomScaleNormal="100" workbookViewId="0"/>
  </sheetViews>
  <sheetFormatPr defaultRowHeight="14.5" x14ac:dyDescent="0.35"/>
  <cols>
    <col min="2" max="2" width="29.54296875" customWidth="1"/>
    <col min="5" max="5" width="11.54296875" customWidth="1"/>
    <col min="6" max="6" width="13.54296875" customWidth="1"/>
    <col min="9" max="9" width="11.1796875" customWidth="1"/>
    <col min="10" max="10" width="11.7265625" customWidth="1"/>
    <col min="14" max="14" width="12.26953125" customWidth="1"/>
    <col min="17" max="17" width="9.453125" bestFit="1" customWidth="1"/>
    <col min="18" max="19" width="15.1796875" customWidth="1"/>
    <col min="20" max="20" width="13.26953125" customWidth="1"/>
    <col min="21" max="21" width="13.453125" customWidth="1"/>
    <col min="23" max="23" width="13.54296875" customWidth="1"/>
    <col min="25" max="25" width="11" customWidth="1"/>
    <col min="27" max="27" width="16.1796875" bestFit="1" customWidth="1"/>
    <col min="28" max="28" width="15.7265625" customWidth="1"/>
    <col min="29" max="29" width="15.81640625" customWidth="1"/>
  </cols>
  <sheetData>
    <row r="1" spans="2:20" x14ac:dyDescent="0.35">
      <c r="B1" t="s">
        <v>563</v>
      </c>
    </row>
    <row r="2" spans="2:20" x14ac:dyDescent="0.35">
      <c r="B2" t="s">
        <v>37</v>
      </c>
    </row>
    <row r="3" spans="2:20" ht="15" thickBot="1" x14ac:dyDescent="0.4">
      <c r="B3" t="s">
        <v>38</v>
      </c>
      <c r="C3" t="s">
        <v>612</v>
      </c>
    </row>
    <row r="4" spans="2:20" x14ac:dyDescent="0.35">
      <c r="B4" s="7"/>
      <c r="C4" s="1147" t="s">
        <v>586</v>
      </c>
      <c r="D4" s="1148"/>
      <c r="E4" s="1149"/>
      <c r="F4" s="1149"/>
      <c r="G4" s="1151" t="s">
        <v>587</v>
      </c>
      <c r="H4" s="1152"/>
      <c r="I4" s="1153"/>
      <c r="J4" s="1154"/>
      <c r="K4" s="1172" t="s">
        <v>40</v>
      </c>
      <c r="L4" s="1148"/>
      <c r="M4" s="1149"/>
      <c r="N4" s="1150"/>
      <c r="O4" s="1151" t="s">
        <v>4</v>
      </c>
      <c r="P4" s="1154"/>
      <c r="Q4" s="1155" t="s">
        <v>41</v>
      </c>
      <c r="R4" s="1156"/>
      <c r="S4" s="1156"/>
      <c r="T4" s="1157"/>
    </row>
    <row r="5" spans="2:20" ht="43.5" x14ac:dyDescent="0.35">
      <c r="B5" s="8" t="s">
        <v>5</v>
      </c>
      <c r="C5" s="17" t="s">
        <v>6</v>
      </c>
      <c r="D5" s="18" t="s">
        <v>7</v>
      </c>
      <c r="E5" s="61" t="s">
        <v>42</v>
      </c>
      <c r="F5" s="19" t="s">
        <v>9</v>
      </c>
      <c r="G5" s="5" t="s">
        <v>6</v>
      </c>
      <c r="H5" s="4" t="s">
        <v>7</v>
      </c>
      <c r="I5" s="71" t="s">
        <v>8</v>
      </c>
      <c r="J5" s="6" t="s">
        <v>9</v>
      </c>
      <c r="K5" s="17" t="s">
        <v>6</v>
      </c>
      <c r="L5" s="18" t="s">
        <v>7</v>
      </c>
      <c r="M5" s="61" t="s">
        <v>42</v>
      </c>
      <c r="N5" s="19" t="s">
        <v>9</v>
      </c>
      <c r="O5" s="5" t="s">
        <v>10</v>
      </c>
      <c r="P5" s="6" t="s">
        <v>11</v>
      </c>
      <c r="Q5" s="17" t="s">
        <v>6</v>
      </c>
      <c r="R5" s="18" t="s">
        <v>7</v>
      </c>
      <c r="S5" s="61" t="s">
        <v>42</v>
      </c>
      <c r="T5" s="19" t="s">
        <v>9</v>
      </c>
    </row>
    <row r="6" spans="2:20" x14ac:dyDescent="0.35">
      <c r="B6" s="9">
        <v>1</v>
      </c>
      <c r="C6" s="338">
        <v>263.74624999999997</v>
      </c>
      <c r="D6" s="338">
        <v>2800.7266125000001</v>
      </c>
      <c r="E6" s="338">
        <v>183167.05773661711</v>
      </c>
      <c r="F6" s="22">
        <v>1.9974590345081751</v>
      </c>
      <c r="G6" s="339">
        <v>166.09875</v>
      </c>
      <c r="H6" s="340">
        <v>3840.7758624999997</v>
      </c>
      <c r="I6" s="340">
        <v>179235.75659644062</v>
      </c>
      <c r="J6" s="76">
        <v>1.6341262039755875</v>
      </c>
      <c r="K6" s="341">
        <f>C6-G6</f>
        <v>97.64749999999998</v>
      </c>
      <c r="L6" s="342">
        <f>D6-H6</f>
        <v>-1040.0492499999996</v>
      </c>
      <c r="M6" s="343">
        <f>E6-I6</f>
        <v>3931.3011401764816</v>
      </c>
      <c r="N6" s="344">
        <f>F6-J6</f>
        <v>0.36333283053258758</v>
      </c>
      <c r="O6" s="12">
        <v>10.6</v>
      </c>
      <c r="P6" s="14">
        <f>O6/O$22</f>
        <v>5.0994881268521712E-3</v>
      </c>
      <c r="Q6" s="28">
        <f>K6*O6</f>
        <v>1035.0634999999997</v>
      </c>
      <c r="R6" s="27">
        <f>O6*L6</f>
        <v>-11024.522049999996</v>
      </c>
      <c r="S6" s="62">
        <f>M6*O6</f>
        <v>41671.7920858707</v>
      </c>
      <c r="T6" s="29">
        <f>O6*N6</f>
        <v>3.851328003645428</v>
      </c>
    </row>
    <row r="7" spans="2:20" x14ac:dyDescent="0.35">
      <c r="B7" s="9">
        <v>2</v>
      </c>
      <c r="C7" s="338">
        <v>197.61250000000001</v>
      </c>
      <c r="D7" s="338">
        <v>2817.1191875</v>
      </c>
      <c r="E7" s="338">
        <v>163208.71439162345</v>
      </c>
      <c r="F7" s="22">
        <v>1.6160195401100499</v>
      </c>
      <c r="G7" s="36">
        <v>147.65625</v>
      </c>
      <c r="H7" s="340">
        <v>3415.2844375</v>
      </c>
      <c r="I7" s="340">
        <v>161965.87933752127</v>
      </c>
      <c r="J7" s="76">
        <v>1.4599070056806001</v>
      </c>
      <c r="K7" s="341">
        <f t="shared" ref="K7:N21" si="0">C7-G7</f>
        <v>49.956250000000011</v>
      </c>
      <c r="L7" s="342">
        <f t="shared" si="0"/>
        <v>-598.16525000000001</v>
      </c>
      <c r="M7" s="343">
        <f t="shared" si="0"/>
        <v>1242.8350541021791</v>
      </c>
      <c r="N7" s="344">
        <f t="shared" si="0"/>
        <v>0.15611253442944983</v>
      </c>
      <c r="O7" s="12">
        <v>62.92</v>
      </c>
      <c r="P7" s="14">
        <f t="shared" ref="P7:P21" si="1">O7/O$22</f>
        <v>3.026979178693761E-2</v>
      </c>
      <c r="Q7" s="28">
        <f t="shared" ref="Q7:Q21" si="2">K7*O7</f>
        <v>3143.2472500000008</v>
      </c>
      <c r="R7" s="27">
        <f t="shared" ref="R7:R21" si="3">O7*L7</f>
        <v>-37636.557530000005</v>
      </c>
      <c r="S7" s="62">
        <f t="shared" ref="S7:S21" si="4">M7*O7</f>
        <v>78199.181604109108</v>
      </c>
      <c r="T7" s="29">
        <f t="shared" ref="T7:T21" si="5">O7*N7</f>
        <v>9.8226006663009837</v>
      </c>
    </row>
    <row r="8" spans="2:20" x14ac:dyDescent="0.35">
      <c r="B8" s="9">
        <v>3</v>
      </c>
      <c r="C8" s="338">
        <v>171.80875</v>
      </c>
      <c r="D8" s="338">
        <v>2769.5291874999998</v>
      </c>
      <c r="E8" s="338">
        <v>149123.8439336736</v>
      </c>
      <c r="F8" s="22">
        <v>1.4562257614930876</v>
      </c>
      <c r="G8" s="36">
        <v>147.535</v>
      </c>
      <c r="H8" s="340">
        <v>3047.3262749999999</v>
      </c>
      <c r="I8" s="340">
        <v>148446.54058468138</v>
      </c>
      <c r="J8" s="76">
        <v>1.3835681299863001</v>
      </c>
      <c r="K8" s="341">
        <f t="shared" si="0"/>
        <v>24.273750000000007</v>
      </c>
      <c r="L8" s="342">
        <f t="shared" si="0"/>
        <v>-277.79708750000009</v>
      </c>
      <c r="M8" s="343">
        <f t="shared" si="0"/>
        <v>677.30334899222362</v>
      </c>
      <c r="N8" s="344">
        <f t="shared" si="0"/>
        <v>7.2657631506787501E-2</v>
      </c>
      <c r="O8" s="12">
        <v>305.2</v>
      </c>
      <c r="P8" s="14">
        <f t="shared" si="1"/>
        <v>0.14682677135049838</v>
      </c>
      <c r="Q8" s="28">
        <f t="shared" si="2"/>
        <v>7408.3485000000019</v>
      </c>
      <c r="R8" s="27">
        <f t="shared" si="3"/>
        <v>-84783.67110500003</v>
      </c>
      <c r="S8" s="62">
        <f t="shared" si="4"/>
        <v>206712.98211242663</v>
      </c>
      <c r="T8" s="29">
        <f t="shared" si="5"/>
        <v>22.175109135871544</v>
      </c>
    </row>
    <row r="9" spans="2:20" x14ac:dyDescent="0.35">
      <c r="B9" s="9">
        <v>4</v>
      </c>
      <c r="C9" s="338">
        <v>160.21375</v>
      </c>
      <c r="D9" s="338">
        <v>2887.0945499999998</v>
      </c>
      <c r="E9" s="338">
        <v>152250.75480732712</v>
      </c>
      <c r="F9" s="22">
        <v>1.4122871750071124</v>
      </c>
      <c r="G9" s="36">
        <v>138.39875000000001</v>
      </c>
      <c r="H9" s="340">
        <v>3079.9275499999999</v>
      </c>
      <c r="I9" s="340">
        <v>152037.25602580752</v>
      </c>
      <c r="J9" s="76">
        <v>1.338850792329525</v>
      </c>
      <c r="K9" s="341">
        <f t="shared" si="0"/>
        <v>21.814999999999998</v>
      </c>
      <c r="L9" s="342">
        <f t="shared" si="0"/>
        <v>-192.83300000000008</v>
      </c>
      <c r="M9" s="343">
        <f t="shared" si="0"/>
        <v>213.49878151959274</v>
      </c>
      <c r="N9" s="344">
        <f t="shared" si="0"/>
        <v>7.3436382677587453E-2</v>
      </c>
      <c r="O9" s="12">
        <v>159.00000000000003</v>
      </c>
      <c r="P9" s="14">
        <f t="shared" si="1"/>
        <v>7.6492321902782587E-2</v>
      </c>
      <c r="Q9" s="28">
        <f t="shared" si="2"/>
        <v>3468.585</v>
      </c>
      <c r="R9" s="27">
        <f t="shared" si="3"/>
        <v>-30660.447000000018</v>
      </c>
      <c r="S9" s="62">
        <f t="shared" si="4"/>
        <v>33946.306261615253</v>
      </c>
      <c r="T9" s="29">
        <f t="shared" si="5"/>
        <v>11.676384845736408</v>
      </c>
    </row>
    <row r="10" spans="2:20" x14ac:dyDescent="0.35">
      <c r="B10" s="9">
        <v>5</v>
      </c>
      <c r="C10" s="338">
        <v>166.27</v>
      </c>
      <c r="D10" s="338">
        <v>2768.3586</v>
      </c>
      <c r="E10" s="338">
        <v>145807.37935301321</v>
      </c>
      <c r="F10" s="22">
        <v>1.4233607443496126</v>
      </c>
      <c r="G10" s="36">
        <v>145.14875000000001</v>
      </c>
      <c r="H10" s="340">
        <v>2976.1851999999999</v>
      </c>
      <c r="I10" s="340">
        <v>144602.63948377065</v>
      </c>
      <c r="J10" s="76">
        <v>1.3571332917637751</v>
      </c>
      <c r="K10" s="341">
        <f t="shared" si="0"/>
        <v>21.121250000000003</v>
      </c>
      <c r="L10" s="342">
        <f t="shared" si="0"/>
        <v>-207.82659999999987</v>
      </c>
      <c r="M10" s="343">
        <f t="shared" si="0"/>
        <v>1204.7398692425631</v>
      </c>
      <c r="N10" s="344">
        <f t="shared" si="0"/>
        <v>6.622745258583751E-2</v>
      </c>
      <c r="O10" s="12">
        <v>28.240000000000002</v>
      </c>
      <c r="P10" s="14">
        <f t="shared" si="1"/>
        <v>1.358580610399107E-2</v>
      </c>
      <c r="Q10" s="28">
        <f t="shared" si="2"/>
        <v>596.46410000000014</v>
      </c>
      <c r="R10" s="27">
        <f t="shared" si="3"/>
        <v>-5869.0231839999969</v>
      </c>
      <c r="S10" s="62">
        <f t="shared" si="4"/>
        <v>34021.853907409983</v>
      </c>
      <c r="T10" s="29">
        <f t="shared" si="5"/>
        <v>1.8702632610240515</v>
      </c>
    </row>
    <row r="11" spans="2:20" x14ac:dyDescent="0.35">
      <c r="B11" s="9">
        <v>6</v>
      </c>
      <c r="C11" s="338">
        <v>136.79</v>
      </c>
      <c r="D11" s="338">
        <v>2852.2611999999995</v>
      </c>
      <c r="E11" s="338">
        <v>141850.96503081071</v>
      </c>
      <c r="F11" s="22">
        <v>1.27011683319295</v>
      </c>
      <c r="G11" s="36">
        <v>132.29499999999999</v>
      </c>
      <c r="H11" s="340">
        <v>2842.5333999999998</v>
      </c>
      <c r="I11" s="340">
        <v>140465.90485467252</v>
      </c>
      <c r="J11" s="76">
        <v>1.2494725247129663</v>
      </c>
      <c r="K11" s="341">
        <f t="shared" si="0"/>
        <v>4.4950000000000045</v>
      </c>
      <c r="L11" s="342">
        <f t="shared" si="0"/>
        <v>9.7277999999996609</v>
      </c>
      <c r="M11" s="343">
        <f t="shared" si="0"/>
        <v>1385.060176138184</v>
      </c>
      <c r="N11" s="344">
        <f t="shared" si="0"/>
        <v>2.0644308479983664E-2</v>
      </c>
      <c r="O11" s="12">
        <v>134.79999999999998</v>
      </c>
      <c r="P11" s="14">
        <f t="shared" si="1"/>
        <v>6.4850094292421945E-2</v>
      </c>
      <c r="Q11" s="28">
        <f t="shared" si="2"/>
        <v>605.9260000000005</v>
      </c>
      <c r="R11" s="27">
        <f t="shared" si="3"/>
        <v>1311.3074399999541</v>
      </c>
      <c r="S11" s="62">
        <f t="shared" si="4"/>
        <v>186706.11174342717</v>
      </c>
      <c r="T11" s="29">
        <f t="shared" si="5"/>
        <v>2.7828527831017977</v>
      </c>
    </row>
    <row r="12" spans="2:20" x14ac:dyDescent="0.35">
      <c r="B12" s="9">
        <v>7</v>
      </c>
      <c r="C12" s="338">
        <v>136.18</v>
      </c>
      <c r="D12" s="338">
        <v>2870.6901925000002</v>
      </c>
      <c r="E12" s="338">
        <v>140045.44061298441</v>
      </c>
      <c r="F12" s="22">
        <v>1.271166959649525</v>
      </c>
      <c r="G12" s="36">
        <v>134.435</v>
      </c>
      <c r="H12" s="340">
        <v>2822.5534124999999</v>
      </c>
      <c r="I12" s="340">
        <v>138350.07837520799</v>
      </c>
      <c r="J12" s="76">
        <v>1.2569364257932749</v>
      </c>
      <c r="K12" s="341">
        <f t="shared" si="0"/>
        <v>1.7450000000000045</v>
      </c>
      <c r="L12" s="342">
        <f t="shared" si="0"/>
        <v>48.136780000000272</v>
      </c>
      <c r="M12" s="343">
        <f t="shared" si="0"/>
        <v>1695.3622377764259</v>
      </c>
      <c r="N12" s="344">
        <f t="shared" si="0"/>
        <v>1.4230533856250061E-2</v>
      </c>
      <c r="O12" s="12">
        <v>144.91999999999999</v>
      </c>
      <c r="P12" s="14">
        <f t="shared" si="1"/>
        <v>6.9718662202209125E-2</v>
      </c>
      <c r="Q12" s="28">
        <f t="shared" si="2"/>
        <v>252.88540000000063</v>
      </c>
      <c r="R12" s="27">
        <f t="shared" si="3"/>
        <v>6975.9821576000386</v>
      </c>
      <c r="S12" s="62">
        <f t="shared" si="4"/>
        <v>245691.89549855961</v>
      </c>
      <c r="T12" s="29">
        <f t="shared" si="5"/>
        <v>2.0622889664477584</v>
      </c>
    </row>
    <row r="13" spans="2:20" x14ac:dyDescent="0.35">
      <c r="B13" s="9">
        <v>8</v>
      </c>
      <c r="C13" s="338">
        <v>130.24625</v>
      </c>
      <c r="D13" s="338">
        <v>3110.4825499999997</v>
      </c>
      <c r="E13" s="338">
        <v>147819.23646428323</v>
      </c>
      <c r="F13" s="22">
        <v>1.2802854624636499</v>
      </c>
      <c r="G13" s="36">
        <v>128.30875</v>
      </c>
      <c r="H13" s="340">
        <v>3093.1725000000001</v>
      </c>
      <c r="I13" s="340">
        <v>147358.95304808966</v>
      </c>
      <c r="J13" s="76">
        <v>1.2717962036146375</v>
      </c>
      <c r="K13" s="341">
        <f t="shared" si="0"/>
        <v>1.9375</v>
      </c>
      <c r="L13" s="342">
        <f t="shared" si="0"/>
        <v>17.310049999999592</v>
      </c>
      <c r="M13" s="343">
        <f t="shared" si="0"/>
        <v>460.2834161935607</v>
      </c>
      <c r="N13" s="344">
        <f t="shared" si="0"/>
        <v>8.4892588490124155E-3</v>
      </c>
      <c r="O13" s="12">
        <v>189.52</v>
      </c>
      <c r="P13" s="14">
        <f t="shared" si="1"/>
        <v>9.1174999037832424E-2</v>
      </c>
      <c r="Q13" s="28">
        <f t="shared" si="2"/>
        <v>367.19499999999999</v>
      </c>
      <c r="R13" s="27">
        <f t="shared" si="3"/>
        <v>3280.6006759999227</v>
      </c>
      <c r="S13" s="62">
        <f t="shared" si="4"/>
        <v>87232.913037003629</v>
      </c>
      <c r="T13" s="29">
        <f t="shared" si="5"/>
        <v>1.6088843370648331</v>
      </c>
    </row>
    <row r="14" spans="2:20" x14ac:dyDescent="0.35">
      <c r="B14" s="9">
        <v>9</v>
      </c>
      <c r="C14" s="338">
        <v>134.38999999999999</v>
      </c>
      <c r="D14" s="338">
        <v>3078.8257249999997</v>
      </c>
      <c r="E14" s="338">
        <v>149212.09371721171</v>
      </c>
      <c r="F14" s="22">
        <v>1.29996055109765</v>
      </c>
      <c r="G14" s="36">
        <v>128.25</v>
      </c>
      <c r="H14" s="340">
        <v>3112.1516499999998</v>
      </c>
      <c r="I14" s="340">
        <v>148682.33803873035</v>
      </c>
      <c r="J14" s="76">
        <v>1.2795084160341501</v>
      </c>
      <c r="K14" s="341">
        <f t="shared" si="0"/>
        <v>6.1399999999999864</v>
      </c>
      <c r="L14" s="342">
        <f t="shared" si="0"/>
        <v>-33.325925000000097</v>
      </c>
      <c r="M14" s="343">
        <f t="shared" si="0"/>
        <v>529.75567848136416</v>
      </c>
      <c r="N14" s="344">
        <f t="shared" si="0"/>
        <v>2.0452135063499854E-2</v>
      </c>
      <c r="O14" s="12">
        <v>444.96</v>
      </c>
      <c r="P14" s="14">
        <f t="shared" si="1"/>
        <v>0.2140630412192587</v>
      </c>
      <c r="Q14" s="28">
        <f t="shared" si="2"/>
        <v>2732.0543999999936</v>
      </c>
      <c r="R14" s="27">
        <f t="shared" si="3"/>
        <v>-14828.703588000042</v>
      </c>
      <c r="S14" s="62">
        <f t="shared" si="4"/>
        <v>235720.08669706777</v>
      </c>
      <c r="T14" s="29">
        <f t="shared" si="5"/>
        <v>9.1003820178548942</v>
      </c>
    </row>
    <row r="15" spans="2:20" x14ac:dyDescent="0.35">
      <c r="B15" s="9">
        <v>10</v>
      </c>
      <c r="C15" s="338">
        <v>140.02500000000001</v>
      </c>
      <c r="D15" s="338">
        <v>3211.47055</v>
      </c>
      <c r="E15" s="338">
        <v>158433.59340387746</v>
      </c>
      <c r="F15" s="22">
        <v>1.3553232099160626</v>
      </c>
      <c r="G15" s="36">
        <v>127.43625</v>
      </c>
      <c r="H15" s="340">
        <v>3343.1975874999998</v>
      </c>
      <c r="I15" s="340">
        <v>158597.91122876841</v>
      </c>
      <c r="J15" s="76">
        <v>1.3227297811077876</v>
      </c>
      <c r="K15" s="341">
        <f t="shared" si="0"/>
        <v>12.588750000000005</v>
      </c>
      <c r="L15" s="342">
        <f t="shared" si="0"/>
        <v>-131.72703749999982</v>
      </c>
      <c r="M15" s="343">
        <f t="shared" si="0"/>
        <v>-164.31782489095349</v>
      </c>
      <c r="N15" s="344">
        <f t="shared" si="0"/>
        <v>3.2593428808274982E-2</v>
      </c>
      <c r="O15" s="12">
        <v>157.20000000000002</v>
      </c>
      <c r="P15" s="14">
        <f t="shared" si="1"/>
        <v>7.5626371088788821E-2</v>
      </c>
      <c r="Q15" s="28">
        <f t="shared" si="2"/>
        <v>1978.951500000001</v>
      </c>
      <c r="R15" s="27">
        <f t="shared" si="3"/>
        <v>-20707.490294999974</v>
      </c>
      <c r="S15" s="62">
        <f t="shared" si="4"/>
        <v>-25830.762072857891</v>
      </c>
      <c r="T15" s="29">
        <f t="shared" si="5"/>
        <v>5.1236870086608279</v>
      </c>
    </row>
    <row r="16" spans="2:20" x14ac:dyDescent="0.35">
      <c r="B16" s="9">
        <v>11</v>
      </c>
      <c r="C16" s="338">
        <v>177.63624999999999</v>
      </c>
      <c r="D16" s="338">
        <v>3398.5460000000003</v>
      </c>
      <c r="E16" s="338">
        <v>184385.7875119363</v>
      </c>
      <c r="F16" s="22">
        <v>1.6009410729939124</v>
      </c>
      <c r="G16" s="36">
        <v>133.72</v>
      </c>
      <c r="H16" s="340">
        <v>3970.6774999999998</v>
      </c>
      <c r="I16" s="340">
        <v>185479.80254477655</v>
      </c>
      <c r="J16" s="76">
        <v>1.4816141007606876</v>
      </c>
      <c r="K16" s="341">
        <f t="shared" si="0"/>
        <v>43.916249999999991</v>
      </c>
      <c r="L16" s="342">
        <f t="shared" si="0"/>
        <v>-572.13149999999951</v>
      </c>
      <c r="M16" s="343">
        <f t="shared" si="0"/>
        <v>-1094.0150328402524</v>
      </c>
      <c r="N16" s="344">
        <f t="shared" si="0"/>
        <v>0.11932697223322486</v>
      </c>
      <c r="O16" s="12">
        <v>44.879999999999995</v>
      </c>
      <c r="P16" s="14">
        <f t="shared" si="1"/>
        <v>2.1591040295577874E-2</v>
      </c>
      <c r="Q16" s="28">
        <f t="shared" si="2"/>
        <v>1970.9612999999995</v>
      </c>
      <c r="R16" s="27">
        <f t="shared" si="3"/>
        <v>-25677.261719999977</v>
      </c>
      <c r="S16" s="62">
        <f t="shared" si="4"/>
        <v>-49099.39467387052</v>
      </c>
      <c r="T16" s="29">
        <f t="shared" si="5"/>
        <v>5.3553945138271315</v>
      </c>
    </row>
    <row r="17" spans="2:20" x14ac:dyDescent="0.35">
      <c r="B17" s="9">
        <v>12</v>
      </c>
      <c r="C17" s="338">
        <v>179.20875000000001</v>
      </c>
      <c r="D17" s="338">
        <v>3010.5832499999997</v>
      </c>
      <c r="E17" s="338">
        <v>169270.9401856921</v>
      </c>
      <c r="F17" s="22">
        <v>1.5467368372993875</v>
      </c>
      <c r="G17" s="36">
        <v>138.46375</v>
      </c>
      <c r="H17" s="340">
        <v>3508.9298749999998</v>
      </c>
      <c r="I17" s="340">
        <v>169945.38197895756</v>
      </c>
      <c r="J17" s="76">
        <v>1.4301056350941874</v>
      </c>
      <c r="K17" s="341">
        <f t="shared" si="0"/>
        <v>40.745000000000005</v>
      </c>
      <c r="L17" s="342">
        <f t="shared" si="0"/>
        <v>-498.34662500000013</v>
      </c>
      <c r="M17" s="343">
        <f t="shared" si="0"/>
        <v>-674.44179326546146</v>
      </c>
      <c r="N17" s="344">
        <f t="shared" si="0"/>
        <v>0.11663120220520007</v>
      </c>
      <c r="O17" s="12">
        <v>253.40000000000003</v>
      </c>
      <c r="P17" s="14">
        <f t="shared" si="1"/>
        <v>0.12190663125890004</v>
      </c>
      <c r="Q17" s="28">
        <f t="shared" si="2"/>
        <v>10324.783000000003</v>
      </c>
      <c r="R17" s="27">
        <f t="shared" si="3"/>
        <v>-126281.03477500005</v>
      </c>
      <c r="S17" s="62">
        <f t="shared" si="4"/>
        <v>-170903.55041346795</v>
      </c>
      <c r="T17" s="29">
        <f t="shared" si="5"/>
        <v>29.5543466387977</v>
      </c>
    </row>
    <row r="18" spans="2:20" x14ac:dyDescent="0.35">
      <c r="B18" s="9">
        <v>13</v>
      </c>
      <c r="C18" s="338">
        <v>161.74625</v>
      </c>
      <c r="D18" s="338">
        <v>3485.9030874999999</v>
      </c>
      <c r="E18" s="338">
        <v>179023.55740981689</v>
      </c>
      <c r="F18" s="22">
        <v>1.5275329119206376</v>
      </c>
      <c r="G18" s="36">
        <v>129.32374999999999</v>
      </c>
      <c r="H18" s="340">
        <v>3928.6015875000003</v>
      </c>
      <c r="I18" s="340">
        <v>180851.21471243163</v>
      </c>
      <c r="J18" s="76">
        <v>1.44566160568135</v>
      </c>
      <c r="K18" s="341">
        <f t="shared" si="0"/>
        <v>32.422500000000014</v>
      </c>
      <c r="L18" s="342">
        <f t="shared" si="0"/>
        <v>-442.69850000000042</v>
      </c>
      <c r="M18" s="343">
        <f t="shared" si="0"/>
        <v>-1827.657302614738</v>
      </c>
      <c r="N18" s="344">
        <f t="shared" si="0"/>
        <v>8.1871306239287511E-2</v>
      </c>
      <c r="O18" s="12">
        <v>73.960000000000008</v>
      </c>
      <c r="P18" s="14">
        <f t="shared" si="1"/>
        <v>3.5580956779432703E-2</v>
      </c>
      <c r="Q18" s="28">
        <f t="shared" si="2"/>
        <v>2397.9681000000014</v>
      </c>
      <c r="R18" s="27">
        <f t="shared" si="3"/>
        <v>-32741.981060000035</v>
      </c>
      <c r="S18" s="62">
        <f t="shared" si="4"/>
        <v>-135173.53410138603</v>
      </c>
      <c r="T18" s="29">
        <f t="shared" si="5"/>
        <v>6.0552018094577047</v>
      </c>
    </row>
    <row r="19" spans="2:20" x14ac:dyDescent="0.35">
      <c r="B19" s="9">
        <v>14</v>
      </c>
      <c r="C19" s="338">
        <v>169.9675</v>
      </c>
      <c r="D19" s="338">
        <v>3310.5914625</v>
      </c>
      <c r="E19" s="338">
        <v>170295.80177506848</v>
      </c>
      <c r="F19" s="22">
        <v>1.5469313900434625</v>
      </c>
      <c r="G19" s="36">
        <v>128.8075</v>
      </c>
      <c r="H19" s="340">
        <v>3836.5579625</v>
      </c>
      <c r="I19" s="340">
        <v>172782.09251801088</v>
      </c>
      <c r="J19" s="76">
        <v>1.457504969503125</v>
      </c>
      <c r="K19" s="341">
        <f t="shared" si="0"/>
        <v>41.16</v>
      </c>
      <c r="L19" s="342">
        <f t="shared" si="0"/>
        <v>-525.9665</v>
      </c>
      <c r="M19" s="343">
        <f t="shared" si="0"/>
        <v>-2486.290742942394</v>
      </c>
      <c r="N19" s="344">
        <f t="shared" si="0"/>
        <v>8.9426420540337448E-2</v>
      </c>
      <c r="O19" s="12">
        <v>33.6</v>
      </c>
      <c r="P19" s="14">
        <f t="shared" si="1"/>
        <v>1.616441519455028E-2</v>
      </c>
      <c r="Q19" s="28">
        <f t="shared" si="2"/>
        <v>1382.9759999999999</v>
      </c>
      <c r="R19" s="27">
        <f t="shared" si="3"/>
        <v>-17672.474399999999</v>
      </c>
      <c r="S19" s="62">
        <f t="shared" si="4"/>
        <v>-83539.368962864435</v>
      </c>
      <c r="T19" s="29">
        <f t="shared" si="5"/>
        <v>3.0047277301553383</v>
      </c>
    </row>
    <row r="20" spans="2:20" x14ac:dyDescent="0.35">
      <c r="B20" s="9">
        <v>15</v>
      </c>
      <c r="C20" s="338">
        <v>105.9645</v>
      </c>
      <c r="D20" s="338">
        <v>4422.17797625</v>
      </c>
      <c r="E20" s="338">
        <v>185220.36104859295</v>
      </c>
      <c r="F20" s="22">
        <v>1.3416667760459751</v>
      </c>
      <c r="G20" s="36">
        <v>105.426625</v>
      </c>
      <c r="H20" s="340">
        <v>4461.2335874999999</v>
      </c>
      <c r="I20" s="340">
        <v>187279.23156554351</v>
      </c>
      <c r="J20" s="76">
        <v>1.3483171023437126</v>
      </c>
      <c r="K20" s="341">
        <f t="shared" si="0"/>
        <v>0.53787499999999966</v>
      </c>
      <c r="L20" s="342">
        <f t="shared" si="0"/>
        <v>-39.055611249999856</v>
      </c>
      <c r="M20" s="343">
        <f t="shared" si="0"/>
        <v>-2058.8705169505556</v>
      </c>
      <c r="N20" s="344">
        <f t="shared" si="0"/>
        <v>-6.650326297737541E-3</v>
      </c>
      <c r="O20" s="12">
        <v>21.879999999999995</v>
      </c>
      <c r="P20" s="14">
        <f t="shared" si="1"/>
        <v>1.0526113227879764E-2</v>
      </c>
      <c r="Q20" s="28">
        <f t="shared" si="2"/>
        <v>11.76870499999999</v>
      </c>
      <c r="R20" s="27">
        <f t="shared" si="3"/>
        <v>-854.53677414999663</v>
      </c>
      <c r="S20" s="62">
        <f t="shared" si="4"/>
        <v>-45048.086910878148</v>
      </c>
      <c r="T20" s="29">
        <f t="shared" si="5"/>
        <v>-0.14550913939449736</v>
      </c>
    </row>
    <row r="21" spans="2:20" x14ac:dyDescent="0.35">
      <c r="B21" s="9">
        <v>16</v>
      </c>
      <c r="C21" s="338">
        <v>273.63499999999999</v>
      </c>
      <c r="D21" s="338">
        <v>2911.3639874999999</v>
      </c>
      <c r="E21" s="338">
        <v>192871.62655291008</v>
      </c>
      <c r="F21" s="22">
        <v>2.0804696812343875</v>
      </c>
      <c r="G21" s="36">
        <v>240.12531514</v>
      </c>
      <c r="H21" s="340">
        <v>3277.3328301795</v>
      </c>
      <c r="I21" s="340">
        <v>190138.38787761831</v>
      </c>
      <c r="J21" s="76">
        <v>1.9509254266880249</v>
      </c>
      <c r="K21" s="345">
        <f t="shared" si="0"/>
        <v>33.509684859999993</v>
      </c>
      <c r="L21" s="346">
        <f t="shared" si="0"/>
        <v>-365.96884267950009</v>
      </c>
      <c r="M21" s="347">
        <f t="shared" si="0"/>
        <v>2733.2386752917664</v>
      </c>
      <c r="N21" s="344">
        <f t="shared" si="0"/>
        <v>0.12954425454636254</v>
      </c>
      <c r="O21" s="12">
        <v>13.56</v>
      </c>
      <c r="P21" s="14">
        <f t="shared" si="1"/>
        <v>6.5234961320863637E-3</v>
      </c>
      <c r="Q21" s="28">
        <f t="shared" si="2"/>
        <v>454.39132670159989</v>
      </c>
      <c r="R21" s="27">
        <f t="shared" si="3"/>
        <v>-4962.537506734021</v>
      </c>
      <c r="S21" s="62">
        <f t="shared" si="4"/>
        <v>37062.716436956354</v>
      </c>
      <c r="T21" s="29">
        <f t="shared" si="5"/>
        <v>1.7566200916486761</v>
      </c>
    </row>
    <row r="22" spans="2:20" ht="15" thickBot="1" x14ac:dyDescent="0.4">
      <c r="B22" s="10" t="s">
        <v>12</v>
      </c>
      <c r="C22" s="67"/>
      <c r="D22" s="67"/>
      <c r="E22" s="67"/>
      <c r="F22" s="67"/>
      <c r="G22" s="348"/>
      <c r="H22" s="67"/>
      <c r="I22" s="80"/>
      <c r="J22" s="349"/>
      <c r="K22" s="69"/>
      <c r="L22" s="67"/>
      <c r="M22" s="80"/>
      <c r="N22" s="81"/>
      <c r="O22" s="16">
        <f t="shared" ref="O22:T22" si="6">SUM(O6:O21)</f>
        <v>2078.6400000000003</v>
      </c>
      <c r="P22" s="15">
        <f t="shared" si="6"/>
        <v>0.99999999999999989</v>
      </c>
      <c r="Q22" s="30">
        <f>SUM(Q6:Q21)</f>
        <v>38131.569081701615</v>
      </c>
      <c r="R22" s="31">
        <f t="shared" si="6"/>
        <v>-402132.35071428423</v>
      </c>
      <c r="S22" s="31">
        <f t="shared" si="6"/>
        <v>677371.14224912121</v>
      </c>
      <c r="T22" s="32">
        <f t="shared" si="6"/>
        <v>115.65456267020058</v>
      </c>
    </row>
    <row r="25" spans="2:20" x14ac:dyDescent="0.35">
      <c r="B25" t="s">
        <v>37</v>
      </c>
    </row>
    <row r="26" spans="2:20" ht="15" thickBot="1" x14ac:dyDescent="0.4">
      <c r="B26" t="s">
        <v>43</v>
      </c>
      <c r="C26" t="s">
        <v>638</v>
      </c>
    </row>
    <row r="27" spans="2:20" x14ac:dyDescent="0.35">
      <c r="B27" s="7"/>
      <c r="C27" s="1147" t="s">
        <v>586</v>
      </c>
      <c r="D27" s="1148"/>
      <c r="E27" s="1149"/>
      <c r="F27" s="1150"/>
      <c r="G27" s="1151" t="s">
        <v>587</v>
      </c>
      <c r="H27" s="1152"/>
      <c r="I27" s="1153"/>
      <c r="J27" s="1154"/>
      <c r="K27" s="1147" t="s">
        <v>40</v>
      </c>
      <c r="L27" s="1148"/>
      <c r="M27" s="1149"/>
      <c r="N27" s="1150"/>
      <c r="O27" s="1151" t="s">
        <v>4</v>
      </c>
      <c r="P27" s="1154"/>
      <c r="Q27" s="1155" t="s">
        <v>41</v>
      </c>
      <c r="R27" s="1156"/>
      <c r="S27" s="1156"/>
      <c r="T27" s="1157"/>
    </row>
    <row r="28" spans="2:20" ht="43.5" x14ac:dyDescent="0.35">
      <c r="B28" s="8" t="s">
        <v>5</v>
      </c>
      <c r="C28" s="17" t="s">
        <v>6</v>
      </c>
      <c r="D28" s="18" t="s">
        <v>7</v>
      </c>
      <c r="E28" s="61" t="s">
        <v>42</v>
      </c>
      <c r="F28" s="19" t="s">
        <v>9</v>
      </c>
      <c r="G28" s="5" t="s">
        <v>6</v>
      </c>
      <c r="H28" s="4" t="s">
        <v>7</v>
      </c>
      <c r="I28" s="71" t="s">
        <v>8</v>
      </c>
      <c r="J28" s="6" t="s">
        <v>9</v>
      </c>
      <c r="K28" s="17" t="s">
        <v>6</v>
      </c>
      <c r="L28" s="18" t="s">
        <v>7</v>
      </c>
      <c r="M28" s="61" t="s">
        <v>42</v>
      </c>
      <c r="N28" s="19" t="s">
        <v>9</v>
      </c>
      <c r="O28" s="5" t="s">
        <v>10</v>
      </c>
      <c r="P28" s="6" t="s">
        <v>11</v>
      </c>
      <c r="Q28" s="17" t="s">
        <v>6</v>
      </c>
      <c r="R28" s="18" t="s">
        <v>7</v>
      </c>
      <c r="S28" s="61" t="s">
        <v>42</v>
      </c>
      <c r="T28" s="19" t="s">
        <v>9</v>
      </c>
    </row>
    <row r="29" spans="2:20" x14ac:dyDescent="0.35">
      <c r="B29" s="9">
        <v>1</v>
      </c>
      <c r="C29" s="338">
        <v>241.57694444444445</v>
      </c>
      <c r="D29" s="338">
        <v>4158.6144833333337</v>
      </c>
      <c r="E29" s="338">
        <v>208399.3158309313</v>
      </c>
      <c r="F29" s="22">
        <v>2.0758581294438834</v>
      </c>
      <c r="G29" s="339">
        <v>183.87027777777777</v>
      </c>
      <c r="H29" s="340">
        <v>4846.8952666666664</v>
      </c>
      <c r="I29" s="340">
        <v>208464.10721469077</v>
      </c>
      <c r="J29" s="76">
        <v>1.8783814967382473</v>
      </c>
      <c r="K29" s="341">
        <f>C29-G29</f>
        <v>57.706666666666678</v>
      </c>
      <c r="L29" s="342">
        <f>D29-H29</f>
        <v>-688.28078333333269</v>
      </c>
      <c r="M29" s="343">
        <f>E29-I29</f>
        <v>-64.791383759467863</v>
      </c>
      <c r="N29" s="344">
        <f>F29-J29</f>
        <v>0.19747663270563609</v>
      </c>
      <c r="O29" s="12">
        <v>87.45</v>
      </c>
      <c r="P29" s="14">
        <f>O29/O$45</f>
        <v>5.0994881268521721E-3</v>
      </c>
      <c r="Q29" s="28">
        <f>K29*O29</f>
        <v>5046.4480000000012</v>
      </c>
      <c r="R29" s="27">
        <f>O29*L29</f>
        <v>-60190.154502499943</v>
      </c>
      <c r="S29" s="62">
        <f>M29*O29</f>
        <v>-5666.0065097654651</v>
      </c>
      <c r="T29" s="29">
        <f>O29*N29</f>
        <v>17.269331530107877</v>
      </c>
    </row>
    <row r="30" spans="2:20" x14ac:dyDescent="0.35">
      <c r="B30" s="9">
        <v>2</v>
      </c>
      <c r="C30" s="338">
        <v>203.94444444444446</v>
      </c>
      <c r="D30" s="338">
        <v>3972.2158055555556</v>
      </c>
      <c r="E30" s="338">
        <v>194752.94424415412</v>
      </c>
      <c r="F30" s="22">
        <v>1.831385939686039</v>
      </c>
      <c r="G30" s="36">
        <v>171.85444444444445</v>
      </c>
      <c r="H30" s="340">
        <v>4399.1444166666661</v>
      </c>
      <c r="I30" s="340">
        <v>195413.85234926111</v>
      </c>
      <c r="J30" s="76">
        <v>1.7415997556445724</v>
      </c>
      <c r="K30" s="341">
        <f t="shared" ref="K30:N44" si="7">C30-G30</f>
        <v>32.090000000000003</v>
      </c>
      <c r="L30" s="342">
        <f t="shared" si="7"/>
        <v>-426.92861111111051</v>
      </c>
      <c r="M30" s="343">
        <f t="shared" si="7"/>
        <v>-660.90810510699521</v>
      </c>
      <c r="N30" s="344">
        <f t="shared" si="7"/>
        <v>8.9786184041466655E-2</v>
      </c>
      <c r="O30" s="12">
        <v>519.09</v>
      </c>
      <c r="P30" s="14">
        <f t="shared" ref="P30:P44" si="8">O30/O$45</f>
        <v>3.026979178693761E-2</v>
      </c>
      <c r="Q30" s="28">
        <f t="shared" ref="Q30:Q44" si="9">K30*O30</f>
        <v>16657.598100000003</v>
      </c>
      <c r="R30" s="27">
        <f t="shared" ref="R30:R44" si="10">O30*L30</f>
        <v>-221614.37274166636</v>
      </c>
      <c r="S30" s="62">
        <f>M30*O30</f>
        <v>-343070.78827999014</v>
      </c>
      <c r="T30" s="29">
        <f t="shared" ref="T30:T44" si="11">O30*N30</f>
        <v>46.607110274084931</v>
      </c>
    </row>
    <row r="31" spans="2:20" x14ac:dyDescent="0.35">
      <c r="B31" s="9">
        <v>3</v>
      </c>
      <c r="C31" s="338">
        <v>184.05499999999998</v>
      </c>
      <c r="D31" s="338">
        <v>3783.0573611111113</v>
      </c>
      <c r="E31" s="338">
        <v>177804.00805992135</v>
      </c>
      <c r="F31" s="22">
        <v>1.6806562652469943</v>
      </c>
      <c r="G31" s="36">
        <v>171.57388888888889</v>
      </c>
      <c r="H31" s="340">
        <v>3955.8266111111111</v>
      </c>
      <c r="I31" s="340">
        <v>178505.66104919411</v>
      </c>
      <c r="J31" s="76">
        <v>1.6513645647253332</v>
      </c>
      <c r="K31" s="341">
        <f t="shared" si="7"/>
        <v>12.48111111111109</v>
      </c>
      <c r="L31" s="342">
        <f t="shared" si="7"/>
        <v>-172.76924999999983</v>
      </c>
      <c r="M31" s="343">
        <f t="shared" si="7"/>
        <v>-701.6529892727558</v>
      </c>
      <c r="N31" s="344">
        <f t="shared" si="7"/>
        <v>2.9291700521661079E-2</v>
      </c>
      <c r="O31" s="12">
        <v>2517.9</v>
      </c>
      <c r="P31" s="14">
        <f t="shared" si="8"/>
        <v>0.14682677135049838</v>
      </c>
      <c r="Q31" s="28">
        <f t="shared" si="9"/>
        <v>31426.189666666614</v>
      </c>
      <c r="R31" s="27">
        <f t="shared" si="10"/>
        <v>-435015.69457499956</v>
      </c>
      <c r="S31" s="62">
        <f t="shared" ref="S31:S44" si="12">M31*O31</f>
        <v>-1766692.0616898718</v>
      </c>
      <c r="T31" s="29">
        <f t="shared" si="11"/>
        <v>73.753572743490437</v>
      </c>
    </row>
    <row r="32" spans="2:20" x14ac:dyDescent="0.35">
      <c r="B32" s="9">
        <v>4</v>
      </c>
      <c r="C32" s="338">
        <v>177.08416666666665</v>
      </c>
      <c r="D32" s="338">
        <v>3985.9230277777774</v>
      </c>
      <c r="E32" s="338">
        <v>187319.55821538999</v>
      </c>
      <c r="F32" s="22">
        <v>1.6741953953846584</v>
      </c>
      <c r="G32" s="36">
        <v>164.34944444444443</v>
      </c>
      <c r="H32" s="340">
        <v>4095.8274722222218</v>
      </c>
      <c r="I32" s="340">
        <v>187425.704293786</v>
      </c>
      <c r="J32" s="76">
        <v>1.6338982516686804</v>
      </c>
      <c r="K32" s="341">
        <f t="shared" si="7"/>
        <v>12.734722222222217</v>
      </c>
      <c r="L32" s="342">
        <f t="shared" si="7"/>
        <v>-109.90444444444438</v>
      </c>
      <c r="M32" s="343">
        <f t="shared" si="7"/>
        <v>-106.14607839600649</v>
      </c>
      <c r="N32" s="344">
        <f t="shared" si="7"/>
        <v>4.0297143715978034E-2</v>
      </c>
      <c r="O32" s="12">
        <v>1311.7500000000002</v>
      </c>
      <c r="P32" s="14">
        <f t="shared" si="8"/>
        <v>7.6492321902782587E-2</v>
      </c>
      <c r="Q32" s="28">
        <f t="shared" si="9"/>
        <v>16704.771874999995</v>
      </c>
      <c r="R32" s="27">
        <f t="shared" si="10"/>
        <v>-144167.15499999994</v>
      </c>
      <c r="S32" s="62">
        <f t="shared" si="12"/>
        <v>-139237.11833596154</v>
      </c>
      <c r="T32" s="29">
        <f t="shared" si="11"/>
        <v>52.859778269434194</v>
      </c>
    </row>
    <row r="33" spans="2:20" x14ac:dyDescent="0.35">
      <c r="B33" s="9">
        <v>5</v>
      </c>
      <c r="C33" s="338">
        <v>182.07083333333333</v>
      </c>
      <c r="D33" s="338">
        <v>3799.4562499999997</v>
      </c>
      <c r="E33" s="338">
        <v>176083.93963827033</v>
      </c>
      <c r="F33" s="22">
        <v>1.6721671072095945</v>
      </c>
      <c r="G33" s="36">
        <v>171.5963888888889</v>
      </c>
      <c r="H33" s="340">
        <v>3896.0091388888886</v>
      </c>
      <c r="I33" s="340">
        <v>175580.83930215522</v>
      </c>
      <c r="J33" s="76">
        <v>1.6421237429640527</v>
      </c>
      <c r="K33" s="341">
        <f t="shared" si="7"/>
        <v>10.47444444444443</v>
      </c>
      <c r="L33" s="342">
        <f t="shared" si="7"/>
        <v>-96.552888888888901</v>
      </c>
      <c r="M33" s="343">
        <f t="shared" si="7"/>
        <v>503.1003361151088</v>
      </c>
      <c r="N33" s="344">
        <f t="shared" si="7"/>
        <v>3.004336424554177E-2</v>
      </c>
      <c r="O33" s="12">
        <v>232.98000000000002</v>
      </c>
      <c r="P33" s="14">
        <f t="shared" si="8"/>
        <v>1.358580610399107E-2</v>
      </c>
      <c r="Q33" s="28">
        <f t="shared" si="9"/>
        <v>2440.3360666666636</v>
      </c>
      <c r="R33" s="27">
        <f t="shared" si="10"/>
        <v>-22494.892053333337</v>
      </c>
      <c r="S33" s="62">
        <f t="shared" si="12"/>
        <v>117212.31630809806</v>
      </c>
      <c r="T33" s="29">
        <f t="shared" si="11"/>
        <v>6.999503001926322</v>
      </c>
    </row>
    <row r="34" spans="2:20" x14ac:dyDescent="0.35">
      <c r="B34" s="9">
        <v>6</v>
      </c>
      <c r="C34" s="338">
        <v>161.40222222222221</v>
      </c>
      <c r="D34" s="338">
        <v>3879.9738611111106</v>
      </c>
      <c r="E34" s="338">
        <v>177366.51469148631</v>
      </c>
      <c r="F34" s="22">
        <v>1.5612567916179416</v>
      </c>
      <c r="G34" s="36">
        <v>160.01194444444445</v>
      </c>
      <c r="H34" s="340">
        <v>3845.1908055555559</v>
      </c>
      <c r="I34" s="340">
        <v>176541.00980314208</v>
      </c>
      <c r="J34" s="76">
        <v>1.5519734646611805</v>
      </c>
      <c r="K34" s="341">
        <f t="shared" si="7"/>
        <v>1.3902777777777544</v>
      </c>
      <c r="L34" s="342">
        <f t="shared" si="7"/>
        <v>34.783055555554711</v>
      </c>
      <c r="M34" s="343">
        <f t="shared" si="7"/>
        <v>825.50488834423595</v>
      </c>
      <c r="N34" s="344">
        <f t="shared" si="7"/>
        <v>9.2833269567611509E-3</v>
      </c>
      <c r="O34" s="12">
        <v>1112.1000000000001</v>
      </c>
      <c r="P34" s="14">
        <f t="shared" si="8"/>
        <v>6.4850094292421973E-2</v>
      </c>
      <c r="Q34" s="28">
        <f t="shared" si="9"/>
        <v>1546.1279166666409</v>
      </c>
      <c r="R34" s="27">
        <f t="shared" si="10"/>
        <v>38682.236083332398</v>
      </c>
      <c r="S34" s="62">
        <f t="shared" si="12"/>
        <v>918043.98632762488</v>
      </c>
      <c r="T34" s="29">
        <f t="shared" si="11"/>
        <v>10.323987908614077</v>
      </c>
    </row>
    <row r="35" spans="2:20" x14ac:dyDescent="0.35">
      <c r="B35" s="9">
        <v>7</v>
      </c>
      <c r="C35" s="338">
        <v>160.01388888888889</v>
      </c>
      <c r="D35" s="338">
        <v>3831.9891388888886</v>
      </c>
      <c r="E35" s="338">
        <v>172285.60818690565</v>
      </c>
      <c r="F35" s="22">
        <v>1.5481582263978362</v>
      </c>
      <c r="G35" s="36">
        <v>159.65138888888887</v>
      </c>
      <c r="H35" s="340">
        <v>3775.1677499999996</v>
      </c>
      <c r="I35" s="340">
        <v>171036.53101770012</v>
      </c>
      <c r="J35" s="76">
        <v>1.5395662999778084</v>
      </c>
      <c r="K35" s="341">
        <f t="shared" si="7"/>
        <v>0.36250000000001137</v>
      </c>
      <c r="L35" s="342">
        <f t="shared" si="7"/>
        <v>56.821388888889032</v>
      </c>
      <c r="M35" s="343">
        <f t="shared" si="7"/>
        <v>1249.0771692055278</v>
      </c>
      <c r="N35" s="344">
        <f t="shared" si="7"/>
        <v>8.5919264200278178E-3</v>
      </c>
      <c r="O35" s="12">
        <v>1195.5900000000001</v>
      </c>
      <c r="P35" s="14">
        <f t="shared" si="8"/>
        <v>6.9718662202209139E-2</v>
      </c>
      <c r="Q35" s="28">
        <f t="shared" si="9"/>
        <v>433.40137500001367</v>
      </c>
      <c r="R35" s="27">
        <f t="shared" si="10"/>
        <v>67935.08434166685</v>
      </c>
      <c r="S35" s="62">
        <f t="shared" si="12"/>
        <v>1493384.172730437</v>
      </c>
      <c r="T35" s="29">
        <f t="shared" si="11"/>
        <v>10.272421308521061</v>
      </c>
    </row>
    <row r="36" spans="2:20" x14ac:dyDescent="0.35">
      <c r="B36" s="9">
        <v>8</v>
      </c>
      <c r="C36" s="338">
        <v>156.93388888888887</v>
      </c>
      <c r="D36" s="338">
        <v>4140.8338611111112</v>
      </c>
      <c r="E36" s="338">
        <v>183049.57461101556</v>
      </c>
      <c r="F36" s="22">
        <v>1.5738535730244749</v>
      </c>
      <c r="G36" s="36">
        <v>156.23861111111111</v>
      </c>
      <c r="H36" s="340">
        <v>4113.1302500000002</v>
      </c>
      <c r="I36" s="340">
        <v>182736.7098102523</v>
      </c>
      <c r="J36" s="76">
        <v>1.569636824544</v>
      </c>
      <c r="K36" s="341">
        <f t="shared" si="7"/>
        <v>0.69527777777776123</v>
      </c>
      <c r="L36" s="342">
        <f t="shared" si="7"/>
        <v>27.703611111111059</v>
      </c>
      <c r="M36" s="343">
        <f t="shared" si="7"/>
        <v>312.86480076325824</v>
      </c>
      <c r="N36" s="344">
        <f t="shared" si="7"/>
        <v>4.21674848047493E-3</v>
      </c>
      <c r="O36" s="12">
        <v>1563.54</v>
      </c>
      <c r="P36" s="14">
        <f t="shared" si="8"/>
        <v>9.117499903783241E-2</v>
      </c>
      <c r="Q36" s="28">
        <f t="shared" si="9"/>
        <v>1087.0946166666408</v>
      </c>
      <c r="R36" s="27">
        <f t="shared" si="10"/>
        <v>43315.70411666658</v>
      </c>
      <c r="S36" s="62">
        <f t="shared" si="12"/>
        <v>489176.63058538479</v>
      </c>
      <c r="T36" s="29">
        <f t="shared" si="11"/>
        <v>6.593054919161772</v>
      </c>
    </row>
    <row r="37" spans="2:20" x14ac:dyDescent="0.35">
      <c r="B37" s="9">
        <v>9</v>
      </c>
      <c r="C37" s="338">
        <v>160.29722222222222</v>
      </c>
      <c r="D37" s="338">
        <v>4151.8002500000002</v>
      </c>
      <c r="E37" s="338">
        <v>185981.27489251312</v>
      </c>
      <c r="F37" s="22">
        <v>1.5982367088179306</v>
      </c>
      <c r="G37" s="36">
        <v>157.32805555555558</v>
      </c>
      <c r="H37" s="340">
        <v>4156.2780277777774</v>
      </c>
      <c r="I37" s="340">
        <v>185792.42469066413</v>
      </c>
      <c r="J37" s="76">
        <v>1.588770858822075</v>
      </c>
      <c r="K37" s="341">
        <f t="shared" si="7"/>
        <v>2.9691666666666379</v>
      </c>
      <c r="L37" s="342">
        <f t="shared" si="7"/>
        <v>-4.4777777777771917</v>
      </c>
      <c r="M37" s="343">
        <f t="shared" si="7"/>
        <v>188.85020184898167</v>
      </c>
      <c r="N37" s="344">
        <f t="shared" si="7"/>
        <v>9.4658499958555353E-3</v>
      </c>
      <c r="O37" s="12">
        <v>3670.92</v>
      </c>
      <c r="P37" s="14">
        <f t="shared" si="8"/>
        <v>0.21406304121925873</v>
      </c>
      <c r="Q37" s="28">
        <f t="shared" si="9"/>
        <v>10899.573299999895</v>
      </c>
      <c r="R37" s="27">
        <f t="shared" si="10"/>
        <v>-16437.563999997848</v>
      </c>
      <c r="S37" s="62">
        <f t="shared" si="12"/>
        <v>693253.98297146382</v>
      </c>
      <c r="T37" s="29">
        <f t="shared" si="11"/>
        <v>34.748378066786003</v>
      </c>
    </row>
    <row r="38" spans="2:20" x14ac:dyDescent="0.35">
      <c r="B38" s="9">
        <v>10</v>
      </c>
      <c r="C38" s="338">
        <v>164.67055555555555</v>
      </c>
      <c r="D38" s="338">
        <v>4360.8080277777781</v>
      </c>
      <c r="E38" s="338">
        <v>195583.16203612299</v>
      </c>
      <c r="F38" s="22">
        <v>1.6574641179303748</v>
      </c>
      <c r="G38" s="36">
        <v>156.86277777777778</v>
      </c>
      <c r="H38" s="340">
        <v>4445.2969166666671</v>
      </c>
      <c r="I38" s="340">
        <v>196088.17822648067</v>
      </c>
      <c r="J38" s="76">
        <v>1.6403918205649639</v>
      </c>
      <c r="K38" s="341">
        <f t="shared" si="7"/>
        <v>7.8077777777777726</v>
      </c>
      <c r="L38" s="342">
        <f t="shared" si="7"/>
        <v>-84.488888888889051</v>
      </c>
      <c r="M38" s="343">
        <f t="shared" si="7"/>
        <v>-505.0161903576809</v>
      </c>
      <c r="N38" s="344">
        <f t="shared" si="7"/>
        <v>1.7072297365410938E-2</v>
      </c>
      <c r="O38" s="12">
        <v>1296.9000000000001</v>
      </c>
      <c r="P38" s="14">
        <f t="shared" si="8"/>
        <v>7.5626371088788821E-2</v>
      </c>
      <c r="Q38" s="28">
        <f t="shared" si="9"/>
        <v>10125.906999999994</v>
      </c>
      <c r="R38" s="27">
        <f t="shared" si="10"/>
        <v>-109573.64000000022</v>
      </c>
      <c r="S38" s="62">
        <f t="shared" si="12"/>
        <v>-654955.49727487646</v>
      </c>
      <c r="T38" s="29">
        <f t="shared" si="11"/>
        <v>22.141062453201446</v>
      </c>
    </row>
    <row r="39" spans="2:20" x14ac:dyDescent="0.35">
      <c r="B39" s="9">
        <v>11</v>
      </c>
      <c r="C39" s="338">
        <v>190.02</v>
      </c>
      <c r="D39" s="338">
        <v>4734.2941388888894</v>
      </c>
      <c r="E39" s="338">
        <v>221379.97495951099</v>
      </c>
      <c r="F39" s="22">
        <v>1.8687344368785002</v>
      </c>
      <c r="G39" s="36">
        <v>159.56805555555556</v>
      </c>
      <c r="H39" s="340">
        <v>5176.7691388888888</v>
      </c>
      <c r="I39" s="340">
        <v>223634.20950733434</v>
      </c>
      <c r="J39" s="76">
        <v>1.7967084853574862</v>
      </c>
      <c r="K39" s="341">
        <f t="shared" si="7"/>
        <v>30.45194444444445</v>
      </c>
      <c r="L39" s="342">
        <f t="shared" si="7"/>
        <v>-442.47499999999945</v>
      </c>
      <c r="M39" s="343">
        <f t="shared" si="7"/>
        <v>-2254.2345478233474</v>
      </c>
      <c r="N39" s="344">
        <f t="shared" si="7"/>
        <v>7.2025951521013987E-2</v>
      </c>
      <c r="O39" s="12">
        <v>370.26000000000005</v>
      </c>
      <c r="P39" s="14">
        <f t="shared" si="8"/>
        <v>2.1591040295577877E-2</v>
      </c>
      <c r="Q39" s="28">
        <f t="shared" si="9"/>
        <v>11275.136950000004</v>
      </c>
      <c r="R39" s="27">
        <f t="shared" si="10"/>
        <v>-163830.79349999983</v>
      </c>
      <c r="S39" s="62">
        <f t="shared" si="12"/>
        <v>-834652.88367707271</v>
      </c>
      <c r="T39" s="29">
        <f t="shared" si="11"/>
        <v>26.668328810170642</v>
      </c>
    </row>
    <row r="40" spans="2:20" x14ac:dyDescent="0.35">
      <c r="B40" s="9">
        <v>12</v>
      </c>
      <c r="C40" s="338">
        <v>192.08250000000001</v>
      </c>
      <c r="D40" s="338">
        <v>4238.7024722222222</v>
      </c>
      <c r="E40" s="338">
        <v>205580.92524860089</v>
      </c>
      <c r="F40" s="22">
        <v>1.8074082645603167</v>
      </c>
      <c r="G40" s="36">
        <v>164.38749999999999</v>
      </c>
      <c r="H40" s="340">
        <v>4618.8996944444443</v>
      </c>
      <c r="I40" s="340">
        <v>207784.35345458845</v>
      </c>
      <c r="J40" s="76">
        <v>1.7378508906934695</v>
      </c>
      <c r="K40" s="341">
        <f t="shared" si="7"/>
        <v>27.695000000000022</v>
      </c>
      <c r="L40" s="342">
        <f t="shared" si="7"/>
        <v>-380.19722222222208</v>
      </c>
      <c r="M40" s="343">
        <f t="shared" si="7"/>
        <v>-2203.428205987555</v>
      </c>
      <c r="N40" s="344">
        <f t="shared" si="7"/>
        <v>6.9557373866847128E-2</v>
      </c>
      <c r="O40" s="12">
        <v>2090.5500000000002</v>
      </c>
      <c r="P40" s="14">
        <f t="shared" si="8"/>
        <v>0.12190663125890004</v>
      </c>
      <c r="Q40" s="28">
        <f t="shared" si="9"/>
        <v>57897.782250000047</v>
      </c>
      <c r="R40" s="27">
        <f t="shared" si="10"/>
        <v>-794821.30291666649</v>
      </c>
      <c r="S40" s="62">
        <f t="shared" si="12"/>
        <v>-4606376.8360272832</v>
      </c>
      <c r="T40" s="29">
        <f t="shared" si="11"/>
        <v>145.41316793733728</v>
      </c>
    </row>
    <row r="41" spans="2:20" x14ac:dyDescent="0.35">
      <c r="B41" s="9">
        <v>13</v>
      </c>
      <c r="C41" s="338">
        <v>177.60499999999999</v>
      </c>
      <c r="D41" s="338">
        <v>4827.7969166666662</v>
      </c>
      <c r="E41" s="338">
        <v>219503.38278386911</v>
      </c>
      <c r="F41" s="22">
        <v>1.8111035950606029</v>
      </c>
      <c r="G41" s="36">
        <v>156.08916666666667</v>
      </c>
      <c r="H41" s="340">
        <v>5169.5802499999991</v>
      </c>
      <c r="I41" s="340">
        <v>222322.37459597588</v>
      </c>
      <c r="J41" s="76">
        <v>1.7671326873545639</v>
      </c>
      <c r="K41" s="341">
        <f t="shared" si="7"/>
        <v>21.515833333333319</v>
      </c>
      <c r="L41" s="342">
        <f t="shared" si="7"/>
        <v>-341.78333333333285</v>
      </c>
      <c r="M41" s="343">
        <f t="shared" si="7"/>
        <v>-2818.9918121067749</v>
      </c>
      <c r="N41" s="344">
        <f t="shared" si="7"/>
        <v>4.3970907706039064E-2</v>
      </c>
      <c r="O41" s="12">
        <v>610.17000000000007</v>
      </c>
      <c r="P41" s="14">
        <f t="shared" si="8"/>
        <v>3.5580956779432703E-2</v>
      </c>
      <c r="Q41" s="28">
        <f t="shared" si="9"/>
        <v>13128.316024999993</v>
      </c>
      <c r="R41" s="27">
        <f t="shared" si="10"/>
        <v>-208545.93649999972</v>
      </c>
      <c r="S41" s="62">
        <f t="shared" si="12"/>
        <v>-1720064.233993191</v>
      </c>
      <c r="T41" s="29">
        <f t="shared" si="11"/>
        <v>26.829728754993859</v>
      </c>
    </row>
    <row r="42" spans="2:20" x14ac:dyDescent="0.35">
      <c r="B42" s="9">
        <v>14</v>
      </c>
      <c r="C42" s="338">
        <v>187.62111111111111</v>
      </c>
      <c r="D42" s="338">
        <v>4647.7108055555555</v>
      </c>
      <c r="E42" s="338">
        <v>210467.94136224399</v>
      </c>
      <c r="F42" s="22">
        <v>1.8493250055982307</v>
      </c>
      <c r="G42" s="36">
        <v>160.38861111111112</v>
      </c>
      <c r="H42" s="340">
        <v>5017.4191388888885</v>
      </c>
      <c r="I42" s="340">
        <v>213332.05081198664</v>
      </c>
      <c r="J42" s="76">
        <v>1.8025347918540082</v>
      </c>
      <c r="K42" s="341">
        <f t="shared" si="7"/>
        <v>27.232499999999987</v>
      </c>
      <c r="L42" s="342">
        <f t="shared" si="7"/>
        <v>-369.70833333333303</v>
      </c>
      <c r="M42" s="343">
        <f t="shared" si="7"/>
        <v>-2864.1094497426529</v>
      </c>
      <c r="N42" s="344">
        <f t="shared" si="7"/>
        <v>4.6790213744222431E-2</v>
      </c>
      <c r="O42" s="12">
        <v>277.2</v>
      </c>
      <c r="P42" s="14">
        <f t="shared" si="8"/>
        <v>1.616441519455028E-2</v>
      </c>
      <c r="Q42" s="28">
        <f t="shared" si="9"/>
        <v>7548.8489999999965</v>
      </c>
      <c r="R42" s="27">
        <f t="shared" si="10"/>
        <v>-102483.14999999991</v>
      </c>
      <c r="S42" s="62">
        <f t="shared" si="12"/>
        <v>-793931.13946866337</v>
      </c>
      <c r="T42" s="29">
        <f t="shared" si="11"/>
        <v>12.970247249898458</v>
      </c>
    </row>
    <row r="43" spans="2:20" x14ac:dyDescent="0.35">
      <c r="B43" s="9">
        <v>15</v>
      </c>
      <c r="C43" s="338">
        <v>136.64361111111111</v>
      </c>
      <c r="D43" s="338">
        <v>5830.0285833333328</v>
      </c>
      <c r="E43" s="338">
        <v>231804.10511753531</v>
      </c>
      <c r="F43" s="22">
        <v>1.6820331960176778</v>
      </c>
      <c r="G43" s="36">
        <v>136.57722222222222</v>
      </c>
      <c r="H43" s="340">
        <v>5863.6396944444441</v>
      </c>
      <c r="I43" s="340">
        <v>233780.17700733375</v>
      </c>
      <c r="J43" s="76">
        <v>1.6893669617407361</v>
      </c>
      <c r="K43" s="341">
        <f t="shared" si="7"/>
        <v>6.6388888888894826E-2</v>
      </c>
      <c r="L43" s="342">
        <f t="shared" si="7"/>
        <v>-33.611111111111313</v>
      </c>
      <c r="M43" s="343">
        <f t="shared" si="7"/>
        <v>-1976.071889798448</v>
      </c>
      <c r="N43" s="344">
        <f t="shared" si="7"/>
        <v>-7.3337657230583275E-3</v>
      </c>
      <c r="O43" s="12">
        <v>180.51</v>
      </c>
      <c r="P43" s="14">
        <f t="shared" si="8"/>
        <v>1.0526113227879766E-2</v>
      </c>
      <c r="Q43" s="28">
        <f t="shared" si="9"/>
        <v>11.983858333334405</v>
      </c>
      <c r="R43" s="27">
        <f t="shared" si="10"/>
        <v>-6067.1416666667028</v>
      </c>
      <c r="S43" s="62">
        <f t="shared" si="12"/>
        <v>-356700.7368275178</v>
      </c>
      <c r="T43" s="29">
        <f t="shared" si="11"/>
        <v>-1.3238180506692587</v>
      </c>
    </row>
    <row r="44" spans="2:20" x14ac:dyDescent="0.35">
      <c r="B44" s="9">
        <v>16</v>
      </c>
      <c r="C44" s="338">
        <v>263.10444444444443</v>
      </c>
      <c r="D44" s="338">
        <v>4387.7191388888887</v>
      </c>
      <c r="E44" s="338">
        <v>226558.40376059801</v>
      </c>
      <c r="F44" s="22">
        <v>2.2473848497367834</v>
      </c>
      <c r="G44" s="36">
        <v>244.87877772222222</v>
      </c>
      <c r="H44" s="340">
        <v>4627.3806005730548</v>
      </c>
      <c r="I44" s="340">
        <v>226211.86986370001</v>
      </c>
      <c r="J44" s="76">
        <v>2.1831110736593526</v>
      </c>
      <c r="K44" s="345">
        <f t="shared" si="7"/>
        <v>18.225666722222201</v>
      </c>
      <c r="L44" s="346">
        <f t="shared" si="7"/>
        <v>-239.66146168416617</v>
      </c>
      <c r="M44" s="347">
        <f t="shared" si="7"/>
        <v>346.53389689800679</v>
      </c>
      <c r="N44" s="344">
        <f t="shared" si="7"/>
        <v>6.4273776077430789E-2</v>
      </c>
      <c r="O44" s="12">
        <v>111.87</v>
      </c>
      <c r="P44" s="14">
        <f t="shared" si="8"/>
        <v>6.5234961320863637E-3</v>
      </c>
      <c r="Q44" s="28">
        <f t="shared" si="9"/>
        <v>2038.9053362149978</v>
      </c>
      <c r="R44" s="27">
        <f t="shared" si="10"/>
        <v>-26810.927718607669</v>
      </c>
      <c r="S44" s="62">
        <f t="shared" si="12"/>
        <v>38766.747045980024</v>
      </c>
      <c r="T44" s="29">
        <f t="shared" si="11"/>
        <v>7.1903073297821827</v>
      </c>
    </row>
    <row r="45" spans="2:20" ht="15" thickBot="1" x14ac:dyDescent="0.4">
      <c r="B45" s="10" t="s">
        <v>12</v>
      </c>
      <c r="C45" s="67"/>
      <c r="D45" s="67"/>
      <c r="E45" s="67"/>
      <c r="F45" s="80"/>
      <c r="G45" s="67"/>
      <c r="H45" s="67"/>
      <c r="I45" s="67"/>
      <c r="J45" s="80"/>
      <c r="K45" s="67"/>
      <c r="L45" s="67"/>
      <c r="M45" s="80"/>
      <c r="N45" s="81"/>
      <c r="O45" s="16">
        <f t="shared" ref="O45:T45" si="13">SUM(O29:O44)</f>
        <v>17148.780000000002</v>
      </c>
      <c r="P45" s="15">
        <f t="shared" si="13"/>
        <v>1</v>
      </c>
      <c r="Q45" s="30">
        <f t="shared" si="13"/>
        <v>188268.42133621484</v>
      </c>
      <c r="R45" s="31">
        <f t="shared" si="13"/>
        <v>-2162119.7006327715</v>
      </c>
      <c r="S45" s="31">
        <f t="shared" si="13"/>
        <v>-7471509.4661152055</v>
      </c>
      <c r="T45" s="32">
        <f t="shared" si="13"/>
        <v>499.31616250684129</v>
      </c>
    </row>
    <row r="46" spans="2:20" x14ac:dyDescent="0.35">
      <c r="C46" s="350"/>
      <c r="D46" s="350"/>
      <c r="E46" s="350"/>
      <c r="F46" s="351"/>
      <c r="G46" s="350"/>
      <c r="H46" s="350"/>
      <c r="I46" s="350"/>
      <c r="J46" s="351"/>
      <c r="K46" s="350"/>
      <c r="L46" s="350"/>
      <c r="M46" s="351"/>
      <c r="N46" s="352"/>
      <c r="O46" s="353"/>
      <c r="P46" s="354"/>
      <c r="Q46" s="355"/>
      <c r="R46" s="355"/>
      <c r="S46" s="355"/>
      <c r="T46" s="356"/>
    </row>
    <row r="48" spans="2:20" x14ac:dyDescent="0.35">
      <c r="B48" t="s">
        <v>44</v>
      </c>
    </row>
    <row r="49" spans="2:20" ht="15" thickBot="1" x14ac:dyDescent="0.4">
      <c r="B49" t="s">
        <v>45</v>
      </c>
      <c r="C49" t="s">
        <v>636</v>
      </c>
    </row>
    <row r="50" spans="2:20" x14ac:dyDescent="0.35">
      <c r="B50" s="7"/>
      <c r="C50" s="1147" t="str">
        <f>C27</f>
        <v>2019 Energy Code</v>
      </c>
      <c r="D50" s="1148"/>
      <c r="E50" s="1149"/>
      <c r="F50" s="1150"/>
      <c r="G50" s="1151" t="str">
        <f>G27</f>
        <v>2022 Energy Code</v>
      </c>
      <c r="H50" s="1152"/>
      <c r="I50" s="1153"/>
      <c r="J50" s="1154"/>
      <c r="K50" s="1147" t="s">
        <v>40</v>
      </c>
      <c r="L50" s="1148"/>
      <c r="M50" s="1149"/>
      <c r="N50" s="1150"/>
      <c r="O50" s="1151" t="s">
        <v>4</v>
      </c>
      <c r="P50" s="1154"/>
      <c r="Q50" s="1155" t="s">
        <v>41</v>
      </c>
      <c r="R50" s="1156"/>
      <c r="S50" s="1156"/>
      <c r="T50" s="1157"/>
    </row>
    <row r="51" spans="2:20" ht="43.5" x14ac:dyDescent="0.35">
      <c r="B51" s="8" t="s">
        <v>5</v>
      </c>
      <c r="C51" s="17" t="s">
        <v>6</v>
      </c>
      <c r="D51" s="18" t="s">
        <v>7</v>
      </c>
      <c r="E51" s="61" t="s">
        <v>42</v>
      </c>
      <c r="F51" s="19" t="s">
        <v>9</v>
      </c>
      <c r="G51" s="5" t="s">
        <v>6</v>
      </c>
      <c r="H51" s="4" t="s">
        <v>7</v>
      </c>
      <c r="I51" s="71" t="s">
        <v>8</v>
      </c>
      <c r="J51" s="6" t="s">
        <v>9</v>
      </c>
      <c r="K51" s="17" t="s">
        <v>6</v>
      </c>
      <c r="L51" s="18" t="s">
        <v>7</v>
      </c>
      <c r="M51" s="61" t="s">
        <v>42</v>
      </c>
      <c r="N51" s="19" t="s">
        <v>9</v>
      </c>
      <c r="O51" s="5" t="s">
        <v>10</v>
      </c>
      <c r="P51" s="6" t="s">
        <v>11</v>
      </c>
      <c r="Q51" s="17" t="s">
        <v>6</v>
      </c>
      <c r="R51" s="18" t="s">
        <v>7</v>
      </c>
      <c r="S51" s="61" t="s">
        <v>42</v>
      </c>
      <c r="T51" s="19" t="s">
        <v>9</v>
      </c>
    </row>
    <row r="52" spans="2:20" x14ac:dyDescent="0.35">
      <c r="B52" s="9">
        <v>1</v>
      </c>
      <c r="C52" s="338">
        <v>250.74659090909091</v>
      </c>
      <c r="D52" s="338">
        <v>5625.534090909091</v>
      </c>
      <c r="E52" s="338">
        <v>242334.81709542681</v>
      </c>
      <c r="F52" s="22">
        <v>2.2422260068623299</v>
      </c>
      <c r="G52" s="339">
        <v>227.4422292840909</v>
      </c>
      <c r="H52" s="340">
        <v>5818.5127340909094</v>
      </c>
      <c r="I52" s="340">
        <v>239664.55423643699</v>
      </c>
      <c r="J52" s="76">
        <v>2.1393752585750683</v>
      </c>
      <c r="K52" s="341">
        <f>C52-G52</f>
        <v>23.304361625000013</v>
      </c>
      <c r="L52" s="342">
        <f>D52-H52</f>
        <v>-192.97864318181837</v>
      </c>
      <c r="M52" s="343">
        <f>E52-I52</f>
        <v>2670.2628589898231</v>
      </c>
      <c r="N52" s="344">
        <f>F52-J52</f>
        <v>0.1028507482872616</v>
      </c>
      <c r="O52" s="12">
        <v>153.69999999999999</v>
      </c>
      <c r="P52" s="14">
        <f>O52/O$45</f>
        <v>8.9627367078007857E-3</v>
      </c>
      <c r="Q52" s="28">
        <f>K52*O52</f>
        <v>3581.8803817625017</v>
      </c>
      <c r="R52" s="27">
        <f>O52*L52</f>
        <v>-29660.817457045483</v>
      </c>
      <c r="S52" s="62">
        <f>M52*O52</f>
        <v>410419.4014267358</v>
      </c>
      <c r="T52" s="29">
        <f>O52*N52</f>
        <v>15.808160011752106</v>
      </c>
    </row>
    <row r="53" spans="2:20" x14ac:dyDescent="0.35">
      <c r="B53" s="9">
        <v>2</v>
      </c>
      <c r="C53" s="338">
        <v>200.55454545454543</v>
      </c>
      <c r="D53" s="338">
        <v>6326.284090909091</v>
      </c>
      <c r="E53" s="338">
        <v>256092.3980340194</v>
      </c>
      <c r="F53" s="22">
        <v>2.0026111282492614</v>
      </c>
      <c r="G53" s="36">
        <v>170.32500000000002</v>
      </c>
      <c r="H53" s="340">
        <v>6618.238636363636</v>
      </c>
      <c r="I53" s="340">
        <v>253681.74415773537</v>
      </c>
      <c r="J53" s="357">
        <v>1.8906397271297499</v>
      </c>
      <c r="K53" s="341">
        <f t="shared" ref="K53:N67" si="14">C53-G53</f>
        <v>30.229545454545416</v>
      </c>
      <c r="L53" s="342">
        <f t="shared" si="14"/>
        <v>-291.95454545454504</v>
      </c>
      <c r="M53" s="343">
        <f t="shared" si="14"/>
        <v>2410.653876284021</v>
      </c>
      <c r="N53" s="344">
        <f t="shared" si="14"/>
        <v>0.11197140111951143</v>
      </c>
      <c r="O53" s="12">
        <v>912.33999999999992</v>
      </c>
      <c r="P53" s="14">
        <f t="shared" ref="P53:P67" si="15">O53/O$45</f>
        <v>5.3201452231587308E-2</v>
      </c>
      <c r="Q53" s="28">
        <f t="shared" ref="Q53:Q67" si="16">K53*O53</f>
        <v>27579.623499999961</v>
      </c>
      <c r="R53" s="27">
        <f t="shared" ref="R53:R67" si="17">O53*L53</f>
        <v>-266361.80999999959</v>
      </c>
      <c r="S53" s="62">
        <f>M53*O53</f>
        <v>2199335.9574889634</v>
      </c>
      <c r="T53" s="29">
        <f t="shared" ref="T53:T67" si="18">O53*N53</f>
        <v>102.15598809737504</v>
      </c>
    </row>
    <row r="54" spans="2:20" x14ac:dyDescent="0.35">
      <c r="B54" s="9">
        <v>3</v>
      </c>
      <c r="C54" s="338">
        <v>187.49772727272727</v>
      </c>
      <c r="D54" s="338">
        <v>5998.454545454545</v>
      </c>
      <c r="E54" s="338">
        <v>236724.60993277034</v>
      </c>
      <c r="F54" s="22">
        <v>1.8962165098352841</v>
      </c>
      <c r="G54" s="36">
        <v>167.85681818181817</v>
      </c>
      <c r="H54" s="340">
        <v>6157.840909090909</v>
      </c>
      <c r="I54" s="340">
        <v>234389.80660784975</v>
      </c>
      <c r="J54" s="357">
        <v>1.818730778128284</v>
      </c>
      <c r="K54" s="341">
        <f t="shared" si="14"/>
        <v>19.640909090909105</v>
      </c>
      <c r="L54" s="342">
        <f t="shared" si="14"/>
        <v>-159.38636363636397</v>
      </c>
      <c r="M54" s="343">
        <f t="shared" si="14"/>
        <v>2334.803324920591</v>
      </c>
      <c r="N54" s="344">
        <f t="shared" si="14"/>
        <v>7.7485731707000127E-2</v>
      </c>
      <c r="O54" s="12">
        <v>4425.3999999999996</v>
      </c>
      <c r="P54" s="14">
        <f t="shared" si="15"/>
        <v>0.25805917388875471</v>
      </c>
      <c r="Q54" s="28">
        <f t="shared" si="16"/>
        <v>86918.879090909148</v>
      </c>
      <c r="R54" s="27">
        <f t="shared" si="17"/>
        <v>-705348.41363636509</v>
      </c>
      <c r="S54" s="62">
        <f t="shared" ref="S54:S67" si="19">M54*O54</f>
        <v>10332438.634103583</v>
      </c>
      <c r="T54" s="29">
        <f t="shared" si="18"/>
        <v>342.90535709615835</v>
      </c>
    </row>
    <row r="55" spans="2:20" x14ac:dyDescent="0.35">
      <c r="B55" s="9">
        <v>4</v>
      </c>
      <c r="C55" s="338">
        <v>171.57272727272726</v>
      </c>
      <c r="D55" s="338">
        <v>6538.931818181818</v>
      </c>
      <c r="E55" s="338">
        <v>250515.23452371033</v>
      </c>
      <c r="F55" s="22">
        <v>1.8552508601018183</v>
      </c>
      <c r="G55" s="36">
        <v>156.38977272727271</v>
      </c>
      <c r="H55" s="340">
        <v>6673.852272727273</v>
      </c>
      <c r="I55" s="340">
        <v>249182.92089749902</v>
      </c>
      <c r="J55" s="357">
        <v>1.7983213966041363</v>
      </c>
      <c r="K55" s="341">
        <f t="shared" si="14"/>
        <v>15.18295454545455</v>
      </c>
      <c r="L55" s="342">
        <f t="shared" si="14"/>
        <v>-134.92045454545496</v>
      </c>
      <c r="M55" s="343">
        <f t="shared" si="14"/>
        <v>1332.3136262113112</v>
      </c>
      <c r="N55" s="344">
        <f t="shared" si="14"/>
        <v>5.692946349768202E-2</v>
      </c>
      <c r="O55" s="12">
        <v>2305.5</v>
      </c>
      <c r="P55" s="14">
        <f t="shared" si="15"/>
        <v>0.13444105061701181</v>
      </c>
      <c r="Q55" s="28">
        <f t="shared" si="16"/>
        <v>35004.301704545462</v>
      </c>
      <c r="R55" s="27">
        <f t="shared" si="17"/>
        <v>-311059.1079545464</v>
      </c>
      <c r="S55" s="62">
        <f t="shared" si="19"/>
        <v>3071649.0652301782</v>
      </c>
      <c r="T55" s="29">
        <f t="shared" si="18"/>
        <v>131.2508780939059</v>
      </c>
    </row>
    <row r="56" spans="2:20" x14ac:dyDescent="0.35">
      <c r="B56" s="9">
        <v>5</v>
      </c>
      <c r="C56" s="338">
        <v>183.35</v>
      </c>
      <c r="D56" s="338">
        <v>6077.943181818182</v>
      </c>
      <c r="E56" s="338">
        <v>230304.01479875416</v>
      </c>
      <c r="F56" s="22">
        <v>1.8719734538435455</v>
      </c>
      <c r="G56" s="36">
        <v>165.62159090909091</v>
      </c>
      <c r="H56" s="340">
        <v>6242.602272727273</v>
      </c>
      <c r="I56" s="340">
        <v>229208.78458920753</v>
      </c>
      <c r="J56" s="357">
        <v>1.8084121096036023</v>
      </c>
      <c r="K56" s="341">
        <f t="shared" si="14"/>
        <v>17.728409090909082</v>
      </c>
      <c r="L56" s="342">
        <f t="shared" si="14"/>
        <v>-164.65909090909099</v>
      </c>
      <c r="M56" s="343">
        <f t="shared" si="14"/>
        <v>1095.2302095466293</v>
      </c>
      <c r="N56" s="344">
        <f t="shared" si="14"/>
        <v>6.3561344239943196E-2</v>
      </c>
      <c r="O56" s="12">
        <v>409.47999999999996</v>
      </c>
      <c r="P56" s="14">
        <f t="shared" si="15"/>
        <v>2.3878083455499452E-2</v>
      </c>
      <c r="Q56" s="28">
        <f t="shared" si="16"/>
        <v>7259.4289545454503</v>
      </c>
      <c r="R56" s="27">
        <f t="shared" si="17"/>
        <v>-67424.604545454567</v>
      </c>
      <c r="S56" s="62">
        <f t="shared" si="19"/>
        <v>448474.86620515375</v>
      </c>
      <c r="T56" s="29">
        <f t="shared" si="18"/>
        <v>26.027099239371939</v>
      </c>
    </row>
    <row r="57" spans="2:20" x14ac:dyDescent="0.35">
      <c r="B57" s="9">
        <v>6</v>
      </c>
      <c r="C57" s="338">
        <v>148.23863636363637</v>
      </c>
      <c r="D57" s="338">
        <v>6690.238636363636</v>
      </c>
      <c r="E57" s="338">
        <v>237965.38781939488</v>
      </c>
      <c r="F57" s="22">
        <v>1.7259129799301478</v>
      </c>
      <c r="G57" s="36">
        <v>143.11704545454543</v>
      </c>
      <c r="H57" s="340">
        <v>6729.443181818182</v>
      </c>
      <c r="I57" s="340">
        <v>237345.31503658032</v>
      </c>
      <c r="J57" s="357">
        <v>1.705874876804375</v>
      </c>
      <c r="K57" s="341">
        <f t="shared" si="14"/>
        <v>5.1215909090909406</v>
      </c>
      <c r="L57" s="342">
        <f t="shared" si="14"/>
        <v>-39.204545454545951</v>
      </c>
      <c r="M57" s="343">
        <f t="shared" si="14"/>
        <v>620.07278281456092</v>
      </c>
      <c r="N57" s="344">
        <f t="shared" si="14"/>
        <v>2.003810312577281E-2</v>
      </c>
      <c r="O57" s="12">
        <v>1954.6</v>
      </c>
      <c r="P57" s="14">
        <f t="shared" si="15"/>
        <v>0.11397895360486283</v>
      </c>
      <c r="Q57" s="28">
        <f t="shared" si="16"/>
        <v>10010.661590909152</v>
      </c>
      <c r="R57" s="27">
        <f t="shared" si="17"/>
        <v>-76629.204545455505</v>
      </c>
      <c r="S57" s="62">
        <f t="shared" si="19"/>
        <v>1211994.2612893407</v>
      </c>
      <c r="T57" s="29">
        <f t="shared" si="18"/>
        <v>39.166476369635532</v>
      </c>
    </row>
    <row r="58" spans="2:20" x14ac:dyDescent="0.35">
      <c r="B58" s="9">
        <v>7</v>
      </c>
      <c r="C58" s="338">
        <v>144.99318181818182</v>
      </c>
      <c r="D58" s="338">
        <v>6553.022727272727</v>
      </c>
      <c r="E58" s="338">
        <v>231257.37514537506</v>
      </c>
      <c r="F58" s="22">
        <v>1.7032700663773297</v>
      </c>
      <c r="G58" s="36">
        <v>141.35795454545453</v>
      </c>
      <c r="H58" s="340">
        <v>6579.5</v>
      </c>
      <c r="I58" s="340">
        <v>230724.66860678926</v>
      </c>
      <c r="J58" s="357">
        <v>1.6886103085005681</v>
      </c>
      <c r="K58" s="341">
        <f t="shared" si="14"/>
        <v>3.6352272727272918</v>
      </c>
      <c r="L58" s="342">
        <f t="shared" si="14"/>
        <v>-26.477272727272975</v>
      </c>
      <c r="M58" s="343">
        <f t="shared" si="14"/>
        <v>532.70653858580044</v>
      </c>
      <c r="N58" s="344">
        <f t="shared" si="14"/>
        <v>1.4659757876761548E-2</v>
      </c>
      <c r="O58" s="12">
        <v>2101.3399999999997</v>
      </c>
      <c r="P58" s="14">
        <f t="shared" si="15"/>
        <v>0.12253583053721602</v>
      </c>
      <c r="Q58" s="28">
        <f t="shared" si="16"/>
        <v>7638.8484772727661</v>
      </c>
      <c r="R58" s="27">
        <f t="shared" si="17"/>
        <v>-55637.752272727783</v>
      </c>
      <c r="S58" s="62">
        <f t="shared" si="19"/>
        <v>1119397.5577918857</v>
      </c>
      <c r="T58" s="29">
        <f t="shared" si="18"/>
        <v>30.805135616754107</v>
      </c>
    </row>
    <row r="59" spans="2:20" x14ac:dyDescent="0.35">
      <c r="B59" s="9">
        <v>8</v>
      </c>
      <c r="C59" s="338">
        <v>143.64090909090908</v>
      </c>
      <c r="D59" s="338">
        <v>6963.829545454545</v>
      </c>
      <c r="E59" s="338">
        <v>245912.74011200041</v>
      </c>
      <c r="F59" s="22">
        <v>1.7309168839364659</v>
      </c>
      <c r="G59" s="36">
        <v>138.83750000000001</v>
      </c>
      <c r="H59" s="340">
        <v>6999.886363636364</v>
      </c>
      <c r="I59" s="340">
        <v>245334.22992571961</v>
      </c>
      <c r="J59" s="357">
        <v>1.7119512426146819</v>
      </c>
      <c r="K59" s="341">
        <f t="shared" si="14"/>
        <v>4.8034090909090708</v>
      </c>
      <c r="L59" s="342">
        <f t="shared" si="14"/>
        <v>-36.056818181818926</v>
      </c>
      <c r="M59" s="343">
        <f t="shared" si="14"/>
        <v>578.51018628079328</v>
      </c>
      <c r="N59" s="344">
        <f t="shared" si="14"/>
        <v>1.8965641321784021E-2</v>
      </c>
      <c r="O59" s="12">
        <v>2748.04</v>
      </c>
      <c r="P59" s="14">
        <f t="shared" si="15"/>
        <v>0.16024696800588728</v>
      </c>
      <c r="Q59" s="28">
        <f t="shared" si="16"/>
        <v>13199.960318181762</v>
      </c>
      <c r="R59" s="27">
        <f t="shared" si="17"/>
        <v>-99085.578636365681</v>
      </c>
      <c r="S59" s="62">
        <f t="shared" si="19"/>
        <v>1589769.1323070712</v>
      </c>
      <c r="T59" s="29">
        <f t="shared" si="18"/>
        <v>52.118340977915359</v>
      </c>
    </row>
    <row r="60" spans="2:20" x14ac:dyDescent="0.35">
      <c r="B60" s="9">
        <v>9</v>
      </c>
      <c r="C60" s="338">
        <v>149.76477272727271</v>
      </c>
      <c r="D60" s="338">
        <v>6924.556818181818</v>
      </c>
      <c r="E60" s="338">
        <v>249754.12413096169</v>
      </c>
      <c r="F60" s="22">
        <v>1.7666772057350342</v>
      </c>
      <c r="G60" s="36">
        <v>142.27159090909092</v>
      </c>
      <c r="H60" s="340">
        <v>6984.340909090909</v>
      </c>
      <c r="I60" s="340">
        <v>248873.4491359739</v>
      </c>
      <c r="J60" s="357">
        <v>1.7376664531381933</v>
      </c>
      <c r="K60" s="341">
        <f t="shared" si="14"/>
        <v>7.493181818181796</v>
      </c>
      <c r="L60" s="342">
        <f t="shared" si="14"/>
        <v>-59.784090909090992</v>
      </c>
      <c r="M60" s="343">
        <f t="shared" si="14"/>
        <v>880.67499498778488</v>
      </c>
      <c r="N60" s="344">
        <f t="shared" si="14"/>
        <v>2.9010752596840828E-2</v>
      </c>
      <c r="O60" s="12">
        <v>6451.92</v>
      </c>
      <c r="P60" s="14">
        <f t="shared" si="15"/>
        <v>0.37623201183990929</v>
      </c>
      <c r="Q60" s="28">
        <f t="shared" si="16"/>
        <v>48345.409636363496</v>
      </c>
      <c r="R60" s="27">
        <f t="shared" si="17"/>
        <v>-385722.17181818234</v>
      </c>
      <c r="S60" s="62">
        <f t="shared" si="19"/>
        <v>5682044.6136615891</v>
      </c>
      <c r="T60" s="29">
        <f t="shared" si="18"/>
        <v>187.17505489460927</v>
      </c>
    </row>
    <row r="61" spans="2:20" x14ac:dyDescent="0.35">
      <c r="B61" s="9">
        <v>10</v>
      </c>
      <c r="C61" s="338">
        <v>144.85795454545453</v>
      </c>
      <c r="D61" s="338">
        <v>7105.454545454545</v>
      </c>
      <c r="E61" s="338">
        <v>249603.74274492144</v>
      </c>
      <c r="F61" s="22">
        <v>1.7522739679489319</v>
      </c>
      <c r="G61" s="36">
        <v>133.6875</v>
      </c>
      <c r="H61" s="340">
        <v>7209.147727272727</v>
      </c>
      <c r="I61" s="340">
        <v>248701.49407841501</v>
      </c>
      <c r="J61" s="357">
        <v>1.7132089200188978</v>
      </c>
      <c r="K61" s="341">
        <f t="shared" si="14"/>
        <v>11.170454545454533</v>
      </c>
      <c r="L61" s="342">
        <f t="shared" si="14"/>
        <v>-103.69318181818198</v>
      </c>
      <c r="M61" s="343">
        <f t="shared" si="14"/>
        <v>902.24866650643526</v>
      </c>
      <c r="N61" s="344">
        <f t="shared" si="14"/>
        <v>3.9065047930034069E-2</v>
      </c>
      <c r="O61" s="12">
        <v>2279.4</v>
      </c>
      <c r="P61" s="14">
        <f t="shared" si="15"/>
        <v>0.13291907645908338</v>
      </c>
      <c r="Q61" s="28">
        <f t="shared" si="16"/>
        <v>25461.934090909064</v>
      </c>
      <c r="R61" s="27">
        <f t="shared" si="17"/>
        <v>-236358.23863636403</v>
      </c>
      <c r="S61" s="62">
        <f t="shared" si="19"/>
        <v>2056585.6104347687</v>
      </c>
      <c r="T61" s="29">
        <f t="shared" si="18"/>
        <v>89.044870251719658</v>
      </c>
    </row>
    <row r="62" spans="2:20" x14ac:dyDescent="0.35">
      <c r="B62" s="9">
        <v>11</v>
      </c>
      <c r="C62" s="338">
        <v>179.93295454545455</v>
      </c>
      <c r="D62" s="338">
        <v>7126.920454545455</v>
      </c>
      <c r="E62" s="338">
        <v>272579.31851945509</v>
      </c>
      <c r="F62" s="22">
        <v>1.9740572343075227</v>
      </c>
      <c r="G62" s="36">
        <v>147.28863636363636</v>
      </c>
      <c r="H62" s="340">
        <v>7429.477272727273</v>
      </c>
      <c r="I62" s="340">
        <v>269388.99367568671</v>
      </c>
      <c r="J62" s="357">
        <v>1.8528697528675908</v>
      </c>
      <c r="K62" s="341">
        <f t="shared" si="14"/>
        <v>32.644318181818193</v>
      </c>
      <c r="L62" s="342">
        <f t="shared" si="14"/>
        <v>-302.55681818181802</v>
      </c>
      <c r="M62" s="343">
        <f t="shared" si="14"/>
        <v>3190.3248437683797</v>
      </c>
      <c r="N62" s="344">
        <f t="shared" si="14"/>
        <v>0.12118748143993185</v>
      </c>
      <c r="O62" s="12">
        <v>650.75999999999988</v>
      </c>
      <c r="P62" s="14">
        <f t="shared" si="15"/>
        <v>3.7947889004348985E-2</v>
      </c>
      <c r="Q62" s="28">
        <f t="shared" si="16"/>
        <v>21243.616500000004</v>
      </c>
      <c r="R62" s="27">
        <f t="shared" si="17"/>
        <v>-196891.87499999985</v>
      </c>
      <c r="S62" s="62">
        <f t="shared" si="19"/>
        <v>2076135.7953307102</v>
      </c>
      <c r="T62" s="29">
        <f t="shared" si="18"/>
        <v>78.86396542185004</v>
      </c>
    </row>
    <row r="63" spans="2:20" x14ac:dyDescent="0.35">
      <c r="B63" s="9">
        <v>12</v>
      </c>
      <c r="C63" s="338">
        <v>182.0534090909091</v>
      </c>
      <c r="D63" s="338">
        <v>6756.295454545455</v>
      </c>
      <c r="E63" s="338">
        <v>261320.54091017984</v>
      </c>
      <c r="F63" s="22">
        <v>1.9410584753864319</v>
      </c>
      <c r="G63" s="36">
        <v>152.93068181818182</v>
      </c>
      <c r="H63" s="340">
        <v>7031.579545454545</v>
      </c>
      <c r="I63" s="340">
        <v>259106.03969919268</v>
      </c>
      <c r="J63" s="357">
        <v>1.8342984218688181</v>
      </c>
      <c r="K63" s="341">
        <f t="shared" si="14"/>
        <v>29.122727272727275</v>
      </c>
      <c r="L63" s="342">
        <f t="shared" si="14"/>
        <v>-275.28409090909008</v>
      </c>
      <c r="M63" s="343">
        <f t="shared" si="14"/>
        <v>2214.5012109871604</v>
      </c>
      <c r="N63" s="344">
        <f t="shared" si="14"/>
        <v>0.10676005351761386</v>
      </c>
      <c r="O63" s="12">
        <v>3674.3</v>
      </c>
      <c r="P63" s="14">
        <f t="shared" si="15"/>
        <v>0.21426013978836977</v>
      </c>
      <c r="Q63" s="28">
        <f t="shared" si="16"/>
        <v>107005.63681818183</v>
      </c>
      <c r="R63" s="27">
        <f t="shared" si="17"/>
        <v>-1011476.3352272698</v>
      </c>
      <c r="S63" s="62">
        <f t="shared" si="19"/>
        <v>8136741.7995301243</v>
      </c>
      <c r="T63" s="29">
        <f t="shared" si="18"/>
        <v>392.26846463976864</v>
      </c>
    </row>
    <row r="64" spans="2:20" x14ac:dyDescent="0.35">
      <c r="B64" s="9">
        <v>13</v>
      </c>
      <c r="C64" s="338">
        <v>168.58977272727273</v>
      </c>
      <c r="D64" s="338">
        <v>7338.420454545455</v>
      </c>
      <c r="E64" s="338">
        <v>275365.33031600603</v>
      </c>
      <c r="F64" s="22">
        <v>1.9277907489898523</v>
      </c>
      <c r="G64" s="36">
        <v>143.70113636363638</v>
      </c>
      <c r="H64" s="340">
        <v>7570.113636363636</v>
      </c>
      <c r="I64" s="340">
        <v>273323.9401951842</v>
      </c>
      <c r="J64" s="357">
        <v>1.8357157662021932</v>
      </c>
      <c r="K64" s="341">
        <f t="shared" si="14"/>
        <v>24.888636363636351</v>
      </c>
      <c r="L64" s="342">
        <f t="shared" si="14"/>
        <v>-231.69318181818107</v>
      </c>
      <c r="M64" s="343">
        <f t="shared" si="14"/>
        <v>2041.3901208218304</v>
      </c>
      <c r="N64" s="344">
        <f t="shared" si="14"/>
        <v>9.2074982787659021E-2</v>
      </c>
      <c r="O64" s="12">
        <v>1072.4199999999998</v>
      </c>
      <c r="P64" s="14">
        <f t="shared" si="15"/>
        <v>6.2536227066881708E-2</v>
      </c>
      <c r="Q64" s="28">
        <f t="shared" si="16"/>
        <v>26691.071409090891</v>
      </c>
      <c r="R64" s="27">
        <f t="shared" si="17"/>
        <v>-248472.40204545372</v>
      </c>
      <c r="S64" s="62">
        <f t="shared" si="19"/>
        <v>2189227.5933717471</v>
      </c>
      <c r="T64" s="29">
        <f t="shared" si="18"/>
        <v>98.743053041141266</v>
      </c>
    </row>
    <row r="65" spans="2:20" x14ac:dyDescent="0.35">
      <c r="B65" s="9">
        <v>14</v>
      </c>
      <c r="C65" s="338">
        <v>169.95909090909092</v>
      </c>
      <c r="D65" s="338">
        <v>7150.625</v>
      </c>
      <c r="E65" s="338">
        <v>265089.49951350136</v>
      </c>
      <c r="F65" s="22">
        <v>1.9070935306391363</v>
      </c>
      <c r="G65" s="36">
        <v>143.81931818181818</v>
      </c>
      <c r="H65" s="340">
        <v>7420.125</v>
      </c>
      <c r="I65" s="340">
        <v>263811.51471145923</v>
      </c>
      <c r="J65" s="357">
        <v>1.8217321839143523</v>
      </c>
      <c r="K65" s="341">
        <f t="shared" si="14"/>
        <v>26.139772727272742</v>
      </c>
      <c r="L65" s="342">
        <f t="shared" si="14"/>
        <v>-269.5</v>
      </c>
      <c r="M65" s="343">
        <f t="shared" si="14"/>
        <v>1277.9848020421341</v>
      </c>
      <c r="N65" s="344">
        <f t="shared" si="14"/>
        <v>8.5361346724784015E-2</v>
      </c>
      <c r="O65" s="12">
        <v>487.2</v>
      </c>
      <c r="P65" s="14">
        <f t="shared" si="15"/>
        <v>2.8410184281330797E-2</v>
      </c>
      <c r="Q65" s="28">
        <f t="shared" si="16"/>
        <v>12735.297272727279</v>
      </c>
      <c r="R65" s="27">
        <f t="shared" si="17"/>
        <v>-131300.4</v>
      </c>
      <c r="S65" s="62">
        <f t="shared" si="19"/>
        <v>622634.19555492769</v>
      </c>
      <c r="T65" s="29">
        <f t="shared" si="18"/>
        <v>41.588048124314774</v>
      </c>
    </row>
    <row r="66" spans="2:20" x14ac:dyDescent="0.35">
      <c r="B66" s="9">
        <v>15</v>
      </c>
      <c r="C66" s="338">
        <v>112.57988636363638</v>
      </c>
      <c r="D66" s="338">
        <v>8473.829545454546</v>
      </c>
      <c r="E66" s="338">
        <v>277946.15161415498</v>
      </c>
      <c r="F66" s="22">
        <v>1.7074917780693182</v>
      </c>
      <c r="G66" s="36">
        <v>109.5365909090909</v>
      </c>
      <c r="H66" s="340">
        <v>8496.670454545454</v>
      </c>
      <c r="I66" s="340">
        <v>277569.39980420569</v>
      </c>
      <c r="J66" s="357">
        <v>1.695611163906841</v>
      </c>
      <c r="K66" s="341">
        <f t="shared" si="14"/>
        <v>3.043295454545472</v>
      </c>
      <c r="L66" s="342">
        <f t="shared" si="14"/>
        <v>-22.840909090908099</v>
      </c>
      <c r="M66" s="343">
        <f t="shared" si="14"/>
        <v>376.75180994928814</v>
      </c>
      <c r="N66" s="344">
        <f t="shared" si="14"/>
        <v>1.188061416247721E-2</v>
      </c>
      <c r="O66" s="12">
        <v>317.26</v>
      </c>
      <c r="P66" s="14">
        <f t="shared" si="15"/>
        <v>1.8500441430818981E-2</v>
      </c>
      <c r="Q66" s="28">
        <f t="shared" si="16"/>
        <v>965.51591590909641</v>
      </c>
      <c r="R66" s="27">
        <f t="shared" si="17"/>
        <v>-7246.5068181815031</v>
      </c>
      <c r="S66" s="62">
        <f t="shared" si="19"/>
        <v>119528.27922451115</v>
      </c>
      <c r="T66" s="29">
        <f t="shared" si="18"/>
        <v>3.7692436491875196</v>
      </c>
    </row>
    <row r="67" spans="2:20" x14ac:dyDescent="0.35">
      <c r="B67" s="9">
        <v>16</v>
      </c>
      <c r="C67" s="338">
        <v>258.40568181818185</v>
      </c>
      <c r="D67" s="338">
        <v>6307.806818181818</v>
      </c>
      <c r="E67" s="338">
        <v>262487.1281342897</v>
      </c>
      <c r="F67" s="22">
        <v>2.3616743602692614</v>
      </c>
      <c r="G67" s="36">
        <v>245.00157421590765</v>
      </c>
      <c r="H67" s="340">
        <v>6411.0323011363507</v>
      </c>
      <c r="I67" s="340">
        <v>260311.72524838345</v>
      </c>
      <c r="J67" s="357">
        <v>2.3002511194984772</v>
      </c>
      <c r="K67" s="345">
        <f t="shared" si="14"/>
        <v>13.404107602274195</v>
      </c>
      <c r="L67" s="346">
        <f t="shared" si="14"/>
        <v>-103.22548295453271</v>
      </c>
      <c r="M67" s="347">
        <f t="shared" si="14"/>
        <v>2175.4028859062528</v>
      </c>
      <c r="N67" s="344">
        <f t="shared" si="14"/>
        <v>6.1423240770784204E-2</v>
      </c>
      <c r="O67" s="12">
        <v>196.62</v>
      </c>
      <c r="P67" s="14">
        <f t="shared" si="15"/>
        <v>1.1465538656394214E-2</v>
      </c>
      <c r="Q67" s="28">
        <f t="shared" si="16"/>
        <v>2635.5156367591521</v>
      </c>
      <c r="R67" s="27">
        <f t="shared" si="17"/>
        <v>-20296.194458520222</v>
      </c>
      <c r="S67" s="62">
        <f t="shared" si="19"/>
        <v>427727.71542688744</v>
      </c>
      <c r="T67" s="29">
        <f t="shared" si="18"/>
        <v>12.077037600351591</v>
      </c>
    </row>
    <row r="68" spans="2:20" ht="15" thickBot="1" x14ac:dyDescent="0.4">
      <c r="B68" s="10" t="s">
        <v>12</v>
      </c>
      <c r="C68" s="67"/>
      <c r="D68" s="67"/>
      <c r="E68" s="80"/>
      <c r="F68" s="80"/>
      <c r="G68" s="67"/>
      <c r="H68" s="67"/>
      <c r="I68" s="80"/>
      <c r="J68" s="80"/>
      <c r="K68" s="67"/>
      <c r="L68" s="67"/>
      <c r="M68" s="80"/>
      <c r="N68" s="81"/>
      <c r="O68" s="16">
        <f t="shared" ref="O68:T68" si="20">SUM(O52:O67)</f>
        <v>30140.279999999995</v>
      </c>
      <c r="P68" s="15">
        <f t="shared" si="20"/>
        <v>1.7575757575757576</v>
      </c>
      <c r="Q68" s="30">
        <f t="shared" si="20"/>
        <v>436277.581298067</v>
      </c>
      <c r="R68" s="31">
        <f t="shared" si="20"/>
        <v>-3848971.4130519312</v>
      </c>
      <c r="S68" s="31">
        <f t="shared" si="20"/>
        <v>41694104.478378177</v>
      </c>
      <c r="T68" s="32">
        <f t="shared" si="20"/>
        <v>1643.7671731258113</v>
      </c>
    </row>
    <row r="71" spans="2:20" x14ac:dyDescent="0.35">
      <c r="B71" t="s">
        <v>44</v>
      </c>
    </row>
    <row r="72" spans="2:20" ht="15" thickBot="1" x14ac:dyDescent="0.4">
      <c r="B72" t="s">
        <v>46</v>
      </c>
      <c r="C72" t="s">
        <v>637</v>
      </c>
    </row>
    <row r="73" spans="2:20" x14ac:dyDescent="0.35">
      <c r="B73" s="7"/>
      <c r="C73" s="1147" t="str">
        <f>C50</f>
        <v>2019 Energy Code</v>
      </c>
      <c r="D73" s="1148"/>
      <c r="E73" s="1149"/>
      <c r="F73" s="1150"/>
      <c r="G73" s="1151" t="str">
        <f>G50</f>
        <v>2022 Energy Code</v>
      </c>
      <c r="H73" s="1152"/>
      <c r="I73" s="1153"/>
      <c r="J73" s="1154"/>
      <c r="K73" s="1147" t="s">
        <v>40</v>
      </c>
      <c r="L73" s="1148"/>
      <c r="M73" s="1149"/>
      <c r="N73" s="1150"/>
      <c r="O73" s="1151" t="s">
        <v>4</v>
      </c>
      <c r="P73" s="1154"/>
      <c r="Q73" s="1155" t="s">
        <v>41</v>
      </c>
      <c r="R73" s="1156"/>
      <c r="S73" s="1156"/>
      <c r="T73" s="1157"/>
    </row>
    <row r="74" spans="2:20" ht="43.5" x14ac:dyDescent="0.35">
      <c r="B74" s="8" t="s">
        <v>5</v>
      </c>
      <c r="C74" s="17" t="s">
        <v>6</v>
      </c>
      <c r="D74" s="18" t="s">
        <v>7</v>
      </c>
      <c r="E74" s="61" t="s">
        <v>42</v>
      </c>
      <c r="F74" s="19" t="s">
        <v>9</v>
      </c>
      <c r="G74" s="5" t="s">
        <v>6</v>
      </c>
      <c r="H74" s="4" t="s">
        <v>7</v>
      </c>
      <c r="I74" s="71" t="s">
        <v>8</v>
      </c>
      <c r="J74" s="6" t="s">
        <v>9</v>
      </c>
      <c r="K74" s="17" t="s">
        <v>6</v>
      </c>
      <c r="L74" s="18" t="s">
        <v>7</v>
      </c>
      <c r="M74" s="61" t="s">
        <v>42</v>
      </c>
      <c r="N74" s="19" t="s">
        <v>9</v>
      </c>
      <c r="O74" s="5" t="s">
        <v>10</v>
      </c>
      <c r="P74" s="6" t="s">
        <v>11</v>
      </c>
      <c r="Q74" s="17" t="s">
        <v>6</v>
      </c>
      <c r="R74" s="18" t="s">
        <v>7</v>
      </c>
      <c r="S74" s="61" t="s">
        <v>42</v>
      </c>
      <c r="T74" s="19" t="s">
        <v>9</v>
      </c>
    </row>
    <row r="75" spans="2:20" x14ac:dyDescent="0.35">
      <c r="B75" s="9">
        <v>1</v>
      </c>
      <c r="C75" s="338">
        <v>193.06495726495726</v>
      </c>
      <c r="D75" s="338">
        <v>3955.3333333333335</v>
      </c>
      <c r="E75" s="338">
        <v>177902.84426184525</v>
      </c>
      <c r="F75" s="22">
        <v>1.6997168588389229</v>
      </c>
      <c r="G75" s="339">
        <v>171.36179458119659</v>
      </c>
      <c r="H75" s="340">
        <v>4135.3268735042739</v>
      </c>
      <c r="I75" s="340">
        <v>175223.8361352559</v>
      </c>
      <c r="J75" s="76">
        <v>1.6029662538170597</v>
      </c>
      <c r="K75" s="341">
        <f>C75-G75</f>
        <v>21.703162683760667</v>
      </c>
      <c r="L75" s="342">
        <f>D75-H75</f>
        <v>-179.99354017094038</v>
      </c>
      <c r="M75" s="343">
        <f>E75-I75</f>
        <v>2679.0081265893532</v>
      </c>
      <c r="N75" s="344">
        <f>F75-J75</f>
        <v>9.6750605021863167E-2</v>
      </c>
      <c r="O75" s="12">
        <v>13.25</v>
      </c>
      <c r="P75" s="14">
        <f>O75/O$45</f>
        <v>7.7264971618972301E-4</v>
      </c>
      <c r="Q75" s="28">
        <f>K75*O75</f>
        <v>287.56690555982885</v>
      </c>
      <c r="R75" s="27">
        <f>O75*L75</f>
        <v>-2384.9144072649601</v>
      </c>
      <c r="S75" s="62">
        <f>M75*O75</f>
        <v>35496.85767730893</v>
      </c>
      <c r="T75" s="29">
        <f>O75*N75</f>
        <v>1.2819455165396869</v>
      </c>
    </row>
    <row r="76" spans="2:20" x14ac:dyDescent="0.35">
      <c r="B76" s="9">
        <v>2</v>
      </c>
      <c r="C76" s="338">
        <v>156.91367521367522</v>
      </c>
      <c r="D76" s="338">
        <v>4427.1709401709404</v>
      </c>
      <c r="E76" s="338">
        <v>186529.85989792927</v>
      </c>
      <c r="F76" s="22">
        <v>1.5285317036661195</v>
      </c>
      <c r="G76" s="36">
        <v>128.56752136752135</v>
      </c>
      <c r="H76" s="340">
        <v>4699.2991452991455</v>
      </c>
      <c r="I76" s="340">
        <v>184193.76282371843</v>
      </c>
      <c r="J76" s="357">
        <v>1.4229881003180855</v>
      </c>
      <c r="K76" s="341">
        <f t="shared" ref="K76:N90" si="21">C76-G76</f>
        <v>28.346153846153868</v>
      </c>
      <c r="L76" s="342">
        <f t="shared" si="21"/>
        <v>-272.12820512820508</v>
      </c>
      <c r="M76" s="343">
        <f t="shared" si="21"/>
        <v>2336.0970742108475</v>
      </c>
      <c r="N76" s="344">
        <f t="shared" si="21"/>
        <v>0.10554360334803392</v>
      </c>
      <c r="O76" s="12">
        <v>78.650000000000006</v>
      </c>
      <c r="P76" s="14">
        <f t="shared" ref="P76:P90" si="22">O76/O$45</f>
        <v>4.5863320889299409E-3</v>
      </c>
      <c r="Q76" s="28">
        <f t="shared" ref="Q76:Q90" si="23">K76*O76</f>
        <v>2229.425000000002</v>
      </c>
      <c r="R76" s="27">
        <f t="shared" ref="R76:R90" si="24">O76*L76</f>
        <v>-21402.883333333331</v>
      </c>
      <c r="S76" s="62">
        <f>M76*O76</f>
        <v>183734.03488668316</v>
      </c>
      <c r="T76" s="29">
        <f t="shared" ref="T76:T90" si="25">O76*N76</f>
        <v>8.3010044033228692</v>
      </c>
    </row>
    <row r="77" spans="2:20" x14ac:dyDescent="0.35">
      <c r="B77" s="9">
        <v>3</v>
      </c>
      <c r="C77" s="338">
        <v>142.85299145299146</v>
      </c>
      <c r="D77" s="338">
        <v>4217.6581196581201</v>
      </c>
      <c r="E77" s="338">
        <v>171781.64977437278</v>
      </c>
      <c r="F77" s="22">
        <v>1.4242255623769144</v>
      </c>
      <c r="G77" s="36">
        <v>125.77435897435898</v>
      </c>
      <c r="H77" s="340">
        <v>4355.8461538461543</v>
      </c>
      <c r="I77" s="340">
        <v>169732.17852990521</v>
      </c>
      <c r="J77" s="357">
        <v>1.3565807661029488</v>
      </c>
      <c r="K77" s="341">
        <f t="shared" si="21"/>
        <v>17.078632478632485</v>
      </c>
      <c r="L77" s="342">
        <f t="shared" si="21"/>
        <v>-138.18803418803418</v>
      </c>
      <c r="M77" s="343">
        <f t="shared" si="21"/>
        <v>2049.4712444675679</v>
      </c>
      <c r="N77" s="344">
        <f t="shared" si="21"/>
        <v>6.7644796273965691E-2</v>
      </c>
      <c r="O77" s="12">
        <v>381.5</v>
      </c>
      <c r="P77" s="14">
        <f t="shared" si="22"/>
        <v>2.2246480507651271E-2</v>
      </c>
      <c r="Q77" s="28">
        <f t="shared" si="23"/>
        <v>6515.4982905982934</v>
      </c>
      <c r="R77" s="27">
        <f t="shared" si="24"/>
        <v>-52718.735042735039</v>
      </c>
      <c r="S77" s="62">
        <f t="shared" ref="S77:S90" si="26">M77*O77</f>
        <v>781873.27976437716</v>
      </c>
      <c r="T77" s="29">
        <f t="shared" si="25"/>
        <v>25.806489778517911</v>
      </c>
    </row>
    <row r="78" spans="2:20" x14ac:dyDescent="0.35">
      <c r="B78" s="9">
        <v>4</v>
      </c>
      <c r="C78" s="338">
        <v>132.31025641025641</v>
      </c>
      <c r="D78" s="338">
        <v>4601.6837606837607</v>
      </c>
      <c r="E78" s="338">
        <v>181602.83182757316</v>
      </c>
      <c r="F78" s="22">
        <v>1.4011641081907864</v>
      </c>
      <c r="G78" s="36">
        <v>119.17692307692309</v>
      </c>
      <c r="H78" s="340">
        <v>4718.8803418803418</v>
      </c>
      <c r="I78" s="340">
        <v>180478.31317478666</v>
      </c>
      <c r="J78" s="357">
        <v>1.3518145442083673</v>
      </c>
      <c r="K78" s="341">
        <f t="shared" si="21"/>
        <v>13.133333333333326</v>
      </c>
      <c r="L78" s="342">
        <f t="shared" si="21"/>
        <v>-117.19658119658106</v>
      </c>
      <c r="M78" s="343">
        <f t="shared" si="21"/>
        <v>1124.5186527865008</v>
      </c>
      <c r="N78" s="344">
        <f t="shared" si="21"/>
        <v>4.9349563982419076E-2</v>
      </c>
      <c r="O78" s="12">
        <v>198.75000000000003</v>
      </c>
      <c r="P78" s="14">
        <f t="shared" si="22"/>
        <v>1.1589745742845848E-2</v>
      </c>
      <c r="Q78" s="28">
        <f t="shared" si="23"/>
        <v>2610.2499999999991</v>
      </c>
      <c r="R78" s="27">
        <f t="shared" si="24"/>
        <v>-23292.82051282049</v>
      </c>
      <c r="S78" s="62">
        <f t="shared" si="26"/>
        <v>223498.08224131705</v>
      </c>
      <c r="T78" s="29">
        <f t="shared" si="25"/>
        <v>9.8082258415057932</v>
      </c>
    </row>
    <row r="79" spans="2:20" x14ac:dyDescent="0.35">
      <c r="B79" s="9">
        <v>5</v>
      </c>
      <c r="C79" s="338">
        <v>139.96923076923076</v>
      </c>
      <c r="D79" s="338">
        <v>4265.9914529914531</v>
      </c>
      <c r="E79" s="338">
        <v>167545.38861025515</v>
      </c>
      <c r="F79" s="22">
        <v>1.4090249372153931</v>
      </c>
      <c r="G79" s="36">
        <v>125.45555555555555</v>
      </c>
      <c r="H79" s="340">
        <v>4400.3418803418799</v>
      </c>
      <c r="I79" s="340">
        <v>166553.49862327176</v>
      </c>
      <c r="J79" s="357">
        <v>1.3566373530287179</v>
      </c>
      <c r="K79" s="341">
        <f t="shared" si="21"/>
        <v>14.513675213675214</v>
      </c>
      <c r="L79" s="342">
        <f t="shared" si="21"/>
        <v>-134.3504273504268</v>
      </c>
      <c r="M79" s="343">
        <f t="shared" si="21"/>
        <v>991.88998698338401</v>
      </c>
      <c r="N79" s="344">
        <f t="shared" si="21"/>
        <v>5.2387584186675218E-2</v>
      </c>
      <c r="O79" s="12">
        <v>35.300000000000004</v>
      </c>
      <c r="P79" s="14">
        <f t="shared" si="22"/>
        <v>2.0584554703016772E-3</v>
      </c>
      <c r="Q79" s="28">
        <f t="shared" si="23"/>
        <v>512.33273504273507</v>
      </c>
      <c r="R79" s="27">
        <f t="shared" si="24"/>
        <v>-4742.5700854700663</v>
      </c>
      <c r="S79" s="62">
        <f t="shared" si="26"/>
        <v>35013.716540513458</v>
      </c>
      <c r="T79" s="29">
        <f t="shared" si="25"/>
        <v>1.8492817217896353</v>
      </c>
    </row>
    <row r="80" spans="2:20" x14ac:dyDescent="0.35">
      <c r="B80" s="9">
        <v>6</v>
      </c>
      <c r="C80" s="338">
        <v>116.36837606837607</v>
      </c>
      <c r="D80" s="338">
        <v>4710.0341880341884</v>
      </c>
      <c r="E80" s="338">
        <v>172851.39560102261</v>
      </c>
      <c r="F80" s="22">
        <v>1.3143192045492222</v>
      </c>
      <c r="G80" s="36">
        <v>112.80085470085471</v>
      </c>
      <c r="H80" s="340">
        <v>4737.3162393162393</v>
      </c>
      <c r="I80" s="340">
        <v>172401.67548364415</v>
      </c>
      <c r="J80" s="357">
        <v>1.3001973025417948</v>
      </c>
      <c r="K80" s="341">
        <f t="shared" si="21"/>
        <v>3.5675213675213513</v>
      </c>
      <c r="L80" s="342">
        <f t="shared" si="21"/>
        <v>-27.282051282050816</v>
      </c>
      <c r="M80" s="343">
        <f t="shared" si="21"/>
        <v>449.72011737845605</v>
      </c>
      <c r="N80" s="344">
        <f t="shared" si="21"/>
        <v>1.4121902007427467E-2</v>
      </c>
      <c r="O80" s="12">
        <v>168.50000000000003</v>
      </c>
      <c r="P80" s="14">
        <f t="shared" si="22"/>
        <v>9.8257718624881769E-3</v>
      </c>
      <c r="Q80" s="28">
        <f t="shared" si="23"/>
        <v>601.12735042734778</v>
      </c>
      <c r="R80" s="27">
        <f t="shared" si="24"/>
        <v>-4597.0256410255633</v>
      </c>
      <c r="S80" s="62">
        <f t="shared" si="26"/>
        <v>75777.839778269859</v>
      </c>
      <c r="T80" s="29">
        <f t="shared" si="25"/>
        <v>2.3795404882515285</v>
      </c>
    </row>
    <row r="81" spans="1:29" x14ac:dyDescent="0.35">
      <c r="B81" s="9">
        <v>7</v>
      </c>
      <c r="C81" s="338">
        <v>114.84188034188034</v>
      </c>
      <c r="D81" s="338">
        <v>4629.6837606837607</v>
      </c>
      <c r="E81" s="338">
        <v>169006.87914302235</v>
      </c>
      <c r="F81" s="22">
        <v>1.304745537672906</v>
      </c>
      <c r="G81" s="36">
        <v>111.85384615384615</v>
      </c>
      <c r="H81" s="340">
        <v>4651.4188034188037</v>
      </c>
      <c r="I81" s="340">
        <v>168530.64124856377</v>
      </c>
      <c r="J81" s="357">
        <v>1.2924074685571199</v>
      </c>
      <c r="K81" s="341">
        <f t="shared" si="21"/>
        <v>2.9880341880341916</v>
      </c>
      <c r="L81" s="342">
        <f t="shared" si="21"/>
        <v>-21.735042735042953</v>
      </c>
      <c r="M81" s="343">
        <f t="shared" si="21"/>
        <v>476.23789445857983</v>
      </c>
      <c r="N81" s="344">
        <f t="shared" si="21"/>
        <v>1.2338069115786165E-2</v>
      </c>
      <c r="O81" s="12">
        <v>181.15</v>
      </c>
      <c r="P81" s="14">
        <f t="shared" si="22"/>
        <v>1.0563433667001383E-2</v>
      </c>
      <c r="Q81" s="28">
        <f t="shared" si="23"/>
        <v>541.28239316239387</v>
      </c>
      <c r="R81" s="27">
        <f t="shared" si="24"/>
        <v>-3937.3029914530312</v>
      </c>
      <c r="S81" s="62">
        <f t="shared" si="26"/>
        <v>86270.494581171733</v>
      </c>
      <c r="T81" s="29">
        <f t="shared" si="25"/>
        <v>2.2350412203246641</v>
      </c>
    </row>
    <row r="82" spans="1:29" x14ac:dyDescent="0.35">
      <c r="B82" s="9">
        <v>8</v>
      </c>
      <c r="C82" s="338">
        <v>113.24444444444445</v>
      </c>
      <c r="D82" s="338">
        <v>4918.5811965811963</v>
      </c>
      <c r="E82" s="338">
        <v>178442.50463763069</v>
      </c>
      <c r="F82" s="22">
        <v>1.3201853375855386</v>
      </c>
      <c r="G82" s="36">
        <v>109.67264957264958</v>
      </c>
      <c r="H82" s="340">
        <v>4945.5811965811963</v>
      </c>
      <c r="I82" s="340">
        <v>178011.4596618475</v>
      </c>
      <c r="J82" s="357">
        <v>1.3060113842713676</v>
      </c>
      <c r="K82" s="341">
        <f t="shared" si="21"/>
        <v>3.5717948717948786</v>
      </c>
      <c r="L82" s="342">
        <f t="shared" si="21"/>
        <v>-27</v>
      </c>
      <c r="M82" s="343">
        <f t="shared" si="21"/>
        <v>431.04497578318114</v>
      </c>
      <c r="N82" s="344">
        <f t="shared" si="21"/>
        <v>1.4173953314170928E-2</v>
      </c>
      <c r="O82" s="12">
        <v>236.9</v>
      </c>
      <c r="P82" s="14">
        <f t="shared" si="22"/>
        <v>1.3814393793610973E-2</v>
      </c>
      <c r="Q82" s="28">
        <f t="shared" si="23"/>
        <v>846.15820512820676</v>
      </c>
      <c r="R82" s="27">
        <f t="shared" si="24"/>
        <v>-6396.3</v>
      </c>
      <c r="S82" s="62">
        <f t="shared" si="26"/>
        <v>102114.55476303562</v>
      </c>
      <c r="T82" s="29">
        <f t="shared" si="25"/>
        <v>3.3578095401270929</v>
      </c>
    </row>
    <row r="83" spans="1:29" x14ac:dyDescent="0.35">
      <c r="B83" s="9">
        <v>9</v>
      </c>
      <c r="C83" s="338">
        <v>117.53589743589744</v>
      </c>
      <c r="D83" s="338">
        <v>4910.4273504273506</v>
      </c>
      <c r="E83" s="338">
        <v>181533.2334855489</v>
      </c>
      <c r="F83" s="22">
        <v>1.3475198579820598</v>
      </c>
      <c r="G83" s="36">
        <v>111.29316239316239</v>
      </c>
      <c r="H83" s="340">
        <v>4960.4529914529912</v>
      </c>
      <c r="I83" s="340">
        <v>180803.80429478147</v>
      </c>
      <c r="J83" s="357">
        <v>1.3232118456036155</v>
      </c>
      <c r="K83" s="341">
        <f t="shared" si="21"/>
        <v>6.242735042735049</v>
      </c>
      <c r="L83" s="342">
        <f t="shared" si="21"/>
        <v>-50.025641025640653</v>
      </c>
      <c r="M83" s="343">
        <f t="shared" si="21"/>
        <v>729.42919076743419</v>
      </c>
      <c r="N83" s="344">
        <f t="shared" si="21"/>
        <v>2.4308012378444266E-2</v>
      </c>
      <c r="O83" s="12">
        <v>556.20000000000005</v>
      </c>
      <c r="P83" s="14">
        <f t="shared" si="22"/>
        <v>3.2433794124130111E-2</v>
      </c>
      <c r="Q83" s="28">
        <f t="shared" si="23"/>
        <v>3472.2092307692346</v>
      </c>
      <c r="R83" s="27">
        <f t="shared" si="24"/>
        <v>-27824.261538461335</v>
      </c>
      <c r="S83" s="62">
        <f t="shared" si="26"/>
        <v>405708.51590484695</v>
      </c>
      <c r="T83" s="29">
        <f t="shared" si="25"/>
        <v>13.520116484890702</v>
      </c>
    </row>
    <row r="84" spans="1:29" x14ac:dyDescent="0.35">
      <c r="B84" s="9">
        <v>10</v>
      </c>
      <c r="C84" s="338">
        <v>111.64615384615385</v>
      </c>
      <c r="D84" s="338">
        <v>5033.5641025641025</v>
      </c>
      <c r="E84" s="338">
        <v>181113.25440638573</v>
      </c>
      <c r="F84" s="22">
        <v>1.3239599794712735</v>
      </c>
      <c r="G84" s="36">
        <v>101.84700854700856</v>
      </c>
      <c r="H84" s="340">
        <v>5124.6923076923076</v>
      </c>
      <c r="I84" s="340">
        <v>180306.24485891519</v>
      </c>
      <c r="J84" s="357">
        <v>1.2893482927967863</v>
      </c>
      <c r="K84" s="341">
        <f t="shared" si="21"/>
        <v>9.7991452991452945</v>
      </c>
      <c r="L84" s="342">
        <f t="shared" si="21"/>
        <v>-91.128205128205082</v>
      </c>
      <c r="M84" s="343">
        <f t="shared" si="21"/>
        <v>807.00954747054493</v>
      </c>
      <c r="N84" s="344">
        <f t="shared" si="21"/>
        <v>3.4611686674487219E-2</v>
      </c>
      <c r="O84" s="12">
        <v>196.50000000000003</v>
      </c>
      <c r="P84" s="14">
        <f t="shared" si="22"/>
        <v>1.1458541074058913E-2</v>
      </c>
      <c r="Q84" s="28">
        <f t="shared" si="23"/>
        <v>1925.5320512820506</v>
      </c>
      <c r="R84" s="27">
        <f t="shared" si="24"/>
        <v>-17906.692307692301</v>
      </c>
      <c r="S84" s="62">
        <f t="shared" si="26"/>
        <v>158577.37607796211</v>
      </c>
      <c r="T84" s="29">
        <f t="shared" si="25"/>
        <v>6.8011964315367397</v>
      </c>
    </row>
    <row r="85" spans="1:29" x14ac:dyDescent="0.35">
      <c r="B85" s="9">
        <v>11</v>
      </c>
      <c r="C85" s="338">
        <v>143.92991452991453</v>
      </c>
      <c r="D85" s="338">
        <v>5072.666666666667</v>
      </c>
      <c r="E85" s="338">
        <v>201357.20903710349</v>
      </c>
      <c r="F85" s="22">
        <v>1.5261355379811368</v>
      </c>
      <c r="G85" s="36">
        <v>108.38290598290598</v>
      </c>
      <c r="H85" s="340">
        <v>5401.6068376068379</v>
      </c>
      <c r="I85" s="340">
        <v>197827.73654878218</v>
      </c>
      <c r="J85" s="357">
        <v>1.393621952764299</v>
      </c>
      <c r="K85" s="341">
        <f t="shared" si="21"/>
        <v>35.547008547008545</v>
      </c>
      <c r="L85" s="342">
        <f t="shared" si="21"/>
        <v>-328.9401709401709</v>
      </c>
      <c r="M85" s="343">
        <f t="shared" si="21"/>
        <v>3529.4724883213057</v>
      </c>
      <c r="N85" s="344">
        <f t="shared" si="21"/>
        <v>0.13251358521683776</v>
      </c>
      <c r="O85" s="12">
        <v>56.1</v>
      </c>
      <c r="P85" s="14">
        <f t="shared" si="22"/>
        <v>3.2713697417542237E-3</v>
      </c>
      <c r="Q85" s="28">
        <f t="shared" si="23"/>
        <v>1994.1871794871795</v>
      </c>
      <c r="R85" s="27">
        <f t="shared" si="24"/>
        <v>-18453.543589743589</v>
      </c>
      <c r="S85" s="62">
        <f t="shared" si="26"/>
        <v>198003.40659482527</v>
      </c>
      <c r="T85" s="29">
        <f t="shared" si="25"/>
        <v>7.4340121306645983</v>
      </c>
    </row>
    <row r="86" spans="1:29" x14ac:dyDescent="0.35">
      <c r="B86" s="9">
        <v>12</v>
      </c>
      <c r="C86" s="338">
        <v>139.04615384615386</v>
      </c>
      <c r="D86" s="338">
        <v>4752.9743589743593</v>
      </c>
      <c r="E86" s="338">
        <v>189402.86896635251</v>
      </c>
      <c r="F86" s="22">
        <v>1.4590454743028718</v>
      </c>
      <c r="G86" s="36">
        <v>110.77948717948719</v>
      </c>
      <c r="H86" s="340">
        <v>5017.8290598290596</v>
      </c>
      <c r="I86" s="340">
        <v>187152.383758504</v>
      </c>
      <c r="J86" s="357">
        <v>1.354533624926906</v>
      </c>
      <c r="K86" s="341">
        <f t="shared" si="21"/>
        <v>28.266666666666666</v>
      </c>
      <c r="L86" s="342">
        <f t="shared" si="21"/>
        <v>-264.85470085470024</v>
      </c>
      <c r="M86" s="343">
        <f t="shared" si="21"/>
        <v>2250.4852078485128</v>
      </c>
      <c r="N86" s="344">
        <f t="shared" si="21"/>
        <v>0.1045118493759658</v>
      </c>
      <c r="O86" s="12">
        <v>316.75000000000006</v>
      </c>
      <c r="P86" s="14">
        <f t="shared" si="22"/>
        <v>1.8470701705893947E-2</v>
      </c>
      <c r="Q86" s="28">
        <f t="shared" si="23"/>
        <v>8953.4666666666672</v>
      </c>
      <c r="R86" s="27">
        <f t="shared" si="24"/>
        <v>-83892.726495726311</v>
      </c>
      <c r="S86" s="62">
        <f t="shared" si="26"/>
        <v>712841.18958601658</v>
      </c>
      <c r="T86" s="29">
        <f t="shared" si="25"/>
        <v>33.104128289837178</v>
      </c>
    </row>
    <row r="87" spans="1:29" x14ac:dyDescent="0.35">
      <c r="B87" s="9">
        <v>13</v>
      </c>
      <c r="C87" s="338">
        <v>128.85470085470087</v>
      </c>
      <c r="D87" s="338">
        <v>5202.8205128205127</v>
      </c>
      <c r="E87" s="338">
        <v>199785.13737087464</v>
      </c>
      <c r="F87" s="22">
        <v>1.4514094521202476</v>
      </c>
      <c r="G87" s="36">
        <v>104.8991452991453</v>
      </c>
      <c r="H87" s="340">
        <v>5425.6068376068379</v>
      </c>
      <c r="I87" s="340">
        <v>197853.91015526408</v>
      </c>
      <c r="J87" s="357">
        <v>1.3624940227340854</v>
      </c>
      <c r="K87" s="341">
        <f t="shared" si="21"/>
        <v>23.955555555555563</v>
      </c>
      <c r="L87" s="342">
        <f t="shared" si="21"/>
        <v>-222.78632478632517</v>
      </c>
      <c r="M87" s="343">
        <f t="shared" si="21"/>
        <v>1931.227215610561</v>
      </c>
      <c r="N87" s="344">
        <f t="shared" si="21"/>
        <v>8.8915429386162259E-2</v>
      </c>
      <c r="O87" s="12">
        <v>92.45</v>
      </c>
      <c r="P87" s="14">
        <f t="shared" si="22"/>
        <v>5.391054057489803E-3</v>
      </c>
      <c r="Q87" s="28">
        <f t="shared" si="23"/>
        <v>2214.6911111111117</v>
      </c>
      <c r="R87" s="27">
        <f t="shared" si="24"/>
        <v>-20596.595726495761</v>
      </c>
      <c r="S87" s="62">
        <f t="shared" si="26"/>
        <v>178541.95608319636</v>
      </c>
      <c r="T87" s="29">
        <f t="shared" si="25"/>
        <v>8.2202314467507005</v>
      </c>
    </row>
    <row r="88" spans="1:29" x14ac:dyDescent="0.35">
      <c r="B88" s="9">
        <v>14</v>
      </c>
      <c r="C88" s="338">
        <v>134.55042735042736</v>
      </c>
      <c r="D88" s="338">
        <v>5089.4273504273506</v>
      </c>
      <c r="E88" s="338">
        <v>194372.87293200917</v>
      </c>
      <c r="F88" s="22">
        <v>1.467047115627983</v>
      </c>
      <c r="G88" s="36">
        <v>107.56752136752137</v>
      </c>
      <c r="H88" s="340">
        <v>5366.0769230769229</v>
      </c>
      <c r="I88" s="340">
        <v>193016.85075074079</v>
      </c>
      <c r="J88" s="357">
        <v>1.3777153358085557</v>
      </c>
      <c r="K88" s="341">
        <f t="shared" si="21"/>
        <v>26.98290598290599</v>
      </c>
      <c r="L88" s="342">
        <f t="shared" si="21"/>
        <v>-276.64957264957229</v>
      </c>
      <c r="M88" s="343">
        <f t="shared" si="21"/>
        <v>1356.022181268374</v>
      </c>
      <c r="N88" s="344">
        <f t="shared" si="21"/>
        <v>8.9331779819427304E-2</v>
      </c>
      <c r="O88" s="12">
        <v>42.000000000000007</v>
      </c>
      <c r="P88" s="14">
        <f t="shared" si="22"/>
        <v>2.4491538173561037E-3</v>
      </c>
      <c r="Q88" s="28">
        <f t="shared" si="23"/>
        <v>1133.2820512820517</v>
      </c>
      <c r="R88" s="27">
        <f t="shared" si="24"/>
        <v>-11619.282051282038</v>
      </c>
      <c r="S88" s="62">
        <f t="shared" si="26"/>
        <v>56952.931613271714</v>
      </c>
      <c r="T88" s="29">
        <f t="shared" si="25"/>
        <v>3.7519347524159472</v>
      </c>
    </row>
    <row r="89" spans="1:29" x14ac:dyDescent="0.35">
      <c r="B89" s="9">
        <v>15</v>
      </c>
      <c r="C89" s="338">
        <v>89.380341880341874</v>
      </c>
      <c r="D89" s="338">
        <v>6109.2820512820517</v>
      </c>
      <c r="E89" s="338">
        <v>203695.3111911568</v>
      </c>
      <c r="F89" s="22">
        <v>1.3103666728698802</v>
      </c>
      <c r="G89" s="36">
        <v>87.043589743589749</v>
      </c>
      <c r="H89" s="340">
        <v>6126.9230769230771</v>
      </c>
      <c r="I89" s="340">
        <v>203417.7067195868</v>
      </c>
      <c r="J89" s="357">
        <v>1.3012499369978889</v>
      </c>
      <c r="K89" s="341">
        <f t="shared" si="21"/>
        <v>2.3367521367521249</v>
      </c>
      <c r="L89" s="342">
        <f t="shared" si="21"/>
        <v>-17.641025641025408</v>
      </c>
      <c r="M89" s="343">
        <f t="shared" si="21"/>
        <v>277.60447156999726</v>
      </c>
      <c r="N89" s="344">
        <f t="shared" si="21"/>
        <v>9.1167358719912439E-3</v>
      </c>
      <c r="O89" s="12">
        <v>27.35</v>
      </c>
      <c r="P89" s="14">
        <f t="shared" si="22"/>
        <v>1.5948656405878434E-3</v>
      </c>
      <c r="Q89" s="28">
        <f t="shared" si="23"/>
        <v>63.910170940170616</v>
      </c>
      <c r="R89" s="27">
        <f t="shared" si="24"/>
        <v>-482.48205128204495</v>
      </c>
      <c r="S89" s="62">
        <f t="shared" si="26"/>
        <v>7592.4822974394256</v>
      </c>
      <c r="T89" s="29">
        <f t="shared" si="25"/>
        <v>0.24934272609896052</v>
      </c>
    </row>
    <row r="90" spans="1:29" x14ac:dyDescent="0.35">
      <c r="B90" s="9">
        <v>16</v>
      </c>
      <c r="C90" s="338">
        <v>212.64273504273504</v>
      </c>
      <c r="D90" s="338">
        <v>4478.1282051282051</v>
      </c>
      <c r="E90" s="338">
        <v>198905.23535426971</v>
      </c>
      <c r="F90" s="22">
        <v>1.8733664097760088</v>
      </c>
      <c r="G90" s="36">
        <v>198.39670429059876</v>
      </c>
      <c r="H90" s="340">
        <v>4589.2557999999972</v>
      </c>
      <c r="I90" s="340">
        <v>196586.1676412966</v>
      </c>
      <c r="J90" s="357">
        <v>1.8068806532264614</v>
      </c>
      <c r="K90" s="345">
        <f t="shared" si="21"/>
        <v>14.246030752136278</v>
      </c>
      <c r="L90" s="346">
        <f t="shared" si="21"/>
        <v>-111.1275948717921</v>
      </c>
      <c r="M90" s="347">
        <f t="shared" si="21"/>
        <v>2319.0677129731048</v>
      </c>
      <c r="N90" s="344">
        <f t="shared" si="21"/>
        <v>6.6485756549547359E-2</v>
      </c>
      <c r="O90" s="12">
        <v>16.950000000000003</v>
      </c>
      <c r="P90" s="14">
        <f t="shared" si="22"/>
        <v>9.8840850486157038E-4</v>
      </c>
      <c r="Q90" s="28">
        <f t="shared" si="23"/>
        <v>241.47022124870995</v>
      </c>
      <c r="R90" s="27">
        <f t="shared" si="24"/>
        <v>-1883.6127330768763</v>
      </c>
      <c r="S90" s="62">
        <f t="shared" si="26"/>
        <v>39308.197734894136</v>
      </c>
      <c r="T90" s="29">
        <f t="shared" si="25"/>
        <v>1.126933573514828</v>
      </c>
    </row>
    <row r="91" spans="1:29" ht="15" thickBot="1" x14ac:dyDescent="0.4">
      <c r="B91" s="10" t="s">
        <v>12</v>
      </c>
      <c r="C91" s="67"/>
      <c r="D91" s="67"/>
      <c r="E91" s="67"/>
      <c r="F91" s="80"/>
      <c r="G91" s="67"/>
      <c r="H91" s="67"/>
      <c r="I91" s="67"/>
      <c r="J91" s="80"/>
      <c r="K91" s="67"/>
      <c r="L91" s="67"/>
      <c r="M91" s="80"/>
      <c r="N91" s="81"/>
      <c r="O91" s="16">
        <f t="shared" ref="O91:T91" si="27">SUM(O75:O90)</f>
        <v>2598.2999999999997</v>
      </c>
      <c r="P91" s="15">
        <f t="shared" si="27"/>
        <v>0.15151515151515149</v>
      </c>
      <c r="Q91" s="30">
        <f t="shared" si="27"/>
        <v>34142.38956270599</v>
      </c>
      <c r="R91" s="31">
        <f t="shared" si="27"/>
        <v>-302131.74850786279</v>
      </c>
      <c r="S91" s="31">
        <f t="shared" si="27"/>
        <v>3281304.9161251299</v>
      </c>
      <c r="T91" s="32">
        <f t="shared" si="27"/>
        <v>129.22723434608886</v>
      </c>
    </row>
    <row r="94" spans="1:29" ht="18.5" x14ac:dyDescent="0.45">
      <c r="A94" s="82" t="s">
        <v>608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</row>
    <row r="95" spans="1:29" ht="18.5" x14ac:dyDescent="0.45">
      <c r="A95" s="84" t="s">
        <v>47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</row>
    <row r="96" spans="1:29" x14ac:dyDescent="0.3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</row>
    <row r="97" spans="1:29" x14ac:dyDescent="0.35">
      <c r="A97" s="83"/>
      <c r="B97" s="83" t="s">
        <v>37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</row>
    <row r="98" spans="1:29" ht="15" thickBot="1" x14ac:dyDescent="0.4">
      <c r="A98" s="83"/>
      <c r="B98" s="83" t="s">
        <v>48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</row>
    <row r="99" spans="1:29" ht="15" thickBot="1" x14ac:dyDescent="0.4">
      <c r="A99" s="83"/>
      <c r="B99" s="1176" t="s">
        <v>5</v>
      </c>
      <c r="C99" s="1178" t="s">
        <v>49</v>
      </c>
      <c r="D99" s="1179"/>
      <c r="E99" s="1179"/>
      <c r="F99" s="1179"/>
      <c r="G99" s="1179"/>
      <c r="H99" s="1179"/>
      <c r="I99" s="1179"/>
      <c r="J99" s="1179"/>
      <c r="K99" s="1180"/>
      <c r="L99" s="1180"/>
      <c r="M99" s="1181"/>
      <c r="N99" s="1182"/>
      <c r="O99" s="1183" t="s">
        <v>50</v>
      </c>
      <c r="P99" s="1184"/>
      <c r="Q99" s="1184"/>
      <c r="R99" s="1184"/>
      <c r="S99" s="1184"/>
      <c r="T99" s="1184"/>
      <c r="U99" s="1185"/>
      <c r="V99" s="1185"/>
      <c r="W99" s="1185"/>
      <c r="X99" s="1185"/>
      <c r="Y99" s="1185"/>
      <c r="Z99" s="1185"/>
      <c r="AA99" s="1185"/>
      <c r="AB99" s="1185"/>
      <c r="AC99" s="1186"/>
    </row>
    <row r="100" spans="1:29" x14ac:dyDescent="0.35">
      <c r="A100" s="83"/>
      <c r="B100" s="1177"/>
      <c r="C100" s="1187" t="str">
        <f>C73</f>
        <v>2019 Energy Code</v>
      </c>
      <c r="D100" s="1188"/>
      <c r="E100" s="1188"/>
      <c r="F100" s="1189"/>
      <c r="G100" s="1187" t="str">
        <f>G73</f>
        <v>2022 Energy Code</v>
      </c>
      <c r="H100" s="1188"/>
      <c r="I100" s="1188"/>
      <c r="J100" s="1189"/>
      <c r="K100" s="1190" t="s">
        <v>51</v>
      </c>
      <c r="L100" s="1190"/>
      <c r="M100" s="1190"/>
      <c r="N100" s="1191"/>
      <c r="O100" s="1187" t="s">
        <v>4</v>
      </c>
      <c r="P100" s="1188"/>
      <c r="Q100" s="1192" t="s">
        <v>52</v>
      </c>
      <c r="R100" s="1193"/>
      <c r="S100" s="1193"/>
      <c r="T100" s="1194"/>
      <c r="U100" s="1190" t="s">
        <v>16</v>
      </c>
      <c r="V100" s="1190"/>
      <c r="W100" s="1190"/>
      <c r="X100" s="1190"/>
      <c r="Y100" s="1190"/>
      <c r="Z100" s="1190"/>
      <c r="AA100" s="1190"/>
      <c r="AB100" s="1190"/>
      <c r="AC100" s="1191"/>
    </row>
    <row r="101" spans="1:29" ht="57.75" customHeight="1" x14ac:dyDescent="0.35">
      <c r="A101" s="85"/>
      <c r="B101" s="86"/>
      <c r="C101" s="258" t="s">
        <v>6</v>
      </c>
      <c r="D101" s="259" t="s">
        <v>53</v>
      </c>
      <c r="E101" s="209" t="s">
        <v>42</v>
      </c>
      <c r="F101" s="260" t="s">
        <v>54</v>
      </c>
      <c r="G101" s="258" t="s">
        <v>6</v>
      </c>
      <c r="H101" s="259" t="s">
        <v>53</v>
      </c>
      <c r="I101" s="209" t="s">
        <v>42</v>
      </c>
      <c r="J101" s="260" t="s">
        <v>54</v>
      </c>
      <c r="K101" s="210" t="s">
        <v>6</v>
      </c>
      <c r="L101" s="209" t="s">
        <v>42</v>
      </c>
      <c r="M101" s="329" t="s">
        <v>8</v>
      </c>
      <c r="N101" s="260" t="s">
        <v>54</v>
      </c>
      <c r="O101" s="258" t="s">
        <v>10</v>
      </c>
      <c r="P101" s="209" t="s">
        <v>11</v>
      </c>
      <c r="Q101" s="258" t="s">
        <v>6</v>
      </c>
      <c r="R101" s="259" t="s">
        <v>53</v>
      </c>
      <c r="S101" s="261" t="s">
        <v>42</v>
      </c>
      <c r="T101" s="260" t="s">
        <v>54</v>
      </c>
      <c r="U101" s="210" t="s">
        <v>646</v>
      </c>
      <c r="V101" s="259" t="s">
        <v>56</v>
      </c>
      <c r="W101" s="259" t="s">
        <v>647</v>
      </c>
      <c r="X101" s="259" t="s">
        <v>58</v>
      </c>
      <c r="Y101" s="259" t="s">
        <v>20</v>
      </c>
      <c r="Z101" s="259" t="s">
        <v>59</v>
      </c>
      <c r="AA101" s="262" t="s">
        <v>648</v>
      </c>
      <c r="AB101" s="259" t="s">
        <v>61</v>
      </c>
      <c r="AC101" s="260" t="s">
        <v>62</v>
      </c>
    </row>
    <row r="102" spans="1:29" x14ac:dyDescent="0.35">
      <c r="A102" s="83"/>
      <c r="B102" s="88" t="s">
        <v>63</v>
      </c>
      <c r="C102" s="89">
        <v>245.35651225718718</v>
      </c>
      <c r="D102" s="90">
        <v>4944.9482833939383</v>
      </c>
      <c r="E102" s="330">
        <v>225547.79266211178</v>
      </c>
      <c r="F102" s="245">
        <v>2.1504084710189053</v>
      </c>
      <c r="G102" s="89">
        <v>207.80572438049919</v>
      </c>
      <c r="H102" s="90">
        <v>5334.6102019479404</v>
      </c>
      <c r="I102" s="330">
        <v>223729.21890860179</v>
      </c>
      <c r="J102" s="245">
        <v>2.0062169047470371</v>
      </c>
      <c r="K102" s="247">
        <v>37.550787876687991</v>
      </c>
      <c r="L102" s="148">
        <v>-389.66191855400211</v>
      </c>
      <c r="M102" s="331">
        <v>1818.5737535099906</v>
      </c>
      <c r="N102" s="91">
        <v>0.14419156627186824</v>
      </c>
      <c r="O102" s="89">
        <v>265</v>
      </c>
      <c r="P102" s="239">
        <v>5.099488126852173E-3</v>
      </c>
      <c r="Q102" s="89">
        <v>9950.9587873223172</v>
      </c>
      <c r="R102" s="90">
        <v>-103260.40841681056</v>
      </c>
      <c r="S102" s="255">
        <v>481922.04468014755</v>
      </c>
      <c r="T102" s="237">
        <v>38.210765062045084</v>
      </c>
      <c r="U102" s="234">
        <v>65019.475748154604</v>
      </c>
      <c r="V102" s="92">
        <v>0.15304581700821768</v>
      </c>
      <c r="W102" s="90">
        <v>1310411.2950993937</v>
      </c>
      <c r="X102" s="93">
        <v>-7.8799998750757369E-2</v>
      </c>
      <c r="Y102" s="90">
        <v>569.85824482000987</v>
      </c>
      <c r="Z102" s="94">
        <v>6.7053105591398404E-2</v>
      </c>
      <c r="AA102" s="249">
        <v>59770165.055459619</v>
      </c>
      <c r="AB102" s="94">
        <v>8.062919756587272E-3</v>
      </c>
      <c r="AC102" s="95">
        <v>-722619.16788254993</v>
      </c>
    </row>
    <row r="103" spans="1:29" x14ac:dyDescent="0.35">
      <c r="A103" s="83"/>
      <c r="B103" s="88" t="s">
        <v>64</v>
      </c>
      <c r="C103" s="89">
        <v>199.37348679098673</v>
      </c>
      <c r="D103" s="90">
        <v>5314.119303069152</v>
      </c>
      <c r="E103" s="330">
        <v>228656.90403086346</v>
      </c>
      <c r="F103" s="245">
        <v>1.906939181268672</v>
      </c>
      <c r="G103" s="89">
        <v>167.83509273504271</v>
      </c>
      <c r="H103" s="90">
        <v>5661.872401355864</v>
      </c>
      <c r="I103" s="330">
        <v>227310.3062014294</v>
      </c>
      <c r="J103" s="245">
        <v>1.8008446463410919</v>
      </c>
      <c r="K103" s="247">
        <v>31.538394055944025</v>
      </c>
      <c r="L103" s="148">
        <v>-347.75309828671197</v>
      </c>
      <c r="M103" s="331">
        <v>1346.5978294340603</v>
      </c>
      <c r="N103" s="91">
        <v>0.10609453492758014</v>
      </c>
      <c r="O103" s="89">
        <v>1573</v>
      </c>
      <c r="P103" s="239">
        <v>3.0269791786937613E-2</v>
      </c>
      <c r="Q103" s="89">
        <v>49609.893849999949</v>
      </c>
      <c r="R103" s="90">
        <v>-547015.62360499799</v>
      </c>
      <c r="S103" s="255">
        <v>2118198.3856997769</v>
      </c>
      <c r="T103" s="237">
        <v>166.88670344108357</v>
      </c>
      <c r="U103" s="234">
        <v>313614.49472222215</v>
      </c>
      <c r="V103" s="92">
        <v>0.15818750308062429</v>
      </c>
      <c r="W103" s="90">
        <v>8359109.6637277761</v>
      </c>
      <c r="X103" s="93">
        <v>-6.5439460135166397E-2</v>
      </c>
      <c r="Y103" s="90">
        <v>2999.615332135621</v>
      </c>
      <c r="Z103" s="94">
        <v>5.5636034945276164E-2</v>
      </c>
      <c r="AA103" s="249">
        <v>359677310.04054821</v>
      </c>
      <c r="AB103" s="94">
        <v>5.8891632209465252E-3</v>
      </c>
      <c r="AC103" s="95">
        <v>-22966656.689279996</v>
      </c>
    </row>
    <row r="104" spans="1:29" x14ac:dyDescent="0.35">
      <c r="A104" s="83"/>
      <c r="B104" s="88" t="s">
        <v>65</v>
      </c>
      <c r="C104" s="89">
        <v>183.50183139083134</v>
      </c>
      <c r="D104" s="90">
        <v>5049.1766390132079</v>
      </c>
      <c r="E104" s="330">
        <v>210529.63266684642</v>
      </c>
      <c r="F104" s="245">
        <v>1.7838824518145415</v>
      </c>
      <c r="G104" s="89">
        <v>166.16645582750581</v>
      </c>
      <c r="H104" s="90">
        <v>5216.6558676317009</v>
      </c>
      <c r="I104" s="330">
        <v>209277.42652866937</v>
      </c>
      <c r="J104" s="245">
        <v>1.7229859211783638</v>
      </c>
      <c r="K104" s="247">
        <v>17.335375563325528</v>
      </c>
      <c r="L104" s="148">
        <v>-167.47922861849293</v>
      </c>
      <c r="M104" s="331">
        <v>1252.2061381770473</v>
      </c>
      <c r="N104" s="91">
        <v>6.0896530636177726E-2</v>
      </c>
      <c r="O104" s="89">
        <v>7630</v>
      </c>
      <c r="P104" s="239">
        <v>0.1468267713504984</v>
      </c>
      <c r="Q104" s="89">
        <v>132268.91554817377</v>
      </c>
      <c r="R104" s="90">
        <v>-1277866.514359101</v>
      </c>
      <c r="S104" s="255">
        <v>9554332.8342908714</v>
      </c>
      <c r="T104" s="237">
        <v>464.64052875403604</v>
      </c>
      <c r="U104" s="234">
        <v>1400118.9735120432</v>
      </c>
      <c r="V104" s="92">
        <v>9.4469768677151664E-2</v>
      </c>
      <c r="W104" s="90">
        <v>38525217.755670778</v>
      </c>
      <c r="X104" s="93">
        <v>-3.3169611719352406E-2</v>
      </c>
      <c r="Y104" s="90">
        <v>13611.023107344952</v>
      </c>
      <c r="Z104" s="94">
        <v>3.4137075889857309E-2</v>
      </c>
      <c r="AA104" s="249">
        <v>1606341097.2480381</v>
      </c>
      <c r="AB104" s="94">
        <v>5.9478854464093739E-3</v>
      </c>
      <c r="AC104" s="95">
        <v>-106464261.68530399</v>
      </c>
    </row>
    <row r="105" spans="1:29" x14ac:dyDescent="0.35">
      <c r="A105" s="83"/>
      <c r="B105" s="88" t="s">
        <v>66</v>
      </c>
      <c r="C105" s="89">
        <v>170.97401963869459</v>
      </c>
      <c r="D105" s="90">
        <v>5453.5030237463079</v>
      </c>
      <c r="E105" s="330">
        <v>222284.46201850241</v>
      </c>
      <c r="F105" s="245">
        <v>1.7550796717458155</v>
      </c>
      <c r="G105" s="89">
        <v>156.43618100233095</v>
      </c>
      <c r="H105" s="90">
        <v>5581.5985031091668</v>
      </c>
      <c r="I105" s="330">
        <v>221481.9824372704</v>
      </c>
      <c r="J105" s="245">
        <v>1.7033575919846624</v>
      </c>
      <c r="K105" s="247">
        <v>14.537838636363631</v>
      </c>
      <c r="L105" s="148">
        <v>-128.0954793628589</v>
      </c>
      <c r="M105" s="331">
        <v>802.47958123200806</v>
      </c>
      <c r="N105" s="91">
        <v>5.1722079761153061E-2</v>
      </c>
      <c r="O105" s="89">
        <v>3975</v>
      </c>
      <c r="P105" s="239">
        <v>7.6492321902782587E-2</v>
      </c>
      <c r="Q105" s="89">
        <v>57787.90857954543</v>
      </c>
      <c r="R105" s="90">
        <v>-509179.53046736412</v>
      </c>
      <c r="S105" s="255">
        <v>3189856.3353972319</v>
      </c>
      <c r="T105" s="237">
        <v>205.59526705058343</v>
      </c>
      <c r="U105" s="234">
        <v>679621.72806381097</v>
      </c>
      <c r="V105" s="92">
        <v>8.5029518912202312E-2</v>
      </c>
      <c r="W105" s="90">
        <v>21677674.519391574</v>
      </c>
      <c r="X105" s="93">
        <v>-2.3488660188706222E-2</v>
      </c>
      <c r="Y105" s="90">
        <v>6976.4416951896164</v>
      </c>
      <c r="Z105" s="94">
        <v>2.946993267246039E-2</v>
      </c>
      <c r="AA105" s="249">
        <v>883580736.52354705</v>
      </c>
      <c r="AB105" s="94">
        <v>3.6101469888849525E-3</v>
      </c>
      <c r="AC105" s="95">
        <v>-55665759.102149434</v>
      </c>
    </row>
    <row r="106" spans="1:29" x14ac:dyDescent="0.35">
      <c r="A106" s="83"/>
      <c r="B106" s="88" t="s">
        <v>67</v>
      </c>
      <c r="C106" s="89">
        <v>180.07563653846148</v>
      </c>
      <c r="D106" s="90">
        <v>5103.061524604117</v>
      </c>
      <c r="E106" s="330">
        <v>205893.59326853987</v>
      </c>
      <c r="F106" s="245">
        <v>1.7649454252431764</v>
      </c>
      <c r="G106" s="89">
        <v>164.7660588383838</v>
      </c>
      <c r="H106" s="90">
        <v>5245.4568360322437</v>
      </c>
      <c r="I106" s="330">
        <v>204994.55254196597</v>
      </c>
      <c r="J106" s="245">
        <v>1.7128970580702132</v>
      </c>
      <c r="K106" s="247">
        <v>15.309577700077682</v>
      </c>
      <c r="L106" s="148">
        <v>-142.39531142812666</v>
      </c>
      <c r="M106" s="331">
        <v>899.04072657390498</v>
      </c>
      <c r="N106" s="91">
        <v>5.2048367172963239E-2</v>
      </c>
      <c r="O106" s="89">
        <v>706</v>
      </c>
      <c r="P106" s="239">
        <v>1.3585806103991072E-2</v>
      </c>
      <c r="Q106" s="89">
        <v>10808.561856254844</v>
      </c>
      <c r="R106" s="90">
        <v>-100531.08986825742</v>
      </c>
      <c r="S106" s="255">
        <v>634722.75296117691</v>
      </c>
      <c r="T106" s="237">
        <v>36.74614722411205</v>
      </c>
      <c r="U106" s="234">
        <v>127133.39939615381</v>
      </c>
      <c r="V106" s="92">
        <v>8.5017484843419033E-2</v>
      </c>
      <c r="W106" s="90">
        <v>3602761.4363705064</v>
      </c>
      <c r="X106" s="93">
        <v>-2.7903898618814583E-2</v>
      </c>
      <c r="Y106" s="90">
        <v>1246.0514702216826</v>
      </c>
      <c r="Z106" s="94">
        <v>2.9490071720371724E-2</v>
      </c>
      <c r="AA106" s="249">
        <v>145360876.84758916</v>
      </c>
      <c r="AB106" s="94">
        <v>4.3665308487832221E-3</v>
      </c>
      <c r="AC106" s="95">
        <v>-8091579.0499450704</v>
      </c>
    </row>
    <row r="107" spans="1:29" x14ac:dyDescent="0.35">
      <c r="A107" s="83"/>
      <c r="B107" s="88" t="s">
        <v>68</v>
      </c>
      <c r="C107" s="89">
        <v>150.53116122766119</v>
      </c>
      <c r="D107" s="90">
        <v>5510.3219406592834</v>
      </c>
      <c r="E107" s="330">
        <v>210867.48316472303</v>
      </c>
      <c r="F107" s="245">
        <v>1.6327649031485851</v>
      </c>
      <c r="G107" s="89">
        <v>146.74367076534571</v>
      </c>
      <c r="H107" s="90">
        <v>5522.5571592536899</v>
      </c>
      <c r="I107" s="330">
        <v>210157.53592462256</v>
      </c>
      <c r="J107" s="245">
        <v>1.6165474380003353</v>
      </c>
      <c r="K107" s="247">
        <v>3.7874904623154748</v>
      </c>
      <c r="L107" s="148">
        <v>-12.235218594406433</v>
      </c>
      <c r="M107" s="331">
        <v>709.94724010047503</v>
      </c>
      <c r="N107" s="91">
        <v>1.6217465148249843E-2</v>
      </c>
      <c r="O107" s="89">
        <v>3370</v>
      </c>
      <c r="P107" s="239">
        <v>6.4850094292421973E-2</v>
      </c>
      <c r="Q107" s="89">
        <v>12763.84285800315</v>
      </c>
      <c r="R107" s="90">
        <v>-41232.686663149681</v>
      </c>
      <c r="S107" s="255">
        <v>2392522.1991386008</v>
      </c>
      <c r="T107" s="237">
        <v>54.652857549601976</v>
      </c>
      <c r="U107" s="234">
        <v>507290.0133372182</v>
      </c>
      <c r="V107" s="92">
        <v>2.5160839997688773E-2</v>
      </c>
      <c r="W107" s="90">
        <v>18569784.940021787</v>
      </c>
      <c r="X107" s="93">
        <v>-2.2204181037274472E-3</v>
      </c>
      <c r="Y107" s="90">
        <v>5502.4177236107316</v>
      </c>
      <c r="Z107" s="94">
        <v>9.9325169943183314E-3</v>
      </c>
      <c r="AA107" s="249">
        <v>710623418.26511657</v>
      </c>
      <c r="AB107" s="94">
        <v>3.3667933502382944E-3</v>
      </c>
      <c r="AC107" s="95">
        <v>-38579301.669155307</v>
      </c>
    </row>
    <row r="108" spans="1:29" x14ac:dyDescent="0.35">
      <c r="A108" s="83"/>
      <c r="B108" s="88" t="s">
        <v>69</v>
      </c>
      <c r="C108" s="89">
        <v>148.08992280497279</v>
      </c>
      <c r="D108" s="90">
        <v>5411.6213933857016</v>
      </c>
      <c r="E108" s="330">
        <v>205035.68986766684</v>
      </c>
      <c r="F108" s="245">
        <v>1.6148728084797632</v>
      </c>
      <c r="G108" s="89">
        <v>145.64266427738923</v>
      </c>
      <c r="H108" s="90">
        <v>5407.388434170939</v>
      </c>
      <c r="I108" s="330">
        <v>204222.89822521526</v>
      </c>
      <c r="J108" s="245">
        <v>1.6023486883825928</v>
      </c>
      <c r="K108" s="247">
        <v>2.447258527583557</v>
      </c>
      <c r="L108" s="148">
        <v>4.232959214762559</v>
      </c>
      <c r="M108" s="331">
        <v>812.79164245157153</v>
      </c>
      <c r="N108" s="91">
        <v>1.252412009717041E-2</v>
      </c>
      <c r="O108" s="89">
        <v>3623</v>
      </c>
      <c r="P108" s="239">
        <v>6.9718662202209139E-2</v>
      </c>
      <c r="Q108" s="89">
        <v>8866.4176454352273</v>
      </c>
      <c r="R108" s="90">
        <v>15336.011235084752</v>
      </c>
      <c r="S108" s="255">
        <v>2944744.1206020438</v>
      </c>
      <c r="T108" s="237">
        <v>45.374887112048398</v>
      </c>
      <c r="U108" s="234">
        <v>536529.79032241646</v>
      </c>
      <c r="V108" s="92">
        <v>1.6525489926863403E-2</v>
      </c>
      <c r="W108" s="90">
        <v>19606304.308236398</v>
      </c>
      <c r="X108" s="93">
        <v>7.8219796010420273E-4</v>
      </c>
      <c r="Y108" s="90">
        <v>5850.6841851221825</v>
      </c>
      <c r="Z108" s="94">
        <v>7.7554839188608187E-3</v>
      </c>
      <c r="AA108" s="249">
        <v>742844304.39055693</v>
      </c>
      <c r="AB108" s="94">
        <v>3.9641471344630764E-3</v>
      </c>
      <c r="AC108" s="95">
        <v>-41630118.042910047</v>
      </c>
    </row>
    <row r="109" spans="1:29" x14ac:dyDescent="0.35">
      <c r="A109" s="83"/>
      <c r="B109" s="88" t="s">
        <v>70</v>
      </c>
      <c r="C109" s="89">
        <v>145.97198282828279</v>
      </c>
      <c r="D109" s="90">
        <v>5775.8446723593615</v>
      </c>
      <c r="E109" s="330">
        <v>217870.64357704818</v>
      </c>
      <c r="F109" s="245">
        <v>1.6405241571590494</v>
      </c>
      <c r="G109" s="89">
        <v>142.70047414529913</v>
      </c>
      <c r="H109" s="90">
        <v>5788.2730332381489</v>
      </c>
      <c r="I109" s="330">
        <v>217391.89869931655</v>
      </c>
      <c r="J109" s="245">
        <v>1.6270842901741891</v>
      </c>
      <c r="K109" s="247">
        <v>3.271508682983665</v>
      </c>
      <c r="L109" s="148">
        <v>-12.428360878787316</v>
      </c>
      <c r="M109" s="331">
        <v>478.74487773163128</v>
      </c>
      <c r="N109" s="91">
        <v>1.3439866984860327E-2</v>
      </c>
      <c r="O109" s="89">
        <v>4738</v>
      </c>
      <c r="P109" s="239">
        <v>9.1174999037832424E-2</v>
      </c>
      <c r="Q109" s="89">
        <v>15500.408139976606</v>
      </c>
      <c r="R109" s="90">
        <v>-58885.573843694307</v>
      </c>
      <c r="S109" s="255">
        <v>2268293.230692469</v>
      </c>
      <c r="T109" s="237">
        <v>63.67808977426823</v>
      </c>
      <c r="U109" s="234">
        <v>691615.2546404039</v>
      </c>
      <c r="V109" s="92">
        <v>2.2411894526583043E-2</v>
      </c>
      <c r="W109" s="90">
        <v>27365952.057638656</v>
      </c>
      <c r="X109" s="93">
        <v>-2.1517823944026673E-3</v>
      </c>
      <c r="Y109" s="90">
        <v>7772.8034566195765</v>
      </c>
      <c r="Z109" s="94">
        <v>8.1924224804678248E-3</v>
      </c>
      <c r="AA109" s="249">
        <v>1032271109.2680542</v>
      </c>
      <c r="AB109" s="94">
        <v>2.197381298698588E-3</v>
      </c>
      <c r="AC109" s="95">
        <v>-54857142.733813822</v>
      </c>
    </row>
    <row r="110" spans="1:29" x14ac:dyDescent="0.35">
      <c r="A110" s="83"/>
      <c r="B110" s="88" t="s">
        <v>71</v>
      </c>
      <c r="C110" s="89">
        <v>151.01404638694635</v>
      </c>
      <c r="D110" s="90">
        <v>5755.0114335668204</v>
      </c>
      <c r="E110" s="330">
        <v>221276.35813345297</v>
      </c>
      <c r="F110" s="245">
        <v>1.6714653081792454</v>
      </c>
      <c r="G110" s="89">
        <v>145.13043918026415</v>
      </c>
      <c r="H110" s="90">
        <v>5794.9981920120417</v>
      </c>
      <c r="I110" s="330">
        <v>220645.58438307227</v>
      </c>
      <c r="J110" s="245">
        <v>1.6494818551529833</v>
      </c>
      <c r="K110" s="247">
        <v>5.8836072066821998</v>
      </c>
      <c r="L110" s="148">
        <v>-39.986758445221312</v>
      </c>
      <c r="M110" s="331">
        <v>630.77375038070022</v>
      </c>
      <c r="N110" s="91">
        <v>2.1983453026262145E-2</v>
      </c>
      <c r="O110" s="89">
        <v>11124</v>
      </c>
      <c r="P110" s="239">
        <v>0.21406304121925876</v>
      </c>
      <c r="Q110" s="89">
        <v>65449.246567132788</v>
      </c>
      <c r="R110" s="90">
        <v>-444812.7009446419</v>
      </c>
      <c r="S110" s="255">
        <v>7016727.1992349094</v>
      </c>
      <c r="T110" s="237">
        <v>244.54393146414012</v>
      </c>
      <c r="U110" s="234">
        <v>1679880.2520083911</v>
      </c>
      <c r="V110" s="92">
        <v>3.8960661921517648E-2</v>
      </c>
      <c r="W110" s="90">
        <v>64018747.186997309</v>
      </c>
      <c r="X110" s="93">
        <v>-6.948163162977152E-3</v>
      </c>
      <c r="Y110" s="90">
        <v>18593.380088185928</v>
      </c>
      <c r="Z110" s="94">
        <v>1.3152204187958337E-2</v>
      </c>
      <c r="AA110" s="249">
        <v>2461478207.8765306</v>
      </c>
      <c r="AB110" s="94">
        <v>2.8506152021910863E-3</v>
      </c>
      <c r="AC110" s="95">
        <v>-127474331.17152835</v>
      </c>
    </row>
    <row r="111" spans="1:29" x14ac:dyDescent="0.35">
      <c r="A111" s="83"/>
      <c r="B111" s="88" t="s">
        <v>72</v>
      </c>
      <c r="C111" s="89">
        <v>149.54220466200462</v>
      </c>
      <c r="D111" s="90">
        <v>5940.3673126585072</v>
      </c>
      <c r="E111" s="330">
        <v>224705.62072044937</v>
      </c>
      <c r="F111" s="245">
        <v>1.6836929876976101</v>
      </c>
      <c r="G111" s="89">
        <v>139.49326709401706</v>
      </c>
      <c r="H111" s="90">
        <v>6038.2161832027959</v>
      </c>
      <c r="I111" s="330">
        <v>224315.19407231576</v>
      </c>
      <c r="J111" s="245">
        <v>1.6523670802815493</v>
      </c>
      <c r="K111" s="247">
        <v>10.048937567987565</v>
      </c>
      <c r="L111" s="148">
        <v>-97.848870544288729</v>
      </c>
      <c r="M111" s="331">
        <v>390.42664813360898</v>
      </c>
      <c r="N111" s="91">
        <v>3.1325907416060783E-2</v>
      </c>
      <c r="O111" s="89">
        <v>3930</v>
      </c>
      <c r="P111" s="239">
        <v>7.5626371088788821E-2</v>
      </c>
      <c r="Q111" s="89">
        <v>39492.324642191132</v>
      </c>
      <c r="R111" s="90">
        <v>-384546.06123905472</v>
      </c>
      <c r="S111" s="255">
        <v>1534376.7271650834</v>
      </c>
      <c r="T111" s="237">
        <v>123.11081614511887</v>
      </c>
      <c r="U111" s="234">
        <v>587700.86432167818</v>
      </c>
      <c r="V111" s="92">
        <v>6.7198003337587409E-2</v>
      </c>
      <c r="W111" s="90">
        <v>23345643.538747933</v>
      </c>
      <c r="X111" s="93">
        <v>-1.6471855256455208E-2</v>
      </c>
      <c r="Y111" s="90">
        <v>6616.9134416516081</v>
      </c>
      <c r="Z111" s="94">
        <v>1.8605474777737146E-2</v>
      </c>
      <c r="AA111" s="249">
        <v>883093089.43136597</v>
      </c>
      <c r="AB111" s="94">
        <v>1.7375028131553904E-3</v>
      </c>
      <c r="AC111" s="95">
        <v>-46163693.794974595</v>
      </c>
    </row>
    <row r="112" spans="1:29" x14ac:dyDescent="0.35">
      <c r="A112" s="83"/>
      <c r="B112" s="88" t="s">
        <v>73</v>
      </c>
      <c r="C112" s="89">
        <v>181.36965936285932</v>
      </c>
      <c r="D112" s="90">
        <v>6085.5061028030295</v>
      </c>
      <c r="E112" s="330">
        <v>248594.68843025516</v>
      </c>
      <c r="F112" s="245">
        <v>1.9019799798870811</v>
      </c>
      <c r="G112" s="89">
        <v>148.8528127233877</v>
      </c>
      <c r="H112" s="90">
        <v>6446.3380758954918</v>
      </c>
      <c r="I112" s="330">
        <v>247355.48439854875</v>
      </c>
      <c r="J112" s="245">
        <v>1.7965239184998152</v>
      </c>
      <c r="K112" s="247">
        <v>32.516846639471623</v>
      </c>
      <c r="L112" s="148">
        <v>-360.83197309246225</v>
      </c>
      <c r="M112" s="331">
        <v>1239.2040317064093</v>
      </c>
      <c r="N112" s="91">
        <v>0.10545606138726593</v>
      </c>
      <c r="O112" s="89">
        <v>1121.9999999999998</v>
      </c>
      <c r="P112" s="239">
        <v>2.1591040295577874E-2</v>
      </c>
      <c r="Q112" s="89">
        <v>36483.901929487154</v>
      </c>
      <c r="R112" s="90">
        <v>-404853.47380974254</v>
      </c>
      <c r="S112" s="255">
        <v>1390386.9235745911</v>
      </c>
      <c r="T112" s="237">
        <v>118.32170087651235</v>
      </c>
      <c r="U112" s="234">
        <v>203496.75780512812</v>
      </c>
      <c r="V112" s="92">
        <v>0.17928492976003454</v>
      </c>
      <c r="W112" s="90">
        <v>6827937.8473449973</v>
      </c>
      <c r="X112" s="93">
        <v>-5.9293667116077718E-2</v>
      </c>
      <c r="Y112" s="90">
        <v>2134.0215374333047</v>
      </c>
      <c r="Z112" s="94">
        <v>5.5445410836304783E-2</v>
      </c>
      <c r="AA112" s="249">
        <v>278923240.41874623</v>
      </c>
      <c r="AB112" s="94">
        <v>4.9848371239600156E-3</v>
      </c>
      <c r="AC112" s="95">
        <v>-13304198.225556841</v>
      </c>
    </row>
    <row r="113" spans="1:29" x14ac:dyDescent="0.35">
      <c r="A113" s="83"/>
      <c r="B113" s="88" t="s">
        <v>74</v>
      </c>
      <c r="C113" s="89">
        <v>183.09885996503493</v>
      </c>
      <c r="D113" s="90">
        <v>5675.4952274184143</v>
      </c>
      <c r="E113" s="330">
        <v>235648.60011568785</v>
      </c>
      <c r="F113" s="245">
        <v>1.8570803902361537</v>
      </c>
      <c r="G113" s="89">
        <v>154.02519481351979</v>
      </c>
      <c r="H113" s="90">
        <v>5993.8016835217541</v>
      </c>
      <c r="I113" s="330">
        <v>235005.77413262939</v>
      </c>
      <c r="J113" s="245">
        <v>1.7623147852628718</v>
      </c>
      <c r="K113" s="247">
        <v>29.073665151515144</v>
      </c>
      <c r="L113" s="148">
        <v>-318.30645610333977</v>
      </c>
      <c r="M113" s="331">
        <v>642.8259830584575</v>
      </c>
      <c r="N113" s="91">
        <v>9.4765604973281903E-2</v>
      </c>
      <c r="O113" s="89">
        <v>6335</v>
      </c>
      <c r="P113" s="239">
        <v>0.12190663125890006</v>
      </c>
      <c r="Q113" s="89">
        <v>184181.66873484844</v>
      </c>
      <c r="R113" s="90">
        <v>-2016471.3994146574</v>
      </c>
      <c r="S113" s="255">
        <v>4072302.602675328</v>
      </c>
      <c r="T113" s="237">
        <v>600.34010750574089</v>
      </c>
      <c r="U113" s="234">
        <v>1159931.2778784963</v>
      </c>
      <c r="V113" s="92">
        <v>0.15878670766747063</v>
      </c>
      <c r="W113" s="90">
        <v>35954262.265695654</v>
      </c>
      <c r="X113" s="93">
        <v>-5.6084349179891094E-2</v>
      </c>
      <c r="Y113" s="90">
        <v>11764.604272146034</v>
      </c>
      <c r="Z113" s="94">
        <v>5.1029349871725874E-2</v>
      </c>
      <c r="AA113" s="249">
        <v>1492833881.7328825</v>
      </c>
      <c r="AB113" s="94">
        <v>2.7279007078458034E-3</v>
      </c>
      <c r="AC113" s="95">
        <v>-74103587.646756053</v>
      </c>
    </row>
    <row r="114" spans="1:29" x14ac:dyDescent="0.35">
      <c r="A114" s="83"/>
      <c r="B114" s="88" t="s">
        <v>75</v>
      </c>
      <c r="C114" s="89">
        <v>169.30430322455319</v>
      </c>
      <c r="D114" s="90">
        <v>6249.0339952773884</v>
      </c>
      <c r="E114" s="330">
        <v>249298.20706689666</v>
      </c>
      <c r="F114" s="245">
        <v>1.8494546098669509</v>
      </c>
      <c r="G114" s="89">
        <v>145.27399135586634</v>
      </c>
      <c r="H114" s="90">
        <v>6525.0517969712491</v>
      </c>
      <c r="I114" s="330">
        <v>249021.01302613929</v>
      </c>
      <c r="J114" s="245">
        <v>1.7738200965882363</v>
      </c>
      <c r="K114" s="247">
        <v>24.030311868686852</v>
      </c>
      <c r="L114" s="148">
        <v>-276.01780169386075</v>
      </c>
      <c r="M114" s="331">
        <v>277.19404075737111</v>
      </c>
      <c r="N114" s="91">
        <v>7.5634513278714621E-2</v>
      </c>
      <c r="O114" s="89">
        <v>1849</v>
      </c>
      <c r="P114" s="239">
        <v>3.5580956779432703E-2</v>
      </c>
      <c r="Q114" s="89">
        <v>44432.04664520199</v>
      </c>
      <c r="R114" s="90">
        <v>-510356.91533194855</v>
      </c>
      <c r="S114" s="255">
        <v>512531.78136037919</v>
      </c>
      <c r="T114" s="237">
        <v>139.84821505234333</v>
      </c>
      <c r="U114" s="234">
        <v>313043.65666219883</v>
      </c>
      <c r="V114" s="92">
        <v>0.14193562367292434</v>
      </c>
      <c r="W114" s="90">
        <v>11554463.857267892</v>
      </c>
      <c r="X114" s="93">
        <v>-4.4169675169387294E-2</v>
      </c>
      <c r="Y114" s="90">
        <v>3419.6415736439922</v>
      </c>
      <c r="Z114" s="94">
        <v>4.0895576931274755E-2</v>
      </c>
      <c r="AA114" s="249">
        <v>460952384.86669195</v>
      </c>
      <c r="AB114" s="94">
        <v>1.111897450120806E-3</v>
      </c>
      <c r="AC114" s="95">
        <v>-21645113.092120573</v>
      </c>
    </row>
    <row r="115" spans="1:29" x14ac:dyDescent="0.35">
      <c r="A115" s="83"/>
      <c r="B115" s="88" t="s">
        <v>76</v>
      </c>
      <c r="C115" s="89">
        <v>174.01746076146074</v>
      </c>
      <c r="D115" s="90">
        <v>6068.0020918546998</v>
      </c>
      <c r="E115" s="330">
        <v>239736.80608497444</v>
      </c>
      <c r="F115" s="245">
        <v>1.8516211110012526</v>
      </c>
      <c r="G115" s="89">
        <v>146.87412228049723</v>
      </c>
      <c r="H115" s="90">
        <v>6381.1869804871776</v>
      </c>
      <c r="I115" s="330">
        <v>239972.38153885936</v>
      </c>
      <c r="J115" s="245">
        <v>1.7786271135526994</v>
      </c>
      <c r="K115" s="247">
        <v>27.143338480963507</v>
      </c>
      <c r="L115" s="148">
        <v>-313.18488863247785</v>
      </c>
      <c r="M115" s="331">
        <v>-235.57545388492872</v>
      </c>
      <c r="N115" s="91">
        <v>7.2993997448553172E-2</v>
      </c>
      <c r="O115" s="89">
        <v>840</v>
      </c>
      <c r="P115" s="239">
        <v>1.6164415194550284E-2</v>
      </c>
      <c r="Q115" s="89">
        <v>22800.404324009345</v>
      </c>
      <c r="R115" s="90">
        <v>-263075.30645128142</v>
      </c>
      <c r="S115" s="255">
        <v>-197883.38126334012</v>
      </c>
      <c r="T115" s="237">
        <v>61.314957856784666</v>
      </c>
      <c r="U115" s="234">
        <v>146174.66703962703</v>
      </c>
      <c r="V115" s="92">
        <v>0.15598054564289376</v>
      </c>
      <c r="W115" s="90">
        <v>5097121.7571579479</v>
      </c>
      <c r="X115" s="93">
        <v>-5.1612521533714921E-2</v>
      </c>
      <c r="Y115" s="90">
        <v>1555.3617332410522</v>
      </c>
      <c r="Z115" s="94">
        <v>3.9421670564709708E-2</v>
      </c>
      <c r="AA115" s="249">
        <v>201378917.11137852</v>
      </c>
      <c r="AB115" s="94">
        <v>-9.826419969966116E-4</v>
      </c>
      <c r="AC115" s="95">
        <v>-9769997.2181460466</v>
      </c>
    </row>
    <row r="116" spans="1:29" x14ac:dyDescent="0.35">
      <c r="A116" s="83"/>
      <c r="B116" s="88" t="s">
        <v>77</v>
      </c>
      <c r="C116" s="89">
        <v>119.09632285159284</v>
      </c>
      <c r="D116" s="90">
        <v>7321.0817904777368</v>
      </c>
      <c r="E116" s="330">
        <v>255297.70262649804</v>
      </c>
      <c r="F116" s="245">
        <v>1.6646011906513707</v>
      </c>
      <c r="G116" s="89">
        <v>117.17095054778551</v>
      </c>
      <c r="H116" s="90">
        <v>7347.8654601491817</v>
      </c>
      <c r="I116" s="330">
        <v>255799.76489746047</v>
      </c>
      <c r="J116" s="245">
        <v>1.6599407533840533</v>
      </c>
      <c r="K116" s="247">
        <v>1.925372303807336</v>
      </c>
      <c r="L116" s="148">
        <v>-26.783669671444841</v>
      </c>
      <c r="M116" s="331">
        <v>-502.06227096242947</v>
      </c>
      <c r="N116" s="91">
        <v>4.6604372673173522E-3</v>
      </c>
      <c r="O116" s="89">
        <v>547</v>
      </c>
      <c r="P116" s="239">
        <v>1.0526113227879767E-2</v>
      </c>
      <c r="Q116" s="89">
        <v>1053.1786501826127</v>
      </c>
      <c r="R116" s="90">
        <v>-14650.667310280329</v>
      </c>
      <c r="S116" s="255">
        <v>-274628.06221644895</v>
      </c>
      <c r="T116" s="237">
        <v>2.5492591852225917</v>
      </c>
      <c r="U116" s="234">
        <v>65145.688599821289</v>
      </c>
      <c r="V116" s="92">
        <v>1.6166513438089621E-2</v>
      </c>
      <c r="W116" s="90">
        <v>4004631.7393913222</v>
      </c>
      <c r="X116" s="93">
        <v>-3.6584306032861674E-3</v>
      </c>
      <c r="Y116" s="90">
        <v>910.53685128629979</v>
      </c>
      <c r="Z116" s="94">
        <v>2.7997320280022681E-3</v>
      </c>
      <c r="AA116" s="249">
        <v>139647843.33669442</v>
      </c>
      <c r="AB116" s="94">
        <v>-1.9665757497902337E-3</v>
      </c>
      <c r="AC116" s="95">
        <v>-6434736.3034510845</v>
      </c>
    </row>
    <row r="117" spans="1:29" ht="15" thickBot="1" x14ac:dyDescent="0.4">
      <c r="A117" s="83"/>
      <c r="B117" s="96" t="s">
        <v>78</v>
      </c>
      <c r="C117" s="97">
        <v>258.27729887334885</v>
      </c>
      <c r="D117" s="98">
        <v>5446.8362401351969</v>
      </c>
      <c r="E117" s="332">
        <v>244666.93438871519</v>
      </c>
      <c r="F117" s="246">
        <v>2.2882952371074854</v>
      </c>
      <c r="G117" s="97">
        <v>242.43575751368968</v>
      </c>
      <c r="H117" s="98">
        <v>5605.9904360553701</v>
      </c>
      <c r="I117" s="332">
        <v>243065.56159625293</v>
      </c>
      <c r="J117" s="246">
        <v>2.2229533533455466</v>
      </c>
      <c r="K117" s="248">
        <v>15.841541359659175</v>
      </c>
      <c r="L117" s="277">
        <v>-159.15419592017315</v>
      </c>
      <c r="M117" s="278">
        <v>1601.3727924622654</v>
      </c>
      <c r="N117" s="99">
        <v>6.5341883761938835E-2</v>
      </c>
      <c r="O117" s="100">
        <v>339</v>
      </c>
      <c r="P117" s="240">
        <v>6.5234961320863646E-3</v>
      </c>
      <c r="Q117" s="100">
        <v>5370.2825209244602</v>
      </c>
      <c r="R117" s="102">
        <v>-53953.2724169387</v>
      </c>
      <c r="S117" s="256">
        <v>542865.37664470798</v>
      </c>
      <c r="T117" s="238">
        <v>22.150898595297264</v>
      </c>
      <c r="U117" s="235">
        <v>87556.004318065257</v>
      </c>
      <c r="V117" s="101">
        <v>6.1335399699326165E-2</v>
      </c>
      <c r="W117" s="102">
        <v>1846477.4854058318</v>
      </c>
      <c r="X117" s="103">
        <v>-2.9219566901505147E-2</v>
      </c>
      <c r="Y117" s="102">
        <v>775.73208537943754</v>
      </c>
      <c r="Z117" s="104">
        <v>2.8554830994856284E-2</v>
      </c>
      <c r="AA117" s="250">
        <v>82942090.757774457</v>
      </c>
      <c r="AB117" s="104">
        <v>6.5451132432880381E-3</v>
      </c>
      <c r="AC117" s="105">
        <v>307034.03623571113</v>
      </c>
    </row>
    <row r="118" spans="1:29" ht="15" thickBot="1" x14ac:dyDescent="0.4">
      <c r="A118" s="83"/>
      <c r="B118" s="1174" t="s">
        <v>79</v>
      </c>
      <c r="C118" s="1175"/>
      <c r="D118" s="1175"/>
      <c r="E118" s="1175"/>
      <c r="F118" s="1175"/>
      <c r="G118" s="1175"/>
      <c r="H118" s="1175"/>
      <c r="I118" s="1175"/>
      <c r="J118" s="1175"/>
      <c r="K118" s="1175"/>
      <c r="L118" s="1175"/>
      <c r="M118" s="1175"/>
      <c r="N118" s="1175"/>
      <c r="O118" s="106">
        <v>51966</v>
      </c>
      <c r="P118" s="241">
        <v>1.0000000000000002</v>
      </c>
      <c r="Q118" s="242">
        <v>696819.96127868898</v>
      </c>
      <c r="R118" s="243">
        <v>-6715355.2129068365</v>
      </c>
      <c r="S118" s="257">
        <v>38181271.070637539</v>
      </c>
      <c r="T118" s="244">
        <v>2387.9651326489388</v>
      </c>
      <c r="U118" s="236">
        <v>8563872.2983758301</v>
      </c>
      <c r="V118" s="108">
        <v>8.1367392810241163E-2</v>
      </c>
      <c r="W118" s="107">
        <v>291666501.65416574</v>
      </c>
      <c r="X118" s="109">
        <v>-2.3024088041722922E-2</v>
      </c>
      <c r="Y118" s="107">
        <v>90299.086798032047</v>
      </c>
      <c r="Z118" s="110">
        <v>2.6445064034700531E-2</v>
      </c>
      <c r="AA118" s="251">
        <v>11541718673.170973</v>
      </c>
      <c r="AB118" s="111">
        <v>3.3506833913366351E-3</v>
      </c>
      <c r="AC118" s="112">
        <v>-627566061.55673802</v>
      </c>
    </row>
    <row r="119" spans="1:29" x14ac:dyDescent="0.3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13"/>
      <c r="P119" s="114"/>
      <c r="Q119" s="115"/>
      <c r="R119" s="116" t="s">
        <v>23</v>
      </c>
      <c r="S119" s="252"/>
      <c r="T119" s="117">
        <f>T118*3</f>
        <v>7163.895397946817</v>
      </c>
      <c r="U119" s="83"/>
      <c r="V119" s="83"/>
      <c r="W119" s="83"/>
      <c r="X119" s="83"/>
      <c r="Y119" s="83"/>
      <c r="Z119" s="83"/>
      <c r="AA119" s="83"/>
      <c r="AB119" s="83"/>
      <c r="AC119" s="83"/>
    </row>
    <row r="120" spans="1:29" x14ac:dyDescent="0.35">
      <c r="A120" s="83"/>
      <c r="B120" s="83" t="s">
        <v>29</v>
      </c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118"/>
      <c r="P120" s="119"/>
      <c r="Q120" s="120"/>
      <c r="R120" s="121" t="s">
        <v>24</v>
      </c>
      <c r="S120" s="253"/>
      <c r="T120" s="122">
        <f>(T118*1000)/C124</f>
        <v>535.7614079661081</v>
      </c>
      <c r="U120" s="83"/>
      <c r="V120" s="83"/>
      <c r="W120" s="83"/>
      <c r="X120" s="83"/>
      <c r="Y120" s="83"/>
      <c r="Z120" s="83"/>
      <c r="AA120" s="83"/>
      <c r="AB120" s="83"/>
      <c r="AC120" s="83"/>
    </row>
    <row r="121" spans="1:29" ht="15" thickBot="1" x14ac:dyDescent="0.4">
      <c r="A121" s="83"/>
      <c r="B121" s="123" t="s">
        <v>32</v>
      </c>
      <c r="C121" s="124">
        <v>24.5</v>
      </c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125"/>
      <c r="P121" s="126"/>
      <c r="Q121" s="127"/>
      <c r="R121" s="128" t="s">
        <v>26</v>
      </c>
      <c r="S121" s="254"/>
      <c r="T121" s="129">
        <f>(T119*1000)/C124</f>
        <v>1607.2842238983244</v>
      </c>
      <c r="U121" s="83"/>
      <c r="V121" s="83"/>
      <c r="W121" s="83"/>
      <c r="X121" s="83"/>
      <c r="Y121" s="83"/>
      <c r="Z121" s="83"/>
      <c r="AA121" s="83"/>
      <c r="AB121" s="83"/>
      <c r="AC121" s="83"/>
    </row>
    <row r="122" spans="1:29" x14ac:dyDescent="0.35">
      <c r="A122" s="83"/>
      <c r="B122" s="130" t="s">
        <v>34</v>
      </c>
      <c r="C122" s="131">
        <v>12000</v>
      </c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</row>
    <row r="123" spans="1:29" ht="15" thickBot="1" x14ac:dyDescent="0.4">
      <c r="A123" s="83"/>
      <c r="B123" s="130" t="s">
        <v>35</v>
      </c>
      <c r="C123" s="132">
        <v>9.1</v>
      </c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 t="s">
        <v>28</v>
      </c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 spans="1:29" x14ac:dyDescent="0.35">
      <c r="A124" s="83"/>
      <c r="B124" s="133" t="s">
        <v>36</v>
      </c>
      <c r="C124" s="134">
        <v>4457.1428571428569</v>
      </c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135" t="s">
        <v>570</v>
      </c>
      <c r="Q124" s="136"/>
      <c r="R124" s="137">
        <f>-R118</f>
        <v>6715355.2129068365</v>
      </c>
      <c r="S124" s="137"/>
      <c r="T124" s="138" t="s">
        <v>30</v>
      </c>
      <c r="U124" s="139" t="s">
        <v>31</v>
      </c>
      <c r="V124" s="140">
        <v>6.7153552129068368</v>
      </c>
      <c r="W124" s="83"/>
      <c r="X124" s="83"/>
      <c r="Y124" s="83"/>
      <c r="Z124" s="83"/>
      <c r="AA124" s="83"/>
      <c r="AB124" s="83"/>
      <c r="AC124" s="83"/>
    </row>
    <row r="125" spans="1:29" ht="15" thickBot="1" x14ac:dyDescent="0.4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141" t="s">
        <v>570</v>
      </c>
      <c r="Q125" s="142"/>
      <c r="R125" s="143">
        <f>R124*3</f>
        <v>20146065.638720509</v>
      </c>
      <c r="S125" s="143"/>
      <c r="T125" s="144" t="s">
        <v>33</v>
      </c>
      <c r="U125" s="145" t="s">
        <v>31</v>
      </c>
      <c r="V125" s="146">
        <v>20.146065638720508</v>
      </c>
      <c r="W125" s="83"/>
      <c r="X125" s="83"/>
      <c r="Y125" s="83"/>
      <c r="Z125" s="83"/>
      <c r="AA125" s="83"/>
      <c r="AB125" s="83"/>
      <c r="AC125" s="83"/>
    </row>
    <row r="126" spans="1:29" x14ac:dyDescent="0.3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 spans="1:29" x14ac:dyDescent="0.35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8" spans="1:29" x14ac:dyDescent="0.3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</row>
    <row r="129" spans="1:29" x14ac:dyDescent="0.3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</row>
    <row r="130" spans="1:29" x14ac:dyDescent="0.3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</row>
    <row r="131" spans="1:29" x14ac:dyDescent="0.3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</row>
    <row r="132" spans="1:29" x14ac:dyDescent="0.3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</row>
    <row r="133" spans="1:29" x14ac:dyDescent="0.3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</row>
    <row r="134" spans="1:29" x14ac:dyDescent="0.35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</row>
    <row r="135" spans="1:29" x14ac:dyDescent="0.35">
      <c r="A135" s="83"/>
      <c r="B135" s="83" t="s">
        <v>80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</row>
    <row r="136" spans="1:29" ht="101.5" x14ac:dyDescent="0.35">
      <c r="A136" s="83"/>
      <c r="B136" s="83"/>
      <c r="C136" s="83"/>
      <c r="D136" s="83"/>
      <c r="E136" s="83"/>
      <c r="F136" s="147"/>
      <c r="G136" s="87" t="s">
        <v>81</v>
      </c>
      <c r="H136" s="87" t="s">
        <v>82</v>
      </c>
      <c r="I136" s="87"/>
      <c r="J136" s="87" t="s">
        <v>83</v>
      </c>
      <c r="K136" s="87" t="s">
        <v>84</v>
      </c>
      <c r="L136" s="87" t="s">
        <v>85</v>
      </c>
      <c r="M136" s="87"/>
      <c r="N136" s="87" t="s">
        <v>86</v>
      </c>
      <c r="O136" s="87" t="s">
        <v>87</v>
      </c>
      <c r="P136" s="87" t="s">
        <v>88</v>
      </c>
      <c r="Q136" s="87" t="s">
        <v>89</v>
      </c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</row>
    <row r="137" spans="1:29" x14ac:dyDescent="0.35">
      <c r="A137" s="83"/>
      <c r="B137" s="83"/>
      <c r="C137" s="83"/>
      <c r="D137" s="83"/>
      <c r="E137" s="83"/>
      <c r="F137" s="147" t="s">
        <v>63</v>
      </c>
      <c r="G137" s="148">
        <v>4450.2999999999993</v>
      </c>
      <c r="H137" s="149">
        <f t="shared" ref="H137:H152" si="28">J137-G137</f>
        <v>3906.34</v>
      </c>
      <c r="I137" s="149"/>
      <c r="J137" s="148">
        <v>8356.64</v>
      </c>
      <c r="K137" s="148">
        <v>10592.9</v>
      </c>
      <c r="L137" s="148">
        <v>22065.7</v>
      </c>
      <c r="M137" s="148"/>
      <c r="N137" s="150">
        <f t="shared" ref="N137:N152" si="29">V108</f>
        <v>1.6525489926863403E-2</v>
      </c>
      <c r="O137" s="150">
        <f t="shared" ref="O137:O152" si="30">G137/L137</f>
        <v>0.20168406168850292</v>
      </c>
      <c r="P137" s="150">
        <f t="shared" ref="P137:P152" si="31">K137/L137</f>
        <v>0.48006181539674697</v>
      </c>
      <c r="Q137" s="150">
        <f t="shared" ref="Q137:Q152" si="32">H137/L137</f>
        <v>0.17703222648726305</v>
      </c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</row>
    <row r="138" spans="1:29" x14ac:dyDescent="0.35">
      <c r="A138" s="83"/>
      <c r="B138" s="83"/>
      <c r="C138" s="83"/>
      <c r="D138" s="83"/>
      <c r="E138" s="83"/>
      <c r="F138" s="147" t="s">
        <v>64</v>
      </c>
      <c r="G138" s="148">
        <v>2660.21</v>
      </c>
      <c r="H138" s="149">
        <f t="shared" si="28"/>
        <v>2239.34</v>
      </c>
      <c r="I138" s="149"/>
      <c r="J138" s="148">
        <v>4899.55</v>
      </c>
      <c r="K138" s="148">
        <v>9633.1299999999992</v>
      </c>
      <c r="L138" s="148">
        <v>17648.8</v>
      </c>
      <c r="M138" s="148"/>
      <c r="N138" s="150">
        <f t="shared" si="29"/>
        <v>2.2411894526583043E-2</v>
      </c>
      <c r="O138" s="150">
        <f t="shared" si="30"/>
        <v>0.15073036127102127</v>
      </c>
      <c r="P138" s="150">
        <f t="shared" si="31"/>
        <v>0.54582351208014135</v>
      </c>
      <c r="Q138" s="150">
        <f t="shared" si="32"/>
        <v>0.12688341416980192</v>
      </c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</row>
    <row r="139" spans="1:29" x14ac:dyDescent="0.35">
      <c r="A139" s="83"/>
      <c r="B139" s="83" t="s">
        <v>90</v>
      </c>
      <c r="C139" s="83"/>
      <c r="D139" s="83"/>
      <c r="E139" s="83"/>
      <c r="F139" s="147" t="s">
        <v>65</v>
      </c>
      <c r="G139" s="148">
        <v>1728.42</v>
      </c>
      <c r="H139" s="149">
        <f t="shared" si="28"/>
        <v>2045.35</v>
      </c>
      <c r="I139" s="149"/>
      <c r="J139" s="148">
        <v>3773.77</v>
      </c>
      <c r="K139" s="148">
        <v>9609.93</v>
      </c>
      <c r="L139" s="148">
        <v>16499.8</v>
      </c>
      <c r="M139" s="148"/>
      <c r="N139" s="150">
        <f t="shared" si="29"/>
        <v>3.8960661921517648E-2</v>
      </c>
      <c r="O139" s="150">
        <f t="shared" si="30"/>
        <v>0.10475399701814568</v>
      </c>
      <c r="P139" s="150">
        <f t="shared" si="31"/>
        <v>0.58242705972193609</v>
      </c>
      <c r="Q139" s="150">
        <f t="shared" si="32"/>
        <v>0.12396210863161977</v>
      </c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</row>
    <row r="140" spans="1:29" x14ac:dyDescent="0.35">
      <c r="A140" s="83"/>
      <c r="B140" s="83" t="s">
        <v>91</v>
      </c>
      <c r="C140" s="151">
        <v>3.9999999999999994E-2</v>
      </c>
      <c r="D140" s="83"/>
      <c r="E140" s="83"/>
      <c r="F140" s="147" t="s">
        <v>66</v>
      </c>
      <c r="G140" s="148">
        <v>1336.14</v>
      </c>
      <c r="H140" s="149">
        <f t="shared" si="28"/>
        <v>1611.78</v>
      </c>
      <c r="I140" s="149"/>
      <c r="J140" s="148">
        <v>2947.92</v>
      </c>
      <c r="K140" s="148">
        <v>9034.36</v>
      </c>
      <c r="L140" s="148">
        <v>15098.4</v>
      </c>
      <c r="M140" s="148"/>
      <c r="N140" s="150">
        <f t="shared" si="29"/>
        <v>6.7198003337587409E-2</v>
      </c>
      <c r="O140" s="150">
        <f t="shared" si="30"/>
        <v>8.8495469718645692E-2</v>
      </c>
      <c r="P140" s="150">
        <f t="shared" si="31"/>
        <v>0.59836538971016806</v>
      </c>
      <c r="Q140" s="150">
        <f t="shared" si="32"/>
        <v>0.1067517087903354</v>
      </c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</row>
    <row r="141" spans="1:29" x14ac:dyDescent="0.35">
      <c r="A141" s="83"/>
      <c r="B141" s="83" t="s">
        <v>92</v>
      </c>
      <c r="C141" s="151">
        <v>0.32999999999999996</v>
      </c>
      <c r="D141" s="83"/>
      <c r="E141" s="83"/>
      <c r="F141" s="147" t="s">
        <v>67</v>
      </c>
      <c r="G141" s="148">
        <v>1560.03</v>
      </c>
      <c r="H141" s="149">
        <f t="shared" si="28"/>
        <v>1845.86</v>
      </c>
      <c r="I141" s="149"/>
      <c r="J141" s="148">
        <v>3405.89</v>
      </c>
      <c r="K141" s="148">
        <v>9612.76</v>
      </c>
      <c r="L141" s="148">
        <v>16134.8</v>
      </c>
      <c r="M141" s="148"/>
      <c r="N141" s="150">
        <f t="shared" si="29"/>
        <v>0.17928492976003454</v>
      </c>
      <c r="O141" s="150">
        <f t="shared" si="30"/>
        <v>9.6687284627017381E-2</v>
      </c>
      <c r="P141" s="150">
        <f t="shared" si="31"/>
        <v>0.595778069762253</v>
      </c>
      <c r="Q141" s="150">
        <f t="shared" si="32"/>
        <v>0.11440240969829189</v>
      </c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</row>
    <row r="142" spans="1:29" x14ac:dyDescent="0.35">
      <c r="A142" s="83"/>
      <c r="B142" s="83" t="s">
        <v>93</v>
      </c>
      <c r="C142" s="151">
        <v>0.57999999999999985</v>
      </c>
      <c r="D142" s="83"/>
      <c r="E142" s="83"/>
      <c r="F142" s="147" t="s">
        <v>68</v>
      </c>
      <c r="G142" s="148">
        <v>450.6880000000001</v>
      </c>
      <c r="H142" s="149">
        <f t="shared" si="28"/>
        <v>793.25199999999995</v>
      </c>
      <c r="I142" s="149"/>
      <c r="J142" s="148">
        <v>1243.94</v>
      </c>
      <c r="K142" s="148">
        <v>8684.9699999999993</v>
      </c>
      <c r="L142" s="148">
        <v>13045</v>
      </c>
      <c r="M142" s="148"/>
      <c r="N142" s="150">
        <f t="shared" si="29"/>
        <v>0.15878670766747063</v>
      </c>
      <c r="O142" s="150">
        <f t="shared" si="30"/>
        <v>3.454871598313531E-2</v>
      </c>
      <c r="P142" s="150">
        <f t="shared" si="31"/>
        <v>0.66577002683020314</v>
      </c>
      <c r="Q142" s="150">
        <f t="shared" si="32"/>
        <v>6.0808892295898809E-2</v>
      </c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</row>
    <row r="143" spans="1:29" x14ac:dyDescent="0.35">
      <c r="A143" s="83"/>
      <c r="B143" s="83" t="s">
        <v>94</v>
      </c>
      <c r="C143" s="151">
        <v>4.9999999999999989E-2</v>
      </c>
      <c r="D143" s="83"/>
      <c r="E143" s="83"/>
      <c r="F143" s="147" t="s">
        <v>69</v>
      </c>
      <c r="G143" s="148">
        <v>319.91200000000003</v>
      </c>
      <c r="H143" s="149">
        <f t="shared" si="28"/>
        <v>668.91499999999996</v>
      </c>
      <c r="I143" s="149"/>
      <c r="J143" s="148">
        <v>988.827</v>
      </c>
      <c r="K143" s="148">
        <v>8654.49</v>
      </c>
      <c r="L143" s="148">
        <v>12759.4</v>
      </c>
      <c r="M143" s="148"/>
      <c r="N143" s="150">
        <f t="shared" si="29"/>
        <v>0.14193562367292434</v>
      </c>
      <c r="O143" s="150">
        <f t="shared" si="30"/>
        <v>2.507265231907457E-2</v>
      </c>
      <c r="P143" s="150">
        <f t="shared" si="31"/>
        <v>0.6782834616047777</v>
      </c>
      <c r="Q143" s="150">
        <f t="shared" si="32"/>
        <v>5.2425270780757711E-2</v>
      </c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</row>
    <row r="144" spans="1:29" x14ac:dyDescent="0.35">
      <c r="A144" s="83"/>
      <c r="B144" s="83"/>
      <c r="C144" s="83"/>
      <c r="D144" s="83"/>
      <c r="E144" s="83"/>
      <c r="F144" s="147" t="s">
        <v>70</v>
      </c>
      <c r="G144" s="148">
        <v>422.63300000000004</v>
      </c>
      <c r="H144" s="149">
        <f t="shared" si="28"/>
        <v>718.76700000000005</v>
      </c>
      <c r="I144" s="149"/>
      <c r="J144" s="148">
        <v>1141.4000000000001</v>
      </c>
      <c r="K144" s="148">
        <v>8382.84</v>
      </c>
      <c r="L144" s="148">
        <v>12640.4</v>
      </c>
      <c r="M144" s="148"/>
      <c r="N144" s="150">
        <f t="shared" si="29"/>
        <v>0.15598054564289376</v>
      </c>
      <c r="O144" s="150">
        <f t="shared" si="30"/>
        <v>3.343509699060157E-2</v>
      </c>
      <c r="P144" s="150">
        <f t="shared" si="31"/>
        <v>0.66317838043099908</v>
      </c>
      <c r="Q144" s="150">
        <f t="shared" si="32"/>
        <v>5.6862678396253287E-2</v>
      </c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</row>
    <row r="145" spans="1:29" x14ac:dyDescent="0.35">
      <c r="A145" s="83"/>
      <c r="B145" s="83"/>
      <c r="C145" s="83"/>
      <c r="D145" s="83"/>
      <c r="E145" s="83"/>
      <c r="F145" s="147" t="s">
        <v>71</v>
      </c>
      <c r="G145" s="148">
        <v>659.38400000000001</v>
      </c>
      <c r="H145" s="149">
        <f t="shared" si="28"/>
        <v>933.85599999999999</v>
      </c>
      <c r="I145" s="149"/>
      <c r="J145" s="148">
        <v>1593.24</v>
      </c>
      <c r="K145" s="148">
        <v>8469.93</v>
      </c>
      <c r="L145" s="148">
        <v>13179.3</v>
      </c>
      <c r="M145" s="148"/>
      <c r="N145" s="150">
        <f t="shared" si="29"/>
        <v>1.6166513438089621E-2</v>
      </c>
      <c r="O145" s="150">
        <f t="shared" si="30"/>
        <v>5.0031792280318385E-2</v>
      </c>
      <c r="P145" s="150">
        <f t="shared" si="31"/>
        <v>0.64266918576859167</v>
      </c>
      <c r="Q145" s="150">
        <f t="shared" si="32"/>
        <v>7.0857784556084172E-2</v>
      </c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</row>
    <row r="146" spans="1:29" x14ac:dyDescent="0.35">
      <c r="A146" s="83"/>
      <c r="B146" s="83"/>
      <c r="C146" s="83"/>
      <c r="D146" s="83"/>
      <c r="E146" s="83"/>
      <c r="F146" s="147" t="s">
        <v>72</v>
      </c>
      <c r="G146" s="148">
        <v>982.98999999999978</v>
      </c>
      <c r="H146" s="149">
        <f t="shared" si="28"/>
        <v>1128.8800000000001</v>
      </c>
      <c r="I146" s="149"/>
      <c r="J146" s="148">
        <v>2111.87</v>
      </c>
      <c r="K146" s="148">
        <v>7519.52</v>
      </c>
      <c r="L146" s="148">
        <v>12747.5</v>
      </c>
      <c r="M146" s="148"/>
      <c r="N146" s="150">
        <f t="shared" si="29"/>
        <v>6.1335399699326165E-2</v>
      </c>
      <c r="O146" s="150">
        <f t="shared" si="30"/>
        <v>7.711237497548537E-2</v>
      </c>
      <c r="P146" s="150">
        <f t="shared" si="31"/>
        <v>0.58988193763483043</v>
      </c>
      <c r="Q146" s="150">
        <f t="shared" si="32"/>
        <v>8.8556971955285363E-2</v>
      </c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</row>
    <row r="147" spans="1:29" x14ac:dyDescent="0.35">
      <c r="A147" s="83"/>
      <c r="B147" s="83"/>
      <c r="C147" s="83"/>
      <c r="D147" s="83"/>
      <c r="E147" s="83"/>
      <c r="F147" s="147" t="s">
        <v>73</v>
      </c>
      <c r="G147" s="148">
        <v>2872.7</v>
      </c>
      <c r="H147" s="149">
        <f t="shared" si="28"/>
        <v>2135.42</v>
      </c>
      <c r="I147" s="149"/>
      <c r="J147" s="148">
        <v>5008.12</v>
      </c>
      <c r="K147" s="148">
        <v>7709.91</v>
      </c>
      <c r="L147" s="148">
        <v>15834.1</v>
      </c>
      <c r="M147" s="148"/>
      <c r="N147" s="150">
        <f t="shared" si="29"/>
        <v>8.1367392810241163E-2</v>
      </c>
      <c r="O147" s="150">
        <f t="shared" si="30"/>
        <v>0.18142489942592252</v>
      </c>
      <c r="P147" s="150">
        <f t="shared" si="31"/>
        <v>0.48691810712323402</v>
      </c>
      <c r="Q147" s="150">
        <f t="shared" si="32"/>
        <v>0.13486210141403679</v>
      </c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</row>
    <row r="148" spans="1:29" x14ac:dyDescent="0.35">
      <c r="A148" s="83"/>
      <c r="B148" s="83"/>
      <c r="C148" s="83"/>
      <c r="D148" s="83"/>
      <c r="E148" s="83"/>
      <c r="F148" s="147" t="s">
        <v>74</v>
      </c>
      <c r="G148" s="148">
        <v>2562.84</v>
      </c>
      <c r="H148" s="149">
        <f t="shared" si="28"/>
        <v>2300.38</v>
      </c>
      <c r="I148" s="149"/>
      <c r="J148" s="148">
        <v>4863.22</v>
      </c>
      <c r="K148" s="148">
        <v>8041.39</v>
      </c>
      <c r="L148" s="148">
        <v>16020.7</v>
      </c>
      <c r="M148" s="148"/>
      <c r="N148" s="150">
        <f t="shared" si="29"/>
        <v>0</v>
      </c>
      <c r="O148" s="150">
        <f t="shared" si="30"/>
        <v>0.15997053811631201</v>
      </c>
      <c r="P148" s="150">
        <f t="shared" si="31"/>
        <v>0.50193749336795523</v>
      </c>
      <c r="Q148" s="150">
        <f t="shared" si="32"/>
        <v>0.14358798304693304</v>
      </c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</row>
    <row r="149" spans="1:29" x14ac:dyDescent="0.35">
      <c r="A149" s="83"/>
      <c r="B149" s="83"/>
      <c r="C149" s="83"/>
      <c r="D149" s="83"/>
      <c r="E149" s="83"/>
      <c r="F149" s="147" t="s">
        <v>75</v>
      </c>
      <c r="G149" s="148">
        <v>2190.25</v>
      </c>
      <c r="H149" s="149">
        <f t="shared" si="28"/>
        <v>2059.54</v>
      </c>
      <c r="I149" s="149"/>
      <c r="J149" s="148">
        <v>4249.79</v>
      </c>
      <c r="K149" s="148">
        <v>7470.01</v>
      </c>
      <c r="L149" s="148">
        <v>14835.9</v>
      </c>
      <c r="M149" s="148"/>
      <c r="N149" s="150">
        <f t="shared" si="29"/>
        <v>0</v>
      </c>
      <c r="O149" s="150">
        <f t="shared" si="30"/>
        <v>0.14763175810028378</v>
      </c>
      <c r="P149" s="150">
        <f t="shared" si="31"/>
        <v>0.50350905573642313</v>
      </c>
      <c r="Q149" s="150">
        <f t="shared" si="32"/>
        <v>0.13882137248161555</v>
      </c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</row>
    <row r="150" spans="1:29" x14ac:dyDescent="0.35">
      <c r="A150" s="83"/>
      <c r="B150" s="83"/>
      <c r="C150" s="83"/>
      <c r="D150" s="83"/>
      <c r="E150" s="83"/>
      <c r="F150" s="147" t="s">
        <v>76</v>
      </c>
      <c r="G150" s="148">
        <v>2300.34</v>
      </c>
      <c r="H150" s="149">
        <f t="shared" si="28"/>
        <v>1773.37</v>
      </c>
      <c r="I150" s="149"/>
      <c r="J150" s="148">
        <v>4073.71</v>
      </c>
      <c r="K150" s="148">
        <v>7766.57</v>
      </c>
      <c r="L150" s="148">
        <v>14956.4</v>
      </c>
      <c r="M150" s="148"/>
      <c r="N150" s="150">
        <f t="shared" si="29"/>
        <v>0</v>
      </c>
      <c r="O150" s="150">
        <f t="shared" si="30"/>
        <v>0.15380305421090637</v>
      </c>
      <c r="P150" s="150">
        <f t="shared" si="31"/>
        <v>0.51928070926158698</v>
      </c>
      <c r="Q150" s="150">
        <f t="shared" si="32"/>
        <v>0.11856930812227541</v>
      </c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</row>
    <row r="151" spans="1:29" x14ac:dyDescent="0.35">
      <c r="A151" s="83"/>
      <c r="B151" s="83"/>
      <c r="C151" s="83"/>
      <c r="D151" s="83"/>
      <c r="E151" s="83"/>
      <c r="F151" s="147" t="s">
        <v>77</v>
      </c>
      <c r="G151" s="148">
        <v>267.80200000000002</v>
      </c>
      <c r="H151" s="149">
        <f t="shared" si="28"/>
        <v>407.048</v>
      </c>
      <c r="I151" s="149"/>
      <c r="J151" s="148">
        <v>674.85</v>
      </c>
      <c r="K151" s="148">
        <v>6116.06</v>
      </c>
      <c r="L151" s="148">
        <v>9907.0300000000007</v>
      </c>
      <c r="M151" s="148"/>
      <c r="N151" s="150">
        <f t="shared" si="29"/>
        <v>0</v>
      </c>
      <c r="O151" s="150">
        <f t="shared" si="30"/>
        <v>2.703151196675492E-2</v>
      </c>
      <c r="P151" s="150">
        <f t="shared" si="31"/>
        <v>0.61734546074857954</v>
      </c>
      <c r="Q151" s="150">
        <f t="shared" si="32"/>
        <v>4.1086783829260634E-2</v>
      </c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</row>
    <row r="152" spans="1:29" x14ac:dyDescent="0.35">
      <c r="A152" s="83"/>
      <c r="B152" s="83"/>
      <c r="C152" s="83"/>
      <c r="D152" s="83"/>
      <c r="E152" s="83"/>
      <c r="F152" s="147" t="s">
        <v>78</v>
      </c>
      <c r="G152" s="148">
        <v>1971.6100000000006</v>
      </c>
      <c r="H152" s="149">
        <f t="shared" si="28"/>
        <v>8433.09</v>
      </c>
      <c r="I152" s="149"/>
      <c r="J152" s="148">
        <v>10404.700000000001</v>
      </c>
      <c r="K152" s="148">
        <v>9218.93</v>
      </c>
      <c r="L152" s="148">
        <v>22739.7</v>
      </c>
      <c r="M152" s="148"/>
      <c r="N152" s="150">
        <f t="shared" si="29"/>
        <v>0</v>
      </c>
      <c r="O152" s="150">
        <f t="shared" si="30"/>
        <v>8.670343056416753E-2</v>
      </c>
      <c r="P152" s="150">
        <f t="shared" si="31"/>
        <v>0.40541124113334831</v>
      </c>
      <c r="Q152" s="150">
        <f t="shared" si="32"/>
        <v>0.37085317748255253</v>
      </c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</row>
    <row r="153" spans="1:29" x14ac:dyDescent="0.35">
      <c r="A153" s="83"/>
      <c r="B153" s="83"/>
      <c r="C153" s="83"/>
      <c r="D153" s="83"/>
      <c r="E153" s="83"/>
      <c r="F153" s="83"/>
      <c r="G153" s="152">
        <f>SUM(G137:G152)</f>
        <v>26736.249</v>
      </c>
      <c r="H153" s="152">
        <f>SUM(H137:H152)</f>
        <v>33001.188000000002</v>
      </c>
      <c r="I153" s="152"/>
      <c r="J153" s="152">
        <f>SUM(J137:J152)</f>
        <v>59737.437000000005</v>
      </c>
      <c r="K153" s="152">
        <f>SUM(K137:K152)</f>
        <v>136517.69999999998</v>
      </c>
      <c r="L153" s="152">
        <f>SUM(L137:L152)</f>
        <v>246112.93</v>
      </c>
      <c r="M153" s="152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</row>
    <row r="154" spans="1:29" x14ac:dyDescent="0.35">
      <c r="A154" s="83"/>
      <c r="B154" s="83"/>
      <c r="C154" s="83"/>
      <c r="D154" s="83"/>
      <c r="E154" s="83"/>
      <c r="F154" s="83" t="s">
        <v>95</v>
      </c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</row>
    <row r="157" spans="1:29" x14ac:dyDescent="0.35">
      <c r="E157" s="333"/>
    </row>
    <row r="158" spans="1:29" x14ac:dyDescent="0.35">
      <c r="F158" s="1173"/>
      <c r="G158" s="1173"/>
      <c r="H158" s="1173"/>
      <c r="I158" s="1173"/>
      <c r="J158" s="1173"/>
      <c r="K158" s="1173"/>
      <c r="L158" s="1173"/>
      <c r="M158" s="1173"/>
      <c r="N158" s="1173"/>
      <c r="O158" s="1173"/>
      <c r="P158" s="1173"/>
      <c r="Q158" s="1173"/>
    </row>
    <row r="160" spans="1:29" x14ac:dyDescent="0.35">
      <c r="F160" s="951"/>
      <c r="G160" s="951"/>
      <c r="H160" s="951"/>
      <c r="I160" s="951"/>
      <c r="J160" s="951"/>
      <c r="K160" s="951"/>
      <c r="L160" s="951"/>
      <c r="M160" s="951"/>
      <c r="N160" s="951"/>
      <c r="O160" s="951"/>
      <c r="P160" s="951"/>
      <c r="Q160" s="951"/>
    </row>
    <row r="161" spans="4:29" x14ac:dyDescent="0.35">
      <c r="F161" s="951"/>
      <c r="G161" s="951"/>
      <c r="H161" s="951"/>
      <c r="I161" s="951"/>
      <c r="J161" s="951"/>
      <c r="K161" s="951"/>
      <c r="L161" s="951"/>
      <c r="M161" s="951"/>
      <c r="N161" s="951"/>
      <c r="O161" s="951"/>
      <c r="P161" s="951"/>
      <c r="Q161" s="951"/>
    </row>
    <row r="162" spans="4:29" x14ac:dyDescent="0.35">
      <c r="F162" s="951"/>
      <c r="G162" s="951"/>
      <c r="H162" s="951"/>
      <c r="I162" s="951"/>
      <c r="J162" s="951"/>
      <c r="K162" s="951"/>
      <c r="L162" s="951"/>
      <c r="M162" s="951"/>
      <c r="N162" s="951"/>
      <c r="O162" s="951"/>
      <c r="P162" s="951"/>
      <c r="Q162" s="951"/>
    </row>
    <row r="163" spans="4:29" x14ac:dyDescent="0.35">
      <c r="F163" s="951"/>
      <c r="G163" s="951"/>
      <c r="H163" s="951"/>
      <c r="I163" s="951"/>
      <c r="J163" s="951"/>
      <c r="K163" s="951"/>
      <c r="L163" s="951"/>
      <c r="M163" s="951"/>
      <c r="N163" s="951"/>
      <c r="O163" s="951"/>
      <c r="P163" s="951"/>
      <c r="Q163" s="951"/>
    </row>
    <row r="166" spans="4:29" x14ac:dyDescent="0.35">
      <c r="E166" s="56"/>
      <c r="F166" s="1169" t="s">
        <v>609</v>
      </c>
      <c r="G166" s="1170"/>
      <c r="H166" s="1170"/>
      <c r="I166" s="1170"/>
      <c r="J166" s="1170"/>
      <c r="K166" s="1171"/>
      <c r="L166" s="1169" t="s">
        <v>610</v>
      </c>
      <c r="M166" s="1170"/>
      <c r="N166" s="1170"/>
      <c r="O166" s="1170"/>
      <c r="P166" s="1170"/>
      <c r="Q166" s="1171"/>
      <c r="R166" s="1169" t="s">
        <v>609</v>
      </c>
      <c r="S166" s="1170"/>
      <c r="T166" s="1170"/>
      <c r="U166" s="1170"/>
      <c r="V166" s="1170"/>
      <c r="W166" s="1171"/>
      <c r="X166" s="1169" t="s">
        <v>611</v>
      </c>
      <c r="Y166" s="1170"/>
      <c r="Z166" s="1170"/>
      <c r="AA166" s="1170"/>
      <c r="AB166" s="1170"/>
      <c r="AC166" s="1171"/>
    </row>
    <row r="167" spans="4:29" x14ac:dyDescent="0.35">
      <c r="D167" t="s">
        <v>96</v>
      </c>
      <c r="E167" s="56" t="s">
        <v>97</v>
      </c>
      <c r="F167" s="56" t="s">
        <v>98</v>
      </c>
      <c r="G167" s="56" t="s">
        <v>99</v>
      </c>
      <c r="H167" s="56" t="s">
        <v>100</v>
      </c>
      <c r="I167" s="56" t="s">
        <v>101</v>
      </c>
      <c r="J167" s="56" t="s">
        <v>102</v>
      </c>
      <c r="K167" s="56" t="s">
        <v>103</v>
      </c>
      <c r="L167" s="56" t="s">
        <v>98</v>
      </c>
      <c r="M167" s="56" t="s">
        <v>99</v>
      </c>
      <c r="N167" s="56" t="s">
        <v>100</v>
      </c>
      <c r="O167" s="56" t="s">
        <v>101</v>
      </c>
      <c r="P167" s="56" t="s">
        <v>102</v>
      </c>
      <c r="Q167" s="56" t="s">
        <v>103</v>
      </c>
      <c r="R167" s="56" t="s">
        <v>98</v>
      </c>
      <c r="S167" s="56" t="s">
        <v>99</v>
      </c>
      <c r="T167" s="56" t="s">
        <v>100</v>
      </c>
      <c r="U167" s="56" t="s">
        <v>101</v>
      </c>
      <c r="V167" s="56" t="s">
        <v>102</v>
      </c>
      <c r="W167" s="56" t="s">
        <v>103</v>
      </c>
      <c r="X167" s="56" t="s">
        <v>98</v>
      </c>
      <c r="Y167" s="56" t="s">
        <v>99</v>
      </c>
      <c r="Z167" s="56" t="s">
        <v>100</v>
      </c>
      <c r="AA167" s="56" t="s">
        <v>101</v>
      </c>
      <c r="AB167" s="56" t="s">
        <v>102</v>
      </c>
      <c r="AC167" s="56" t="s">
        <v>103</v>
      </c>
    </row>
    <row r="168" spans="4:29" x14ac:dyDescent="0.35">
      <c r="D168">
        <v>1</v>
      </c>
      <c r="E168" s="56" t="s">
        <v>91</v>
      </c>
      <c r="F168" s="334">
        <v>0.58147644695773748</v>
      </c>
      <c r="G168" s="334">
        <v>0</v>
      </c>
      <c r="H168" s="334">
        <v>3.7711810906551749E-2</v>
      </c>
      <c r="I168" s="334">
        <v>0.75700824641581999</v>
      </c>
      <c r="J168" s="334">
        <v>6.1238481284634029E-2</v>
      </c>
      <c r="K168" s="334">
        <v>0.56002402125834372</v>
      </c>
      <c r="L168" s="334">
        <v>0.21747313834759874</v>
      </c>
      <c r="M168" s="334">
        <v>0</v>
      </c>
      <c r="N168" s="334">
        <v>3.7711810906551749E-2</v>
      </c>
      <c r="O168" s="334">
        <v>0.75700824641581999</v>
      </c>
      <c r="P168" s="334">
        <v>6.1238481284634029E-2</v>
      </c>
      <c r="Q168" s="334">
        <v>0.56069448257927501</v>
      </c>
      <c r="R168" s="3">
        <v>6.1636503377520171</v>
      </c>
      <c r="S168" s="3">
        <v>0</v>
      </c>
      <c r="T168" s="3">
        <v>0.39974519560944854</v>
      </c>
      <c r="U168" s="3">
        <v>8.0242874120076912</v>
      </c>
      <c r="V168" s="3">
        <v>0.64912790161712064</v>
      </c>
      <c r="W168" s="3">
        <v>5.9362546253384432</v>
      </c>
      <c r="X168" s="3">
        <v>2.3052152664845464</v>
      </c>
      <c r="Y168" s="3">
        <v>0</v>
      </c>
      <c r="Z168" s="3">
        <v>0.39974519560944854</v>
      </c>
      <c r="AA168" s="3">
        <v>8.0242874120076912</v>
      </c>
      <c r="AB168" s="3">
        <v>0.64912790161712064</v>
      </c>
      <c r="AC168" s="3">
        <v>5.9433615153403148</v>
      </c>
    </row>
    <row r="169" spans="4:29" x14ac:dyDescent="0.35">
      <c r="D169">
        <v>2</v>
      </c>
      <c r="E169" s="56" t="s">
        <v>91</v>
      </c>
      <c r="F169" s="334">
        <v>0.29875528630826875</v>
      </c>
      <c r="G169" s="334">
        <v>6.453251540225525E-3</v>
      </c>
      <c r="H169" s="334">
        <v>3.7711810906551749E-2</v>
      </c>
      <c r="I169" s="334">
        <v>0.64920310947921622</v>
      </c>
      <c r="J169" s="334">
        <v>6.1238481284634029E-2</v>
      </c>
      <c r="K169" s="334">
        <v>0.56265756148139623</v>
      </c>
      <c r="L169" s="334">
        <v>0.1418209100443425</v>
      </c>
      <c r="M169" s="334">
        <v>6.8749014339527749E-3</v>
      </c>
      <c r="N169" s="334">
        <v>3.7711810906551749E-2</v>
      </c>
      <c r="O169" s="334">
        <v>0.64920310947921622</v>
      </c>
      <c r="P169" s="334">
        <v>6.1238481284634029E-2</v>
      </c>
      <c r="Q169" s="334">
        <v>0.56305774678924625</v>
      </c>
      <c r="R169" s="3">
        <v>18.797682614516269</v>
      </c>
      <c r="S169" s="3">
        <v>0.40603858691099004</v>
      </c>
      <c r="T169" s="3">
        <v>2.3728271422402361</v>
      </c>
      <c r="U169" s="3">
        <v>40.847859648432284</v>
      </c>
      <c r="V169" s="3">
        <v>3.8531252424291731</v>
      </c>
      <c r="W169" s="3">
        <v>35.402413768409453</v>
      </c>
      <c r="X169" s="3">
        <v>8.9233716599900301</v>
      </c>
      <c r="Y169" s="3">
        <v>0.4325687982243086</v>
      </c>
      <c r="Z169" s="3">
        <v>2.3728271422402361</v>
      </c>
      <c r="AA169" s="3">
        <v>40.847859648432284</v>
      </c>
      <c r="AB169" s="3">
        <v>3.8531252424291731</v>
      </c>
      <c r="AC169" s="3">
        <v>35.427593427979374</v>
      </c>
    </row>
    <row r="170" spans="4:29" x14ac:dyDescent="0.35">
      <c r="D170">
        <v>3</v>
      </c>
      <c r="E170" s="56" t="s">
        <v>91</v>
      </c>
      <c r="F170" s="334">
        <v>0.1455224890715075</v>
      </c>
      <c r="G170" s="334">
        <v>1.111879496339895E-3</v>
      </c>
      <c r="H170" s="334">
        <v>3.7711810906551749E-2</v>
      </c>
      <c r="I170" s="334">
        <v>0.6485017261938637</v>
      </c>
      <c r="J170" s="334">
        <v>6.1238481284634029E-2</v>
      </c>
      <c r="K170" s="334">
        <v>0.5621393283689875</v>
      </c>
      <c r="L170" s="334">
        <v>7.2512922167643878E-2</v>
      </c>
      <c r="M170" s="334">
        <v>1.188476362276235E-3</v>
      </c>
      <c r="N170" s="334">
        <v>3.7711810906551749E-2</v>
      </c>
      <c r="O170" s="334">
        <v>0.6485017261938637</v>
      </c>
      <c r="P170" s="334">
        <v>6.1238481284634029E-2</v>
      </c>
      <c r="Q170" s="334">
        <v>0.56241466163578124</v>
      </c>
      <c r="R170" s="3">
        <v>44.413463664624089</v>
      </c>
      <c r="S170" s="3">
        <v>0.33934562228293597</v>
      </c>
      <c r="T170" s="3">
        <v>11.509644688679593</v>
      </c>
      <c r="U170" s="3">
        <v>197.92272683436718</v>
      </c>
      <c r="V170" s="3">
        <v>18.689984488070305</v>
      </c>
      <c r="W170" s="3">
        <v>171.56492301821498</v>
      </c>
      <c r="X170" s="3">
        <v>22.130943845564911</v>
      </c>
      <c r="Y170" s="3">
        <v>0.36272298576670692</v>
      </c>
      <c r="Z170" s="3">
        <v>11.509644688679593</v>
      </c>
      <c r="AA170" s="3">
        <v>197.92272683436718</v>
      </c>
      <c r="AB170" s="3">
        <v>18.689984488070305</v>
      </c>
      <c r="AC170" s="3">
        <v>171.64895473124042</v>
      </c>
    </row>
    <row r="171" spans="4:29" x14ac:dyDescent="0.35">
      <c r="D171">
        <v>4</v>
      </c>
      <c r="E171" s="56" t="s">
        <v>91</v>
      </c>
      <c r="F171" s="334">
        <v>0.13067397077929124</v>
      </c>
      <c r="G171" s="334">
        <v>2.2715784898567251E-2</v>
      </c>
      <c r="H171" s="334">
        <v>3.7711810906551749E-2</v>
      </c>
      <c r="I171" s="334">
        <v>0.59507501212592995</v>
      </c>
      <c r="J171" s="334">
        <v>6.1238481284634029E-2</v>
      </c>
      <c r="K171" s="334">
        <v>0.5648720859939288</v>
      </c>
      <c r="L171" s="334">
        <v>6.7583372762265129E-2</v>
      </c>
      <c r="M171" s="334">
        <v>2.470742723425175E-2</v>
      </c>
      <c r="N171" s="334">
        <v>2.5141150602022249E-2</v>
      </c>
      <c r="O171" s="334">
        <v>0.59507501212592995</v>
      </c>
      <c r="P171" s="334">
        <v>6.1238481284634029E-2</v>
      </c>
      <c r="Q171" s="334">
        <v>0.56510524771261506</v>
      </c>
      <c r="R171" s="3">
        <v>20.77716135390731</v>
      </c>
      <c r="S171" s="3">
        <v>3.6118097988721938</v>
      </c>
      <c r="T171" s="3">
        <v>5.9961779341417287</v>
      </c>
      <c r="U171" s="3">
        <v>94.616926928022878</v>
      </c>
      <c r="V171" s="3">
        <v>9.7369185242568115</v>
      </c>
      <c r="W171" s="3">
        <v>89.814661673034692</v>
      </c>
      <c r="X171" s="3">
        <v>10.745756269200157</v>
      </c>
      <c r="Y171" s="3">
        <v>3.9284809302460291</v>
      </c>
      <c r="Z171" s="3">
        <v>3.9974429457215384</v>
      </c>
      <c r="AA171" s="3">
        <v>94.616926928022878</v>
      </c>
      <c r="AB171" s="3">
        <v>9.7369185242568115</v>
      </c>
      <c r="AC171" s="3">
        <v>89.851734386305807</v>
      </c>
    </row>
    <row r="172" spans="4:29" x14ac:dyDescent="0.35">
      <c r="D172">
        <v>5</v>
      </c>
      <c r="E172" s="56" t="s">
        <v>91</v>
      </c>
      <c r="F172" s="334">
        <v>0.12656994500273</v>
      </c>
      <c r="G172" s="334">
        <v>6.8808917387696374E-4</v>
      </c>
      <c r="H172" s="334">
        <v>3.7711810906551749E-2</v>
      </c>
      <c r="I172" s="334">
        <v>0.63458211008937371</v>
      </c>
      <c r="J172" s="334">
        <v>6.1238481284634029E-2</v>
      </c>
      <c r="K172" s="334">
        <v>0.56257026365412377</v>
      </c>
      <c r="L172" s="334">
        <v>7.2477018717391373E-2</v>
      </c>
      <c r="M172" s="334">
        <v>8.2167023357493255E-4</v>
      </c>
      <c r="N172" s="334">
        <v>2.5141150602022249E-2</v>
      </c>
      <c r="O172" s="334">
        <v>0.63458211008937371</v>
      </c>
      <c r="P172" s="334">
        <v>6.1238481284634029E-2</v>
      </c>
      <c r="Q172" s="334">
        <v>0.5628727397651625</v>
      </c>
      <c r="R172" s="3">
        <v>3.5743352468770953</v>
      </c>
      <c r="S172" s="3">
        <v>1.9431638270285458E-2</v>
      </c>
      <c r="T172" s="3">
        <v>1.0649815400010214</v>
      </c>
      <c r="U172" s="3">
        <v>17.920598788923915</v>
      </c>
      <c r="V172" s="3">
        <v>1.7293747114780651</v>
      </c>
      <c r="W172" s="3">
        <v>15.886984245592457</v>
      </c>
      <c r="X172" s="3">
        <v>2.0467510085791325</v>
      </c>
      <c r="Y172" s="3">
        <v>2.3203967396156096E-2</v>
      </c>
      <c r="Z172" s="3">
        <v>0.70998609300110838</v>
      </c>
      <c r="AA172" s="3">
        <v>17.920598788923915</v>
      </c>
      <c r="AB172" s="3">
        <v>1.7293747114780651</v>
      </c>
      <c r="AC172" s="3">
        <v>15.895526170968191</v>
      </c>
    </row>
    <row r="173" spans="4:29" x14ac:dyDescent="0.35">
      <c r="D173">
        <v>6</v>
      </c>
      <c r="E173" s="56" t="s">
        <v>91</v>
      </c>
      <c r="F173" s="334">
        <v>2.6959416173154251E-2</v>
      </c>
      <c r="G173" s="334">
        <v>1.6161239609141623E-2</v>
      </c>
      <c r="H173" s="334">
        <v>3.7942740082964999E-2</v>
      </c>
      <c r="I173" s="334">
        <v>0.5594289062573925</v>
      </c>
      <c r="J173" s="334">
        <v>6.1470951275614666E-2</v>
      </c>
      <c r="K173" s="334">
        <v>0.56815351167256134</v>
      </c>
      <c r="L173" s="334">
        <v>1.7833986571579623E-2</v>
      </c>
      <c r="M173" s="334">
        <v>1.7182926458352E-2</v>
      </c>
      <c r="N173" s="334">
        <v>2.5295103039283749E-2</v>
      </c>
      <c r="O173" s="334">
        <v>0.5594289062573925</v>
      </c>
      <c r="P173" s="334">
        <v>6.1470951275614666E-2</v>
      </c>
      <c r="Q173" s="334">
        <v>0.56826054091531752</v>
      </c>
      <c r="R173" s="3">
        <v>3.6341293001411925</v>
      </c>
      <c r="S173" s="3">
        <v>2.1785350993122905</v>
      </c>
      <c r="T173" s="3">
        <v>5.1146813631836814</v>
      </c>
      <c r="U173" s="3">
        <v>75.411016563496503</v>
      </c>
      <c r="V173" s="3">
        <v>8.2862842319528554</v>
      </c>
      <c r="W173" s="3">
        <v>76.587093373461258</v>
      </c>
      <c r="X173" s="3">
        <v>2.4040213898489329</v>
      </c>
      <c r="Y173" s="3">
        <v>2.3162584865858493</v>
      </c>
      <c r="Z173" s="3">
        <v>3.4097798896954488</v>
      </c>
      <c r="AA173" s="3">
        <v>75.411016563496503</v>
      </c>
      <c r="AB173" s="3">
        <v>8.2862842319528554</v>
      </c>
      <c r="AC173" s="3">
        <v>76.601520915384796</v>
      </c>
    </row>
    <row r="174" spans="4:29" x14ac:dyDescent="0.35">
      <c r="D174">
        <v>7</v>
      </c>
      <c r="E174" s="56" t="s">
        <v>91</v>
      </c>
      <c r="F174" s="334">
        <v>1.0457996006031424E-2</v>
      </c>
      <c r="G174" s="334">
        <v>2.1800056509699874E-2</v>
      </c>
      <c r="H174" s="334">
        <v>3.7831909804108374E-2</v>
      </c>
      <c r="I174" s="334">
        <v>0.57195009574273747</v>
      </c>
      <c r="J174" s="334">
        <v>6.1314085462605541E-2</v>
      </c>
      <c r="K174" s="334">
        <v>0.56781276094480504</v>
      </c>
      <c r="L174" s="334">
        <v>7.4172462662809371E-3</v>
      </c>
      <c r="M174" s="334">
        <v>2.3172588107970876E-2</v>
      </c>
      <c r="N174" s="334">
        <v>2.5221216353255749E-2</v>
      </c>
      <c r="O174" s="334">
        <v>0.57195009574273747</v>
      </c>
      <c r="P174" s="334">
        <v>6.1314085462605541E-2</v>
      </c>
      <c r="Q174" s="334">
        <v>0.56786107808545128</v>
      </c>
      <c r="R174" s="3">
        <v>1.5155727811940738</v>
      </c>
      <c r="S174" s="3">
        <v>3.1592641893857056</v>
      </c>
      <c r="T174" s="3">
        <v>5.4826003688113847</v>
      </c>
      <c r="U174" s="3">
        <v>82.887007875037511</v>
      </c>
      <c r="V174" s="3">
        <v>8.8856372652407938</v>
      </c>
      <c r="W174" s="3">
        <v>82.287425316121144</v>
      </c>
      <c r="X174" s="3">
        <v>1.0749073289094333</v>
      </c>
      <c r="Y174" s="3">
        <v>3.3581714686071389</v>
      </c>
      <c r="Z174" s="3">
        <v>3.6550586739138229</v>
      </c>
      <c r="AA174" s="3">
        <v>82.887007875037511</v>
      </c>
      <c r="AB174" s="3">
        <v>8.8856372652407938</v>
      </c>
      <c r="AC174" s="3">
        <v>82.294427436143593</v>
      </c>
    </row>
    <row r="175" spans="4:29" x14ac:dyDescent="0.35">
      <c r="D175">
        <v>8</v>
      </c>
      <c r="E175" s="56" t="s">
        <v>91</v>
      </c>
      <c r="F175" s="334">
        <v>1.1632026180843863E-2</v>
      </c>
      <c r="G175" s="334">
        <v>6.3233416964524627E-2</v>
      </c>
      <c r="H175" s="334">
        <v>3.7942740082964999E-2</v>
      </c>
      <c r="I175" s="334">
        <v>0.53611274687835997</v>
      </c>
      <c r="J175" s="334">
        <v>6.1470951275614666E-2</v>
      </c>
      <c r="K175" s="334">
        <v>0.56989352044623631</v>
      </c>
      <c r="L175" s="334">
        <v>1.1773259947709313E-2</v>
      </c>
      <c r="M175" s="334">
        <v>6.7187799567589995E-2</v>
      </c>
      <c r="N175" s="334">
        <v>2.5295103039283749E-2</v>
      </c>
      <c r="O175" s="334">
        <v>0.53611274687835997</v>
      </c>
      <c r="P175" s="334">
        <v>6.1470951275614666E-2</v>
      </c>
      <c r="Q175" s="334">
        <v>0.56995621424800746</v>
      </c>
      <c r="R175" s="3">
        <v>2.2045016017935288</v>
      </c>
      <c r="S175" s="3">
        <v>11.983997183116708</v>
      </c>
      <c r="T175" s="3">
        <v>7.1909081005235267</v>
      </c>
      <c r="U175" s="3">
        <v>101.60408778838679</v>
      </c>
      <c r="V175" s="3">
        <v>11.649974685754492</v>
      </c>
      <c r="W175" s="3">
        <v>108.00621999497071</v>
      </c>
      <c r="X175" s="3">
        <v>2.231268225289869</v>
      </c>
      <c r="Y175" s="3">
        <v>12.733431774049656</v>
      </c>
      <c r="Z175" s="3">
        <v>4.7939279280050568</v>
      </c>
      <c r="AA175" s="3">
        <v>101.60408778838679</v>
      </c>
      <c r="AB175" s="3">
        <v>11.649974685754492</v>
      </c>
      <c r="AC175" s="3">
        <v>108.01810172428237</v>
      </c>
    </row>
    <row r="176" spans="4:29" x14ac:dyDescent="0.35">
      <c r="D176">
        <v>9</v>
      </c>
      <c r="E176" s="56" t="s">
        <v>91</v>
      </c>
      <c r="F176" s="334">
        <v>3.6820944664735372E-2</v>
      </c>
      <c r="G176" s="334">
        <v>5.8783574691624124E-2</v>
      </c>
      <c r="H176" s="334">
        <v>3.7942740082964999E-2</v>
      </c>
      <c r="I176" s="334">
        <v>0.53578368669311371</v>
      </c>
      <c r="J176" s="334">
        <v>6.1470951275614666E-2</v>
      </c>
      <c r="K176" s="334">
        <v>0.56915861578893123</v>
      </c>
      <c r="L176" s="334">
        <v>2.52563052279445E-2</v>
      </c>
      <c r="M176" s="334">
        <v>6.2417291522624999E-2</v>
      </c>
      <c r="N176" s="334">
        <v>2.5295103039283749E-2</v>
      </c>
      <c r="O176" s="334">
        <v>0.53578368669311371</v>
      </c>
      <c r="P176" s="334">
        <v>6.1470951275614666E-2</v>
      </c>
      <c r="Q176" s="334">
        <v>0.56928499143460376</v>
      </c>
      <c r="R176" s="3">
        <v>16.38384753802065</v>
      </c>
      <c r="S176" s="3">
        <v>26.156339394785068</v>
      </c>
      <c r="T176" s="3">
        <v>16.883001627316105</v>
      </c>
      <c r="U176" s="3">
        <v>238.40230923096786</v>
      </c>
      <c r="V176" s="3">
        <v>27.3521144795975</v>
      </c>
      <c r="W176" s="3">
        <v>253.25281768144282</v>
      </c>
      <c r="X176" s="3">
        <v>11.238045574226184</v>
      </c>
      <c r="Y176" s="3">
        <v>27.773198035907217</v>
      </c>
      <c r="Z176" s="3">
        <v>11.255309048359697</v>
      </c>
      <c r="AA176" s="3">
        <v>238.40230923096786</v>
      </c>
      <c r="AB176" s="3">
        <v>27.3521144795975</v>
      </c>
      <c r="AC176" s="3">
        <v>253.30904978874128</v>
      </c>
    </row>
    <row r="177" spans="4:29" x14ac:dyDescent="0.35">
      <c r="D177">
        <v>10</v>
      </c>
      <c r="E177" s="56" t="s">
        <v>91</v>
      </c>
      <c r="F177" s="334">
        <v>7.5542697175191506E-2</v>
      </c>
      <c r="G177" s="334">
        <v>8.0356695093874123E-2</v>
      </c>
      <c r="H177" s="334">
        <v>3.7942740082964999E-2</v>
      </c>
      <c r="I177" s="334">
        <v>0.53102342353865373</v>
      </c>
      <c r="J177" s="334">
        <v>6.1470951275614666E-2</v>
      </c>
      <c r="K177" s="334">
        <v>0.56898665597944253</v>
      </c>
      <c r="L177" s="334">
        <v>5.0485664489879623E-2</v>
      </c>
      <c r="M177" s="334">
        <v>8.5269145719015005E-2</v>
      </c>
      <c r="N177" s="334">
        <v>2.5295103039283749E-2</v>
      </c>
      <c r="O177" s="334">
        <v>0.53102342353865373</v>
      </c>
      <c r="P177" s="334">
        <v>6.1470951275614666E-2</v>
      </c>
      <c r="Q177" s="334">
        <v>0.56918539047171124</v>
      </c>
      <c r="R177" s="3">
        <v>11.875311995940105</v>
      </c>
      <c r="S177" s="3">
        <v>12.632072468757013</v>
      </c>
      <c r="T177" s="3">
        <v>5.9645987410420984</v>
      </c>
      <c r="U177" s="3">
        <v>83.476882180276377</v>
      </c>
      <c r="V177" s="3">
        <v>9.6632335405266261</v>
      </c>
      <c r="W177" s="3">
        <v>89.444702319968371</v>
      </c>
      <c r="X177" s="3">
        <v>7.9363464578090772</v>
      </c>
      <c r="Y177" s="3">
        <v>13.40430970702916</v>
      </c>
      <c r="Z177" s="3">
        <v>3.9763901977754057</v>
      </c>
      <c r="AA177" s="3">
        <v>83.476882180276377</v>
      </c>
      <c r="AB177" s="3">
        <v>9.6632335405266261</v>
      </c>
      <c r="AC177" s="3">
        <v>89.475943382153019</v>
      </c>
    </row>
    <row r="178" spans="4:29" x14ac:dyDescent="0.35">
      <c r="D178">
        <v>11</v>
      </c>
      <c r="E178" s="56" t="s">
        <v>91</v>
      </c>
      <c r="F178" s="334">
        <v>0.26317564586495623</v>
      </c>
      <c r="G178" s="334">
        <v>0.105555470757091</v>
      </c>
      <c r="H178" s="334">
        <v>3.7711810906551749E-2</v>
      </c>
      <c r="I178" s="334">
        <v>0.56771122062413371</v>
      </c>
      <c r="J178" s="334">
        <v>6.1238481284634029E-2</v>
      </c>
      <c r="K178" s="334">
        <v>0.565548430398925</v>
      </c>
      <c r="L178" s="334">
        <v>0.1371792521145925</v>
      </c>
      <c r="M178" s="334">
        <v>0.11187422659803725</v>
      </c>
      <c r="N178" s="334">
        <v>3.7711810906551749E-2</v>
      </c>
      <c r="O178" s="334">
        <v>0.56771122062413371</v>
      </c>
      <c r="P178" s="334">
        <v>6.1238481284634029E-2</v>
      </c>
      <c r="Q178" s="334">
        <v>0.56589907989982124</v>
      </c>
      <c r="R178" s="3">
        <v>11.811322986419235</v>
      </c>
      <c r="S178" s="3">
        <v>4.7373295275782432</v>
      </c>
      <c r="T178" s="3">
        <v>1.6925060734860422</v>
      </c>
      <c r="U178" s="3">
        <v>25.478879581611118</v>
      </c>
      <c r="V178" s="3">
        <v>2.7483830400543749</v>
      </c>
      <c r="W178" s="3">
        <v>25.381813556303751</v>
      </c>
      <c r="X178" s="3">
        <v>6.156604834902911</v>
      </c>
      <c r="Y178" s="3">
        <v>5.0209152897199116</v>
      </c>
      <c r="Z178" s="3">
        <v>1.6925060734860422</v>
      </c>
      <c r="AA178" s="3">
        <v>25.478879581611118</v>
      </c>
      <c r="AB178" s="3">
        <v>2.7483830400543749</v>
      </c>
      <c r="AC178" s="3">
        <v>25.397550705903974</v>
      </c>
    </row>
    <row r="179" spans="4:29" x14ac:dyDescent="0.35">
      <c r="D179">
        <v>12</v>
      </c>
      <c r="E179" s="56" t="s">
        <v>91</v>
      </c>
      <c r="F179" s="334">
        <v>0.2441704133471975</v>
      </c>
      <c r="G179" s="334">
        <v>4.3329066279921377E-2</v>
      </c>
      <c r="H179" s="334">
        <v>3.7711810906551749E-2</v>
      </c>
      <c r="I179" s="334">
        <v>0.59544250744216376</v>
      </c>
      <c r="J179" s="334">
        <v>6.1238481284634029E-2</v>
      </c>
      <c r="K179" s="334">
        <v>0.56484451875810504</v>
      </c>
      <c r="L179" s="334">
        <v>0.12443673400405625</v>
      </c>
      <c r="M179" s="334">
        <v>4.6093310146508124E-2</v>
      </c>
      <c r="N179" s="334">
        <v>3.7711810906551749E-2</v>
      </c>
      <c r="O179" s="334">
        <v>0.59544250744216376</v>
      </c>
      <c r="P179" s="334">
        <v>6.1238481284634029E-2</v>
      </c>
      <c r="Q179" s="334">
        <v>0.56518275938802121</v>
      </c>
      <c r="R179" s="3">
        <v>61.872782742179851</v>
      </c>
      <c r="S179" s="3">
        <v>10.979585395332078</v>
      </c>
      <c r="T179" s="3">
        <v>9.5561728837202136</v>
      </c>
      <c r="U179" s="3">
        <v>150.88513138584432</v>
      </c>
      <c r="V179" s="3">
        <v>15.517831157526265</v>
      </c>
      <c r="W179" s="3">
        <v>143.13160105330383</v>
      </c>
      <c r="X179" s="3">
        <v>31.532268396627856</v>
      </c>
      <c r="Y179" s="3">
        <v>11.680044791125161</v>
      </c>
      <c r="Z179" s="3">
        <v>9.5561728837202136</v>
      </c>
      <c r="AA179" s="3">
        <v>150.88513138584432</v>
      </c>
      <c r="AB179" s="3">
        <v>15.517831157526265</v>
      </c>
      <c r="AC179" s="3">
        <v>143.21731122892459</v>
      </c>
    </row>
    <row r="180" spans="4:29" x14ac:dyDescent="0.35">
      <c r="D180">
        <v>13</v>
      </c>
      <c r="E180" s="56" t="s">
        <v>91</v>
      </c>
      <c r="F180" s="334">
        <v>0.19438642825588501</v>
      </c>
      <c r="G180" s="334">
        <v>0.12582268605663999</v>
      </c>
      <c r="H180" s="334">
        <v>3.7711810906551749E-2</v>
      </c>
      <c r="I180" s="334">
        <v>0.54201426595015378</v>
      </c>
      <c r="J180" s="334">
        <v>6.1238481284634029E-2</v>
      </c>
      <c r="K180" s="334">
        <v>0.56635920183397748</v>
      </c>
      <c r="L180" s="334">
        <v>0.10470724006695351</v>
      </c>
      <c r="M180" s="334">
        <v>0.13334300071578251</v>
      </c>
      <c r="N180" s="334">
        <v>3.7711810906551749E-2</v>
      </c>
      <c r="O180" s="334">
        <v>0.54201426595015378</v>
      </c>
      <c r="P180" s="334">
        <v>6.1238481284634029E-2</v>
      </c>
      <c r="Q180" s="334">
        <v>0.56664677238528871</v>
      </c>
      <c r="R180" s="3">
        <v>14.376820233805256</v>
      </c>
      <c r="S180" s="3">
        <v>9.3058458607490948</v>
      </c>
      <c r="T180" s="3">
        <v>2.7891655346485678</v>
      </c>
      <c r="U180" s="3">
        <v>40.087375109673381</v>
      </c>
      <c r="V180" s="3">
        <v>4.5291980758115331</v>
      </c>
      <c r="W180" s="3">
        <v>41.887926567640982</v>
      </c>
      <c r="X180" s="3">
        <v>7.7441474753518822</v>
      </c>
      <c r="Y180" s="3">
        <v>9.8620483329392759</v>
      </c>
      <c r="Z180" s="3">
        <v>2.7891655346485678</v>
      </c>
      <c r="AA180" s="3">
        <v>40.087375109673381</v>
      </c>
      <c r="AB180" s="3">
        <v>4.5291980758115331</v>
      </c>
      <c r="AC180" s="3">
        <v>41.909195285615958</v>
      </c>
    </row>
    <row r="181" spans="4:29" x14ac:dyDescent="0.35">
      <c r="D181">
        <v>14</v>
      </c>
      <c r="E181" s="56" t="s">
        <v>91</v>
      </c>
      <c r="F181" s="334">
        <v>0.24705823223197876</v>
      </c>
      <c r="G181" s="334">
        <v>9.4166763408626869E-2</v>
      </c>
      <c r="H181" s="334">
        <v>3.7942740082964999E-2</v>
      </c>
      <c r="I181" s="334">
        <v>0.53905811379263002</v>
      </c>
      <c r="J181" s="334">
        <v>6.1470951275614666E-2</v>
      </c>
      <c r="K181" s="334">
        <v>0.56723454019494368</v>
      </c>
      <c r="L181" s="334">
        <v>0.15046971230700626</v>
      </c>
      <c r="M181" s="334">
        <v>0.10094391778988362</v>
      </c>
      <c r="N181" s="334">
        <v>2.5295103039283749E-2</v>
      </c>
      <c r="O181" s="334">
        <v>0.53905811379263002</v>
      </c>
      <c r="P181" s="334">
        <v>6.1470951275614666E-2</v>
      </c>
      <c r="Q181" s="334">
        <v>0.5676194868277562</v>
      </c>
      <c r="R181" s="3">
        <v>8.301156602994487</v>
      </c>
      <c r="S181" s="3">
        <v>3.1640032505298628</v>
      </c>
      <c r="T181" s="3">
        <v>1.274876066787624</v>
      </c>
      <c r="U181" s="3">
        <v>18.112352623432368</v>
      </c>
      <c r="V181" s="3">
        <v>2.065423962860653</v>
      </c>
      <c r="W181" s="3">
        <v>19.05908055055011</v>
      </c>
      <c r="X181" s="3">
        <v>5.0557823335154106</v>
      </c>
      <c r="Y181" s="3">
        <v>3.3917156377400901</v>
      </c>
      <c r="Z181" s="3">
        <v>0.84991546211993396</v>
      </c>
      <c r="AA181" s="3">
        <v>18.112352623432368</v>
      </c>
      <c r="AB181" s="3">
        <v>2.065423962860653</v>
      </c>
      <c r="AC181" s="3">
        <v>19.07201475741261</v>
      </c>
    </row>
    <row r="182" spans="4:29" x14ac:dyDescent="0.35">
      <c r="D182">
        <v>15</v>
      </c>
      <c r="E182" s="56" t="s">
        <v>91</v>
      </c>
      <c r="F182" s="334">
        <v>3.2437774604612874E-3</v>
      </c>
      <c r="G182" s="334">
        <v>0.26471584246987873</v>
      </c>
      <c r="H182" s="334">
        <v>3.7942735218487497E-2</v>
      </c>
      <c r="I182" s="334">
        <v>0.402319972445775</v>
      </c>
      <c r="J182" s="334">
        <v>6.1470951275614666E-2</v>
      </c>
      <c r="K182" s="334">
        <v>0.57197348720671626</v>
      </c>
      <c r="L182" s="334">
        <v>6.8199159937099626E-3</v>
      </c>
      <c r="M182" s="334">
        <v>0.28041353484901249</v>
      </c>
      <c r="N182" s="334">
        <v>2.5295099797487376E-2</v>
      </c>
      <c r="O182" s="334">
        <v>0.402319972445775</v>
      </c>
      <c r="P182" s="334">
        <v>6.1470951275614666E-2</v>
      </c>
      <c r="Q182" s="334">
        <v>0.57199754105908496</v>
      </c>
      <c r="R182" s="3">
        <v>7.0973850834892951E-2</v>
      </c>
      <c r="S182" s="3">
        <v>5.791982633240945</v>
      </c>
      <c r="T182" s="3">
        <v>0.83018704658050624</v>
      </c>
      <c r="U182" s="3">
        <v>8.8027609971135554</v>
      </c>
      <c r="V182" s="3">
        <v>1.3449844139104485</v>
      </c>
      <c r="W182" s="3">
        <v>12.514779900082949</v>
      </c>
      <c r="X182" s="3">
        <v>0.14921976194237396</v>
      </c>
      <c r="Y182" s="3">
        <v>6.1354481424963918</v>
      </c>
      <c r="Z182" s="3">
        <v>0.55345678356902372</v>
      </c>
      <c r="AA182" s="3">
        <v>8.8027609971135554</v>
      </c>
      <c r="AB182" s="3">
        <v>1.3449844139104485</v>
      </c>
      <c r="AC182" s="3">
        <v>12.515306198372777</v>
      </c>
    </row>
    <row r="183" spans="4:29" x14ac:dyDescent="0.35">
      <c r="D183">
        <v>16</v>
      </c>
      <c r="E183" s="56" t="s">
        <v>91</v>
      </c>
      <c r="F183" s="334">
        <v>0.70212785859190374</v>
      </c>
      <c r="G183" s="334">
        <v>1.6399353151989125E-2</v>
      </c>
      <c r="H183" s="334">
        <v>3.7942740082964999E-2</v>
      </c>
      <c r="I183" s="334">
        <v>0.69758280378350745</v>
      </c>
      <c r="J183" s="334">
        <v>6.1470951275614666E-2</v>
      </c>
      <c r="K183" s="334">
        <v>0.56494597792041001</v>
      </c>
      <c r="L183" s="334">
        <v>0.57117564934282872</v>
      </c>
      <c r="M183" s="334">
        <v>1.7584155792469126E-2</v>
      </c>
      <c r="N183" s="334">
        <v>3.7942740082964999E-2</v>
      </c>
      <c r="O183" s="334">
        <v>0.69758280378350745</v>
      </c>
      <c r="P183" s="334">
        <v>6.1470951275614666E-2</v>
      </c>
      <c r="Q183" s="334">
        <v>0.56516911023411753</v>
      </c>
      <c r="R183" s="3">
        <v>9.5208537625062153</v>
      </c>
      <c r="S183" s="3">
        <v>0.22237522874097254</v>
      </c>
      <c r="T183" s="3">
        <v>0.51450355552500537</v>
      </c>
      <c r="U183" s="3">
        <v>9.4592228193043617</v>
      </c>
      <c r="V183" s="3">
        <v>0.83354609929733492</v>
      </c>
      <c r="W183" s="3">
        <v>7.6606674606007603</v>
      </c>
      <c r="X183" s="3">
        <v>7.7451418050887577</v>
      </c>
      <c r="Y183" s="3">
        <v>0.23844115254588136</v>
      </c>
      <c r="Z183" s="3">
        <v>0.51450355552500537</v>
      </c>
      <c r="AA183" s="3">
        <v>9.4592228193043617</v>
      </c>
      <c r="AB183" s="3">
        <v>0.83354609929733492</v>
      </c>
      <c r="AC183" s="3">
        <v>7.6636931347746344</v>
      </c>
    </row>
    <row r="184" spans="4:29" x14ac:dyDescent="0.35">
      <c r="D184" t="s">
        <v>96</v>
      </c>
      <c r="E184" s="5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35">
        <f>SUM(R168:R183)</f>
        <v>235.2935666135063</v>
      </c>
      <c r="S184" s="335">
        <f t="shared" ref="S184:AC184" si="33">SUM(S168:S183)</f>
        <v>94.687955877864383</v>
      </c>
      <c r="T184" s="335">
        <f t="shared" si="33"/>
        <v>78.636577862296789</v>
      </c>
      <c r="U184" s="335">
        <f t="shared" si="33"/>
        <v>1193.939425766898</v>
      </c>
      <c r="V184" s="335">
        <f t="shared" si="33"/>
        <v>127.53514182038435</v>
      </c>
      <c r="W184" s="335">
        <f t="shared" si="33"/>
        <v>1177.8193651050365</v>
      </c>
      <c r="X184" s="335">
        <f t="shared" si="33"/>
        <v>129.41979163333147</v>
      </c>
      <c r="Y184" s="335">
        <f t="shared" si="33"/>
        <v>100.66095950037892</v>
      </c>
      <c r="Z184" s="335">
        <f t="shared" si="33"/>
        <v>62.035832096070145</v>
      </c>
      <c r="AA184" s="335">
        <f t="shared" si="33"/>
        <v>1193.939425766898</v>
      </c>
      <c r="AB184" s="335">
        <f t="shared" si="33"/>
        <v>127.53514182038435</v>
      </c>
      <c r="AC184" s="335">
        <f t="shared" si="33"/>
        <v>1178.2412847895437</v>
      </c>
    </row>
    <row r="185" spans="4:29" x14ac:dyDescent="0.35">
      <c r="D185">
        <v>1</v>
      </c>
      <c r="E185" s="56" t="s">
        <v>92</v>
      </c>
      <c r="F185" s="334">
        <v>0.46811079086626389</v>
      </c>
      <c r="G185" s="334">
        <v>2.9828640946497496E-5</v>
      </c>
      <c r="H185" s="334">
        <v>6.9904248919663889E-2</v>
      </c>
      <c r="I185" s="334">
        <v>0.85767651868932782</v>
      </c>
      <c r="J185" s="334">
        <v>8.8382634468901169E-2</v>
      </c>
      <c r="K185" s="334">
        <v>0.59175409461643247</v>
      </c>
      <c r="L185" s="334">
        <v>0.27017081030645196</v>
      </c>
      <c r="M185" s="334">
        <v>3.0090949560619443E-5</v>
      </c>
      <c r="N185" s="334">
        <v>6.9904248919663889E-2</v>
      </c>
      <c r="O185" s="334">
        <v>0.85767651868932782</v>
      </c>
      <c r="P185" s="334">
        <v>8.8382634468901169E-2</v>
      </c>
      <c r="Q185" s="334">
        <v>0.59221719137768813</v>
      </c>
      <c r="R185" s="3">
        <v>40.936288661254778</v>
      </c>
      <c r="S185" s="3">
        <v>2.6085146507712062E-3</v>
      </c>
      <c r="T185" s="3">
        <v>6.1131265680246072</v>
      </c>
      <c r="U185" s="3">
        <v>75.003811559381717</v>
      </c>
      <c r="V185" s="3">
        <v>7.7290613843054077</v>
      </c>
      <c r="W185" s="3">
        <v>51.748895574207019</v>
      </c>
      <c r="X185" s="3">
        <v>23.626437361299224</v>
      </c>
      <c r="Y185" s="3">
        <v>2.6314535390761706E-3</v>
      </c>
      <c r="Z185" s="3">
        <v>6.1131265680246072</v>
      </c>
      <c r="AA185" s="3">
        <v>75.003811559381717</v>
      </c>
      <c r="AB185" s="3">
        <v>7.7290613843054077</v>
      </c>
      <c r="AC185" s="3">
        <v>51.789393385978826</v>
      </c>
    </row>
    <row r="186" spans="4:29" x14ac:dyDescent="0.35">
      <c r="D186">
        <v>2</v>
      </c>
      <c r="E186" s="56" t="s">
        <v>92</v>
      </c>
      <c r="F186" s="334">
        <v>0.27892726453126387</v>
      </c>
      <c r="G186" s="334">
        <v>1.2491199324695416E-2</v>
      </c>
      <c r="H186" s="334">
        <v>6.9904248919663889E-2</v>
      </c>
      <c r="I186" s="334">
        <v>0.78741297408438893</v>
      </c>
      <c r="J186" s="334">
        <v>8.8382634468901169E-2</v>
      </c>
      <c r="K186" s="334">
        <v>0.59426760639022147</v>
      </c>
      <c r="L186" s="334">
        <v>0.1882486882341525</v>
      </c>
      <c r="M186" s="334">
        <v>1.3096999546952611E-2</v>
      </c>
      <c r="N186" s="334">
        <v>6.9904248919663889E-2</v>
      </c>
      <c r="O186" s="334">
        <v>0.78741297408438893</v>
      </c>
      <c r="P186" s="334">
        <v>8.8382634468901169E-2</v>
      </c>
      <c r="Q186" s="334">
        <v>0.59455421935894637</v>
      </c>
      <c r="R186" s="3">
        <v>144.78835374553378</v>
      </c>
      <c r="S186" s="3">
        <v>6.4840566574561436</v>
      </c>
      <c r="T186" s="3">
        <v>36.28659657170833</v>
      </c>
      <c r="U186" s="3">
        <v>408.73820071746547</v>
      </c>
      <c r="V186" s="3">
        <v>45.878541726461911</v>
      </c>
      <c r="W186" s="3">
        <v>308.47837180110008</v>
      </c>
      <c r="X186" s="3">
        <v>97.718011575466221</v>
      </c>
      <c r="Y186" s="3">
        <v>6.7985214948276314</v>
      </c>
      <c r="Z186" s="3">
        <v>36.28659657170833</v>
      </c>
      <c r="AA186" s="3">
        <v>408.73820071746547</v>
      </c>
      <c r="AB186" s="3">
        <v>45.878541726461911</v>
      </c>
      <c r="AC186" s="3">
        <v>308.62714972703549</v>
      </c>
    </row>
    <row r="187" spans="4:29" x14ac:dyDescent="0.35">
      <c r="D187">
        <v>3</v>
      </c>
      <c r="E187" s="56" t="s">
        <v>92</v>
      </c>
      <c r="F187" s="334">
        <v>0.13908906895147444</v>
      </c>
      <c r="G187" s="334">
        <v>3.4375471045008611E-3</v>
      </c>
      <c r="H187" s="334">
        <v>6.9904248919663889E-2</v>
      </c>
      <c r="I187" s="334">
        <v>0.78577201913099448</v>
      </c>
      <c r="J187" s="334">
        <v>8.8382634468901169E-2</v>
      </c>
      <c r="K187" s="334">
        <v>0.59407075128595477</v>
      </c>
      <c r="L187" s="334">
        <v>0.10943897360242917</v>
      </c>
      <c r="M187" s="334">
        <v>3.6207897684036386E-3</v>
      </c>
      <c r="N187" s="334">
        <v>6.9904248919663889E-2</v>
      </c>
      <c r="O187" s="334">
        <v>0.78577201913099448</v>
      </c>
      <c r="P187" s="334">
        <v>8.8382634468901169E-2</v>
      </c>
      <c r="Q187" s="334">
        <v>0.59424590450713533</v>
      </c>
      <c r="R187" s="3">
        <v>350.21236671291751</v>
      </c>
      <c r="S187" s="3">
        <v>8.6553998544227184</v>
      </c>
      <c r="T187" s="3">
        <v>176.01190835482171</v>
      </c>
      <c r="U187" s="3">
        <v>1978.4953669699312</v>
      </c>
      <c r="V187" s="3">
        <v>222.53863532924626</v>
      </c>
      <c r="W187" s="3">
        <v>1495.8107446629056</v>
      </c>
      <c r="X187" s="3">
        <v>275.55639163355642</v>
      </c>
      <c r="Y187" s="3">
        <v>9.1167865578635219</v>
      </c>
      <c r="Z187" s="3">
        <v>176.01190835482171</v>
      </c>
      <c r="AA187" s="3">
        <v>1978.4953669699312</v>
      </c>
      <c r="AB187" s="3">
        <v>222.53863532924626</v>
      </c>
      <c r="AC187" s="3">
        <v>1496.2517629585161</v>
      </c>
    </row>
    <row r="188" spans="4:29" x14ac:dyDescent="0.35">
      <c r="D188">
        <v>4</v>
      </c>
      <c r="E188" s="56" t="s">
        <v>92</v>
      </c>
      <c r="F188" s="334">
        <v>0.13139453599333806</v>
      </c>
      <c r="G188" s="334">
        <v>4.4239993932754719E-2</v>
      </c>
      <c r="H188" s="334">
        <v>6.9904248919663889E-2</v>
      </c>
      <c r="I188" s="334">
        <v>0.74352821207039166</v>
      </c>
      <c r="J188" s="334">
        <v>8.8382634468901169E-2</v>
      </c>
      <c r="K188" s="334">
        <v>0.59674573375583251</v>
      </c>
      <c r="L188" s="334">
        <v>0.10129856572505362</v>
      </c>
      <c r="M188" s="334">
        <v>4.6803587012025832E-2</v>
      </c>
      <c r="N188" s="334">
        <v>5.6980691786375007E-2</v>
      </c>
      <c r="O188" s="334">
        <v>0.74352821207039166</v>
      </c>
      <c r="P188" s="334">
        <v>8.8382634468901169E-2</v>
      </c>
      <c r="Q188" s="334">
        <v>0.59690444951968535</v>
      </c>
      <c r="R188" s="3">
        <v>172.35678258926123</v>
      </c>
      <c r="S188" s="3">
        <v>58.031812041291012</v>
      </c>
      <c r="T188" s="3">
        <v>91.696898520369118</v>
      </c>
      <c r="U188" s="3">
        <v>975.32313218333638</v>
      </c>
      <c r="V188" s="3">
        <v>115.93592076458113</v>
      </c>
      <c r="W188" s="3">
        <v>782.7812162542134</v>
      </c>
      <c r="X188" s="3">
        <v>132.87839358983911</v>
      </c>
      <c r="Y188" s="3">
        <v>61.394605263024893</v>
      </c>
      <c r="Z188" s="3">
        <v>74.744422450777435</v>
      </c>
      <c r="AA188" s="3">
        <v>975.32313218333638</v>
      </c>
      <c r="AB188" s="3">
        <v>115.93592076458113</v>
      </c>
      <c r="AC188" s="3">
        <v>782.98941165744736</v>
      </c>
    </row>
    <row r="189" spans="4:29" x14ac:dyDescent="0.35">
      <c r="D189">
        <v>5</v>
      </c>
      <c r="E189" s="56" t="s">
        <v>92</v>
      </c>
      <c r="F189" s="334">
        <v>0.13016152916570695</v>
      </c>
      <c r="G189" s="334">
        <v>3.1164597268618336E-3</v>
      </c>
      <c r="H189" s="334">
        <v>6.9904248919663889E-2</v>
      </c>
      <c r="I189" s="334">
        <v>0.78590392814684995</v>
      </c>
      <c r="J189" s="334">
        <v>8.8382634468901169E-2</v>
      </c>
      <c r="K189" s="334">
        <v>0.59469830034927695</v>
      </c>
      <c r="L189" s="334">
        <v>0.1126371383207514</v>
      </c>
      <c r="M189" s="334">
        <v>3.330984529520139E-3</v>
      </c>
      <c r="N189" s="334">
        <v>5.6980691786375007E-2</v>
      </c>
      <c r="O189" s="334">
        <v>0.78590392814684995</v>
      </c>
      <c r="P189" s="334">
        <v>8.8382634468901169E-2</v>
      </c>
      <c r="Q189" s="334">
        <v>0.59488827609969086</v>
      </c>
      <c r="R189" s="3">
        <v>30.325033065026407</v>
      </c>
      <c r="S189" s="3">
        <v>0.72607278716427004</v>
      </c>
      <c r="T189" s="3">
        <v>16.286291913303295</v>
      </c>
      <c r="U189" s="3">
        <v>183.09989717965311</v>
      </c>
      <c r="V189" s="3">
        <v>20.591386178564598</v>
      </c>
      <c r="W189" s="3">
        <v>138.55281001537455</v>
      </c>
      <c r="X189" s="3">
        <v>26.242200485968663</v>
      </c>
      <c r="Y189" s="3">
        <v>0.776052775687602</v>
      </c>
      <c r="Z189" s="3">
        <v>13.275361572389651</v>
      </c>
      <c r="AA189" s="3">
        <v>183.09989717965311</v>
      </c>
      <c r="AB189" s="3">
        <v>20.591386178564598</v>
      </c>
      <c r="AC189" s="3">
        <v>138.59707056570599</v>
      </c>
    </row>
    <row r="190" spans="4:29" x14ac:dyDescent="0.35">
      <c r="D190">
        <v>6</v>
      </c>
      <c r="E190" s="56" t="s">
        <v>92</v>
      </c>
      <c r="F190" s="334">
        <v>3.5832792001271388E-2</v>
      </c>
      <c r="G190" s="334">
        <v>4.7678584187346391E-2</v>
      </c>
      <c r="H190" s="334">
        <v>7.0332309260515841E-2</v>
      </c>
      <c r="I190" s="334">
        <v>0.71816897034732508</v>
      </c>
      <c r="J190" s="334">
        <v>8.8607826030953685E-2</v>
      </c>
      <c r="K190" s="334">
        <v>0.60063627335818637</v>
      </c>
      <c r="L190" s="334">
        <v>3.6826673183418888E-2</v>
      </c>
      <c r="M190" s="334">
        <v>5.0352104401536112E-2</v>
      </c>
      <c r="N190" s="334">
        <v>5.732961441590028E-2</v>
      </c>
      <c r="O190" s="334">
        <v>0.71816897034732508</v>
      </c>
      <c r="P190" s="334">
        <v>8.8607826030953685E-2</v>
      </c>
      <c r="Q190" s="334">
        <v>0.60068812532115856</v>
      </c>
      <c r="R190" s="3">
        <v>39.849647984613917</v>
      </c>
      <c r="S190" s="3">
        <v>53.023353474747928</v>
      </c>
      <c r="T190" s="3">
        <v>78.216561128619674</v>
      </c>
      <c r="U190" s="3">
        <v>798.67571192326034</v>
      </c>
      <c r="V190" s="3">
        <v>98.540763329023605</v>
      </c>
      <c r="W190" s="3">
        <v>667.96759960163911</v>
      </c>
      <c r="X190" s="3">
        <v>40.954943247280148</v>
      </c>
      <c r="Y190" s="3">
        <v>55.996575304948315</v>
      </c>
      <c r="Z190" s="3">
        <v>63.75626419192271</v>
      </c>
      <c r="AA190" s="3">
        <v>798.67571192326034</v>
      </c>
      <c r="AB190" s="3">
        <v>98.540763329023605</v>
      </c>
      <c r="AC190" s="3">
        <v>668.02526416966055</v>
      </c>
    </row>
    <row r="191" spans="4:29" x14ac:dyDescent="0.35">
      <c r="D191">
        <v>7</v>
      </c>
      <c r="E191" s="56" t="s">
        <v>92</v>
      </c>
      <c r="F191" s="334">
        <v>2.2277987558694444E-2</v>
      </c>
      <c r="G191" s="334">
        <v>5.1045557231973612E-2</v>
      </c>
      <c r="H191" s="334">
        <v>7.0126869446972495E-2</v>
      </c>
      <c r="I191" s="334">
        <v>0.71605766213454725</v>
      </c>
      <c r="J191" s="334">
        <v>8.8397767407751238E-2</v>
      </c>
      <c r="K191" s="334">
        <v>0.60025234449448162</v>
      </c>
      <c r="L191" s="334">
        <v>2.3724265902290861E-2</v>
      </c>
      <c r="M191" s="334">
        <v>5.3957860023403609E-2</v>
      </c>
      <c r="N191" s="334">
        <v>5.7162155314671663E-2</v>
      </c>
      <c r="O191" s="334">
        <v>0.71605766213454725</v>
      </c>
      <c r="P191" s="334">
        <v>8.8397767407751238E-2</v>
      </c>
      <c r="Q191" s="334">
        <v>0.60026651021284549</v>
      </c>
      <c r="R191" s="3">
        <v>26.635339145299493</v>
      </c>
      <c r="S191" s="3">
        <v>61.029557770975337</v>
      </c>
      <c r="T191" s="3">
        <v>83.842983842105852</v>
      </c>
      <c r="U191" s="3">
        <v>856.11138027144341</v>
      </c>
      <c r="V191" s="3">
        <v>105.68748673503332</v>
      </c>
      <c r="W191" s="3">
        <v>717.65570055415731</v>
      </c>
      <c r="X191" s="3">
        <v>28.364495070119933</v>
      </c>
      <c r="Y191" s="3">
        <v>64.511477865381124</v>
      </c>
      <c r="Z191" s="3">
        <v>68.342501272668301</v>
      </c>
      <c r="AA191" s="3">
        <v>856.11138027144341</v>
      </c>
      <c r="AB191" s="3">
        <v>105.68748673503332</v>
      </c>
      <c r="AC191" s="3">
        <v>717.67263694537598</v>
      </c>
    </row>
    <row r="192" spans="4:29" x14ac:dyDescent="0.35">
      <c r="D192">
        <v>8</v>
      </c>
      <c r="E192" s="56" t="s">
        <v>92</v>
      </c>
      <c r="F192" s="334">
        <v>2.79888086646225E-2</v>
      </c>
      <c r="G192" s="334">
        <v>8.9172836957085833E-2</v>
      </c>
      <c r="H192" s="334">
        <v>7.0332309260515841E-2</v>
      </c>
      <c r="I192" s="334">
        <v>0.69610475084767498</v>
      </c>
      <c r="J192" s="334">
        <v>8.8607826030953685E-2</v>
      </c>
      <c r="K192" s="334">
        <v>0.60164697917095311</v>
      </c>
      <c r="L192" s="334">
        <v>3.1870534307409999E-2</v>
      </c>
      <c r="M192" s="334">
        <v>9.4044474296354721E-2</v>
      </c>
      <c r="N192" s="334">
        <v>5.732961441590028E-2</v>
      </c>
      <c r="O192" s="334">
        <v>0.69610475084767498</v>
      </c>
      <c r="P192" s="334">
        <v>8.8607826030953685E-2</v>
      </c>
      <c r="Q192" s="334">
        <v>0.60167948863767806</v>
      </c>
      <c r="R192" s="3">
        <v>43.761621899483863</v>
      </c>
      <c r="S192" s="3">
        <v>139.42529749588198</v>
      </c>
      <c r="T192" s="3">
        <v>109.96737882118694</v>
      </c>
      <c r="U192" s="3">
        <v>1088.3876221403737</v>
      </c>
      <c r="V192" s="3">
        <v>138.54188031243731</v>
      </c>
      <c r="W192" s="3">
        <v>940.69911781295195</v>
      </c>
      <c r="X192" s="3">
        <v>49.83085521100783</v>
      </c>
      <c r="Y192" s="3">
        <v>147.04229734132247</v>
      </c>
      <c r="Z192" s="3">
        <v>89.63714532383672</v>
      </c>
      <c r="AA192" s="3">
        <v>1088.3876221403737</v>
      </c>
      <c r="AB192" s="3">
        <v>138.54188031243731</v>
      </c>
      <c r="AC192" s="3">
        <v>940.74994766455518</v>
      </c>
    </row>
    <row r="193" spans="4:29" x14ac:dyDescent="0.35">
      <c r="D193">
        <v>9</v>
      </c>
      <c r="E193" s="56" t="s">
        <v>92</v>
      </c>
      <c r="F193" s="334">
        <v>4.9492844889871671E-2</v>
      </c>
      <c r="G193" s="334">
        <v>8.640574696332444E-2</v>
      </c>
      <c r="H193" s="334">
        <v>7.0332309260515841E-2</v>
      </c>
      <c r="I193" s="334">
        <v>0.70247522135871943</v>
      </c>
      <c r="J193" s="334">
        <v>8.8607826030953685E-2</v>
      </c>
      <c r="K193" s="334">
        <v>0.60092272085847798</v>
      </c>
      <c r="L193" s="334">
        <v>4.8337838455414443E-2</v>
      </c>
      <c r="M193" s="334">
        <v>9.1024062195365837E-2</v>
      </c>
      <c r="N193" s="334">
        <v>5.732961441590028E-2</v>
      </c>
      <c r="O193" s="334">
        <v>0.70247522135871943</v>
      </c>
      <c r="P193" s="334">
        <v>8.8607826030953685E-2</v>
      </c>
      <c r="Q193" s="334">
        <v>0.60099618438669467</v>
      </c>
      <c r="R193" s="3">
        <v>181.68427416312772</v>
      </c>
      <c r="S193" s="3">
        <v>317.18858464260694</v>
      </c>
      <c r="T193" s="3">
        <v>258.18428071061282</v>
      </c>
      <c r="U193" s="3">
        <v>2578.7303395901504</v>
      </c>
      <c r="V193" s="3">
        <v>325.27224073354853</v>
      </c>
      <c r="W193" s="3">
        <v>2205.9392344538041</v>
      </c>
      <c r="X193" s="3">
        <v>177.44433794275</v>
      </c>
      <c r="Y193" s="3">
        <v>334.14205039421239</v>
      </c>
      <c r="Z193" s="3">
        <v>210.45242815161666</v>
      </c>
      <c r="AA193" s="3">
        <v>2578.7303395901504</v>
      </c>
      <c r="AB193" s="3">
        <v>325.27224073354853</v>
      </c>
      <c r="AC193" s="3">
        <v>2206.2089131888051</v>
      </c>
    </row>
    <row r="194" spans="4:29" x14ac:dyDescent="0.35">
      <c r="D194">
        <v>10</v>
      </c>
      <c r="E194" s="56" t="s">
        <v>92</v>
      </c>
      <c r="F194" s="334">
        <v>9.0736586435870001E-2</v>
      </c>
      <c r="G194" s="334">
        <v>0.10746270444862639</v>
      </c>
      <c r="H194" s="334">
        <v>7.0332309260515841E-2</v>
      </c>
      <c r="I194" s="334">
        <v>0.69975464121503894</v>
      </c>
      <c r="J194" s="334">
        <v>8.8607826030953685E-2</v>
      </c>
      <c r="K194" s="334">
        <v>0.60057003072130299</v>
      </c>
      <c r="L194" s="334">
        <v>8.0891237163866397E-2</v>
      </c>
      <c r="M194" s="334">
        <v>0.11309435260397777</v>
      </c>
      <c r="N194" s="334">
        <v>5.732961441590028E-2</v>
      </c>
      <c r="O194" s="334">
        <v>0.69975464121503894</v>
      </c>
      <c r="P194" s="334">
        <v>8.8607826030953685E-2</v>
      </c>
      <c r="Q194" s="334">
        <v>0.60071406160193086</v>
      </c>
      <c r="R194" s="3">
        <v>117.67627894867981</v>
      </c>
      <c r="S194" s="3">
        <v>139.36838139942358</v>
      </c>
      <c r="T194" s="3">
        <v>91.213971879962997</v>
      </c>
      <c r="U194" s="3">
        <v>907.51179419178402</v>
      </c>
      <c r="V194" s="3">
        <v>114.91548957954384</v>
      </c>
      <c r="W194" s="3">
        <v>778.87927284245791</v>
      </c>
      <c r="X194" s="3">
        <v>104.90784547781834</v>
      </c>
      <c r="Y194" s="3">
        <v>146.67206589209877</v>
      </c>
      <c r="Z194" s="3">
        <v>74.350776935981074</v>
      </c>
      <c r="AA194" s="3">
        <v>907.51179419178402</v>
      </c>
      <c r="AB194" s="3">
        <v>114.91548957954384</v>
      </c>
      <c r="AC194" s="3">
        <v>779.06606649154423</v>
      </c>
    </row>
    <row r="195" spans="4:29" x14ac:dyDescent="0.35">
      <c r="D195">
        <v>11</v>
      </c>
      <c r="E195" s="56" t="s">
        <v>92</v>
      </c>
      <c r="F195" s="334">
        <v>0.26216693897512638</v>
      </c>
      <c r="G195" s="334">
        <v>0.13585232230650029</v>
      </c>
      <c r="H195" s="334">
        <v>6.9904248919663889E-2</v>
      </c>
      <c r="I195" s="334">
        <v>0.71556760324688329</v>
      </c>
      <c r="J195" s="334">
        <v>8.8382634468901169E-2</v>
      </c>
      <c r="K195" s="334">
        <v>0.59686068460657693</v>
      </c>
      <c r="L195" s="334">
        <v>0.18308527962149501</v>
      </c>
      <c r="M195" s="334">
        <v>0.14264284128518528</v>
      </c>
      <c r="N195" s="334">
        <v>6.9904248919663889E-2</v>
      </c>
      <c r="O195" s="334">
        <v>0.71556760324688329</v>
      </c>
      <c r="P195" s="334">
        <v>8.8382634468901169E-2</v>
      </c>
      <c r="Q195" s="334">
        <v>0.59712585498274084</v>
      </c>
      <c r="R195" s="3">
        <v>97.06993082493031</v>
      </c>
      <c r="S195" s="3">
        <v>50.300680857204803</v>
      </c>
      <c r="T195" s="3">
        <v>25.882747204994754</v>
      </c>
      <c r="U195" s="3">
        <v>264.94606077819105</v>
      </c>
      <c r="V195" s="3">
        <v>32.724554238455354</v>
      </c>
      <c r="W195" s="3">
        <v>220.99363708243121</v>
      </c>
      <c r="X195" s="3">
        <v>67.789155632654754</v>
      </c>
      <c r="Y195" s="3">
        <v>52.814938414252708</v>
      </c>
      <c r="Z195" s="3">
        <v>25.882747204994754</v>
      </c>
      <c r="AA195" s="3">
        <v>264.94606077819105</v>
      </c>
      <c r="AB195" s="3">
        <v>32.724554238455354</v>
      </c>
      <c r="AC195" s="3">
        <v>221.09181906590965</v>
      </c>
    </row>
    <row r="196" spans="4:29" x14ac:dyDescent="0.35">
      <c r="D196">
        <v>12</v>
      </c>
      <c r="E196" s="56" t="s">
        <v>92</v>
      </c>
      <c r="F196" s="334">
        <v>0.24042299337588086</v>
      </c>
      <c r="G196" s="334">
        <v>6.8597132591377216E-2</v>
      </c>
      <c r="H196" s="334">
        <v>6.9904248919663889E-2</v>
      </c>
      <c r="I196" s="334">
        <v>0.74374916112165268</v>
      </c>
      <c r="J196" s="334">
        <v>8.8382634468901169E-2</v>
      </c>
      <c r="K196" s="334">
        <v>0.59635211649499642</v>
      </c>
      <c r="L196" s="334">
        <v>0.16704745139044028</v>
      </c>
      <c r="M196" s="334">
        <v>7.2164302991723883E-2</v>
      </c>
      <c r="N196" s="334">
        <v>6.9904248919663889E-2</v>
      </c>
      <c r="O196" s="334">
        <v>0.74374916112165268</v>
      </c>
      <c r="P196" s="334">
        <v>8.8382634468901169E-2</v>
      </c>
      <c r="Q196" s="334">
        <v>0.59660306155693255</v>
      </c>
      <c r="R196" s="3">
        <v>502.61628880194775</v>
      </c>
      <c r="S196" s="3">
        <v>143.40573553890366</v>
      </c>
      <c r="T196" s="3">
        <v>146.13832757900335</v>
      </c>
      <c r="U196" s="3">
        <v>1554.844808782871</v>
      </c>
      <c r="V196" s="3">
        <v>184.76831648896135</v>
      </c>
      <c r="W196" s="3">
        <v>1246.7039171386148</v>
      </c>
      <c r="X196" s="3">
        <v>349.22104950428496</v>
      </c>
      <c r="Y196" s="3">
        <v>150.86308361934837</v>
      </c>
      <c r="Z196" s="3">
        <v>146.13832757900335</v>
      </c>
      <c r="AA196" s="3">
        <v>1554.844808782871</v>
      </c>
      <c r="AB196" s="3">
        <v>184.76831648896135</v>
      </c>
      <c r="AC196" s="3">
        <v>1247.2285303378455</v>
      </c>
    </row>
    <row r="197" spans="4:29" x14ac:dyDescent="0.35">
      <c r="D197">
        <v>13</v>
      </c>
      <c r="E197" s="56" t="s">
        <v>92</v>
      </c>
      <c r="F197" s="334">
        <v>0.19371389810235554</v>
      </c>
      <c r="G197" s="334">
        <v>0.16610047739415307</v>
      </c>
      <c r="H197" s="334">
        <v>6.9904248919663889E-2</v>
      </c>
      <c r="I197" s="334">
        <v>0.69522479486918054</v>
      </c>
      <c r="J197" s="334">
        <v>8.8382634468901169E-2</v>
      </c>
      <c r="K197" s="334">
        <v>0.59777754367238245</v>
      </c>
      <c r="L197" s="334">
        <v>0.14121316552343693</v>
      </c>
      <c r="M197" s="334">
        <v>0.17441781022081473</v>
      </c>
      <c r="N197" s="334">
        <v>6.9904248919663889E-2</v>
      </c>
      <c r="O197" s="334">
        <v>0.69522479486918054</v>
      </c>
      <c r="P197" s="334">
        <v>8.8382634468901169E-2</v>
      </c>
      <c r="Q197" s="334">
        <v>0.5979900174251408</v>
      </c>
      <c r="R197" s="3">
        <v>118.19840920511429</v>
      </c>
      <c r="S197" s="3">
        <v>101.34952829159039</v>
      </c>
      <c r="T197" s="3">
        <v>42.653475563311318</v>
      </c>
      <c r="U197" s="3">
        <v>424.20531308532793</v>
      </c>
      <c r="V197" s="3">
        <v>53.928432073889432</v>
      </c>
      <c r="W197" s="3">
        <v>364.74592382257765</v>
      </c>
      <c r="X197" s="3">
        <v>86.164037207435527</v>
      </c>
      <c r="Y197" s="3">
        <v>106.42451526243454</v>
      </c>
      <c r="Z197" s="3">
        <v>42.653475563311318</v>
      </c>
      <c r="AA197" s="3">
        <v>424.20531308532793</v>
      </c>
      <c r="AB197" s="3">
        <v>53.928432073889432</v>
      </c>
      <c r="AC197" s="3">
        <v>364.87556893229822</v>
      </c>
    </row>
    <row r="198" spans="4:29" x14ac:dyDescent="0.35">
      <c r="D198">
        <v>14</v>
      </c>
      <c r="E198" s="56" t="s">
        <v>92</v>
      </c>
      <c r="F198" s="334">
        <v>0.25107700328937477</v>
      </c>
      <c r="G198" s="334">
        <v>0.12028191640916749</v>
      </c>
      <c r="H198" s="334">
        <v>7.0332309260515841E-2</v>
      </c>
      <c r="I198" s="334">
        <v>0.7203708436242805</v>
      </c>
      <c r="J198" s="334">
        <v>8.8607826030953685E-2</v>
      </c>
      <c r="K198" s="334">
        <v>0.59865507783139471</v>
      </c>
      <c r="L198" s="334">
        <v>0.19701145676675305</v>
      </c>
      <c r="M198" s="334">
        <v>0.1272659272620664</v>
      </c>
      <c r="N198" s="334">
        <v>5.732961441590028E-2</v>
      </c>
      <c r="O198" s="334">
        <v>0.7203708436242805</v>
      </c>
      <c r="P198" s="334">
        <v>8.8607826030953685E-2</v>
      </c>
      <c r="Q198" s="334">
        <v>0.5989463769043808</v>
      </c>
      <c r="R198" s="3">
        <v>69.598545311814689</v>
      </c>
      <c r="S198" s="3">
        <v>33.342147228621229</v>
      </c>
      <c r="T198" s="3">
        <v>19.496116127014989</v>
      </c>
      <c r="U198" s="3">
        <v>199.68679785265056</v>
      </c>
      <c r="V198" s="3">
        <v>24.56208937578036</v>
      </c>
      <c r="W198" s="3">
        <v>165.9471875748626</v>
      </c>
      <c r="X198" s="3">
        <v>54.61157581574394</v>
      </c>
      <c r="Y198" s="3">
        <v>35.278115037044806</v>
      </c>
      <c r="Z198" s="3">
        <v>15.891769116087557</v>
      </c>
      <c r="AA198" s="3">
        <v>199.68679785265056</v>
      </c>
      <c r="AB198" s="3">
        <v>24.56208937578036</v>
      </c>
      <c r="AC198" s="3">
        <v>166.02793567789436</v>
      </c>
    </row>
    <row r="199" spans="4:29" x14ac:dyDescent="0.35">
      <c r="D199">
        <v>15</v>
      </c>
      <c r="E199" s="56" t="s">
        <v>92</v>
      </c>
      <c r="F199" s="334">
        <v>1.532925404830089E-2</v>
      </c>
      <c r="G199" s="334">
        <v>0.32314775192898054</v>
      </c>
      <c r="H199" s="334">
        <v>7.0332300190668606E-2</v>
      </c>
      <c r="I199" s="334">
        <v>0.5811330445241194</v>
      </c>
      <c r="J199" s="334">
        <v>8.8607826030953685E-2</v>
      </c>
      <c r="K199" s="334">
        <v>0.60348298860812799</v>
      </c>
      <c r="L199" s="334">
        <v>1.9859026233153502E-2</v>
      </c>
      <c r="M199" s="334">
        <v>0.33895082277546668</v>
      </c>
      <c r="N199" s="334">
        <v>5.7329607139409995E-2</v>
      </c>
      <c r="O199" s="334">
        <v>0.5811330445241194</v>
      </c>
      <c r="P199" s="334">
        <v>8.8607826030953685E-2</v>
      </c>
      <c r="Q199" s="334">
        <v>0.60348652508971135</v>
      </c>
      <c r="R199" s="3">
        <v>2.7670836482587933</v>
      </c>
      <c r="S199" s="3">
        <v>58.331400700700271</v>
      </c>
      <c r="T199" s="3">
        <v>12.69568350741759</v>
      </c>
      <c r="U199" s="3">
        <v>104.90032586704879</v>
      </c>
      <c r="V199" s="3">
        <v>15.994598676847449</v>
      </c>
      <c r="W199" s="3">
        <v>108.93471427365319</v>
      </c>
      <c r="X199" s="3">
        <v>3.5847528253465386</v>
      </c>
      <c r="Y199" s="3">
        <v>61.184013019199483</v>
      </c>
      <c r="Z199" s="3">
        <v>10.348567384734897</v>
      </c>
      <c r="AA199" s="3">
        <v>104.90032586704879</v>
      </c>
      <c r="AB199" s="3">
        <v>15.994598676847449</v>
      </c>
      <c r="AC199" s="3">
        <v>108.93535264394379</v>
      </c>
    </row>
    <row r="200" spans="4:29" x14ac:dyDescent="0.35">
      <c r="D200">
        <v>16</v>
      </c>
      <c r="E200" s="56" t="s">
        <v>92</v>
      </c>
      <c r="F200" s="334">
        <v>0.61679491594543057</v>
      </c>
      <c r="G200" s="334">
        <v>3.1767244538165838E-2</v>
      </c>
      <c r="H200" s="334">
        <v>7.0332309260515841E-2</v>
      </c>
      <c r="I200" s="334">
        <v>0.84312807722883054</v>
      </c>
      <c r="J200" s="334">
        <v>8.8607826030953685E-2</v>
      </c>
      <c r="K200" s="334">
        <v>0.59675446846103086</v>
      </c>
      <c r="L200" s="334">
        <v>0.55070215472620554</v>
      </c>
      <c r="M200" s="334">
        <v>3.3472241214191942E-2</v>
      </c>
      <c r="N200" s="334">
        <v>7.0332309260515841E-2</v>
      </c>
      <c r="O200" s="334">
        <v>0.84312807722883054</v>
      </c>
      <c r="P200" s="334">
        <v>8.8607826030953685E-2</v>
      </c>
      <c r="Q200" s="334">
        <v>0.59686844657418925</v>
      </c>
      <c r="R200" s="3">
        <v>69.000847246815326</v>
      </c>
      <c r="S200" s="3">
        <v>3.5538016464846125</v>
      </c>
      <c r="T200" s="3">
        <v>7.868075436973907</v>
      </c>
      <c r="U200" s="3">
        <v>94.320737999589269</v>
      </c>
      <c r="V200" s="3">
        <v>9.9125574980827889</v>
      </c>
      <c r="W200" s="3">
        <v>66.75892238673552</v>
      </c>
      <c r="X200" s="3">
        <v>61.607050049220618</v>
      </c>
      <c r="Y200" s="3">
        <v>3.7445396246316527</v>
      </c>
      <c r="Z200" s="3">
        <v>7.868075436973907</v>
      </c>
      <c r="AA200" s="3">
        <v>94.320737999589269</v>
      </c>
      <c r="AB200" s="3">
        <v>9.9125574980827889</v>
      </c>
      <c r="AC200" s="3">
        <v>66.771673118254554</v>
      </c>
    </row>
    <row r="201" spans="4:29" x14ac:dyDescent="0.35">
      <c r="D201" t="s">
        <v>96</v>
      </c>
      <c r="E201" s="5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35">
        <f>SUM(R185:R200)</f>
        <v>2007.4770919540797</v>
      </c>
      <c r="S201" s="335">
        <f t="shared" ref="S201:AC201" si="34">SUM(S185:S200)</f>
        <v>1174.2184189021257</v>
      </c>
      <c r="T201" s="335">
        <f t="shared" si="34"/>
        <v>1202.5544237294314</v>
      </c>
      <c r="U201" s="335">
        <f t="shared" si="34"/>
        <v>12492.981301092457</v>
      </c>
      <c r="V201" s="335">
        <f t="shared" si="34"/>
        <v>1517.5219544247627</v>
      </c>
      <c r="W201" s="335">
        <f t="shared" si="34"/>
        <v>10262.597265851688</v>
      </c>
      <c r="X201" s="335">
        <f t="shared" si="34"/>
        <v>1580.5015326297923</v>
      </c>
      <c r="Y201" s="335">
        <f t="shared" si="34"/>
        <v>1236.7622693198173</v>
      </c>
      <c r="Z201" s="335">
        <f t="shared" si="34"/>
        <v>1061.7534936788529</v>
      </c>
      <c r="AA201" s="335">
        <f t="shared" si="34"/>
        <v>12492.981301092457</v>
      </c>
      <c r="AB201" s="335">
        <f t="shared" si="34"/>
        <v>1517.5219544247627</v>
      </c>
      <c r="AC201" s="335">
        <f t="shared" si="34"/>
        <v>10264.908496530772</v>
      </c>
    </row>
    <row r="202" spans="4:29" x14ac:dyDescent="0.35">
      <c r="D202">
        <v>1</v>
      </c>
      <c r="E202" s="56" t="s">
        <v>93</v>
      </c>
      <c r="F202" s="336">
        <v>0.55532957508855907</v>
      </c>
      <c r="G202" s="336">
        <v>7.1011856696126816E-3</v>
      </c>
      <c r="H202" s="336">
        <v>7.9729203844822502E-2</v>
      </c>
      <c r="I202" s="336">
        <v>0.72367121063115569</v>
      </c>
      <c r="J202" s="336">
        <v>0.17842820279068317</v>
      </c>
      <c r="K202" s="336">
        <v>0.69796680175407799</v>
      </c>
      <c r="L202" s="334">
        <v>0.45339235919181592</v>
      </c>
      <c r="M202" s="334">
        <v>7.1012504319129541E-3</v>
      </c>
      <c r="N202" s="334">
        <v>7.8815711798602611E-2</v>
      </c>
      <c r="O202" s="334">
        <v>0.72367125539069432</v>
      </c>
      <c r="P202" s="334">
        <v>0.17842820279068317</v>
      </c>
      <c r="Q202" s="334">
        <v>0.69796665881220765</v>
      </c>
      <c r="R202" s="3">
        <v>85.354155691111529</v>
      </c>
      <c r="S202" s="3">
        <v>1.0914522374194691</v>
      </c>
      <c r="T202" s="3">
        <v>12.254378630949217</v>
      </c>
      <c r="U202" s="3">
        <v>111.22826507400862</v>
      </c>
      <c r="V202" s="3">
        <v>27.424414768927999</v>
      </c>
      <c r="W202" s="3">
        <v>107.27749742960178</v>
      </c>
      <c r="X202" s="3">
        <v>69.686405607782106</v>
      </c>
      <c r="Y202" s="3">
        <v>1.0914621913850209</v>
      </c>
      <c r="Z202" s="3">
        <v>12.11397490344522</v>
      </c>
      <c r="AA202" s="3">
        <v>111.22827195354971</v>
      </c>
      <c r="AB202" s="3">
        <v>27.424414768927999</v>
      </c>
      <c r="AC202" s="3">
        <v>107.2774754594363</v>
      </c>
    </row>
    <row r="203" spans="4:29" x14ac:dyDescent="0.35">
      <c r="D203">
        <v>2</v>
      </c>
      <c r="E203" s="56" t="s">
        <v>93</v>
      </c>
      <c r="F203" s="334">
        <v>0.32559707953191025</v>
      </c>
      <c r="G203" s="334">
        <v>5.7007095028915683E-2</v>
      </c>
      <c r="H203" s="334">
        <v>8.4877472553238978E-2</v>
      </c>
      <c r="I203" s="334">
        <v>0.65895780149124539</v>
      </c>
      <c r="J203" s="334">
        <v>0.17825139826627784</v>
      </c>
      <c r="K203" s="334">
        <v>0.69792044198431025</v>
      </c>
      <c r="L203" s="334">
        <v>0.21621592406610454</v>
      </c>
      <c r="M203" s="334">
        <v>5.7007337057404434E-2</v>
      </c>
      <c r="N203" s="334">
        <v>8.2286435815334777E-2</v>
      </c>
      <c r="O203" s="334">
        <v>0.65895778422794438</v>
      </c>
      <c r="P203" s="334">
        <v>0.17825139826627784</v>
      </c>
      <c r="Q203" s="334">
        <v>0.69792100962827519</v>
      </c>
      <c r="R203" s="3">
        <v>297.05523954014296</v>
      </c>
      <c r="S203" s="3">
        <v>52.009853078680926</v>
      </c>
      <c r="T203" s="3">
        <v>77.437113309222042</v>
      </c>
      <c r="U203" s="3">
        <v>601.19356061252279</v>
      </c>
      <c r="V203" s="3">
        <v>162.6258806942559</v>
      </c>
      <c r="W203" s="3">
        <v>636.74073603996555</v>
      </c>
      <c r="X203" s="3">
        <v>197.26243616246981</v>
      </c>
      <c r="Y203" s="3">
        <v>52.010073890952356</v>
      </c>
      <c r="Z203" s="3">
        <v>75.073206851762521</v>
      </c>
      <c r="AA203" s="3">
        <v>601.19354486252269</v>
      </c>
      <c r="AB203" s="3">
        <v>162.6258806942559</v>
      </c>
      <c r="AC203" s="3">
        <v>636.74125392426049</v>
      </c>
    </row>
    <row r="204" spans="4:29" x14ac:dyDescent="0.35">
      <c r="D204">
        <v>3</v>
      </c>
      <c r="E204" s="56" t="s">
        <v>93</v>
      </c>
      <c r="F204" s="334">
        <v>0.25078760087196933</v>
      </c>
      <c r="G204" s="334">
        <v>3.369059910995989E-2</v>
      </c>
      <c r="H204" s="334">
        <v>7.835539930477102E-2</v>
      </c>
      <c r="I204" s="334">
        <v>0.65728241902837847</v>
      </c>
      <c r="J204" s="334">
        <v>0.17816174979097249</v>
      </c>
      <c r="K204" s="334">
        <v>0.69793899020189754</v>
      </c>
      <c r="L204" s="334">
        <v>0.17570825391</v>
      </c>
      <c r="M204" s="334">
        <v>3.3690727909176252E-2</v>
      </c>
      <c r="N204" s="334">
        <v>7.5948174844627958E-2</v>
      </c>
      <c r="O204" s="334">
        <v>0.65728230200504434</v>
      </c>
      <c r="P204" s="334">
        <v>0.17816174979097249</v>
      </c>
      <c r="Q204" s="334">
        <v>0.69793979110542437</v>
      </c>
      <c r="R204" s="3">
        <v>1109.835448898813</v>
      </c>
      <c r="S204" s="3">
        <v>149.0943773012165</v>
      </c>
      <c r="T204" s="3">
        <v>346.75398408333365</v>
      </c>
      <c r="U204" s="3">
        <v>2908.7376171681858</v>
      </c>
      <c r="V204" s="3">
        <v>788.43700752496954</v>
      </c>
      <c r="W204" s="3">
        <v>3088.6592072394769</v>
      </c>
      <c r="X204" s="3">
        <v>777.57930685331394</v>
      </c>
      <c r="Y204" s="3">
        <v>149.09494728926856</v>
      </c>
      <c r="Z204" s="3">
        <v>336.10105295741653</v>
      </c>
      <c r="AA204" s="3">
        <v>2908.7370992931228</v>
      </c>
      <c r="AB204" s="3">
        <v>788.43700752496954</v>
      </c>
      <c r="AC204" s="3">
        <v>3088.6627515579448</v>
      </c>
    </row>
    <row r="205" spans="4:29" x14ac:dyDescent="0.35">
      <c r="D205">
        <v>4</v>
      </c>
      <c r="E205" s="56" t="s">
        <v>93</v>
      </c>
      <c r="F205" s="334">
        <v>0.1959065340530784</v>
      </c>
      <c r="G205" s="334">
        <v>8.0775831702835449E-2</v>
      </c>
      <c r="H205" s="334">
        <v>8.3763591617272162E-2</v>
      </c>
      <c r="I205" s="334">
        <v>0.61873541740974658</v>
      </c>
      <c r="J205" s="334">
        <v>0.17816843451554273</v>
      </c>
      <c r="K205" s="334">
        <v>0.69790125068086062</v>
      </c>
      <c r="L205" s="334">
        <v>0.14089530810918183</v>
      </c>
      <c r="M205" s="334">
        <v>8.0776044137740116E-2</v>
      </c>
      <c r="N205" s="334">
        <v>8.1843982223696363E-2</v>
      </c>
      <c r="O205" s="334">
        <v>0.61873541455042613</v>
      </c>
      <c r="P205" s="334">
        <v>0.17816843451554273</v>
      </c>
      <c r="Q205" s="334">
        <v>0.69790244649540345</v>
      </c>
      <c r="R205" s="3">
        <v>451.66251425937224</v>
      </c>
      <c r="S205" s="3">
        <v>186.22867999088712</v>
      </c>
      <c r="T205" s="3">
        <v>193.11696047362096</v>
      </c>
      <c r="U205" s="3">
        <v>1426.4945048381708</v>
      </c>
      <c r="V205" s="3">
        <v>410.7673257755838</v>
      </c>
      <c r="W205" s="3">
        <v>1609.0113334447242</v>
      </c>
      <c r="X205" s="3">
        <v>324.83413284571873</v>
      </c>
      <c r="Y205" s="3">
        <v>186.22916975955982</v>
      </c>
      <c r="Z205" s="3">
        <v>188.69130101673196</v>
      </c>
      <c r="AA205" s="3">
        <v>1426.4944982460074</v>
      </c>
      <c r="AB205" s="3">
        <v>410.7673257755838</v>
      </c>
      <c r="AC205" s="3">
        <v>1609.0140903951526</v>
      </c>
    </row>
    <row r="206" spans="4:29" x14ac:dyDescent="0.35">
      <c r="D206">
        <v>5</v>
      </c>
      <c r="E206" s="56" t="s">
        <v>93</v>
      </c>
      <c r="F206" s="334">
        <v>0.2263409404465557</v>
      </c>
      <c r="G206" s="334">
        <v>3.4274634631943975E-2</v>
      </c>
      <c r="H206" s="334">
        <v>7.7759665668335684E-2</v>
      </c>
      <c r="I206" s="334">
        <v>0.65765415371105684</v>
      </c>
      <c r="J206" s="334">
        <v>0.17800762226587102</v>
      </c>
      <c r="K206" s="334">
        <v>0.6979366117683603</v>
      </c>
      <c r="L206" s="334">
        <v>0.16430904805753752</v>
      </c>
      <c r="M206" s="334">
        <v>3.4275970820643181E-2</v>
      </c>
      <c r="N206" s="334">
        <v>7.6228018178745569E-2</v>
      </c>
      <c r="O206" s="334">
        <v>0.65765416015210565</v>
      </c>
      <c r="P206" s="334">
        <v>0.17800762226587102</v>
      </c>
      <c r="Q206" s="334">
        <v>0.69793747325725108</v>
      </c>
      <c r="R206" s="3">
        <v>92.682088294055617</v>
      </c>
      <c r="S206" s="3">
        <v>14.034777389088417</v>
      </c>
      <c r="T206" s="3">
        <v>31.841027897870092</v>
      </c>
      <c r="U206" s="3">
        <v>269.29622286160355</v>
      </c>
      <c r="V206" s="3">
        <v>72.890561165428863</v>
      </c>
      <c r="W206" s="3">
        <v>285.79108378690813</v>
      </c>
      <c r="X206" s="3">
        <v>67.281268998600453</v>
      </c>
      <c r="Y206" s="3">
        <v>14.035324531636968</v>
      </c>
      <c r="Z206" s="3">
        <v>31.213848883832732</v>
      </c>
      <c r="AA206" s="3">
        <v>269.29622549908419</v>
      </c>
      <c r="AB206" s="3">
        <v>72.890561165428863</v>
      </c>
      <c r="AC206" s="3">
        <v>285.79143654937917</v>
      </c>
    </row>
    <row r="207" spans="4:29" x14ac:dyDescent="0.35">
      <c r="D207">
        <v>6</v>
      </c>
      <c r="E207" s="56" t="s">
        <v>93</v>
      </c>
      <c r="F207" s="334">
        <v>8.2669188001179894E-2</v>
      </c>
      <c r="G207" s="334">
        <v>8.8832898016082046E-2</v>
      </c>
      <c r="H207" s="334">
        <v>8.1315229317724669E-2</v>
      </c>
      <c r="I207" s="334">
        <v>0.594877441288575</v>
      </c>
      <c r="J207" s="334">
        <v>0.17830667908272932</v>
      </c>
      <c r="K207" s="334">
        <v>0.69991172317519468</v>
      </c>
      <c r="L207" s="334">
        <v>6.3684181006146937E-2</v>
      </c>
      <c r="M207" s="334">
        <v>8.883336110501068E-2</v>
      </c>
      <c r="N207" s="334">
        <v>8.0261607933331938E-2</v>
      </c>
      <c r="O207" s="334">
        <v>0.59487754559498751</v>
      </c>
      <c r="P207" s="334">
        <v>0.17830667908272932</v>
      </c>
      <c r="Q207" s="334">
        <v>0.69991169371227191</v>
      </c>
      <c r="R207" s="3">
        <v>161.58519486710622</v>
      </c>
      <c r="S207" s="3">
        <v>173.63278246223396</v>
      </c>
      <c r="T207" s="3">
        <v>158.93874722442462</v>
      </c>
      <c r="U207" s="3">
        <v>1162.7474467426487</v>
      </c>
      <c r="V207" s="3">
        <v>348.51823493510273</v>
      </c>
      <c r="W207" s="3">
        <v>1368.0474541182355</v>
      </c>
      <c r="X207" s="3">
        <v>124.47710019461479</v>
      </c>
      <c r="Y207" s="3">
        <v>173.63368761585386</v>
      </c>
      <c r="Z207" s="3">
        <v>156.8793388664906</v>
      </c>
      <c r="AA207" s="3">
        <v>1162.7476506199625</v>
      </c>
      <c r="AB207" s="3">
        <v>348.51823493510273</v>
      </c>
      <c r="AC207" s="3">
        <v>1368.0473965300066</v>
      </c>
    </row>
    <row r="208" spans="4:29" x14ac:dyDescent="0.35">
      <c r="D208">
        <v>7</v>
      </c>
      <c r="E208" s="56" t="s">
        <v>93</v>
      </c>
      <c r="F208" s="334">
        <v>6.5715057990077388E-2</v>
      </c>
      <c r="G208" s="334">
        <v>8.7983942229846596E-2</v>
      </c>
      <c r="H208" s="334">
        <v>8.0476199457343758E-2</v>
      </c>
      <c r="I208" s="334">
        <v>0.59254546132169661</v>
      </c>
      <c r="J208" s="334">
        <v>0.17793466362451615</v>
      </c>
      <c r="K208" s="334">
        <v>0.69861491981723567</v>
      </c>
      <c r="L208" s="334">
        <v>5.1725948299112839E-2</v>
      </c>
      <c r="M208" s="334">
        <v>8.7984494079864653E-2</v>
      </c>
      <c r="N208" s="334">
        <v>7.9805044093408981E-2</v>
      </c>
      <c r="O208" s="334">
        <v>0.59254546546406028</v>
      </c>
      <c r="P208" s="334">
        <v>0.17793466362451615</v>
      </c>
      <c r="Q208" s="334">
        <v>0.69861485811919055</v>
      </c>
      <c r="R208" s="3">
        <v>138.08967995686919</v>
      </c>
      <c r="S208" s="3">
        <v>184.88417716526581</v>
      </c>
      <c r="T208" s="3">
        <v>169.10785696769472</v>
      </c>
      <c r="U208" s="3">
        <v>1245.1394796937338</v>
      </c>
      <c r="V208" s="3">
        <v>373.90122606074073</v>
      </c>
      <c r="W208" s="3">
        <v>1468.0274756087497</v>
      </c>
      <c r="X208" s="3">
        <v>108.69380419885776</v>
      </c>
      <c r="Y208" s="3">
        <v>184.88533678978277</v>
      </c>
      <c r="Z208" s="3">
        <v>167.697531355244</v>
      </c>
      <c r="AA208" s="3">
        <v>1245.1394883982482</v>
      </c>
      <c r="AB208" s="3">
        <v>373.90122606074073</v>
      </c>
      <c r="AC208" s="3">
        <v>1468.0273459601797</v>
      </c>
    </row>
    <row r="209" spans="4:29" x14ac:dyDescent="0.35">
      <c r="D209">
        <v>8</v>
      </c>
      <c r="E209" s="56" t="s">
        <v>93</v>
      </c>
      <c r="F209" s="334">
        <v>7.5855137823278754E-2</v>
      </c>
      <c r="G209" s="334">
        <v>0.11664613995495682</v>
      </c>
      <c r="H209" s="334">
        <v>8.5708235857064774E-2</v>
      </c>
      <c r="I209" s="334">
        <v>0.57443056403702952</v>
      </c>
      <c r="J209" s="334">
        <v>0.1783859505296557</v>
      </c>
      <c r="K209" s="334">
        <v>0.69989105262150197</v>
      </c>
      <c r="L209" s="334">
        <v>5.7884245670017952E-2</v>
      </c>
      <c r="M209" s="334">
        <v>0.11664670981950681</v>
      </c>
      <c r="N209" s="334">
        <v>8.4712767180593299E-2</v>
      </c>
      <c r="O209" s="334">
        <v>0.57443056299761819</v>
      </c>
      <c r="P209" s="334">
        <v>0.1783859505296557</v>
      </c>
      <c r="Q209" s="334">
        <v>0.69989119332153227</v>
      </c>
      <c r="R209" s="3">
        <v>208.45295294388293</v>
      </c>
      <c r="S209" s="3">
        <v>320.54825844181954</v>
      </c>
      <c r="T209" s="3">
        <v>235.52966046464829</v>
      </c>
      <c r="U209" s="3">
        <v>1578.5581671963187</v>
      </c>
      <c r="V209" s="3">
        <v>490.21172749351501</v>
      </c>
      <c r="W209" s="3">
        <v>1923.3286082459922</v>
      </c>
      <c r="X209" s="3">
        <v>159.06822247103614</v>
      </c>
      <c r="Y209" s="3">
        <v>320.5498244523975</v>
      </c>
      <c r="Z209" s="3">
        <v>232.79407272295759</v>
      </c>
      <c r="AA209" s="3">
        <v>1578.5581643399746</v>
      </c>
      <c r="AB209" s="3">
        <v>490.21172749351501</v>
      </c>
      <c r="AC209" s="3">
        <v>1923.3289948953036</v>
      </c>
    </row>
    <row r="210" spans="4:29" x14ac:dyDescent="0.35">
      <c r="D210">
        <v>9</v>
      </c>
      <c r="E210" s="56" t="s">
        <v>93</v>
      </c>
      <c r="F210" s="334">
        <v>0.10588164905871057</v>
      </c>
      <c r="G210" s="334">
        <v>0.11494122558084546</v>
      </c>
      <c r="H210" s="334">
        <v>8.725628632819625E-2</v>
      </c>
      <c r="I210" s="334">
        <v>0.58029833921109086</v>
      </c>
      <c r="J210" s="334">
        <v>0.17841351785409376</v>
      </c>
      <c r="K210" s="334">
        <v>0.69988642290143976</v>
      </c>
      <c r="L210" s="334">
        <v>7.8277331796102384E-2</v>
      </c>
      <c r="M210" s="334">
        <v>0.11494181184126705</v>
      </c>
      <c r="N210" s="334">
        <v>8.5849049343265801E-2</v>
      </c>
      <c r="O210" s="334">
        <v>0.58029832609322962</v>
      </c>
      <c r="P210" s="334">
        <v>0.17841351785409376</v>
      </c>
      <c r="Q210" s="334">
        <v>0.69988665753352752</v>
      </c>
      <c r="R210" s="3">
        <v>683.13992919487589</v>
      </c>
      <c r="S210" s="3">
        <v>741.59159214956844</v>
      </c>
      <c r="T210" s="3">
        <v>562.97057888661595</v>
      </c>
      <c r="U210" s="3">
        <v>3744.0384607228216</v>
      </c>
      <c r="V210" s="3">
        <v>1151.1097441131847</v>
      </c>
      <c r="W210" s="3">
        <v>4515.6112096462575</v>
      </c>
      <c r="X210" s="3">
        <v>505.03908256190891</v>
      </c>
      <c r="Y210" s="3">
        <v>741.59537465490769</v>
      </c>
      <c r="Z210" s="3">
        <v>553.89119843880349</v>
      </c>
      <c r="AA210" s="3">
        <v>3744.0383760874302</v>
      </c>
      <c r="AB210" s="3">
        <v>1151.1097441131847</v>
      </c>
      <c r="AC210" s="3">
        <v>4515.6127234737169</v>
      </c>
    </row>
    <row r="211" spans="4:29" x14ac:dyDescent="0.35">
      <c r="D211">
        <v>10</v>
      </c>
      <c r="E211" s="56" t="s">
        <v>93</v>
      </c>
      <c r="F211" s="334">
        <v>0.14034771592822842</v>
      </c>
      <c r="G211" s="334">
        <v>0.12593108611276704</v>
      </c>
      <c r="H211" s="334">
        <v>9.0500546778312041E-2</v>
      </c>
      <c r="I211" s="334">
        <v>0.51717787980749097</v>
      </c>
      <c r="J211" s="334">
        <v>0.17843304180405761</v>
      </c>
      <c r="K211" s="334">
        <v>0.69988393582466424</v>
      </c>
      <c r="L211" s="334">
        <v>0.10307193700854499</v>
      </c>
      <c r="M211" s="334">
        <v>0.12593211597503751</v>
      </c>
      <c r="N211" s="334">
        <v>8.870967783138943E-2</v>
      </c>
      <c r="O211" s="334">
        <v>0.51717788217725791</v>
      </c>
      <c r="P211" s="334">
        <v>0.17843304180405761</v>
      </c>
      <c r="Q211" s="334">
        <v>0.69988452175019034</v>
      </c>
      <c r="R211" s="3">
        <v>319.90858368680387</v>
      </c>
      <c r="S211" s="3">
        <v>287.04731768544121</v>
      </c>
      <c r="T211" s="3">
        <v>206.28694632648447</v>
      </c>
      <c r="U211" s="3">
        <v>1178.8552592331951</v>
      </c>
      <c r="V211" s="3">
        <v>406.72027548816897</v>
      </c>
      <c r="W211" s="3">
        <v>1595.3154433187397</v>
      </c>
      <c r="X211" s="3">
        <v>234.94217321727746</v>
      </c>
      <c r="Y211" s="3">
        <v>287.04966515350048</v>
      </c>
      <c r="Z211" s="3">
        <v>202.20483964886907</v>
      </c>
      <c r="AA211" s="3">
        <v>1178.8552646348417</v>
      </c>
      <c r="AB211" s="3">
        <v>406.72027548816897</v>
      </c>
      <c r="AC211" s="3">
        <v>1595.316778877384</v>
      </c>
    </row>
    <row r="212" spans="4:29" x14ac:dyDescent="0.35">
      <c r="D212">
        <v>11</v>
      </c>
      <c r="E212" s="56" t="s">
        <v>93</v>
      </c>
      <c r="F212" s="334">
        <v>0.33281256129879661</v>
      </c>
      <c r="G212" s="334">
        <v>0.13591281413665343</v>
      </c>
      <c r="H212" s="334">
        <v>9.857058459619511E-2</v>
      </c>
      <c r="I212" s="334">
        <v>0.53056859448388982</v>
      </c>
      <c r="J212" s="334">
        <v>0.17831591654705534</v>
      </c>
      <c r="K212" s="334">
        <v>0.69787694286823931</v>
      </c>
      <c r="L212" s="334">
        <v>0.2154793672019216</v>
      </c>
      <c r="M212" s="334">
        <v>0.13591291213160683</v>
      </c>
      <c r="N212" s="334">
        <v>9.4715098873779213E-2</v>
      </c>
      <c r="O212" s="334">
        <v>0.53056858993443523</v>
      </c>
      <c r="P212" s="334">
        <v>0.17831591654705534</v>
      </c>
      <c r="Q212" s="334">
        <v>0.69787803346704902</v>
      </c>
      <c r="R212" s="3">
        <v>216.58110239080483</v>
      </c>
      <c r="S212" s="3">
        <v>88.446622927568569</v>
      </c>
      <c r="T212" s="3">
        <v>64.145793631819913</v>
      </c>
      <c r="U212" s="3">
        <v>345.27281854633605</v>
      </c>
      <c r="V212" s="3">
        <v>116.04086585216172</v>
      </c>
      <c r="W212" s="3">
        <v>454.15039934093534</v>
      </c>
      <c r="X212" s="3">
        <v>140.22535300032246</v>
      </c>
      <c r="Y212" s="3">
        <v>88.446686698764452</v>
      </c>
      <c r="Z212" s="3">
        <v>61.636797743100551</v>
      </c>
      <c r="AA212" s="3">
        <v>345.27281558573299</v>
      </c>
      <c r="AB212" s="3">
        <v>116.04086585216172</v>
      </c>
      <c r="AC212" s="3">
        <v>454.15110905901673</v>
      </c>
    </row>
    <row r="213" spans="4:29" x14ac:dyDescent="0.35">
      <c r="D213">
        <v>12</v>
      </c>
      <c r="E213" s="56" t="s">
        <v>93</v>
      </c>
      <c r="F213" s="334">
        <v>0.32318653334231479</v>
      </c>
      <c r="G213" s="334">
        <v>9.7389885263795786E-2</v>
      </c>
      <c r="H213" s="334">
        <v>9.1453198066121816E-2</v>
      </c>
      <c r="I213" s="334">
        <v>0.55274926513368416</v>
      </c>
      <c r="J213" s="334">
        <v>0.17834655045790851</v>
      </c>
      <c r="K213" s="334">
        <v>0.69793324477443142</v>
      </c>
      <c r="L213" s="334">
        <v>0.21988411932540908</v>
      </c>
      <c r="M213" s="334">
        <v>9.7390696051752046E-2</v>
      </c>
      <c r="N213" s="334">
        <v>8.7994237996863747E-2</v>
      </c>
      <c r="O213" s="334">
        <v>0.55274927085591363</v>
      </c>
      <c r="P213" s="334">
        <v>0.17834655045790851</v>
      </c>
      <c r="Q213" s="334">
        <v>0.69793373133336722</v>
      </c>
      <c r="R213" s="3">
        <v>1187.4842794596673</v>
      </c>
      <c r="S213" s="3">
        <v>357.83965542476489</v>
      </c>
      <c r="T213" s="3">
        <v>336.0264856543514</v>
      </c>
      <c r="U213" s="3">
        <v>2030.9666248806959</v>
      </c>
      <c r="V213" s="3">
        <v>655.29873034749323</v>
      </c>
      <c r="W213" s="3">
        <v>2564.4161212746935</v>
      </c>
      <c r="X213" s="3">
        <v>807.92021963735067</v>
      </c>
      <c r="Y213" s="3">
        <v>357.84263450295254</v>
      </c>
      <c r="Z213" s="3">
        <v>323.31722867187648</v>
      </c>
      <c r="AA213" s="3">
        <v>2030.9666459058835</v>
      </c>
      <c r="AB213" s="3">
        <v>655.29873034749323</v>
      </c>
      <c r="AC213" s="3">
        <v>2564.4179090381913</v>
      </c>
    </row>
    <row r="214" spans="4:29" x14ac:dyDescent="0.35">
      <c r="D214">
        <v>13</v>
      </c>
      <c r="E214" s="56" t="s">
        <v>93</v>
      </c>
      <c r="F214" s="334">
        <v>0.28242187325857276</v>
      </c>
      <c r="G214" s="334">
        <v>0.15541342073915226</v>
      </c>
      <c r="H214" s="334">
        <v>9.9320681632278196E-2</v>
      </c>
      <c r="I214" s="334">
        <v>0.51443785252053298</v>
      </c>
      <c r="J214" s="334">
        <v>0.17831984249840452</v>
      </c>
      <c r="K214" s="334">
        <v>0.69787726435086428</v>
      </c>
      <c r="L214" s="334">
        <v>0.19346074916971476</v>
      </c>
      <c r="M214" s="334">
        <v>0.15541351890560115</v>
      </c>
      <c r="N214" s="334">
        <v>9.6205788279484436E-2</v>
      </c>
      <c r="O214" s="334">
        <v>0.51443790744456031</v>
      </c>
      <c r="P214" s="334">
        <v>0.17831984249840452</v>
      </c>
      <c r="Q214" s="334">
        <v>0.69787814516135405</v>
      </c>
      <c r="R214" s="3">
        <v>302.87486531995859</v>
      </c>
      <c r="S214" s="3">
        <v>166.66846066908164</v>
      </c>
      <c r="T214" s="3">
        <v>106.51348539608777</v>
      </c>
      <c r="U214" s="3">
        <v>551.69344180006988</v>
      </c>
      <c r="V214" s="3">
        <v>191.23376549213896</v>
      </c>
      <c r="W214" s="3">
        <v>748.41753583515379</v>
      </c>
      <c r="X214" s="3">
        <v>207.47117662458547</v>
      </c>
      <c r="Y214" s="3">
        <v>166.66856594474476</v>
      </c>
      <c r="Z214" s="3">
        <v>103.17301146668468</v>
      </c>
      <c r="AA214" s="3">
        <v>551.69350070169526</v>
      </c>
      <c r="AB214" s="3">
        <v>191.23376549213896</v>
      </c>
      <c r="AC214" s="3">
        <v>748.41848043393918</v>
      </c>
    </row>
    <row r="215" spans="4:29" x14ac:dyDescent="0.35">
      <c r="D215">
        <v>14</v>
      </c>
      <c r="E215" s="56" t="s">
        <v>93</v>
      </c>
      <c r="F215" s="334">
        <v>0.27071890700097162</v>
      </c>
      <c r="G215" s="334">
        <v>0.12590961132422843</v>
      </c>
      <c r="H215" s="334">
        <v>9.7754262202194089E-2</v>
      </c>
      <c r="I215" s="334">
        <v>0.5345344933995273</v>
      </c>
      <c r="J215" s="334">
        <v>0.17828606046806775</v>
      </c>
      <c r="K215" s="334">
        <v>0.69989042708247517</v>
      </c>
      <c r="L215" s="334">
        <v>0.18779269096497728</v>
      </c>
      <c r="M215" s="334">
        <v>0.12590982711712387</v>
      </c>
      <c r="N215" s="334">
        <v>9.5318008205568988E-2</v>
      </c>
      <c r="O215" s="334">
        <v>0.53453448849422724</v>
      </c>
      <c r="P215" s="334">
        <v>0.17828606046806775</v>
      </c>
      <c r="Q215" s="334">
        <v>0.69989129686054896</v>
      </c>
      <c r="R215" s="3">
        <v>131.89425149087336</v>
      </c>
      <c r="S215" s="3">
        <v>61.343162637164085</v>
      </c>
      <c r="T215" s="3">
        <v>47.625876544908962</v>
      </c>
      <c r="U215" s="3">
        <v>260.42520518424971</v>
      </c>
      <c r="V215" s="3">
        <v>86.860968660042602</v>
      </c>
      <c r="W215" s="3">
        <v>340.98661607458189</v>
      </c>
      <c r="X215" s="3">
        <v>91.49259903813693</v>
      </c>
      <c r="Y215" s="3">
        <v>61.343267771462749</v>
      </c>
      <c r="Z215" s="3">
        <v>46.438933597753213</v>
      </c>
      <c r="AA215" s="3">
        <v>260.42520279438753</v>
      </c>
      <c r="AB215" s="3">
        <v>86.860968660042602</v>
      </c>
      <c r="AC215" s="3">
        <v>340.98703983045942</v>
      </c>
    </row>
    <row r="216" spans="4:29" x14ac:dyDescent="0.35">
      <c r="D216">
        <v>15</v>
      </c>
      <c r="E216" s="56" t="s">
        <v>93</v>
      </c>
      <c r="F216" s="334">
        <v>4.4849236460624546E-2</v>
      </c>
      <c r="G216" s="334">
        <v>0.25627792616570338</v>
      </c>
      <c r="H216" s="334">
        <v>0.10614875010297489</v>
      </c>
      <c r="I216" s="334">
        <v>0.42209208458877046</v>
      </c>
      <c r="J216" s="334">
        <v>0.17831003328503192</v>
      </c>
      <c r="K216" s="334">
        <v>0.69981389409304062</v>
      </c>
      <c r="L216" s="334">
        <v>3.3739253050010798E-2</v>
      </c>
      <c r="M216" s="334">
        <v>0.25627835394284659</v>
      </c>
      <c r="N216" s="334">
        <v>0.10537764722881318</v>
      </c>
      <c r="O216" s="334">
        <v>0.42209208597920572</v>
      </c>
      <c r="P216" s="334">
        <v>0.17831003328503192</v>
      </c>
      <c r="Q216" s="334">
        <v>0.69981394545513076</v>
      </c>
      <c r="R216" s="3">
        <v>14.228868759497743</v>
      </c>
      <c r="S216" s="3">
        <v>81.306734855331058</v>
      </c>
      <c r="T216" s="3">
        <v>33.676752457669814</v>
      </c>
      <c r="U216" s="3">
        <v>133.91293475663332</v>
      </c>
      <c r="V216" s="3">
        <v>56.570641160009224</v>
      </c>
      <c r="W216" s="3">
        <v>222.02295603995807</v>
      </c>
      <c r="X216" s="3">
        <v>10.704115422646426</v>
      </c>
      <c r="Y216" s="3">
        <v>81.30687057190751</v>
      </c>
      <c r="Z216" s="3">
        <v>33.432112359813267</v>
      </c>
      <c r="AA216" s="3">
        <v>133.91293519776281</v>
      </c>
      <c r="AB216" s="3">
        <v>56.570641160009224</v>
      </c>
      <c r="AC216" s="3">
        <v>222.02297233509478</v>
      </c>
    </row>
    <row r="217" spans="4:29" x14ac:dyDescent="0.35">
      <c r="D217">
        <v>16</v>
      </c>
      <c r="E217" s="56" t="s">
        <v>93</v>
      </c>
      <c r="F217" s="334">
        <v>0.6914243967727125</v>
      </c>
      <c r="G217" s="334">
        <v>5.8003018929833179E-2</v>
      </c>
      <c r="H217" s="334">
        <v>0.10065162076062829</v>
      </c>
      <c r="I217" s="334">
        <v>0.63306953604678184</v>
      </c>
      <c r="J217" s="334">
        <v>0.17852852502654545</v>
      </c>
      <c r="K217" s="334">
        <v>0.69999742790536601</v>
      </c>
      <c r="L217" s="334">
        <v>0.63094095488133639</v>
      </c>
      <c r="M217" s="334">
        <v>5.8003045204003296E-2</v>
      </c>
      <c r="N217" s="334">
        <v>9.9711396768548066E-2</v>
      </c>
      <c r="O217" s="334">
        <v>0.63306983550187723</v>
      </c>
      <c r="P217" s="334">
        <v>0.17852852502654545</v>
      </c>
      <c r="Q217" s="334">
        <v>0.69999752652077585</v>
      </c>
      <c r="R217" s="3">
        <v>135.94786489345074</v>
      </c>
      <c r="S217" s="3">
        <v>11.4045535819838</v>
      </c>
      <c r="T217" s="3">
        <v>19.790121673954737</v>
      </c>
      <c r="U217" s="3">
        <v>124.47413217751824</v>
      </c>
      <c r="V217" s="3">
        <v>35.102278590719365</v>
      </c>
      <c r="W217" s="3">
        <v>137.63349427475308</v>
      </c>
      <c r="X217" s="3">
        <v>124.05561054876837</v>
      </c>
      <c r="Y217" s="3">
        <v>11.404558748011128</v>
      </c>
      <c r="Z217" s="3">
        <v>19.605254832631921</v>
      </c>
      <c r="AA217" s="3">
        <v>124.4741910563791</v>
      </c>
      <c r="AB217" s="3">
        <v>35.102278590719365</v>
      </c>
      <c r="AC217" s="3">
        <v>137.63351366451496</v>
      </c>
    </row>
    <row r="218" spans="4:29" x14ac:dyDescent="0.35">
      <c r="D218" t="s">
        <v>96</v>
      </c>
      <c r="E218" s="5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35">
        <f>SUM(R202:R217)</f>
        <v>5536.7770196472857</v>
      </c>
      <c r="S218" s="335">
        <f t="shared" ref="S218:AC218" si="35">SUM(S202:S217)</f>
        <v>2877.1724579975148</v>
      </c>
      <c r="T218" s="335">
        <f t="shared" si="35"/>
        <v>2602.0157696236561</v>
      </c>
      <c r="U218" s="335">
        <f t="shared" si="35"/>
        <v>17673.034141488712</v>
      </c>
      <c r="V218" s="335">
        <f t="shared" si="35"/>
        <v>5373.7136481224434</v>
      </c>
      <c r="W218" s="335">
        <f t="shared" si="35"/>
        <v>21065.437171718728</v>
      </c>
      <c r="X218" s="335">
        <f t="shared" si="35"/>
        <v>3950.73300738339</v>
      </c>
      <c r="Y218" s="335">
        <f t="shared" si="35"/>
        <v>2877.1874505670876</v>
      </c>
      <c r="Z218" s="335">
        <f t="shared" si="35"/>
        <v>2544.2637043174136</v>
      </c>
      <c r="AA218" s="335">
        <f t="shared" si="35"/>
        <v>17673.033875176585</v>
      </c>
      <c r="AB218" s="335">
        <f t="shared" si="35"/>
        <v>5373.7136481224434</v>
      </c>
      <c r="AC218" s="335">
        <f t="shared" si="35"/>
        <v>21065.451271983977</v>
      </c>
    </row>
    <row r="219" spans="4:29" x14ac:dyDescent="0.35">
      <c r="D219">
        <v>1</v>
      </c>
      <c r="E219" s="56" t="s">
        <v>94</v>
      </c>
      <c r="F219" s="334">
        <v>0.39530611663891796</v>
      </c>
      <c r="G219" s="334">
        <v>5.5334208787314616E-3</v>
      </c>
      <c r="H219" s="334">
        <v>6.7274405288052397E-2</v>
      </c>
      <c r="I219" s="334">
        <v>0.52656071663650594</v>
      </c>
      <c r="J219" s="334">
        <v>0.1152210223042311</v>
      </c>
      <c r="K219" s="334">
        <v>0.58982124588587481</v>
      </c>
      <c r="L219" s="334">
        <v>0.29936344547432825</v>
      </c>
      <c r="M219" s="334">
        <v>5.5331727319956753E-3</v>
      </c>
      <c r="N219" s="334">
        <v>6.6467188342319836E-2</v>
      </c>
      <c r="O219" s="334">
        <v>0.52656072558274614</v>
      </c>
      <c r="P219" s="334">
        <v>0.1152210223042311</v>
      </c>
      <c r="Q219" s="334">
        <v>0.58982076162090036</v>
      </c>
      <c r="R219" s="3">
        <v>5.2378060454656632</v>
      </c>
      <c r="S219" s="3">
        <v>7.3317826643191863E-2</v>
      </c>
      <c r="T219" s="3">
        <v>0.89138587006669423</v>
      </c>
      <c r="U219" s="3">
        <v>6.976929495433704</v>
      </c>
      <c r="V219" s="3">
        <v>1.5266785455310621</v>
      </c>
      <c r="W219" s="3">
        <v>7.8151315079878412</v>
      </c>
      <c r="X219" s="3">
        <v>3.9665656525348494</v>
      </c>
      <c r="Y219" s="3">
        <v>7.3314538698942694E-2</v>
      </c>
      <c r="Z219" s="3">
        <v>0.88069024553573783</v>
      </c>
      <c r="AA219" s="3">
        <v>6.9769296139713859</v>
      </c>
      <c r="AB219" s="3">
        <v>1.5266785455310621</v>
      </c>
      <c r="AC219" s="3">
        <v>7.8151250914769301</v>
      </c>
    </row>
    <row r="220" spans="4:29" x14ac:dyDescent="0.35">
      <c r="D220">
        <v>2</v>
      </c>
      <c r="E220" s="56" t="s">
        <v>94</v>
      </c>
      <c r="F220" s="334">
        <v>0.23332295146597862</v>
      </c>
      <c r="G220" s="334">
        <v>4.0222644348307864E-2</v>
      </c>
      <c r="H220" s="334">
        <v>7.1020462582549918E-2</v>
      </c>
      <c r="I220" s="334">
        <v>0.4771403046654436</v>
      </c>
      <c r="J220" s="334">
        <v>0.11512378802086214</v>
      </c>
      <c r="K220" s="334">
        <v>0.59170164506000056</v>
      </c>
      <c r="L220" s="334">
        <v>0.13006910760217863</v>
      </c>
      <c r="M220" s="334">
        <v>4.0222923861318892E-2</v>
      </c>
      <c r="N220" s="334">
        <v>6.8730128272793581E-2</v>
      </c>
      <c r="O220" s="334">
        <v>0.4771403076641838</v>
      </c>
      <c r="P220" s="334">
        <v>0.11512378802086214</v>
      </c>
      <c r="Q220" s="334">
        <v>0.59170194605890414</v>
      </c>
      <c r="R220" s="3">
        <v>18.35085013279922</v>
      </c>
      <c r="S220" s="3">
        <v>3.1635109779944135</v>
      </c>
      <c r="T220" s="3">
        <v>5.5857593821175513</v>
      </c>
      <c r="U220" s="3">
        <v>37.527084961937142</v>
      </c>
      <c r="V220" s="3">
        <v>9.0544859278408083</v>
      </c>
      <c r="W220" s="3">
        <v>46.537334383969046</v>
      </c>
      <c r="X220" s="3">
        <v>10.229935312911349</v>
      </c>
      <c r="Y220" s="3">
        <v>3.1635329616927312</v>
      </c>
      <c r="Z220" s="3">
        <v>5.4056245886552157</v>
      </c>
      <c r="AA220" s="3">
        <v>37.527085197788061</v>
      </c>
      <c r="AB220" s="3">
        <v>9.0544859278408083</v>
      </c>
      <c r="AC220" s="3">
        <v>46.537358057532813</v>
      </c>
    </row>
    <row r="221" spans="4:29" x14ac:dyDescent="0.35">
      <c r="D221">
        <v>3</v>
      </c>
      <c r="E221" s="56" t="s">
        <v>94</v>
      </c>
      <c r="F221" s="334">
        <v>0.15239371471832136</v>
      </c>
      <c r="G221" s="334">
        <v>2.3882671574118462E-2</v>
      </c>
      <c r="H221" s="334">
        <v>6.5286535972089749E-2</v>
      </c>
      <c r="I221" s="334">
        <v>0.4758488409693718</v>
      </c>
      <c r="J221" s="334">
        <v>0.11506081629741342</v>
      </c>
      <c r="K221" s="334">
        <v>0.59175309334094683</v>
      </c>
      <c r="L221" s="334">
        <v>8.6738942944251288E-2</v>
      </c>
      <c r="M221" s="334">
        <v>2.3882670683369318E-2</v>
      </c>
      <c r="N221" s="334">
        <v>6.3296364636598462E-2</v>
      </c>
      <c r="O221" s="334">
        <v>0.47584884006974959</v>
      </c>
      <c r="P221" s="334">
        <v>0.11506081629741342</v>
      </c>
      <c r="Q221" s="334">
        <v>0.59175324293700227</v>
      </c>
      <c r="R221" s="3">
        <v>58.138202165039601</v>
      </c>
      <c r="S221" s="3">
        <v>9.1112392055261928</v>
      </c>
      <c r="T221" s="3">
        <v>24.906813473352241</v>
      </c>
      <c r="U221" s="3">
        <v>181.53633282981534</v>
      </c>
      <c r="V221" s="3">
        <v>43.895701417463222</v>
      </c>
      <c r="W221" s="3">
        <v>225.7538051095712</v>
      </c>
      <c r="X221" s="3">
        <v>33.090906733231868</v>
      </c>
      <c r="Y221" s="3">
        <v>9.1112388657053955</v>
      </c>
      <c r="Z221" s="3">
        <v>24.147563108862315</v>
      </c>
      <c r="AA221" s="3">
        <v>181.53633248660947</v>
      </c>
      <c r="AB221" s="3">
        <v>43.895701417463222</v>
      </c>
      <c r="AC221" s="3">
        <v>225.75386218046637</v>
      </c>
    </row>
    <row r="222" spans="4:29" x14ac:dyDescent="0.35">
      <c r="D222">
        <v>4</v>
      </c>
      <c r="E222" s="56" t="s">
        <v>94</v>
      </c>
      <c r="F222" s="334">
        <v>0.12012735129254701</v>
      </c>
      <c r="G222" s="334">
        <v>5.6965354969970856E-2</v>
      </c>
      <c r="H222" s="334">
        <v>6.9831607327510509E-2</v>
      </c>
      <c r="I222" s="334">
        <v>0.44646368442783763</v>
      </c>
      <c r="J222" s="334">
        <v>0.11507582002945436</v>
      </c>
      <c r="K222" s="334">
        <v>0.59270041565191534</v>
      </c>
      <c r="L222" s="334">
        <v>7.2304320533750174E-2</v>
      </c>
      <c r="M222" s="334">
        <v>5.6965502551464618E-2</v>
      </c>
      <c r="N222" s="334">
        <v>6.8304725256190343E-2</v>
      </c>
      <c r="O222" s="334">
        <v>0.44646367578147178</v>
      </c>
      <c r="P222" s="334">
        <v>0.11507582002945436</v>
      </c>
      <c r="Q222" s="334">
        <v>0.59270060402911984</v>
      </c>
      <c r="R222" s="3">
        <v>23.875311069393721</v>
      </c>
      <c r="S222" s="3">
        <v>11.321864300281709</v>
      </c>
      <c r="T222" s="3">
        <v>13.879031956342716</v>
      </c>
      <c r="U222" s="3">
        <v>88.734657280032735</v>
      </c>
      <c r="V222" s="3">
        <v>22.871319230854059</v>
      </c>
      <c r="W222" s="3">
        <v>117.79920761081819</v>
      </c>
      <c r="X222" s="3">
        <v>14.370483706082849</v>
      </c>
      <c r="Y222" s="3">
        <v>11.321893632103594</v>
      </c>
      <c r="Z222" s="3">
        <v>13.575564144667833</v>
      </c>
      <c r="AA222" s="3">
        <v>88.734655561567536</v>
      </c>
      <c r="AB222" s="3">
        <v>22.871319230854059</v>
      </c>
      <c r="AC222" s="3">
        <v>117.79924505078759</v>
      </c>
    </row>
    <row r="223" spans="4:29" x14ac:dyDescent="0.35">
      <c r="D223">
        <v>5</v>
      </c>
      <c r="E223" s="56" t="s">
        <v>94</v>
      </c>
      <c r="F223" s="334">
        <v>0.13520227181710001</v>
      </c>
      <c r="G223" s="334">
        <v>2.6043435985124361E-2</v>
      </c>
      <c r="H223" s="334">
        <v>6.49095325963812E-2</v>
      </c>
      <c r="I223" s="334">
        <v>0.47617464432117096</v>
      </c>
      <c r="J223" s="334">
        <v>0.11497549366050427</v>
      </c>
      <c r="K223" s="334">
        <v>0.59171968211148596</v>
      </c>
      <c r="L223" s="334">
        <v>8.394195078351864E-2</v>
      </c>
      <c r="M223" s="334">
        <v>2.6043534768190602E-2</v>
      </c>
      <c r="N223" s="334">
        <v>6.378216100735197E-2</v>
      </c>
      <c r="O223" s="334">
        <v>0.47617463972310337</v>
      </c>
      <c r="P223" s="334">
        <v>0.11497549366050427</v>
      </c>
      <c r="Q223" s="334">
        <v>0.59171966318624303</v>
      </c>
      <c r="R223" s="3">
        <v>4.772640195143631</v>
      </c>
      <c r="S223" s="3">
        <v>0.91933329027489008</v>
      </c>
      <c r="T223" s="3">
        <v>2.2913065006522566</v>
      </c>
      <c r="U223" s="3">
        <v>16.808964944537337</v>
      </c>
      <c r="V223" s="3">
        <v>4.0586349262158015</v>
      </c>
      <c r="W223" s="3">
        <v>20.887704778535458</v>
      </c>
      <c r="X223" s="3">
        <v>2.9631508626582082</v>
      </c>
      <c r="Y223" s="3">
        <v>0.91933677731712837</v>
      </c>
      <c r="Z223" s="3">
        <v>2.2515102835595249</v>
      </c>
      <c r="AA223" s="3">
        <v>16.808964782225551</v>
      </c>
      <c r="AB223" s="3">
        <v>4.0586349262158015</v>
      </c>
      <c r="AC223" s="3">
        <v>20.887704110474381</v>
      </c>
    </row>
    <row r="224" spans="4:29" x14ac:dyDescent="0.35">
      <c r="D224">
        <v>6</v>
      </c>
      <c r="E224" s="56" t="s">
        <v>94</v>
      </c>
      <c r="F224" s="334">
        <v>4.5176739083578631E-2</v>
      </c>
      <c r="G224" s="334">
        <v>6.2303293990597607E-2</v>
      </c>
      <c r="H224" s="334">
        <v>6.8017258022988983E-2</v>
      </c>
      <c r="I224" s="334">
        <v>0.42819723784843589</v>
      </c>
      <c r="J224" s="334">
        <v>0.11524766909754273</v>
      </c>
      <c r="K224" s="334">
        <v>0.59537709752360479</v>
      </c>
      <c r="L224" s="334">
        <v>3.178040901833111E-2</v>
      </c>
      <c r="M224" s="334">
        <v>6.2303490095356323E-2</v>
      </c>
      <c r="N224" s="334">
        <v>6.7291499648631792E-2</v>
      </c>
      <c r="O224" s="334">
        <v>0.42819723924784703</v>
      </c>
      <c r="P224" s="334">
        <v>0.11524766909754273</v>
      </c>
      <c r="Q224" s="334">
        <v>0.59537710181365089</v>
      </c>
      <c r="R224" s="3">
        <v>7.6122805355830003</v>
      </c>
      <c r="S224" s="3">
        <v>10.498105037415698</v>
      </c>
      <c r="T224" s="3">
        <v>11.460907976873646</v>
      </c>
      <c r="U224" s="3">
        <v>72.151234577461466</v>
      </c>
      <c r="V224" s="3">
        <v>19.419232242935955</v>
      </c>
      <c r="W224" s="3">
        <v>100.32104093272743</v>
      </c>
      <c r="X224" s="3">
        <v>5.3549989195887928</v>
      </c>
      <c r="Y224" s="3">
        <v>10.498138081067543</v>
      </c>
      <c r="Z224" s="3">
        <v>11.338617690794459</v>
      </c>
      <c r="AA224" s="3">
        <v>72.151234813262235</v>
      </c>
      <c r="AB224" s="3">
        <v>19.419232242935955</v>
      </c>
      <c r="AC224" s="3">
        <v>100.3210416556002</v>
      </c>
    </row>
    <row r="225" spans="4:29" x14ac:dyDescent="0.35">
      <c r="D225">
        <v>7</v>
      </c>
      <c r="E225" s="56" t="s">
        <v>94</v>
      </c>
      <c r="F225" s="334">
        <v>3.8031180314862988E-2</v>
      </c>
      <c r="G225" s="334">
        <v>6.3259143362730683E-2</v>
      </c>
      <c r="H225" s="334">
        <v>6.7522537825255136E-2</v>
      </c>
      <c r="I225" s="334">
        <v>0.42641370622837521</v>
      </c>
      <c r="J225" s="334">
        <v>0.11499050025866915</v>
      </c>
      <c r="K225" s="334">
        <v>0.59452857535797621</v>
      </c>
      <c r="L225" s="334">
        <v>2.6254656743507267E-2</v>
      </c>
      <c r="M225" s="334">
        <v>6.3258985583185892E-2</v>
      </c>
      <c r="N225" s="334">
        <v>6.6961114300615049E-2</v>
      </c>
      <c r="O225" s="334">
        <v>0.42641370357948893</v>
      </c>
      <c r="P225" s="334">
        <v>0.11499050025866915</v>
      </c>
      <c r="Q225" s="334">
        <v>0.59452860771421379</v>
      </c>
      <c r="R225" s="3">
        <v>6.8893483140374308</v>
      </c>
      <c r="S225" s="3">
        <v>11.459393820158663</v>
      </c>
      <c r="T225" s="3">
        <v>12.231707727044968</v>
      </c>
      <c r="U225" s="3">
        <v>77.244842883270167</v>
      </c>
      <c r="V225" s="3">
        <v>20.830529121857918</v>
      </c>
      <c r="W225" s="3">
        <v>107.69885142609739</v>
      </c>
      <c r="X225" s="3">
        <v>4.7560310690863412</v>
      </c>
      <c r="Y225" s="3">
        <v>11.459365238394124</v>
      </c>
      <c r="Z225" s="3">
        <v>12.130005855556416</v>
      </c>
      <c r="AA225" s="3">
        <v>77.244842403424428</v>
      </c>
      <c r="AB225" s="3">
        <v>20.830529121857918</v>
      </c>
      <c r="AC225" s="3">
        <v>107.69885728742983</v>
      </c>
    </row>
    <row r="226" spans="4:29" x14ac:dyDescent="0.35">
      <c r="D226">
        <v>8</v>
      </c>
      <c r="E226" s="56" t="s">
        <v>94</v>
      </c>
      <c r="F226" s="334">
        <v>4.2537135298546067E-2</v>
      </c>
      <c r="G226" s="334">
        <v>8.2609225355728386E-2</v>
      </c>
      <c r="H226" s="334">
        <v>7.1539092835334009E-2</v>
      </c>
      <c r="I226" s="334">
        <v>0.41257072599736577</v>
      </c>
      <c r="J226" s="334">
        <v>0.11530379344145267</v>
      </c>
      <c r="K226" s="334">
        <v>0.59562548871871157</v>
      </c>
      <c r="L226" s="334">
        <v>2.9069160113387865E-2</v>
      </c>
      <c r="M226" s="334">
        <v>8.2608950700156322E-2</v>
      </c>
      <c r="N226" s="334">
        <v>7.0833422878579744E-2</v>
      </c>
      <c r="O226" s="334">
        <v>0.4125707250977444</v>
      </c>
      <c r="P226" s="334">
        <v>0.11530379344145267</v>
      </c>
      <c r="Q226" s="334">
        <v>0.59562546620930668</v>
      </c>
      <c r="R226" s="3">
        <v>10.077047352225563</v>
      </c>
      <c r="S226" s="3">
        <v>19.570125486772056</v>
      </c>
      <c r="T226" s="3">
        <v>16.947611092690629</v>
      </c>
      <c r="U226" s="3">
        <v>97.738004988775955</v>
      </c>
      <c r="V226" s="3">
        <v>27.315468666280136</v>
      </c>
      <c r="W226" s="3">
        <v>141.10367827746276</v>
      </c>
      <c r="X226" s="3">
        <v>6.8864840308615856</v>
      </c>
      <c r="Y226" s="3">
        <v>19.570060420867033</v>
      </c>
      <c r="Z226" s="3">
        <v>16.78043787993554</v>
      </c>
      <c r="AA226" s="3">
        <v>97.738004775655654</v>
      </c>
      <c r="AB226" s="3">
        <v>27.315468666280136</v>
      </c>
      <c r="AC226" s="3">
        <v>141.10367294498477</v>
      </c>
    </row>
    <row r="227" spans="4:29" x14ac:dyDescent="0.35">
      <c r="D227">
        <v>9</v>
      </c>
      <c r="E227" s="56" t="s">
        <v>94</v>
      </c>
      <c r="F227" s="334">
        <v>6.3149726103552309E-2</v>
      </c>
      <c r="G227" s="334">
        <v>8.3731160922487349E-2</v>
      </c>
      <c r="H227" s="334">
        <v>7.3065457537680248E-2</v>
      </c>
      <c r="I227" s="334">
        <v>0.41705553540231111</v>
      </c>
      <c r="J227" s="334">
        <v>0.115313566064753</v>
      </c>
      <c r="K227" s="334">
        <v>0.59520447816106481</v>
      </c>
      <c r="L227" s="334">
        <v>3.9960374116316671E-2</v>
      </c>
      <c r="M227" s="334">
        <v>8.3730908870718546E-2</v>
      </c>
      <c r="N227" s="334">
        <v>7.1946986900188123E-2</v>
      </c>
      <c r="O227" s="334">
        <v>0.41705552825531539</v>
      </c>
      <c r="P227" s="334">
        <v>0.115313566064753</v>
      </c>
      <c r="Q227" s="334">
        <v>0.5952045424979322</v>
      </c>
      <c r="R227" s="3">
        <v>35.123877658795799</v>
      </c>
      <c r="S227" s="3">
        <v>46.571271705087469</v>
      </c>
      <c r="T227" s="3">
        <v>40.639007482457757</v>
      </c>
      <c r="U227" s="3">
        <v>231.96628879076545</v>
      </c>
      <c r="V227" s="3">
        <v>64.13740544521562</v>
      </c>
      <c r="W227" s="3">
        <v>331.05273075318428</v>
      </c>
      <c r="X227" s="3">
        <v>22.225960083495334</v>
      </c>
      <c r="Y227" s="3">
        <v>46.571131513893661</v>
      </c>
      <c r="Z227" s="3">
        <v>40.016914113884638</v>
      </c>
      <c r="AA227" s="3">
        <v>231.96628481560643</v>
      </c>
      <c r="AB227" s="3">
        <v>64.13740544521562</v>
      </c>
      <c r="AC227" s="3">
        <v>331.0527665373499</v>
      </c>
    </row>
    <row r="228" spans="4:29" x14ac:dyDescent="0.35">
      <c r="D228">
        <v>10</v>
      </c>
      <c r="E228" s="56" t="s">
        <v>94</v>
      </c>
      <c r="F228" s="334">
        <v>8.84353002271282E-2</v>
      </c>
      <c r="G228" s="334">
        <v>9.1864165211989743E-2</v>
      </c>
      <c r="H228" s="334">
        <v>7.5844122306047354E-2</v>
      </c>
      <c r="I228" s="334">
        <v>0.35732802121921198</v>
      </c>
      <c r="J228" s="334">
        <v>0.11532637759956343</v>
      </c>
      <c r="K228" s="334">
        <v>0.59516205316245807</v>
      </c>
      <c r="L228" s="334">
        <v>5.5237939564303076E-2</v>
      </c>
      <c r="M228" s="334">
        <v>9.1864349103214518E-2</v>
      </c>
      <c r="N228" s="334">
        <v>7.4429514357412227E-2</v>
      </c>
      <c r="O228" s="334">
        <v>0.35732802821627091</v>
      </c>
      <c r="P228" s="334">
        <v>0.11532637759956343</v>
      </c>
      <c r="Q228" s="334">
        <v>0.59516215314372145</v>
      </c>
      <c r="R228" s="3">
        <v>17.377536494630693</v>
      </c>
      <c r="S228" s="3">
        <v>18.051308464155987</v>
      </c>
      <c r="T228" s="3">
        <v>14.903370033138307</v>
      </c>
      <c r="U228" s="3">
        <v>70.21495616957516</v>
      </c>
      <c r="V228" s="3">
        <v>22.661633198314217</v>
      </c>
      <c r="W228" s="3">
        <v>116.94934344642303</v>
      </c>
      <c r="X228" s="3">
        <v>10.854255124385556</v>
      </c>
      <c r="Y228" s="3">
        <v>18.051344598781654</v>
      </c>
      <c r="Z228" s="3">
        <v>14.625399571231505</v>
      </c>
      <c r="AA228" s="3">
        <v>70.214957544497238</v>
      </c>
      <c r="AB228" s="3">
        <v>22.661633198314217</v>
      </c>
      <c r="AC228" s="3">
        <v>116.94936309274128</v>
      </c>
    </row>
    <row r="229" spans="4:29" x14ac:dyDescent="0.35">
      <c r="D229">
        <v>11</v>
      </c>
      <c r="E229" s="56" t="s">
        <v>94</v>
      </c>
      <c r="F229" s="334">
        <v>0.26726761962870599</v>
      </c>
      <c r="G229" s="334">
        <v>9.980373905845813E-2</v>
      </c>
      <c r="H229" s="334">
        <v>8.4154633484141789E-2</v>
      </c>
      <c r="I229" s="334">
        <v>0.36727381310310853</v>
      </c>
      <c r="J229" s="334">
        <v>0.11513746281468769</v>
      </c>
      <c r="K229" s="334">
        <v>0.59249839400506565</v>
      </c>
      <c r="L229" s="334">
        <v>0.13830168687051966</v>
      </c>
      <c r="M229" s="334">
        <v>9.9803757230304269E-2</v>
      </c>
      <c r="N229" s="334">
        <v>8.060664787701069E-2</v>
      </c>
      <c r="O229" s="334">
        <v>0.36727380565623846</v>
      </c>
      <c r="P229" s="334">
        <v>0.11513746281468769</v>
      </c>
      <c r="Q229" s="334">
        <v>0.59249868721361731</v>
      </c>
      <c r="R229" s="3">
        <v>14.993713461170406</v>
      </c>
      <c r="S229" s="3">
        <v>5.5989897611795012</v>
      </c>
      <c r="T229" s="3">
        <v>4.7210749384603545</v>
      </c>
      <c r="U229" s="3">
        <v>20.604060915084389</v>
      </c>
      <c r="V229" s="3">
        <v>6.4592116639039796</v>
      </c>
      <c r="W229" s="3">
        <v>33.239159903684182</v>
      </c>
      <c r="X229" s="3">
        <v>7.7587246334361533</v>
      </c>
      <c r="Y229" s="3">
        <v>5.5989907806200696</v>
      </c>
      <c r="Z229" s="3">
        <v>4.5220329459002997</v>
      </c>
      <c r="AA229" s="3">
        <v>20.604060497314979</v>
      </c>
      <c r="AB229" s="3">
        <v>6.4592116639039796</v>
      </c>
      <c r="AC229" s="3">
        <v>33.239176352683934</v>
      </c>
    </row>
    <row r="230" spans="4:29" x14ac:dyDescent="0.35">
      <c r="D230">
        <v>12</v>
      </c>
      <c r="E230" s="56" t="s">
        <v>94</v>
      </c>
      <c r="F230" s="334">
        <v>0.22250723902602224</v>
      </c>
      <c r="G230" s="334">
        <v>6.9131250742108463E-2</v>
      </c>
      <c r="H230" s="334">
        <v>7.638956261800435E-2</v>
      </c>
      <c r="I230" s="334">
        <v>0.38347759005653076</v>
      </c>
      <c r="J230" s="334">
        <v>0.11518202375368794</v>
      </c>
      <c r="K230" s="334">
        <v>0.59235790272755751</v>
      </c>
      <c r="L230" s="334">
        <v>0.1210383318361983</v>
      </c>
      <c r="M230" s="334">
        <v>6.9131831636089491E-2</v>
      </c>
      <c r="N230" s="334">
        <v>7.3345745131479914E-2</v>
      </c>
      <c r="O230" s="334">
        <v>0.38347758615816924</v>
      </c>
      <c r="P230" s="334">
        <v>0.11518202375368794</v>
      </c>
      <c r="Q230" s="334">
        <v>0.59235820353266866</v>
      </c>
      <c r="R230" s="3">
        <v>70.47916796149255</v>
      </c>
      <c r="S230" s="3">
        <v>21.897323672562859</v>
      </c>
      <c r="T230" s="3">
        <v>24.196393959252884</v>
      </c>
      <c r="U230" s="3">
        <v>121.46652665040614</v>
      </c>
      <c r="V230" s="3">
        <v>36.483906023980659</v>
      </c>
      <c r="W230" s="3">
        <v>187.62936568895387</v>
      </c>
      <c r="X230" s="3">
        <v>38.338891609115819</v>
      </c>
      <c r="Y230" s="3">
        <v>21.897507670731351</v>
      </c>
      <c r="Z230" s="3">
        <v>23.232264770396267</v>
      </c>
      <c r="AA230" s="3">
        <v>121.46652541560013</v>
      </c>
      <c r="AB230" s="3">
        <v>36.483906023980659</v>
      </c>
      <c r="AC230" s="3">
        <v>187.62946096897284</v>
      </c>
    </row>
    <row r="231" spans="4:29" x14ac:dyDescent="0.35">
      <c r="D231">
        <v>13</v>
      </c>
      <c r="E231" s="56" t="s">
        <v>94</v>
      </c>
      <c r="F231" s="334">
        <v>0.19097574367758377</v>
      </c>
      <c r="G231" s="334">
        <v>0.11461851304122393</v>
      </c>
      <c r="H231" s="334">
        <v>8.2459671501124182E-2</v>
      </c>
      <c r="I231" s="334">
        <v>0.35541358648147947</v>
      </c>
      <c r="J231" s="334">
        <v>0.11515352325641974</v>
      </c>
      <c r="K231" s="334">
        <v>0.59278854949220983</v>
      </c>
      <c r="L231" s="334">
        <v>0.10482085242861539</v>
      </c>
      <c r="M231" s="334">
        <v>0.11461858040473503</v>
      </c>
      <c r="N231" s="334">
        <v>7.9698554334140845E-2</v>
      </c>
      <c r="O231" s="334">
        <v>0.35541357888467268</v>
      </c>
      <c r="P231" s="334">
        <v>0.11515352325641974</v>
      </c>
      <c r="Q231" s="334">
        <v>0.59278902347316753</v>
      </c>
      <c r="R231" s="3">
        <v>17.65570750299262</v>
      </c>
      <c r="S231" s="3">
        <v>10.596481530661153</v>
      </c>
      <c r="T231" s="3">
        <v>7.6233966302789309</v>
      </c>
      <c r="U231" s="3">
        <v>32.857986070212775</v>
      </c>
      <c r="V231" s="3">
        <v>10.645943225056005</v>
      </c>
      <c r="W231" s="3">
        <v>54.803301400554801</v>
      </c>
      <c r="X231" s="3">
        <v>9.6906878070254923</v>
      </c>
      <c r="Y231" s="3">
        <v>10.596487758417755</v>
      </c>
      <c r="Z231" s="3">
        <v>7.3681313481913211</v>
      </c>
      <c r="AA231" s="3">
        <v>32.857985367887991</v>
      </c>
      <c r="AB231" s="3">
        <v>10.645943225056005</v>
      </c>
      <c r="AC231" s="3">
        <v>54.803345220094343</v>
      </c>
    </row>
    <row r="232" spans="4:29" x14ac:dyDescent="0.35">
      <c r="D232">
        <v>14</v>
      </c>
      <c r="E232" s="56" t="s">
        <v>94</v>
      </c>
      <c r="F232" s="334">
        <v>0.20955044829472477</v>
      </c>
      <c r="G232" s="334">
        <v>9.4889891630329057E-2</v>
      </c>
      <c r="H232" s="334">
        <v>8.287138576020231E-2</v>
      </c>
      <c r="I232" s="334">
        <v>0.37015276436590683</v>
      </c>
      <c r="J232" s="334">
        <v>0.11523899545932172</v>
      </c>
      <c r="K232" s="334">
        <v>0.59434372770321831</v>
      </c>
      <c r="L232" s="334">
        <v>0.12203094551439403</v>
      </c>
      <c r="M232" s="334">
        <v>9.4890235433935044E-2</v>
      </c>
      <c r="N232" s="334">
        <v>8.1058594621268978E-2</v>
      </c>
      <c r="O232" s="334">
        <v>0.3701527616170624</v>
      </c>
      <c r="P232" s="334">
        <v>0.11523899545932172</v>
      </c>
      <c r="Q232" s="334">
        <v>0.59434387669501998</v>
      </c>
      <c r="R232" s="3">
        <v>8.8011188283784421</v>
      </c>
      <c r="S232" s="3">
        <v>3.9853754484738211</v>
      </c>
      <c r="T232" s="3">
        <v>3.4805982019284976</v>
      </c>
      <c r="U232" s="3">
        <v>15.54641610336809</v>
      </c>
      <c r="V232" s="3">
        <v>4.8400378092915126</v>
      </c>
      <c r="W232" s="3">
        <v>24.962436563535174</v>
      </c>
      <c r="X232" s="3">
        <v>5.1252997116045504</v>
      </c>
      <c r="Y232" s="3">
        <v>3.9853898882252725</v>
      </c>
      <c r="Z232" s="3">
        <v>3.4044609740932978</v>
      </c>
      <c r="AA232" s="3">
        <v>15.546415987916623</v>
      </c>
      <c r="AB232" s="3">
        <v>4.8400378092915126</v>
      </c>
      <c r="AC232" s="3">
        <v>24.962442821190844</v>
      </c>
    </row>
    <row r="233" spans="4:29" x14ac:dyDescent="0.35">
      <c r="D233">
        <v>15</v>
      </c>
      <c r="E233" s="56" t="s">
        <v>94</v>
      </c>
      <c r="F233" s="334">
        <v>2.8107995916036414E-2</v>
      </c>
      <c r="G233" s="334">
        <v>0.19451369815435895</v>
      </c>
      <c r="H233" s="334">
        <v>8.8644596709924792E-2</v>
      </c>
      <c r="I233" s="334">
        <v>0.28745471516887522</v>
      </c>
      <c r="J233" s="334">
        <v>0.11523582312046504</v>
      </c>
      <c r="K233" s="334">
        <v>0.59640992863663445</v>
      </c>
      <c r="L233" s="334">
        <v>1.9595083854305726E-2</v>
      </c>
      <c r="M233" s="334">
        <v>0.19451329804778719</v>
      </c>
      <c r="N233" s="334">
        <v>8.8041097488841882E-2</v>
      </c>
      <c r="O233" s="334">
        <v>0.28745471886732055</v>
      </c>
      <c r="P233" s="334">
        <v>0.11523582312046504</v>
      </c>
      <c r="Q233" s="334">
        <v>0.59641000997036075</v>
      </c>
      <c r="R233" s="3">
        <v>0.76875368830359592</v>
      </c>
      <c r="S233" s="3">
        <v>5.319949644521718</v>
      </c>
      <c r="T233" s="3">
        <v>2.4244297200164433</v>
      </c>
      <c r="U233" s="3">
        <v>7.8618864598687379</v>
      </c>
      <c r="V233" s="3">
        <v>3.1516997623447192</v>
      </c>
      <c r="W233" s="3">
        <v>16.311811548211953</v>
      </c>
      <c r="X233" s="3">
        <v>0.53592554341526166</v>
      </c>
      <c r="Y233" s="3">
        <v>5.3199387016069801</v>
      </c>
      <c r="Z233" s="3">
        <v>2.4079240163198254</v>
      </c>
      <c r="AA233" s="3">
        <v>7.8618865610212172</v>
      </c>
      <c r="AB233" s="3">
        <v>3.1516997623447192</v>
      </c>
      <c r="AC233" s="3">
        <v>16.311813772689366</v>
      </c>
    </row>
    <row r="234" spans="4:29" x14ac:dyDescent="0.35">
      <c r="D234">
        <v>16</v>
      </c>
      <c r="E234" s="56" t="s">
        <v>94</v>
      </c>
      <c r="F234" s="334">
        <v>0.5937015829824982</v>
      </c>
      <c r="G234" s="334">
        <v>4.2630019405564108E-2</v>
      </c>
      <c r="H234" s="334">
        <v>8.604834222243761E-2</v>
      </c>
      <c r="I234" s="334">
        <v>0.44265943765649912</v>
      </c>
      <c r="J234" s="334">
        <v>0.11536527210984411</v>
      </c>
      <c r="K234" s="334">
        <v>0.59296184314297029</v>
      </c>
      <c r="L234" s="334">
        <v>0.52781965293229061</v>
      </c>
      <c r="M234" s="334">
        <v>4.2629870009080764E-2</v>
      </c>
      <c r="N234" s="334">
        <v>8.5444660292025812E-2</v>
      </c>
      <c r="O234" s="334">
        <v>0.44265943495763332</v>
      </c>
      <c r="P234" s="334">
        <v>0.11536527210984411</v>
      </c>
      <c r="Q234" s="334">
        <v>0.59296184219103032</v>
      </c>
      <c r="R234" s="3">
        <v>10.063241831553347</v>
      </c>
      <c r="S234" s="3">
        <v>0.7225788289243118</v>
      </c>
      <c r="T234" s="3">
        <v>1.4585194006703177</v>
      </c>
      <c r="U234" s="3">
        <v>7.5030774682776613</v>
      </c>
      <c r="V234" s="3">
        <v>1.9554413622618581</v>
      </c>
      <c r="W234" s="3">
        <v>10.050703241273348</v>
      </c>
      <c r="X234" s="3">
        <v>8.946543117202328</v>
      </c>
      <c r="Y234" s="3">
        <v>0.72257629665391909</v>
      </c>
      <c r="Z234" s="3">
        <v>1.4482869919498378</v>
      </c>
      <c r="AA234" s="3">
        <v>7.5030774225318861</v>
      </c>
      <c r="AB234" s="3">
        <v>1.9554413622618581</v>
      </c>
      <c r="AC234" s="3">
        <v>10.050703225137966</v>
      </c>
    </row>
    <row r="235" spans="4:29" x14ac:dyDescent="0.35">
      <c r="F235" s="337"/>
      <c r="G235" s="337"/>
      <c r="H235" s="337"/>
      <c r="I235" s="337"/>
      <c r="J235" s="337"/>
      <c r="K235" s="337"/>
      <c r="L235" s="337"/>
      <c r="M235" s="337"/>
      <c r="N235" s="337"/>
      <c r="O235" s="337"/>
      <c r="P235" s="337"/>
      <c r="Q235" s="337"/>
      <c r="R235" s="335">
        <f>SUM(R219:R234)</f>
        <v>310.2166032370053</v>
      </c>
      <c r="S235" s="335">
        <f t="shared" ref="S235:AC235" si="36">SUM(S219:S234)</f>
        <v>178.86016900063365</v>
      </c>
      <c r="T235" s="335">
        <f t="shared" si="36"/>
        <v>187.6413143453442</v>
      </c>
      <c r="U235" s="335">
        <f t="shared" si="36"/>
        <v>1086.7392505888222</v>
      </c>
      <c r="V235" s="335">
        <f t="shared" si="36"/>
        <v>299.30732856934753</v>
      </c>
      <c r="W235" s="335">
        <f t="shared" si="36"/>
        <v>1542.9156065729899</v>
      </c>
      <c r="X235" s="335">
        <f t="shared" si="36"/>
        <v>185.09484391663636</v>
      </c>
      <c r="Y235" s="335">
        <f t="shared" si="36"/>
        <v>178.8602477247772</v>
      </c>
      <c r="Z235" s="335">
        <f t="shared" si="36"/>
        <v>183.53542852953402</v>
      </c>
      <c r="AA235" s="335">
        <f t="shared" si="36"/>
        <v>1086.739243246881</v>
      </c>
      <c r="AB235" s="335">
        <f t="shared" si="36"/>
        <v>299.30732856934753</v>
      </c>
      <c r="AC235" s="335">
        <f t="shared" si="36"/>
        <v>1542.9159383696133</v>
      </c>
    </row>
  </sheetData>
  <mergeCells count="36">
    <mergeCell ref="B118:N118"/>
    <mergeCell ref="B99:B100"/>
    <mergeCell ref="C99:N99"/>
    <mergeCell ref="O99:AC99"/>
    <mergeCell ref="C100:F100"/>
    <mergeCell ref="G100:J100"/>
    <mergeCell ref="K100:N100"/>
    <mergeCell ref="O100:P100"/>
    <mergeCell ref="Q100:T100"/>
    <mergeCell ref="U100:AC100"/>
    <mergeCell ref="F158:K158"/>
    <mergeCell ref="L158:Q158"/>
    <mergeCell ref="F166:K166"/>
    <mergeCell ref="L166:Q166"/>
    <mergeCell ref="R166:W166"/>
    <mergeCell ref="X166:AC166"/>
    <mergeCell ref="C4:F4"/>
    <mergeCell ref="G4:J4"/>
    <mergeCell ref="K4:N4"/>
    <mergeCell ref="O4:P4"/>
    <mergeCell ref="Q4:T4"/>
    <mergeCell ref="C27:F27"/>
    <mergeCell ref="G27:J27"/>
    <mergeCell ref="K27:N27"/>
    <mergeCell ref="O27:P27"/>
    <mergeCell ref="Q27:T27"/>
    <mergeCell ref="C50:F50"/>
    <mergeCell ref="G50:J50"/>
    <mergeCell ref="K50:N50"/>
    <mergeCell ref="O50:P50"/>
    <mergeCell ref="Q50:T50"/>
    <mergeCell ref="C73:F73"/>
    <mergeCell ref="G73:J73"/>
    <mergeCell ref="K73:N73"/>
    <mergeCell ref="O73:P73"/>
    <mergeCell ref="Q73:T7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C031-B9A6-4E03-AEF5-86190F86A374}">
  <dimension ref="A1:BX306"/>
  <sheetViews>
    <sheetView zoomScaleNormal="100" workbookViewId="0"/>
  </sheetViews>
  <sheetFormatPr defaultRowHeight="14.5" x14ac:dyDescent="0.35"/>
  <cols>
    <col min="4" max="4" width="16" customWidth="1"/>
    <col min="5" max="5" width="15.26953125" customWidth="1"/>
    <col min="6" max="6" width="12" bestFit="1" customWidth="1"/>
    <col min="7" max="7" width="10.7265625" bestFit="1" customWidth="1"/>
    <col min="8" max="8" width="16.453125" customWidth="1"/>
    <col min="10" max="10" width="12" bestFit="1" customWidth="1"/>
    <col min="11" max="11" width="3.81640625" customWidth="1"/>
    <col min="17" max="17" width="4.26953125" customWidth="1"/>
    <col min="18" max="18" width="17" customWidth="1"/>
    <col min="19" max="19" width="11.1796875" bestFit="1" customWidth="1"/>
    <col min="20" max="20" width="16.1796875" bestFit="1" customWidth="1"/>
    <col min="21" max="21" width="15.81640625" customWidth="1"/>
    <col min="22" max="22" width="10" bestFit="1" customWidth="1"/>
    <col min="23" max="23" width="3.81640625" customWidth="1"/>
    <col min="24" max="24" width="16.81640625" customWidth="1"/>
    <col min="25" max="25" width="11.1796875" bestFit="1" customWidth="1"/>
    <col min="26" max="26" width="16.1796875" bestFit="1" customWidth="1"/>
    <col min="27" max="27" width="15" bestFit="1" customWidth="1"/>
    <col min="28" max="28" width="10" bestFit="1" customWidth="1"/>
    <col min="29" max="29" width="3.453125" customWidth="1"/>
    <col min="30" max="30" width="11.54296875" customWidth="1"/>
    <col min="31" max="31" width="10" bestFit="1" customWidth="1"/>
    <col min="32" max="32" width="11.1796875" bestFit="1" customWidth="1"/>
    <col min="33" max="33" width="12.1796875" bestFit="1" customWidth="1"/>
    <col min="35" max="35" width="11.1796875" bestFit="1" customWidth="1"/>
    <col min="50" max="50" width="16.81640625" customWidth="1"/>
    <col min="51" max="51" width="12" customWidth="1"/>
    <col min="52" max="52" width="18.54296875" customWidth="1"/>
    <col min="53" max="53" width="15.7265625" customWidth="1"/>
    <col min="62" max="62" width="17" customWidth="1"/>
    <col min="63" max="63" width="10" bestFit="1" customWidth="1"/>
    <col min="64" max="64" width="15" bestFit="1" customWidth="1"/>
    <col min="65" max="65" width="13.81640625" bestFit="1" customWidth="1"/>
    <col min="74" max="74" width="10" bestFit="1" customWidth="1"/>
  </cols>
  <sheetData>
    <row r="1" spans="1:76" x14ac:dyDescent="0.35">
      <c r="A1" s="83" t="s">
        <v>604</v>
      </c>
      <c r="B1" s="83"/>
      <c r="C1" s="83"/>
      <c r="D1" s="83"/>
      <c r="E1" s="83"/>
      <c r="F1" s="154"/>
      <c r="G1" s="154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154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</row>
    <row r="2" spans="1:76" ht="15.5" x14ac:dyDescent="0.35">
      <c r="A2" s="155" t="s">
        <v>104</v>
      </c>
      <c r="B2" s="83"/>
      <c r="C2" s="83"/>
      <c r="D2" s="83"/>
      <c r="E2" s="154"/>
      <c r="F2" s="156"/>
      <c r="G2" s="156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154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</row>
    <row r="3" spans="1:76" x14ac:dyDescent="0.35">
      <c r="A3" s="157"/>
      <c r="B3" s="158" t="s">
        <v>105</v>
      </c>
      <c r="C3" s="159"/>
      <c r="D3" s="158" t="s">
        <v>106</v>
      </c>
      <c r="E3" s="158"/>
      <c r="F3" s="158"/>
      <c r="G3" s="158"/>
      <c r="H3" s="158"/>
      <c r="I3" s="158"/>
      <c r="J3" s="158"/>
      <c r="K3" s="159"/>
      <c r="L3" s="158" t="s">
        <v>106</v>
      </c>
      <c r="M3" s="158"/>
      <c r="N3" s="158"/>
      <c r="O3" s="158"/>
      <c r="P3" s="158"/>
      <c r="Q3" s="159"/>
      <c r="R3" s="314" t="s">
        <v>588</v>
      </c>
      <c r="S3" s="314"/>
      <c r="T3" s="315"/>
      <c r="U3" s="314"/>
      <c r="V3" s="314"/>
      <c r="W3" s="159"/>
      <c r="X3" s="314" t="s">
        <v>589</v>
      </c>
      <c r="Y3" s="314"/>
      <c r="Z3" s="315"/>
      <c r="AA3" s="314"/>
      <c r="AB3" s="314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159"/>
      <c r="AX3" s="160" t="s">
        <v>613</v>
      </c>
      <c r="AY3" s="160"/>
      <c r="AZ3" s="160"/>
      <c r="BA3" s="160"/>
      <c r="BB3" s="160"/>
      <c r="BC3" s="83"/>
      <c r="BD3" s="83"/>
      <c r="BE3" s="83"/>
      <c r="BF3" s="83"/>
      <c r="BG3" s="83"/>
      <c r="BH3" s="83"/>
      <c r="BI3" s="159"/>
      <c r="BJ3" s="316" t="s">
        <v>108</v>
      </c>
      <c r="BK3" s="316"/>
      <c r="BL3" s="316"/>
      <c r="BM3" s="316"/>
      <c r="BN3" s="316"/>
      <c r="BO3" s="83"/>
      <c r="BP3" s="83"/>
      <c r="BQ3" s="83"/>
      <c r="BR3" s="83"/>
      <c r="BS3" s="83"/>
      <c r="BT3" s="83"/>
      <c r="BU3" s="83"/>
      <c r="BV3" s="83"/>
      <c r="BW3" s="83"/>
      <c r="BX3" s="83"/>
    </row>
    <row r="4" spans="1:76" ht="16.5" x14ac:dyDescent="0.45">
      <c r="A4" s="83"/>
      <c r="B4" s="161" t="s">
        <v>109</v>
      </c>
      <c r="C4" s="162"/>
      <c r="D4" s="163" t="s">
        <v>110</v>
      </c>
      <c r="E4" s="163" t="s">
        <v>111</v>
      </c>
      <c r="F4" s="163" t="s">
        <v>8</v>
      </c>
      <c r="G4" s="163" t="s">
        <v>8</v>
      </c>
      <c r="H4" s="163" t="s">
        <v>112</v>
      </c>
      <c r="I4" s="163" t="s">
        <v>113</v>
      </c>
      <c r="J4" s="163" t="s">
        <v>114</v>
      </c>
      <c r="K4" s="162"/>
      <c r="L4" s="163" t="s">
        <v>110</v>
      </c>
      <c r="M4" s="163" t="s">
        <v>111</v>
      </c>
      <c r="N4" s="163" t="s">
        <v>8</v>
      </c>
      <c r="O4" s="163" t="s">
        <v>112</v>
      </c>
      <c r="P4" s="163" t="s">
        <v>113</v>
      </c>
      <c r="Q4" s="162"/>
      <c r="R4" s="164" t="s">
        <v>110</v>
      </c>
      <c r="S4" s="164" t="s">
        <v>111</v>
      </c>
      <c r="T4" s="164" t="s">
        <v>8</v>
      </c>
      <c r="U4" s="164" t="s">
        <v>112</v>
      </c>
      <c r="V4" s="164" t="s">
        <v>115</v>
      </c>
      <c r="W4" s="162"/>
      <c r="X4" s="164" t="s">
        <v>110</v>
      </c>
      <c r="Y4" s="164" t="s">
        <v>111</v>
      </c>
      <c r="Z4" s="164" t="s">
        <v>8</v>
      </c>
      <c r="AA4" s="164" t="s">
        <v>112</v>
      </c>
      <c r="AB4" s="164" t="s">
        <v>115</v>
      </c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162"/>
      <c r="AX4" s="164" t="s">
        <v>110</v>
      </c>
      <c r="AY4" s="164" t="s">
        <v>111</v>
      </c>
      <c r="AZ4" s="164" t="s">
        <v>8</v>
      </c>
      <c r="BA4" s="164" t="s">
        <v>112</v>
      </c>
      <c r="BB4" s="164" t="s">
        <v>115</v>
      </c>
      <c r="BC4" s="83"/>
      <c r="BD4" s="83"/>
      <c r="BE4" s="83"/>
      <c r="BF4" s="83"/>
      <c r="BG4" s="83"/>
      <c r="BH4" s="83"/>
      <c r="BI4" s="162"/>
      <c r="BJ4" s="317" t="s">
        <v>110</v>
      </c>
      <c r="BK4" s="317" t="s">
        <v>111</v>
      </c>
      <c r="BL4" s="317" t="s">
        <v>8</v>
      </c>
      <c r="BM4" s="317" t="s">
        <v>112</v>
      </c>
      <c r="BN4" s="317" t="s">
        <v>116</v>
      </c>
      <c r="BO4" s="83"/>
      <c r="BP4" s="83"/>
      <c r="BQ4" s="318" t="s">
        <v>117</v>
      </c>
      <c r="BR4" s="83"/>
      <c r="BS4" s="83"/>
      <c r="BT4" s="83"/>
      <c r="BU4" s="83"/>
      <c r="BV4" s="83"/>
      <c r="BW4" s="83"/>
      <c r="BX4" s="83"/>
    </row>
    <row r="5" spans="1:76" x14ac:dyDescent="0.35">
      <c r="A5" s="153" t="s">
        <v>96</v>
      </c>
      <c r="B5" s="165" t="s">
        <v>118</v>
      </c>
      <c r="C5" s="166"/>
      <c r="D5" s="165" t="s">
        <v>7</v>
      </c>
      <c r="E5" s="165" t="s">
        <v>119</v>
      </c>
      <c r="F5" s="165" t="s">
        <v>120</v>
      </c>
      <c r="G5" s="165" t="s">
        <v>121</v>
      </c>
      <c r="H5" s="165" t="s">
        <v>120</v>
      </c>
      <c r="I5" s="165" t="s">
        <v>122</v>
      </c>
      <c r="J5" s="165" t="s">
        <v>121</v>
      </c>
      <c r="K5" s="166"/>
      <c r="L5" s="165" t="s">
        <v>123</v>
      </c>
      <c r="M5" s="165" t="s">
        <v>123</v>
      </c>
      <c r="N5" s="165" t="s">
        <v>123</v>
      </c>
      <c r="O5" s="165" t="s">
        <v>123</v>
      </c>
      <c r="P5" s="165" t="s">
        <v>123</v>
      </c>
      <c r="Q5" s="166"/>
      <c r="R5" s="167" t="s">
        <v>7</v>
      </c>
      <c r="S5" s="167" t="s">
        <v>119</v>
      </c>
      <c r="T5" s="167" t="s">
        <v>120</v>
      </c>
      <c r="U5" s="167" t="s">
        <v>120</v>
      </c>
      <c r="V5" s="167" t="s">
        <v>122</v>
      </c>
      <c r="W5" s="166"/>
      <c r="X5" s="167" t="s">
        <v>7</v>
      </c>
      <c r="Y5" s="167" t="s">
        <v>119</v>
      </c>
      <c r="Z5" s="167" t="s">
        <v>120</v>
      </c>
      <c r="AA5" s="167" t="s">
        <v>120</v>
      </c>
      <c r="AB5" s="167" t="s">
        <v>122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166"/>
      <c r="AX5" s="167" t="s">
        <v>7</v>
      </c>
      <c r="AY5" s="167" t="s">
        <v>119</v>
      </c>
      <c r="AZ5" s="167" t="s">
        <v>120</v>
      </c>
      <c r="BA5" s="167" t="s">
        <v>120</v>
      </c>
      <c r="BB5" s="167" t="s">
        <v>122</v>
      </c>
      <c r="BC5" s="83"/>
      <c r="BD5" s="83"/>
      <c r="BE5" s="83"/>
      <c r="BF5" s="83"/>
      <c r="BG5" s="83"/>
      <c r="BH5" s="83"/>
      <c r="BI5" s="166"/>
      <c r="BJ5" s="319" t="s">
        <v>7</v>
      </c>
      <c r="BK5" s="319" t="s">
        <v>119</v>
      </c>
      <c r="BL5" s="319" t="s">
        <v>120</v>
      </c>
      <c r="BM5" s="319" t="s">
        <v>120</v>
      </c>
      <c r="BN5" s="319" t="s">
        <v>122</v>
      </c>
      <c r="BO5" s="83"/>
      <c r="BP5" s="83"/>
      <c r="BQ5" s="317" t="s">
        <v>124</v>
      </c>
      <c r="BR5" s="317" t="s">
        <v>125</v>
      </c>
      <c r="BS5" s="317" t="s">
        <v>126</v>
      </c>
      <c r="BT5" s="317" t="s">
        <v>127</v>
      </c>
      <c r="BU5" s="317" t="s">
        <v>128</v>
      </c>
      <c r="BV5" s="317" t="s">
        <v>129</v>
      </c>
      <c r="BW5" s="83"/>
      <c r="BX5" s="83"/>
    </row>
    <row r="6" spans="1:76" x14ac:dyDescent="0.35">
      <c r="A6" s="168">
        <v>1</v>
      </c>
      <c r="B6" s="169">
        <f t="shared" ref="B6:B20" si="0">SUM(B29,B52,B75,B98,B167,B190)</f>
        <v>0.24887016612575036</v>
      </c>
      <c r="C6" s="170"/>
      <c r="D6" s="154">
        <f t="shared" ref="D6:J21" si="1">SUM(D29,D52,D75,D98,D167,D190)</f>
        <v>-135792.76895331073</v>
      </c>
      <c r="E6" s="154">
        <f t="shared" si="1"/>
        <v>16849.638315245316</v>
      </c>
      <c r="F6" s="154">
        <f t="shared" si="1"/>
        <v>188516.50825537325</v>
      </c>
      <c r="G6" s="154">
        <f>F6*0.089</f>
        <v>16777.969234728218</v>
      </c>
      <c r="H6" s="154">
        <f t="shared" si="1"/>
        <v>1140382.110809302</v>
      </c>
      <c r="I6" s="154">
        <f t="shared" si="1"/>
        <v>68.048485886806489</v>
      </c>
      <c r="J6" s="154">
        <f t="shared" si="1"/>
        <v>-4667.4944709312167</v>
      </c>
      <c r="K6" s="170"/>
      <c r="L6" s="171">
        <f t="shared" ref="L6:N22" si="2">IF(AX6=0,0,D6/AX6)</f>
        <v>-0.10462652730099799</v>
      </c>
      <c r="M6" s="171">
        <f t="shared" si="2"/>
        <v>0.41844698385202855</v>
      </c>
      <c r="N6" s="171">
        <f t="shared" si="2"/>
        <v>4.2568621122486975E-3</v>
      </c>
      <c r="O6" s="171">
        <f t="shared" ref="O6:P21" si="3">IF(BA6=0,0,H6/BA6)</f>
        <v>0.17555494047454082</v>
      </c>
      <c r="P6" s="171">
        <f t="shared" si="3"/>
        <v>0.17234343266450225</v>
      </c>
      <c r="Q6" s="170"/>
      <c r="R6" s="172">
        <f t="shared" ref="R6:V22" si="4">AX6</f>
        <v>1297880.8764497286</v>
      </c>
      <c r="S6" s="172">
        <f t="shared" si="4"/>
        <v>40267.080336283878</v>
      </c>
      <c r="T6" s="172">
        <f t="shared" si="4"/>
        <v>44285321.742730573</v>
      </c>
      <c r="U6" s="172">
        <f t="shared" si="4"/>
        <v>6495870.2257352965</v>
      </c>
      <c r="V6" s="172">
        <f t="shared" si="4"/>
        <v>394.84234957345438</v>
      </c>
      <c r="W6" s="170"/>
      <c r="X6" s="172">
        <f>R6-D6</f>
        <v>1433673.6454030394</v>
      </c>
      <c r="Y6" s="172">
        <f t="shared" ref="Y6:Z22" si="5">S6-E6</f>
        <v>23417.442021038562</v>
      </c>
      <c r="Z6" s="172">
        <f t="shared" si="5"/>
        <v>44096805.234475203</v>
      </c>
      <c r="AA6" s="172">
        <f t="shared" ref="AA6:AB21" si="6">U6-H6</f>
        <v>5355488.1149259945</v>
      </c>
      <c r="AB6" s="172">
        <f>V6-I6</f>
        <v>326.79386368664791</v>
      </c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170"/>
      <c r="AX6" s="172">
        <f t="shared" ref="AX6:BB21" si="7">SUM(AX29,AX52,AX75,AX98,AX167,AX190)</f>
        <v>1297880.8764497286</v>
      </c>
      <c r="AY6" s="172">
        <f t="shared" si="7"/>
        <v>40267.080336283878</v>
      </c>
      <c r="AZ6" s="172">
        <f t="shared" si="7"/>
        <v>44285321.742730573</v>
      </c>
      <c r="BA6" s="172">
        <f t="shared" si="7"/>
        <v>6495870.2257352965</v>
      </c>
      <c r="BB6" s="172">
        <f t="shared" si="7"/>
        <v>394.84234957345438</v>
      </c>
      <c r="BC6" s="83"/>
      <c r="BD6" s="83"/>
      <c r="BE6" s="83"/>
      <c r="BF6" s="83"/>
      <c r="BG6" s="83"/>
      <c r="BH6" s="83"/>
      <c r="BI6" s="170"/>
      <c r="BJ6" s="320">
        <f t="shared" ref="BJ6:BN21" si="8">SUM(BJ29,BJ52,BJ75,BJ98,BJ167,BJ190)</f>
        <v>1433673.6454030392</v>
      </c>
      <c r="BK6" s="320">
        <f>SUM(BK29,BK52,BK75,BK98,BK167,BK190)</f>
        <v>23417.442021038565</v>
      </c>
      <c r="BL6" s="320">
        <f t="shared" si="8"/>
        <v>44096805.23447521</v>
      </c>
      <c r="BM6" s="320">
        <f t="shared" si="8"/>
        <v>5355488.1149259936</v>
      </c>
      <c r="BN6" s="320">
        <f t="shared" si="8"/>
        <v>326.79386368664791</v>
      </c>
      <c r="BO6" s="83"/>
      <c r="BP6" s="83"/>
      <c r="BQ6" s="154">
        <f>BK29</f>
        <v>0</v>
      </c>
      <c r="BR6" s="154">
        <f>BK52</f>
        <v>2182.8050737955809</v>
      </c>
      <c r="BS6" s="154">
        <f>BK75</f>
        <v>590.52066126117688</v>
      </c>
      <c r="BT6" s="154">
        <f>BK98</f>
        <v>2679.364210127274</v>
      </c>
      <c r="BU6" s="154">
        <f>BK167</f>
        <v>1891.6788616465269</v>
      </c>
      <c r="BV6" s="154">
        <f>BK190</f>
        <v>16073.073214208005</v>
      </c>
      <c r="BW6" s="83"/>
      <c r="BX6" s="83"/>
    </row>
    <row r="7" spans="1:76" x14ac:dyDescent="0.35">
      <c r="A7" s="168">
        <v>2</v>
      </c>
      <c r="B7" s="169">
        <f t="shared" si="0"/>
        <v>1.4786703077601118</v>
      </c>
      <c r="C7" s="170"/>
      <c r="D7" s="154">
        <f t="shared" si="1"/>
        <v>-753670.94448212837</v>
      </c>
      <c r="E7" s="154">
        <f t="shared" si="1"/>
        <v>88725.449796858331</v>
      </c>
      <c r="F7" s="154">
        <f t="shared" si="1"/>
        <v>2381476.3136942508</v>
      </c>
      <c r="G7" s="154">
        <f t="shared" ref="G7:G21" si="9">F7*0.089</f>
        <v>211951.39191878831</v>
      </c>
      <c r="H7" s="154">
        <f t="shared" si="1"/>
        <v>5355784.0689927824</v>
      </c>
      <c r="I7" s="154">
        <f t="shared" si="1"/>
        <v>318.30483214306861</v>
      </c>
      <c r="J7" s="154">
        <f t="shared" si="1"/>
        <v>399564.78892825765</v>
      </c>
      <c r="K7" s="170"/>
      <c r="L7" s="171">
        <f t="shared" si="2"/>
        <v>-8.6370725231865758E-2</v>
      </c>
      <c r="M7" s="171">
        <f t="shared" si="2"/>
        <v>0.63517084521428147</v>
      </c>
      <c r="N7" s="171">
        <f t="shared" si="2"/>
        <v>8.1227991154473635E-3</v>
      </c>
      <c r="O7" s="171">
        <f t="shared" si="3"/>
        <v>0.17297107546510265</v>
      </c>
      <c r="P7" s="171">
        <f t="shared" si="3"/>
        <v>0.16850468438571178</v>
      </c>
      <c r="Q7" s="170"/>
      <c r="R7" s="172">
        <f t="shared" si="4"/>
        <v>8725999.954948483</v>
      </c>
      <c r="S7" s="172">
        <f t="shared" si="4"/>
        <v>139687.53519681131</v>
      </c>
      <c r="T7" s="172">
        <f t="shared" si="4"/>
        <v>293184194.24719346</v>
      </c>
      <c r="U7" s="172">
        <f t="shared" si="4"/>
        <v>30963466.31707985</v>
      </c>
      <c r="V7" s="172">
        <f t="shared" si="4"/>
        <v>1888.9969338446417</v>
      </c>
      <c r="W7" s="170"/>
      <c r="X7" s="172">
        <f t="shared" ref="X7:X22" si="10">R7-D7</f>
        <v>9479670.8994306121</v>
      </c>
      <c r="Y7" s="172">
        <f t="shared" si="5"/>
        <v>50962.085399952979</v>
      </c>
      <c r="Z7" s="172">
        <f t="shared" si="5"/>
        <v>290802717.93349922</v>
      </c>
      <c r="AA7" s="172">
        <f t="shared" si="6"/>
        <v>25607682.248087067</v>
      </c>
      <c r="AB7" s="172">
        <f t="shared" si="6"/>
        <v>1570.6921017015732</v>
      </c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170"/>
      <c r="AX7" s="172">
        <f t="shared" si="7"/>
        <v>8725999.954948483</v>
      </c>
      <c r="AY7" s="172">
        <f t="shared" si="7"/>
        <v>139687.53519681131</v>
      </c>
      <c r="AZ7" s="172">
        <f t="shared" si="7"/>
        <v>293184194.24719346</v>
      </c>
      <c r="BA7" s="172">
        <f t="shared" si="7"/>
        <v>30963466.31707985</v>
      </c>
      <c r="BB7" s="172">
        <f t="shared" si="7"/>
        <v>1888.9969338446417</v>
      </c>
      <c r="BC7" s="83"/>
      <c r="BD7" s="83"/>
      <c r="BE7" s="83"/>
      <c r="BF7" s="83"/>
      <c r="BG7" s="83"/>
      <c r="BH7" s="83"/>
      <c r="BI7" s="170"/>
      <c r="BJ7" s="320">
        <f t="shared" si="8"/>
        <v>9479670.8994306121</v>
      </c>
      <c r="BK7" s="320">
        <f t="shared" si="8"/>
        <v>50962.085399952994</v>
      </c>
      <c r="BL7" s="320">
        <f t="shared" si="8"/>
        <v>290802717.93349916</v>
      </c>
      <c r="BM7" s="320">
        <f t="shared" si="8"/>
        <v>25607682.248087063</v>
      </c>
      <c r="BN7" s="320">
        <f t="shared" si="8"/>
        <v>1570.6921017015729</v>
      </c>
      <c r="BO7" s="83"/>
      <c r="BP7" s="83"/>
      <c r="BQ7" s="154">
        <f t="shared" ref="BQ7:BQ21" si="11">BK30</f>
        <v>0</v>
      </c>
      <c r="BR7" s="154">
        <f t="shared" ref="BR7:BR21" si="12">BK53</f>
        <v>0</v>
      </c>
      <c r="BS7" s="154">
        <f t="shared" ref="BS7:BS21" si="13">BK76</f>
        <v>0</v>
      </c>
      <c r="BT7" s="154">
        <f t="shared" ref="BT7:BT21" si="14">BK99</f>
        <v>0</v>
      </c>
      <c r="BU7" s="154">
        <f t="shared" ref="BU7:BU21" si="15">BK168</f>
        <v>0</v>
      </c>
      <c r="BV7" s="154">
        <f t="shared" ref="BV7:BV21" si="16">BK191</f>
        <v>50962.085399952994</v>
      </c>
      <c r="BW7" s="83"/>
      <c r="BX7" s="83"/>
    </row>
    <row r="8" spans="1:76" x14ac:dyDescent="0.35">
      <c r="A8" s="168">
        <v>3</v>
      </c>
      <c r="B8" s="169">
        <f t="shared" si="0"/>
        <v>6.7433723519739397</v>
      </c>
      <c r="C8" s="170"/>
      <c r="D8" s="154">
        <f t="shared" si="1"/>
        <v>-2138551.3157433709</v>
      </c>
      <c r="E8" s="154">
        <f t="shared" si="1"/>
        <v>285966.60014698195</v>
      </c>
      <c r="F8" s="154">
        <f t="shared" si="1"/>
        <v>15416548.193238255</v>
      </c>
      <c r="G8" s="154">
        <f t="shared" si="9"/>
        <v>1372072.7891982046</v>
      </c>
      <c r="H8" s="154">
        <f t="shared" si="1"/>
        <v>18476461.15418423</v>
      </c>
      <c r="I8" s="154">
        <f t="shared" si="1"/>
        <v>1100.6249044403114</v>
      </c>
      <c r="J8" s="154">
        <f t="shared" si="1"/>
        <v>1612899.4360173717</v>
      </c>
      <c r="K8" s="170"/>
      <c r="L8" s="171">
        <f t="shared" si="2"/>
        <v>-5.9981063203014523E-2</v>
      </c>
      <c r="M8" s="171">
        <f t="shared" si="2"/>
        <v>0.53783239775026825</v>
      </c>
      <c r="N8" s="171">
        <f t="shared" si="2"/>
        <v>1.3524211872015428E-2</v>
      </c>
      <c r="O8" s="171">
        <f t="shared" si="3"/>
        <v>0.14953541678194449</v>
      </c>
      <c r="P8" s="171">
        <f t="shared" si="3"/>
        <v>0.14594841653837692</v>
      </c>
      <c r="Q8" s="170"/>
      <c r="R8" s="172">
        <f t="shared" si="4"/>
        <v>35653774.733954564</v>
      </c>
      <c r="S8" s="172">
        <f t="shared" si="4"/>
        <v>531702.07176653726</v>
      </c>
      <c r="T8" s="172">
        <f t="shared" si="4"/>
        <v>1139922114.4367375</v>
      </c>
      <c r="U8" s="172">
        <f t="shared" si="4"/>
        <v>123559097.58239396</v>
      </c>
      <c r="V8" s="172">
        <f t="shared" si="4"/>
        <v>7541.1911313947257</v>
      </c>
      <c r="W8" s="170"/>
      <c r="X8" s="172">
        <f t="shared" si="10"/>
        <v>37792326.049697936</v>
      </c>
      <c r="Y8" s="172">
        <f t="shared" si="5"/>
        <v>245735.47161955532</v>
      </c>
      <c r="Z8" s="172">
        <f t="shared" si="5"/>
        <v>1124505566.2434993</v>
      </c>
      <c r="AA8" s="172">
        <f t="shared" si="6"/>
        <v>105082636.42820972</v>
      </c>
      <c r="AB8" s="172">
        <f t="shared" si="6"/>
        <v>6440.5662269544146</v>
      </c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170"/>
      <c r="AX8" s="172">
        <f t="shared" si="7"/>
        <v>35653774.733954564</v>
      </c>
      <c r="AY8" s="172">
        <f t="shared" si="7"/>
        <v>531702.07176653726</v>
      </c>
      <c r="AZ8" s="172">
        <f t="shared" si="7"/>
        <v>1139922114.4367375</v>
      </c>
      <c r="BA8" s="172">
        <f t="shared" si="7"/>
        <v>123559097.58239396</v>
      </c>
      <c r="BB8" s="172">
        <f t="shared" si="7"/>
        <v>7541.1911313947257</v>
      </c>
      <c r="BC8" s="83"/>
      <c r="BD8" s="83"/>
      <c r="BE8" s="83"/>
      <c r="BF8" s="83"/>
      <c r="BG8" s="83"/>
      <c r="BH8" s="83"/>
      <c r="BI8" s="170"/>
      <c r="BJ8" s="320">
        <f t="shared" si="8"/>
        <v>37792326.049697936</v>
      </c>
      <c r="BK8" s="320">
        <f t="shared" si="8"/>
        <v>245735.47161955535</v>
      </c>
      <c r="BL8" s="320">
        <f t="shared" si="8"/>
        <v>1124505566.2434993</v>
      </c>
      <c r="BM8" s="320">
        <f t="shared" si="8"/>
        <v>105082636.42820974</v>
      </c>
      <c r="BN8" s="320">
        <f t="shared" si="8"/>
        <v>6440.5662269544155</v>
      </c>
      <c r="BO8" s="83"/>
      <c r="BP8" s="83"/>
      <c r="BQ8" s="154">
        <f t="shared" si="11"/>
        <v>0</v>
      </c>
      <c r="BR8" s="154">
        <f t="shared" si="12"/>
        <v>0</v>
      </c>
      <c r="BS8" s="154">
        <f t="shared" si="13"/>
        <v>0</v>
      </c>
      <c r="BT8" s="154">
        <f t="shared" si="14"/>
        <v>0</v>
      </c>
      <c r="BU8" s="154">
        <f t="shared" si="15"/>
        <v>0</v>
      </c>
      <c r="BV8" s="154">
        <f t="shared" si="16"/>
        <v>245735.47161955535</v>
      </c>
      <c r="BW8" s="83"/>
      <c r="BX8" s="83"/>
    </row>
    <row r="9" spans="1:76" x14ac:dyDescent="0.35">
      <c r="A9" s="168">
        <v>4</v>
      </c>
      <c r="B9" s="169">
        <f t="shared" si="0"/>
        <v>3.4459250079598212</v>
      </c>
      <c r="C9" s="170"/>
      <c r="D9" s="154">
        <f t="shared" si="1"/>
        <v>-938056.37449310464</v>
      </c>
      <c r="E9" s="154">
        <f t="shared" si="1"/>
        <v>122132.55799700005</v>
      </c>
      <c r="F9" s="154">
        <f t="shared" si="1"/>
        <v>5376809.4324423224</v>
      </c>
      <c r="G9" s="154">
        <f t="shared" si="9"/>
        <v>478536.03948736668</v>
      </c>
      <c r="H9" s="154">
        <f t="shared" si="1"/>
        <v>7702035.1619350081</v>
      </c>
      <c r="I9" s="154">
        <f t="shared" si="1"/>
        <v>458.42239755608296</v>
      </c>
      <c r="J9" s="154">
        <f t="shared" si="1"/>
        <v>816863.61637649953</v>
      </c>
      <c r="K9" s="170"/>
      <c r="L9" s="171">
        <f t="shared" si="2"/>
        <v>-4.737416596498633E-2</v>
      </c>
      <c r="M9" s="171">
        <f t="shared" si="2"/>
        <v>0.55552016948487637</v>
      </c>
      <c r="N9" s="171">
        <f t="shared" si="2"/>
        <v>8.4269654748381946E-3</v>
      </c>
      <c r="O9" s="171">
        <f t="shared" si="3"/>
        <v>0.12561905238125642</v>
      </c>
      <c r="P9" s="171">
        <f t="shared" si="3"/>
        <v>0.122314015772528</v>
      </c>
      <c r="Q9" s="170"/>
      <c r="R9" s="172">
        <f t="shared" si="4"/>
        <v>19801010.854447775</v>
      </c>
      <c r="S9" s="172">
        <f t="shared" si="4"/>
        <v>219852.60789045936</v>
      </c>
      <c r="T9" s="172">
        <f t="shared" si="4"/>
        <v>638048114.53147221</v>
      </c>
      <c r="U9" s="172">
        <f t="shared" si="4"/>
        <v>61312635.431758963</v>
      </c>
      <c r="V9" s="172">
        <f t="shared" si="4"/>
        <v>3747.9138810112199</v>
      </c>
      <c r="W9" s="170"/>
      <c r="X9" s="172">
        <f t="shared" si="10"/>
        <v>20739067.228940878</v>
      </c>
      <c r="Y9" s="172">
        <f t="shared" si="5"/>
        <v>97720.049893459305</v>
      </c>
      <c r="Z9" s="172">
        <f t="shared" si="5"/>
        <v>632671305.0990299</v>
      </c>
      <c r="AA9" s="172">
        <f t="shared" si="6"/>
        <v>53610600.269823954</v>
      </c>
      <c r="AB9" s="172">
        <f t="shared" si="6"/>
        <v>3289.4914834551369</v>
      </c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170"/>
      <c r="AX9" s="172">
        <f t="shared" si="7"/>
        <v>19801010.854447775</v>
      </c>
      <c r="AY9" s="172">
        <f t="shared" si="7"/>
        <v>219852.60789045936</v>
      </c>
      <c r="AZ9" s="172">
        <f t="shared" si="7"/>
        <v>638048114.53147221</v>
      </c>
      <c r="BA9" s="172">
        <f t="shared" si="7"/>
        <v>61312635.431758963</v>
      </c>
      <c r="BB9" s="172">
        <f t="shared" si="7"/>
        <v>3747.9138810112199</v>
      </c>
      <c r="BC9" s="83"/>
      <c r="BD9" s="83"/>
      <c r="BE9" s="83"/>
      <c r="BF9" s="83"/>
      <c r="BG9" s="83"/>
      <c r="BH9" s="83"/>
      <c r="BI9" s="170"/>
      <c r="BJ9" s="320">
        <f t="shared" si="8"/>
        <v>20739067.228940882</v>
      </c>
      <c r="BK9" s="320">
        <f t="shared" si="8"/>
        <v>97720.049893459276</v>
      </c>
      <c r="BL9" s="320">
        <f t="shared" si="8"/>
        <v>632671305.0990299</v>
      </c>
      <c r="BM9" s="320">
        <f t="shared" si="8"/>
        <v>53610600.269823961</v>
      </c>
      <c r="BN9" s="320">
        <f t="shared" si="8"/>
        <v>3289.4914834551369</v>
      </c>
      <c r="BO9" s="83"/>
      <c r="BP9" s="83"/>
      <c r="BQ9" s="154">
        <f t="shared" si="11"/>
        <v>0</v>
      </c>
      <c r="BR9" s="154">
        <f t="shared" si="12"/>
        <v>0</v>
      </c>
      <c r="BS9" s="154">
        <f t="shared" si="13"/>
        <v>0</v>
      </c>
      <c r="BT9" s="154">
        <f t="shared" si="14"/>
        <v>0</v>
      </c>
      <c r="BU9" s="154">
        <f t="shared" si="15"/>
        <v>0</v>
      </c>
      <c r="BV9" s="154">
        <f t="shared" si="16"/>
        <v>97720.049893459276</v>
      </c>
      <c r="BW9" s="83"/>
      <c r="BX9" s="83"/>
    </row>
    <row r="10" spans="1:76" x14ac:dyDescent="0.35">
      <c r="A10" s="168">
        <v>5</v>
      </c>
      <c r="B10" s="169">
        <f t="shared" si="0"/>
        <v>0.68463350006076029</v>
      </c>
      <c r="C10" s="170"/>
      <c r="D10" s="154">
        <f t="shared" si="1"/>
        <v>-207404.98444812078</v>
      </c>
      <c r="E10" s="154">
        <f t="shared" si="1"/>
        <v>26503.352472293464</v>
      </c>
      <c r="F10" s="154">
        <f t="shared" si="1"/>
        <v>315293.76453631755</v>
      </c>
      <c r="G10" s="154">
        <f t="shared" si="9"/>
        <v>28061.14504373226</v>
      </c>
      <c r="H10" s="154">
        <f t="shared" si="1"/>
        <v>1637862.397023709</v>
      </c>
      <c r="I10" s="154">
        <f t="shared" si="1"/>
        <v>97.42043930340634</v>
      </c>
      <c r="J10" s="154">
        <f t="shared" si="1"/>
        <v>170267.96884248135</v>
      </c>
      <c r="K10" s="170"/>
      <c r="L10" s="171">
        <f t="shared" si="2"/>
        <v>-5.5157683612094624E-2</v>
      </c>
      <c r="M10" s="171">
        <f t="shared" si="2"/>
        <v>0.59505392103276511</v>
      </c>
      <c r="N10" s="171">
        <f t="shared" si="2"/>
        <v>2.857824285702657E-3</v>
      </c>
      <c r="O10" s="171">
        <f t="shared" si="3"/>
        <v>0.13831484629105789</v>
      </c>
      <c r="P10" s="171">
        <f t="shared" si="3"/>
        <v>0.13463614275859342</v>
      </c>
      <c r="Q10" s="170"/>
      <c r="R10" s="172">
        <f t="shared" si="4"/>
        <v>3760219.2634979025</v>
      </c>
      <c r="S10" s="172">
        <f t="shared" si="4"/>
        <v>44539.413211990453</v>
      </c>
      <c r="T10" s="172">
        <f t="shared" si="4"/>
        <v>110326504.71678522</v>
      </c>
      <c r="U10" s="172">
        <f t="shared" si="4"/>
        <v>11841551.655106727</v>
      </c>
      <c r="V10" s="172">
        <f t="shared" si="4"/>
        <v>723.58311302845368</v>
      </c>
      <c r="W10" s="170"/>
      <c r="X10" s="172">
        <f t="shared" si="10"/>
        <v>3967624.2479460235</v>
      </c>
      <c r="Y10" s="172">
        <f t="shared" si="5"/>
        <v>18036.06073969699</v>
      </c>
      <c r="Z10" s="172">
        <f t="shared" si="5"/>
        <v>110011210.9522489</v>
      </c>
      <c r="AA10" s="172">
        <f t="shared" si="6"/>
        <v>10203689.258083018</v>
      </c>
      <c r="AB10" s="172">
        <f t="shared" si="6"/>
        <v>626.1626737250474</v>
      </c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170"/>
      <c r="AX10" s="172">
        <f t="shared" si="7"/>
        <v>3760219.2634979025</v>
      </c>
      <c r="AY10" s="172">
        <f t="shared" si="7"/>
        <v>44539.413211990453</v>
      </c>
      <c r="AZ10" s="172">
        <f t="shared" si="7"/>
        <v>110326504.71678522</v>
      </c>
      <c r="BA10" s="172">
        <f t="shared" si="7"/>
        <v>11841551.655106727</v>
      </c>
      <c r="BB10" s="172">
        <f t="shared" si="7"/>
        <v>723.58311302845368</v>
      </c>
      <c r="BC10" s="83"/>
      <c r="BD10" s="83"/>
      <c r="BE10" s="83"/>
      <c r="BF10" s="83"/>
      <c r="BG10" s="83"/>
      <c r="BH10" s="83"/>
      <c r="BI10" s="170"/>
      <c r="BJ10" s="320">
        <f t="shared" si="8"/>
        <v>3967624.2479460235</v>
      </c>
      <c r="BK10" s="320">
        <f t="shared" si="8"/>
        <v>18036.060739696983</v>
      </c>
      <c r="BL10" s="320">
        <f t="shared" si="8"/>
        <v>110011210.95224892</v>
      </c>
      <c r="BM10" s="320">
        <f t="shared" si="8"/>
        <v>10203689.258083016</v>
      </c>
      <c r="BN10" s="320">
        <f t="shared" si="8"/>
        <v>626.1626737250474</v>
      </c>
      <c r="BO10" s="83"/>
      <c r="BP10" s="83"/>
      <c r="BQ10" s="154">
        <f t="shared" si="11"/>
        <v>0</v>
      </c>
      <c r="BR10" s="154">
        <f t="shared" si="12"/>
        <v>0</v>
      </c>
      <c r="BS10" s="154">
        <f t="shared" si="13"/>
        <v>0</v>
      </c>
      <c r="BT10" s="154">
        <f t="shared" si="14"/>
        <v>0</v>
      </c>
      <c r="BU10" s="154">
        <f t="shared" si="15"/>
        <v>0</v>
      </c>
      <c r="BV10" s="154">
        <f t="shared" si="16"/>
        <v>18036.060739696983</v>
      </c>
      <c r="BW10" s="83"/>
      <c r="BX10" s="83"/>
    </row>
    <row r="11" spans="1:76" x14ac:dyDescent="0.35">
      <c r="A11" s="168">
        <v>6</v>
      </c>
      <c r="B11" s="169">
        <f t="shared" si="0"/>
        <v>4.9568466358412095</v>
      </c>
      <c r="C11" s="170"/>
      <c r="D11" s="154">
        <f t="shared" si="1"/>
        <v>-530254.34314980498</v>
      </c>
      <c r="E11" s="154">
        <f t="shared" si="1"/>
        <v>80147.080210760192</v>
      </c>
      <c r="F11" s="154">
        <f t="shared" si="1"/>
        <v>5950142.8085638676</v>
      </c>
      <c r="G11" s="154">
        <f t="shared" si="9"/>
        <v>529562.70996218419</v>
      </c>
      <c r="H11" s="154">
        <f t="shared" si="1"/>
        <v>5286245.9546436379</v>
      </c>
      <c r="I11" s="154">
        <f t="shared" si="1"/>
        <v>321.49404792030106</v>
      </c>
      <c r="J11" s="154">
        <f t="shared" si="1"/>
        <v>1130432.9943229356</v>
      </c>
      <c r="K11" s="170"/>
      <c r="L11" s="171">
        <f t="shared" si="2"/>
        <v>-1.8623054510611435E-2</v>
      </c>
      <c r="M11" s="171">
        <f t="shared" si="2"/>
        <v>0.52476107245704506</v>
      </c>
      <c r="N11" s="171">
        <f t="shared" si="2"/>
        <v>7.0919741416192563E-3</v>
      </c>
      <c r="O11" s="171">
        <f t="shared" si="3"/>
        <v>7.3819579271551222E-2</v>
      </c>
      <c r="P11" s="171">
        <f t="shared" si="3"/>
        <v>7.3011332960784867E-2</v>
      </c>
      <c r="Q11" s="170"/>
      <c r="R11" s="172">
        <f t="shared" si="4"/>
        <v>28473006.017764997</v>
      </c>
      <c r="S11" s="172">
        <f t="shared" si="4"/>
        <v>152730.61287776969</v>
      </c>
      <c r="T11" s="172">
        <f t="shared" si="4"/>
        <v>838996686.92324317</v>
      </c>
      <c r="U11" s="172">
        <f t="shared" si="4"/>
        <v>71610350.625242114</v>
      </c>
      <c r="V11" s="172">
        <f t="shared" si="4"/>
        <v>4403.3444519219884</v>
      </c>
      <c r="W11" s="170"/>
      <c r="X11" s="172">
        <f t="shared" si="10"/>
        <v>29003260.3609148</v>
      </c>
      <c r="Y11" s="172">
        <f t="shared" si="5"/>
        <v>72583.532667009495</v>
      </c>
      <c r="Z11" s="172">
        <f t="shared" si="5"/>
        <v>833046544.11467934</v>
      </c>
      <c r="AA11" s="172">
        <f t="shared" si="6"/>
        <v>66324104.670598477</v>
      </c>
      <c r="AB11" s="172">
        <f t="shared" si="6"/>
        <v>4081.8504040016874</v>
      </c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170"/>
      <c r="AX11" s="172">
        <f t="shared" si="7"/>
        <v>28473006.017764997</v>
      </c>
      <c r="AY11" s="172">
        <f t="shared" si="7"/>
        <v>152730.61287776969</v>
      </c>
      <c r="AZ11" s="172">
        <f t="shared" si="7"/>
        <v>838996686.92324317</v>
      </c>
      <c r="BA11" s="172">
        <f t="shared" si="7"/>
        <v>71610350.625242114</v>
      </c>
      <c r="BB11" s="172">
        <f t="shared" si="7"/>
        <v>4403.3444519219884</v>
      </c>
      <c r="BC11" s="83"/>
      <c r="BD11" s="83"/>
      <c r="BE11" s="83"/>
      <c r="BF11" s="83"/>
      <c r="BG11" s="83"/>
      <c r="BH11" s="83"/>
      <c r="BI11" s="170"/>
      <c r="BJ11" s="320">
        <f t="shared" si="8"/>
        <v>29003260.3609148</v>
      </c>
      <c r="BK11" s="320">
        <f t="shared" si="8"/>
        <v>72583.532667009538</v>
      </c>
      <c r="BL11" s="320">
        <f t="shared" si="8"/>
        <v>833046544.11467934</v>
      </c>
      <c r="BM11" s="320">
        <f t="shared" si="8"/>
        <v>66324104.670598462</v>
      </c>
      <c r="BN11" s="320">
        <f t="shared" si="8"/>
        <v>4081.8504040016878</v>
      </c>
      <c r="BO11" s="83"/>
      <c r="BP11" s="83"/>
      <c r="BQ11" s="154">
        <f t="shared" si="11"/>
        <v>0</v>
      </c>
      <c r="BR11" s="154">
        <f t="shared" si="12"/>
        <v>0</v>
      </c>
      <c r="BS11" s="154">
        <f t="shared" si="13"/>
        <v>0</v>
      </c>
      <c r="BT11" s="154">
        <f t="shared" si="14"/>
        <v>0</v>
      </c>
      <c r="BU11" s="154">
        <f t="shared" si="15"/>
        <v>0</v>
      </c>
      <c r="BV11" s="154">
        <f t="shared" si="16"/>
        <v>72583.532667009538</v>
      </c>
      <c r="BW11" s="83"/>
      <c r="BX11" s="83"/>
    </row>
    <row r="12" spans="1:76" x14ac:dyDescent="0.35">
      <c r="A12" s="168">
        <v>7</v>
      </c>
      <c r="B12" s="169">
        <f t="shared" si="0"/>
        <v>3.8071664171076129</v>
      </c>
      <c r="C12" s="170"/>
      <c r="D12" s="154">
        <f t="shared" si="1"/>
        <v>-443842.50916573853</v>
      </c>
      <c r="E12" s="154">
        <f t="shared" si="1"/>
        <v>65037.429774990305</v>
      </c>
      <c r="F12" s="154">
        <f t="shared" si="1"/>
        <v>5586936.352143121</v>
      </c>
      <c r="G12" s="154">
        <f t="shared" si="9"/>
        <v>497237.33534073771</v>
      </c>
      <c r="H12" s="154">
        <f t="shared" si="1"/>
        <v>4424853.8410978774</v>
      </c>
      <c r="I12" s="154">
        <f t="shared" si="1"/>
        <v>269.20261520816416</v>
      </c>
      <c r="J12" s="154">
        <f t="shared" si="1"/>
        <v>1191360.5706495452</v>
      </c>
      <c r="K12" s="170"/>
      <c r="L12" s="171">
        <f t="shared" si="2"/>
        <v>-1.8418080403449198E-2</v>
      </c>
      <c r="M12" s="171">
        <f t="shared" si="2"/>
        <v>0.60266965601243083</v>
      </c>
      <c r="N12" s="171">
        <f t="shared" si="2"/>
        <v>8.2228547944226214E-3</v>
      </c>
      <c r="O12" s="171">
        <f t="shared" si="3"/>
        <v>7.4360265622989002E-2</v>
      </c>
      <c r="P12" s="171">
        <f t="shared" si="3"/>
        <v>7.3552626428750462E-2</v>
      </c>
      <c r="Q12" s="170"/>
      <c r="R12" s="172">
        <f t="shared" si="4"/>
        <v>24098195.872932505</v>
      </c>
      <c r="S12" s="172">
        <f t="shared" si="4"/>
        <v>107915.55394593954</v>
      </c>
      <c r="T12" s="172">
        <f t="shared" si="4"/>
        <v>679439986.69812524</v>
      </c>
      <c r="U12" s="172">
        <f t="shared" si="4"/>
        <v>59505621.772952653</v>
      </c>
      <c r="V12" s="172">
        <f t="shared" si="4"/>
        <v>3660.0000337029091</v>
      </c>
      <c r="W12" s="170"/>
      <c r="X12" s="172">
        <f t="shared" si="10"/>
        <v>24542038.382098243</v>
      </c>
      <c r="Y12" s="172">
        <f t="shared" si="5"/>
        <v>42878.124170949231</v>
      </c>
      <c r="Z12" s="172">
        <f t="shared" si="5"/>
        <v>673853050.34598207</v>
      </c>
      <c r="AA12" s="172">
        <f t="shared" si="6"/>
        <v>55080767.931854777</v>
      </c>
      <c r="AB12" s="172">
        <f t="shared" si="6"/>
        <v>3390.7974184947452</v>
      </c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170"/>
      <c r="AX12" s="172">
        <f t="shared" si="7"/>
        <v>24098195.872932505</v>
      </c>
      <c r="AY12" s="172">
        <f t="shared" si="7"/>
        <v>107915.55394593954</v>
      </c>
      <c r="AZ12" s="172">
        <f t="shared" si="7"/>
        <v>679439986.69812524</v>
      </c>
      <c r="BA12" s="172">
        <f t="shared" si="7"/>
        <v>59505621.772952653</v>
      </c>
      <c r="BB12" s="172">
        <f t="shared" si="7"/>
        <v>3660.0000337029091</v>
      </c>
      <c r="BC12" s="83"/>
      <c r="BD12" s="83"/>
      <c r="BE12" s="83"/>
      <c r="BF12" s="83"/>
      <c r="BG12" s="83"/>
      <c r="BH12" s="83"/>
      <c r="BI12" s="170"/>
      <c r="BJ12" s="320">
        <f t="shared" si="8"/>
        <v>24542038.382098243</v>
      </c>
      <c r="BK12" s="320">
        <f t="shared" si="8"/>
        <v>42878.124170949239</v>
      </c>
      <c r="BL12" s="320">
        <f t="shared" si="8"/>
        <v>673853050.34598196</v>
      </c>
      <c r="BM12" s="320">
        <f t="shared" si="8"/>
        <v>55080767.931854777</v>
      </c>
      <c r="BN12" s="320">
        <f t="shared" si="8"/>
        <v>3390.7974184947452</v>
      </c>
      <c r="BO12" s="83"/>
      <c r="BP12" s="83"/>
      <c r="BQ12" s="154">
        <f t="shared" si="11"/>
        <v>0</v>
      </c>
      <c r="BR12" s="154">
        <f t="shared" si="12"/>
        <v>0</v>
      </c>
      <c r="BS12" s="154">
        <f t="shared" si="13"/>
        <v>0</v>
      </c>
      <c r="BT12" s="154">
        <f t="shared" si="14"/>
        <v>0</v>
      </c>
      <c r="BU12" s="154">
        <f t="shared" si="15"/>
        <v>0</v>
      </c>
      <c r="BV12" s="154">
        <f t="shared" si="16"/>
        <v>42878.124170949239</v>
      </c>
      <c r="BW12" s="83"/>
      <c r="BX12" s="83"/>
    </row>
    <row r="13" spans="1:76" x14ac:dyDescent="0.35">
      <c r="A13" s="168">
        <v>8</v>
      </c>
      <c r="B13" s="169">
        <f t="shared" si="0"/>
        <v>7.024067950981193</v>
      </c>
      <c r="C13" s="170"/>
      <c r="D13" s="154">
        <f t="shared" si="1"/>
        <v>-747312.96120279271</v>
      </c>
      <c r="E13" s="154">
        <f t="shared" si="1"/>
        <v>117673.97035113238</v>
      </c>
      <c r="F13" s="154">
        <f t="shared" si="1"/>
        <v>8614306.2654478941</v>
      </c>
      <c r="G13" s="154">
        <f t="shared" si="9"/>
        <v>766673.25762486248</v>
      </c>
      <c r="H13" s="154">
        <f t="shared" si="1"/>
        <v>7652441.8220850118</v>
      </c>
      <c r="I13" s="154">
        <f t="shared" si="1"/>
        <v>465.34157448144651</v>
      </c>
      <c r="J13" s="154">
        <f t="shared" si="1"/>
        <v>1550160.9025988281</v>
      </c>
      <c r="K13" s="170"/>
      <c r="L13" s="171">
        <f t="shared" si="2"/>
        <v>-1.7936852482356953E-2</v>
      </c>
      <c r="M13" s="171">
        <f t="shared" si="2"/>
        <v>0.52452757273617845</v>
      </c>
      <c r="N13" s="171">
        <f t="shared" si="2"/>
        <v>6.7310430879319212E-3</v>
      </c>
      <c r="O13" s="171">
        <f t="shared" si="3"/>
        <v>7.2792819697407543E-2</v>
      </c>
      <c r="P13" s="171">
        <f t="shared" si="3"/>
        <v>7.1986670092075974E-2</v>
      </c>
      <c r="Q13" s="170"/>
      <c r="R13" s="172">
        <f t="shared" si="4"/>
        <v>41663550.61111556</v>
      </c>
      <c r="S13" s="172">
        <f t="shared" si="4"/>
        <v>224342.77332131565</v>
      </c>
      <c r="T13" s="172">
        <f t="shared" si="4"/>
        <v>1279787716.8387873</v>
      </c>
      <c r="U13" s="172">
        <f t="shared" si="4"/>
        <v>105126327.76001048</v>
      </c>
      <c r="V13" s="172">
        <f t="shared" si="4"/>
        <v>6464.2742036302297</v>
      </c>
      <c r="W13" s="170"/>
      <c r="X13" s="172">
        <f t="shared" si="10"/>
        <v>42410863.572318353</v>
      </c>
      <c r="Y13" s="172">
        <f t="shared" si="5"/>
        <v>106668.80297018327</v>
      </c>
      <c r="Z13" s="172">
        <f t="shared" si="5"/>
        <v>1271173410.5733395</v>
      </c>
      <c r="AA13" s="172">
        <f t="shared" si="6"/>
        <v>97473885.937925473</v>
      </c>
      <c r="AB13" s="172">
        <f t="shared" si="6"/>
        <v>5998.9326291487832</v>
      </c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170"/>
      <c r="AX13" s="172">
        <f t="shared" si="7"/>
        <v>41663550.61111556</v>
      </c>
      <c r="AY13" s="172">
        <f t="shared" si="7"/>
        <v>224342.77332131565</v>
      </c>
      <c r="AZ13" s="172">
        <f t="shared" si="7"/>
        <v>1279787716.8387873</v>
      </c>
      <c r="BA13" s="172">
        <f t="shared" si="7"/>
        <v>105126327.76001048</v>
      </c>
      <c r="BB13" s="172">
        <f t="shared" si="7"/>
        <v>6464.2742036302297</v>
      </c>
      <c r="BC13" s="83"/>
      <c r="BD13" s="83"/>
      <c r="BE13" s="83"/>
      <c r="BF13" s="83"/>
      <c r="BG13" s="83"/>
      <c r="BH13" s="83"/>
      <c r="BI13" s="170"/>
      <c r="BJ13" s="320">
        <f t="shared" si="8"/>
        <v>42410863.572318338</v>
      </c>
      <c r="BK13" s="320">
        <f t="shared" si="8"/>
        <v>106668.80297018324</v>
      </c>
      <c r="BL13" s="320">
        <f t="shared" si="8"/>
        <v>1271173410.5733397</v>
      </c>
      <c r="BM13" s="320">
        <f t="shared" si="8"/>
        <v>97473885.937925443</v>
      </c>
      <c r="BN13" s="320">
        <f t="shared" si="8"/>
        <v>5998.9326291487832</v>
      </c>
      <c r="BO13" s="83"/>
      <c r="BP13" s="83"/>
      <c r="BQ13" s="154">
        <f t="shared" si="11"/>
        <v>0</v>
      </c>
      <c r="BR13" s="154">
        <f t="shared" si="12"/>
        <v>0</v>
      </c>
      <c r="BS13" s="154">
        <f t="shared" si="13"/>
        <v>0</v>
      </c>
      <c r="BT13" s="154">
        <f t="shared" si="14"/>
        <v>0</v>
      </c>
      <c r="BU13" s="154">
        <f t="shared" si="15"/>
        <v>0</v>
      </c>
      <c r="BV13" s="154">
        <f t="shared" si="16"/>
        <v>106668.80297018324</v>
      </c>
      <c r="BW13" s="83"/>
      <c r="BX13" s="83"/>
    </row>
    <row r="14" spans="1:76" x14ac:dyDescent="0.35">
      <c r="A14" s="168">
        <v>9</v>
      </c>
      <c r="B14" s="169">
        <f t="shared" si="0"/>
        <v>11.00283622781199</v>
      </c>
      <c r="C14" s="170"/>
      <c r="D14" s="154">
        <f t="shared" si="1"/>
        <v>-1249198.3287305904</v>
      </c>
      <c r="E14" s="154">
        <f t="shared" si="1"/>
        <v>193113.09820023837</v>
      </c>
      <c r="F14" s="154">
        <f t="shared" si="1"/>
        <v>15693279.521838041</v>
      </c>
      <c r="G14" s="154">
        <f t="shared" si="9"/>
        <v>1396701.8774435855</v>
      </c>
      <c r="H14" s="154">
        <f t="shared" si="1"/>
        <v>12459824.303867187</v>
      </c>
      <c r="I14" s="154">
        <f t="shared" si="1"/>
        <v>757.60392390940444</v>
      </c>
      <c r="J14" s="154">
        <f t="shared" si="1"/>
        <v>2402574.9186156034</v>
      </c>
      <c r="K14" s="170"/>
      <c r="L14" s="171">
        <f t="shared" si="2"/>
        <v>-1.9314540814783922E-2</v>
      </c>
      <c r="M14" s="171">
        <f t="shared" si="2"/>
        <v>0.4956374035592101</v>
      </c>
      <c r="N14" s="171">
        <f t="shared" si="2"/>
        <v>7.7334958378607798E-3</v>
      </c>
      <c r="O14" s="171">
        <f t="shared" si="3"/>
        <v>7.4060176913780557E-2</v>
      </c>
      <c r="P14" s="171">
        <f t="shared" si="3"/>
        <v>7.3244219420948053E-2</v>
      </c>
      <c r="Q14" s="170"/>
      <c r="R14" s="172">
        <f t="shared" si="4"/>
        <v>64676574.023153424</v>
      </c>
      <c r="S14" s="172">
        <f t="shared" si="4"/>
        <v>389625.75627561286</v>
      </c>
      <c r="T14" s="172">
        <f t="shared" si="4"/>
        <v>2029260744.5404763</v>
      </c>
      <c r="U14" s="172">
        <f t="shared" si="4"/>
        <v>168239191.73691249</v>
      </c>
      <c r="V14" s="172">
        <f t="shared" si="4"/>
        <v>10343.531952403162</v>
      </c>
      <c r="W14" s="170"/>
      <c r="X14" s="172">
        <f t="shared" si="10"/>
        <v>65925772.351884015</v>
      </c>
      <c r="Y14" s="172">
        <f t="shared" si="5"/>
        <v>196512.65807537449</v>
      </c>
      <c r="Z14" s="172">
        <f t="shared" si="5"/>
        <v>2013567465.0186384</v>
      </c>
      <c r="AA14" s="172">
        <f t="shared" si="6"/>
        <v>155779367.4330453</v>
      </c>
      <c r="AB14" s="172">
        <f t="shared" si="6"/>
        <v>9585.9280284937577</v>
      </c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170"/>
      <c r="AX14" s="172">
        <f t="shared" si="7"/>
        <v>64676574.023153424</v>
      </c>
      <c r="AY14" s="172">
        <f t="shared" si="7"/>
        <v>389625.75627561286</v>
      </c>
      <c r="AZ14" s="172">
        <f t="shared" si="7"/>
        <v>2029260744.5404763</v>
      </c>
      <c r="BA14" s="172">
        <f t="shared" si="7"/>
        <v>168239191.73691249</v>
      </c>
      <c r="BB14" s="172">
        <f t="shared" si="7"/>
        <v>10343.531952403162</v>
      </c>
      <c r="BC14" s="83"/>
      <c r="BD14" s="83"/>
      <c r="BE14" s="83"/>
      <c r="BF14" s="83"/>
      <c r="BG14" s="83"/>
      <c r="BH14" s="83"/>
      <c r="BI14" s="170"/>
      <c r="BJ14" s="320">
        <f t="shared" si="8"/>
        <v>65925772.351884007</v>
      </c>
      <c r="BK14" s="320">
        <f t="shared" si="8"/>
        <v>196512.65807537449</v>
      </c>
      <c r="BL14" s="320">
        <f t="shared" si="8"/>
        <v>2013567465.0186386</v>
      </c>
      <c r="BM14" s="320">
        <f t="shared" si="8"/>
        <v>155779367.43304527</v>
      </c>
      <c r="BN14" s="320">
        <f t="shared" si="8"/>
        <v>9585.9280284937595</v>
      </c>
      <c r="BO14" s="83"/>
      <c r="BP14" s="83"/>
      <c r="BQ14" s="154">
        <f t="shared" si="11"/>
        <v>0</v>
      </c>
      <c r="BR14" s="154">
        <f t="shared" si="12"/>
        <v>0</v>
      </c>
      <c r="BS14" s="154">
        <f t="shared" si="13"/>
        <v>0</v>
      </c>
      <c r="BT14" s="154">
        <f t="shared" si="14"/>
        <v>0</v>
      </c>
      <c r="BU14" s="154">
        <f t="shared" si="15"/>
        <v>0</v>
      </c>
      <c r="BV14" s="154">
        <f t="shared" si="16"/>
        <v>196512.65807537449</v>
      </c>
      <c r="BW14" s="83"/>
      <c r="BX14" s="83"/>
    </row>
    <row r="15" spans="1:76" x14ac:dyDescent="0.35">
      <c r="A15" s="168">
        <v>10</v>
      </c>
      <c r="B15" s="169">
        <f t="shared" si="0"/>
        <v>8.0244785786191315</v>
      </c>
      <c r="C15" s="170"/>
      <c r="D15" s="154">
        <f t="shared" si="1"/>
        <v>-1380049.73536373</v>
      </c>
      <c r="E15" s="154">
        <f t="shared" si="1"/>
        <v>184926.20128271275</v>
      </c>
      <c r="F15" s="154">
        <f t="shared" si="1"/>
        <v>11062323.911131749</v>
      </c>
      <c r="G15" s="154">
        <f t="shared" si="9"/>
        <v>984546.82809072558</v>
      </c>
      <c r="H15" s="154">
        <f t="shared" si="1"/>
        <v>11374093.173345663</v>
      </c>
      <c r="I15" s="154">
        <f t="shared" si="1"/>
        <v>691.09638824941101</v>
      </c>
      <c r="J15" s="154">
        <f t="shared" si="1"/>
        <v>1877716.2398170703</v>
      </c>
      <c r="K15" s="170"/>
      <c r="L15" s="171">
        <f t="shared" si="2"/>
        <v>-2.9703528358893849E-2</v>
      </c>
      <c r="M15" s="171">
        <f t="shared" si="2"/>
        <v>0.51821604852486414</v>
      </c>
      <c r="N15" s="171">
        <f t="shared" si="2"/>
        <v>7.753903764839325E-3</v>
      </c>
      <c r="O15" s="171">
        <f t="shared" si="3"/>
        <v>8.9377444134790082E-2</v>
      </c>
      <c r="P15" s="171">
        <f t="shared" si="3"/>
        <v>8.8366771989907111E-2</v>
      </c>
      <c r="Q15" s="170"/>
      <c r="R15" s="172">
        <f t="shared" si="4"/>
        <v>46460801.514528312</v>
      </c>
      <c r="S15" s="172">
        <f t="shared" si="4"/>
        <v>356851.55218391493</v>
      </c>
      <c r="T15" s="172">
        <f t="shared" si="4"/>
        <v>1426677999.4478021</v>
      </c>
      <c r="U15" s="172">
        <f t="shared" si="4"/>
        <v>127259100.81062956</v>
      </c>
      <c r="V15" s="172">
        <f t="shared" si="4"/>
        <v>7820.7721373860441</v>
      </c>
      <c r="W15" s="170"/>
      <c r="X15" s="172">
        <f t="shared" si="10"/>
        <v>47840851.249892041</v>
      </c>
      <c r="Y15" s="172">
        <f t="shared" si="5"/>
        <v>171925.35090120218</v>
      </c>
      <c r="Z15" s="172">
        <f t="shared" si="5"/>
        <v>1415615675.5366702</v>
      </c>
      <c r="AA15" s="172">
        <f t="shared" si="6"/>
        <v>115885007.63728389</v>
      </c>
      <c r="AB15" s="172">
        <f t="shared" si="6"/>
        <v>7129.6757491366334</v>
      </c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170"/>
      <c r="AX15" s="172">
        <f t="shared" si="7"/>
        <v>46460801.514528312</v>
      </c>
      <c r="AY15" s="172">
        <f t="shared" si="7"/>
        <v>356851.55218391493</v>
      </c>
      <c r="AZ15" s="172">
        <f t="shared" si="7"/>
        <v>1426677999.4478021</v>
      </c>
      <c r="BA15" s="172">
        <f t="shared" si="7"/>
        <v>127259100.81062956</v>
      </c>
      <c r="BB15" s="172">
        <f t="shared" si="7"/>
        <v>7820.7721373860441</v>
      </c>
      <c r="BC15" s="83"/>
      <c r="BD15" s="83"/>
      <c r="BE15" s="83"/>
      <c r="BF15" s="83"/>
      <c r="BG15" s="83"/>
      <c r="BH15" s="83"/>
      <c r="BI15" s="170"/>
      <c r="BJ15" s="320">
        <f t="shared" si="8"/>
        <v>47840851.249892041</v>
      </c>
      <c r="BK15" s="320">
        <f t="shared" si="8"/>
        <v>171925.35090120218</v>
      </c>
      <c r="BL15" s="320">
        <f t="shared" si="8"/>
        <v>1415615675.5366702</v>
      </c>
      <c r="BM15" s="320">
        <f t="shared" si="8"/>
        <v>115885007.63728391</v>
      </c>
      <c r="BN15" s="320">
        <f t="shared" si="8"/>
        <v>7129.6757491366334</v>
      </c>
      <c r="BO15" s="83"/>
      <c r="BP15" s="83"/>
      <c r="BQ15" s="154">
        <f t="shared" si="11"/>
        <v>0</v>
      </c>
      <c r="BR15" s="154">
        <f t="shared" si="12"/>
        <v>0</v>
      </c>
      <c r="BS15" s="154">
        <f t="shared" si="13"/>
        <v>0</v>
      </c>
      <c r="BT15" s="154">
        <f t="shared" si="14"/>
        <v>0</v>
      </c>
      <c r="BU15" s="154">
        <f t="shared" si="15"/>
        <v>0</v>
      </c>
      <c r="BV15" s="154">
        <f t="shared" si="16"/>
        <v>171925.35090120218</v>
      </c>
      <c r="BW15" s="83"/>
      <c r="BX15" s="83"/>
    </row>
    <row r="16" spans="1:76" x14ac:dyDescent="0.35">
      <c r="A16" s="168">
        <v>11</v>
      </c>
      <c r="B16" s="169">
        <f t="shared" si="0"/>
        <v>1.6945557630372061</v>
      </c>
      <c r="C16" s="170"/>
      <c r="D16" s="154">
        <f t="shared" si="1"/>
        <v>-820939.48610057135</v>
      </c>
      <c r="E16" s="154">
        <f t="shared" si="1"/>
        <v>98282.125485465178</v>
      </c>
      <c r="F16" s="154">
        <f t="shared" si="1"/>
        <v>3348302.9420341016</v>
      </c>
      <c r="G16" s="154">
        <f t="shared" si="9"/>
        <v>297998.96184103505</v>
      </c>
      <c r="H16" s="154">
        <f t="shared" si="1"/>
        <v>5855535.8126663798</v>
      </c>
      <c r="I16" s="154">
        <f t="shared" si="1"/>
        <v>347.88420572131611</v>
      </c>
      <c r="J16" s="154">
        <f t="shared" si="1"/>
        <v>465199.96904373064</v>
      </c>
      <c r="K16" s="170"/>
      <c r="L16" s="171">
        <f t="shared" si="2"/>
        <v>-7.6965800107047441E-2</v>
      </c>
      <c r="M16" s="171">
        <f t="shared" si="2"/>
        <v>0.57311317369363735</v>
      </c>
      <c r="N16" s="171">
        <f t="shared" si="2"/>
        <v>9.3479722380408123E-3</v>
      </c>
      <c r="O16" s="171">
        <f t="shared" si="3"/>
        <v>0.15373498070892883</v>
      </c>
      <c r="P16" s="171">
        <f t="shared" si="3"/>
        <v>0.14970829595446783</v>
      </c>
      <c r="Q16" s="170"/>
      <c r="R16" s="172">
        <f t="shared" si="4"/>
        <v>10666289.247416027</v>
      </c>
      <c r="S16" s="172">
        <f t="shared" si="4"/>
        <v>171488.16324016789</v>
      </c>
      <c r="T16" s="172">
        <f t="shared" si="4"/>
        <v>358184947.14912128</v>
      </c>
      <c r="U16" s="172">
        <f t="shared" si="4"/>
        <v>38088506.504273392</v>
      </c>
      <c r="V16" s="172">
        <f t="shared" si="4"/>
        <v>2323.7470141742938</v>
      </c>
      <c r="W16" s="170"/>
      <c r="X16" s="172">
        <f t="shared" si="10"/>
        <v>11487228.733516598</v>
      </c>
      <c r="Y16" s="172">
        <f t="shared" si="5"/>
        <v>73206.037754702716</v>
      </c>
      <c r="Z16" s="172">
        <f t="shared" si="5"/>
        <v>354836644.20708716</v>
      </c>
      <c r="AA16" s="172">
        <f t="shared" si="6"/>
        <v>32232970.691607013</v>
      </c>
      <c r="AB16" s="172">
        <f t="shared" si="6"/>
        <v>1975.8628084529778</v>
      </c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170"/>
      <c r="AX16" s="172">
        <f t="shared" si="7"/>
        <v>10666289.247416027</v>
      </c>
      <c r="AY16" s="172">
        <f t="shared" si="7"/>
        <v>171488.16324016789</v>
      </c>
      <c r="AZ16" s="172">
        <f t="shared" si="7"/>
        <v>358184947.14912128</v>
      </c>
      <c r="BA16" s="172">
        <f t="shared" si="7"/>
        <v>38088506.504273392</v>
      </c>
      <c r="BB16" s="172">
        <f t="shared" si="7"/>
        <v>2323.7470141742938</v>
      </c>
      <c r="BC16" s="83"/>
      <c r="BD16" s="83"/>
      <c r="BE16" s="83"/>
      <c r="BF16" s="83"/>
      <c r="BG16" s="83"/>
      <c r="BH16" s="83"/>
      <c r="BI16" s="170"/>
      <c r="BJ16" s="320">
        <f t="shared" si="8"/>
        <v>11487228.7335166</v>
      </c>
      <c r="BK16" s="320">
        <f t="shared" si="8"/>
        <v>73206.037754702716</v>
      </c>
      <c r="BL16" s="320">
        <f t="shared" si="8"/>
        <v>354836644.20708716</v>
      </c>
      <c r="BM16" s="320">
        <f t="shared" si="8"/>
        <v>32232970.691607013</v>
      </c>
      <c r="BN16" s="320">
        <f t="shared" si="8"/>
        <v>1975.8628084529778</v>
      </c>
      <c r="BO16" s="83"/>
      <c r="BP16" s="83"/>
      <c r="BQ16" s="154">
        <f t="shared" si="11"/>
        <v>0</v>
      </c>
      <c r="BR16" s="154">
        <f t="shared" si="12"/>
        <v>0</v>
      </c>
      <c r="BS16" s="154">
        <f t="shared" si="13"/>
        <v>0</v>
      </c>
      <c r="BT16" s="154">
        <f t="shared" si="14"/>
        <v>0</v>
      </c>
      <c r="BU16" s="154">
        <f t="shared" si="15"/>
        <v>0</v>
      </c>
      <c r="BV16" s="154">
        <f t="shared" si="16"/>
        <v>73206.037754702716</v>
      </c>
      <c r="BW16" s="83"/>
      <c r="BX16" s="83"/>
    </row>
    <row r="17" spans="1:76" x14ac:dyDescent="0.35">
      <c r="A17" s="168">
        <v>12</v>
      </c>
      <c r="B17" s="169">
        <f t="shared" si="0"/>
        <v>8.6379495623829712</v>
      </c>
      <c r="C17" s="170"/>
      <c r="D17" s="154">
        <f t="shared" si="1"/>
        <v>-3735540.5581256142</v>
      </c>
      <c r="E17" s="154">
        <f t="shared" si="1"/>
        <v>441229.92299187026</v>
      </c>
      <c r="F17" s="154">
        <f t="shared" si="1"/>
        <v>9247637.9680574089</v>
      </c>
      <c r="G17" s="154">
        <f t="shared" si="9"/>
        <v>823039.77915710933</v>
      </c>
      <c r="H17" s="154">
        <f t="shared" si="1"/>
        <v>25822087.481949568</v>
      </c>
      <c r="I17" s="154">
        <f t="shared" si="1"/>
        <v>1533.4518428267641</v>
      </c>
      <c r="J17" s="154">
        <f t="shared" si="1"/>
        <v>2337381.5931027546</v>
      </c>
      <c r="K17" s="170"/>
      <c r="L17" s="171">
        <f t="shared" si="2"/>
        <v>-7.2405176689412654E-2</v>
      </c>
      <c r="M17" s="171">
        <f t="shared" si="2"/>
        <v>0.57171456481778971</v>
      </c>
      <c r="N17" s="171">
        <f t="shared" si="2"/>
        <v>5.4900529044274119E-3</v>
      </c>
      <c r="O17" s="171">
        <f t="shared" si="3"/>
        <v>0.14546016372362391</v>
      </c>
      <c r="P17" s="171">
        <f t="shared" si="3"/>
        <v>0.14153669739437449</v>
      </c>
      <c r="Q17" s="170"/>
      <c r="R17" s="172">
        <f t="shared" si="4"/>
        <v>51592175.158269294</v>
      </c>
      <c r="S17" s="172">
        <f t="shared" si="4"/>
        <v>771766.10522856633</v>
      </c>
      <c r="T17" s="172">
        <f t="shared" si="4"/>
        <v>1684435128.2297699</v>
      </c>
      <c r="U17" s="172">
        <f t="shared" si="4"/>
        <v>177519994.62211421</v>
      </c>
      <c r="V17" s="172">
        <f t="shared" si="4"/>
        <v>10834.305668119345</v>
      </c>
      <c r="W17" s="170"/>
      <c r="X17" s="172">
        <f t="shared" si="10"/>
        <v>55327715.716394909</v>
      </c>
      <c r="Y17" s="172">
        <f t="shared" si="5"/>
        <v>330536.18223669607</v>
      </c>
      <c r="Z17" s="172">
        <f t="shared" si="5"/>
        <v>1675187490.2617126</v>
      </c>
      <c r="AA17" s="172">
        <f t="shared" si="6"/>
        <v>151697907.14016464</v>
      </c>
      <c r="AB17" s="172">
        <f t="shared" si="6"/>
        <v>9300.853825292581</v>
      </c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170"/>
      <c r="AX17" s="172">
        <f t="shared" si="7"/>
        <v>51592175.158269294</v>
      </c>
      <c r="AY17" s="172">
        <f t="shared" si="7"/>
        <v>771766.10522856633</v>
      </c>
      <c r="AZ17" s="172">
        <f t="shared" si="7"/>
        <v>1684435128.2297699</v>
      </c>
      <c r="BA17" s="172">
        <f t="shared" si="7"/>
        <v>177519994.62211421</v>
      </c>
      <c r="BB17" s="172">
        <f t="shared" si="7"/>
        <v>10834.305668119345</v>
      </c>
      <c r="BC17" s="83"/>
      <c r="BD17" s="83"/>
      <c r="BE17" s="83"/>
      <c r="BF17" s="83"/>
      <c r="BG17" s="83"/>
      <c r="BH17" s="83"/>
      <c r="BI17" s="170"/>
      <c r="BJ17" s="320">
        <f t="shared" si="8"/>
        <v>55327715.716394909</v>
      </c>
      <c r="BK17" s="320">
        <f t="shared" si="8"/>
        <v>330536.18223669601</v>
      </c>
      <c r="BL17" s="320">
        <f t="shared" si="8"/>
        <v>1675187490.2617123</v>
      </c>
      <c r="BM17" s="320">
        <f t="shared" si="8"/>
        <v>151697907.14016464</v>
      </c>
      <c r="BN17" s="320">
        <f t="shared" si="8"/>
        <v>9300.853825292581</v>
      </c>
      <c r="BO17" s="83"/>
      <c r="BP17" s="83"/>
      <c r="BQ17" s="154">
        <f t="shared" si="11"/>
        <v>0</v>
      </c>
      <c r="BR17" s="154">
        <f t="shared" si="12"/>
        <v>0</v>
      </c>
      <c r="BS17" s="154">
        <f t="shared" si="13"/>
        <v>0</v>
      </c>
      <c r="BT17" s="154">
        <f t="shared" si="14"/>
        <v>0</v>
      </c>
      <c r="BU17" s="154">
        <f t="shared" si="15"/>
        <v>0</v>
      </c>
      <c r="BV17" s="154">
        <f t="shared" si="16"/>
        <v>330536.18223669601</v>
      </c>
      <c r="BW17" s="83"/>
      <c r="BX17" s="83"/>
    </row>
    <row r="18" spans="1:76" x14ac:dyDescent="0.35">
      <c r="A18" s="168">
        <v>13</v>
      </c>
      <c r="B18" s="169">
        <f t="shared" si="0"/>
        <v>3.3290478310712954</v>
      </c>
      <c r="C18" s="170"/>
      <c r="D18" s="154">
        <f t="shared" si="1"/>
        <v>-1427139.4044987271</v>
      </c>
      <c r="E18" s="154">
        <f t="shared" si="1"/>
        <v>171905.24046502198</v>
      </c>
      <c r="F18" s="154">
        <f t="shared" si="1"/>
        <v>4993140.9008544022</v>
      </c>
      <c r="G18" s="154">
        <f t="shared" si="9"/>
        <v>444389.54017604177</v>
      </c>
      <c r="H18" s="154">
        <f t="shared" si="1"/>
        <v>10239505.136460325</v>
      </c>
      <c r="I18" s="154">
        <f t="shared" si="1"/>
        <v>608.49437005306402</v>
      </c>
      <c r="J18" s="154">
        <f t="shared" si="1"/>
        <v>979683.13467909303</v>
      </c>
      <c r="K18" s="170"/>
      <c r="L18" s="171">
        <f t="shared" si="2"/>
        <v>-6.2878350733007946E-2</v>
      </c>
      <c r="M18" s="171">
        <f t="shared" si="2"/>
        <v>0.64361018249984159</v>
      </c>
      <c r="N18" s="171">
        <f t="shared" si="2"/>
        <v>6.7961762067226643E-3</v>
      </c>
      <c r="O18" s="171">
        <f t="shared" si="3"/>
        <v>0.14251748955075735</v>
      </c>
      <c r="P18" s="171">
        <f t="shared" si="3"/>
        <v>0.13857886482772339</v>
      </c>
      <c r="Q18" s="170"/>
      <c r="R18" s="172">
        <f t="shared" si="4"/>
        <v>22696832.659600139</v>
      </c>
      <c r="S18" s="172">
        <f t="shared" si="4"/>
        <v>267095.27776165085</v>
      </c>
      <c r="T18" s="172">
        <f t="shared" si="4"/>
        <v>734698564.15954471</v>
      </c>
      <c r="U18" s="172">
        <f t="shared" si="4"/>
        <v>71847358.304845408</v>
      </c>
      <c r="V18" s="172">
        <f t="shared" si="4"/>
        <v>4390.9608496903465</v>
      </c>
      <c r="W18" s="170"/>
      <c r="X18" s="172">
        <f t="shared" si="10"/>
        <v>24123972.064098865</v>
      </c>
      <c r="Y18" s="172">
        <f t="shared" si="5"/>
        <v>95190.037296628871</v>
      </c>
      <c r="Z18" s="172">
        <f t="shared" si="5"/>
        <v>729705423.25869036</v>
      </c>
      <c r="AA18" s="172">
        <f t="shared" si="6"/>
        <v>61607853.168385081</v>
      </c>
      <c r="AB18" s="172">
        <f t="shared" si="6"/>
        <v>3782.4664796372826</v>
      </c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170"/>
      <c r="AX18" s="172">
        <f t="shared" si="7"/>
        <v>22696832.659600139</v>
      </c>
      <c r="AY18" s="172">
        <f t="shared" si="7"/>
        <v>267095.27776165085</v>
      </c>
      <c r="AZ18" s="172">
        <f t="shared" si="7"/>
        <v>734698564.15954471</v>
      </c>
      <c r="BA18" s="172">
        <f t="shared" si="7"/>
        <v>71847358.304845408</v>
      </c>
      <c r="BB18" s="172">
        <f t="shared" si="7"/>
        <v>4390.9608496903465</v>
      </c>
      <c r="BC18" s="83"/>
      <c r="BD18" s="83"/>
      <c r="BE18" s="83"/>
      <c r="BF18" s="83"/>
      <c r="BG18" s="83"/>
      <c r="BH18" s="83"/>
      <c r="BI18" s="170"/>
      <c r="BJ18" s="320">
        <f t="shared" si="8"/>
        <v>24123972.064098872</v>
      </c>
      <c r="BK18" s="320">
        <f t="shared" si="8"/>
        <v>95190.037296628885</v>
      </c>
      <c r="BL18" s="320">
        <f t="shared" si="8"/>
        <v>729705423.25869012</v>
      </c>
      <c r="BM18" s="320">
        <f t="shared" si="8"/>
        <v>61607853.168385088</v>
      </c>
      <c r="BN18" s="320">
        <f t="shared" si="8"/>
        <v>3782.4664796372817</v>
      </c>
      <c r="BO18" s="83"/>
      <c r="BP18" s="83"/>
      <c r="BQ18" s="154">
        <f t="shared" si="11"/>
        <v>0</v>
      </c>
      <c r="BR18" s="154">
        <f t="shared" si="12"/>
        <v>0</v>
      </c>
      <c r="BS18" s="154">
        <f t="shared" si="13"/>
        <v>0</v>
      </c>
      <c r="BT18" s="154">
        <f t="shared" si="14"/>
        <v>0</v>
      </c>
      <c r="BU18" s="154">
        <f t="shared" si="15"/>
        <v>0</v>
      </c>
      <c r="BV18" s="154">
        <f t="shared" si="16"/>
        <v>95190.037296628885</v>
      </c>
      <c r="BW18" s="83"/>
      <c r="BX18" s="83"/>
    </row>
    <row r="19" spans="1:76" x14ac:dyDescent="0.35">
      <c r="A19" s="168">
        <v>14</v>
      </c>
      <c r="B19" s="169">
        <f t="shared" si="0"/>
        <v>1.7608403576579157</v>
      </c>
      <c r="C19" s="170"/>
      <c r="D19" s="154">
        <f t="shared" si="1"/>
        <v>-721388.82740529533</v>
      </c>
      <c r="E19" s="154">
        <f t="shared" si="1"/>
        <v>82696.181177355989</v>
      </c>
      <c r="F19" s="154">
        <f t="shared" si="1"/>
        <v>1161521.2898845444</v>
      </c>
      <c r="G19" s="154">
        <f t="shared" si="9"/>
        <v>103375.39479972445</v>
      </c>
      <c r="H19" s="154">
        <f t="shared" si="1"/>
        <v>4523255.1435394092</v>
      </c>
      <c r="I19" s="154">
        <f t="shared" si="1"/>
        <v>274.3965260667652</v>
      </c>
      <c r="J19" s="154">
        <f t="shared" si="1"/>
        <v>393782.38685672218</v>
      </c>
      <c r="K19" s="170"/>
      <c r="L19" s="171">
        <f t="shared" si="2"/>
        <v>-6.9095063576197255E-2</v>
      </c>
      <c r="M19" s="171">
        <f t="shared" si="2"/>
        <v>0.53250891047205928</v>
      </c>
      <c r="N19" s="171">
        <f t="shared" si="2"/>
        <v>3.3055021280339767E-3</v>
      </c>
      <c r="O19" s="171">
        <f t="shared" si="3"/>
        <v>0.12709987338884934</v>
      </c>
      <c r="P19" s="171">
        <f t="shared" si="3"/>
        <v>0.12562532834924306</v>
      </c>
      <c r="Q19" s="170"/>
      <c r="R19" s="172">
        <f t="shared" si="4"/>
        <v>10440526.284627495</v>
      </c>
      <c r="S19" s="172">
        <f t="shared" si="4"/>
        <v>155295.39421987766</v>
      </c>
      <c r="T19" s="172">
        <f t="shared" si="4"/>
        <v>351390271.40042591</v>
      </c>
      <c r="U19" s="172">
        <f t="shared" si="4"/>
        <v>35588195.510635659</v>
      </c>
      <c r="V19" s="172">
        <f t="shared" si="4"/>
        <v>2184.2452447481983</v>
      </c>
      <c r="W19" s="170"/>
      <c r="X19" s="172">
        <f t="shared" si="10"/>
        <v>11161915.11203279</v>
      </c>
      <c r="Y19" s="172">
        <f t="shared" si="5"/>
        <v>72599.213042521675</v>
      </c>
      <c r="Z19" s="172">
        <f t="shared" si="5"/>
        <v>350228750.11054134</v>
      </c>
      <c r="AA19" s="172">
        <f t="shared" si="6"/>
        <v>31064940.367096249</v>
      </c>
      <c r="AB19" s="172">
        <f t="shared" si="6"/>
        <v>1909.8487186814332</v>
      </c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170"/>
      <c r="AX19" s="172">
        <f t="shared" si="7"/>
        <v>10440526.284627495</v>
      </c>
      <c r="AY19" s="172">
        <f t="shared" si="7"/>
        <v>155295.39421987766</v>
      </c>
      <c r="AZ19" s="172">
        <f t="shared" si="7"/>
        <v>351390271.40042591</v>
      </c>
      <c r="BA19" s="172">
        <f t="shared" si="7"/>
        <v>35588195.510635659</v>
      </c>
      <c r="BB19" s="172">
        <f t="shared" si="7"/>
        <v>2184.2452447481983</v>
      </c>
      <c r="BC19" s="83"/>
      <c r="BD19" s="83"/>
      <c r="BE19" s="83"/>
      <c r="BF19" s="83"/>
      <c r="BG19" s="83"/>
      <c r="BH19" s="83"/>
      <c r="BI19" s="170"/>
      <c r="BJ19" s="320">
        <f t="shared" si="8"/>
        <v>11161915.11203279</v>
      </c>
      <c r="BK19" s="320">
        <f t="shared" si="8"/>
        <v>72599.213042521689</v>
      </c>
      <c r="BL19" s="320">
        <f t="shared" si="8"/>
        <v>350228750.11054134</v>
      </c>
      <c r="BM19" s="320">
        <f t="shared" si="8"/>
        <v>31064940.367096253</v>
      </c>
      <c r="BN19" s="320">
        <f t="shared" si="8"/>
        <v>1909.8487186814336</v>
      </c>
      <c r="BO19" s="83"/>
      <c r="BP19" s="83"/>
      <c r="BQ19" s="154">
        <f t="shared" si="11"/>
        <v>0</v>
      </c>
      <c r="BR19" s="154">
        <f t="shared" si="12"/>
        <v>0</v>
      </c>
      <c r="BS19" s="154">
        <f t="shared" si="13"/>
        <v>0</v>
      </c>
      <c r="BT19" s="154">
        <f t="shared" si="14"/>
        <v>0</v>
      </c>
      <c r="BU19" s="154">
        <f t="shared" si="15"/>
        <v>0</v>
      </c>
      <c r="BV19" s="154">
        <f t="shared" si="16"/>
        <v>72599.213042521689</v>
      </c>
      <c r="BW19" s="83"/>
      <c r="BX19" s="83"/>
    </row>
    <row r="20" spans="1:76" x14ac:dyDescent="0.35">
      <c r="A20" s="168">
        <v>15</v>
      </c>
      <c r="B20" s="169">
        <f t="shared" si="0"/>
        <v>1.2245817407104</v>
      </c>
      <c r="C20" s="170"/>
      <c r="D20" s="154">
        <f t="shared" si="1"/>
        <v>-86933.753996276631</v>
      </c>
      <c r="E20" s="154">
        <f t="shared" si="1"/>
        <v>14061.304926117093</v>
      </c>
      <c r="F20" s="154">
        <f t="shared" si="1"/>
        <v>1270491.5022781135</v>
      </c>
      <c r="G20" s="154">
        <f t="shared" si="9"/>
        <v>113073.74370275209</v>
      </c>
      <c r="H20" s="154">
        <f t="shared" si="1"/>
        <v>944655.66786289052</v>
      </c>
      <c r="I20" s="154">
        <f t="shared" si="1"/>
        <v>57.467522480525858</v>
      </c>
      <c r="J20" s="154">
        <f t="shared" si="1"/>
        <v>308758.80406675389</v>
      </c>
      <c r="K20" s="170"/>
      <c r="L20" s="171">
        <f t="shared" si="2"/>
        <v>-1.0081654674851231E-2</v>
      </c>
      <c r="M20" s="171">
        <f t="shared" si="2"/>
        <v>0.50153354884360146</v>
      </c>
      <c r="N20" s="171">
        <f t="shared" si="2"/>
        <v>4.9162768506438373E-3</v>
      </c>
      <c r="O20" s="171">
        <f t="shared" si="3"/>
        <v>4.7191287489688961E-2</v>
      </c>
      <c r="P20" s="171">
        <f t="shared" si="3"/>
        <v>4.6658920134168898E-2</v>
      </c>
      <c r="Q20" s="170"/>
      <c r="R20" s="172">
        <f t="shared" si="4"/>
        <v>8622964.860434426</v>
      </c>
      <c r="S20" s="172">
        <f t="shared" si="4"/>
        <v>28036.618803544843</v>
      </c>
      <c r="T20" s="172">
        <f t="shared" si="4"/>
        <v>258425540.48023751</v>
      </c>
      <c r="U20" s="172">
        <f t="shared" si="4"/>
        <v>20017586.256134517</v>
      </c>
      <c r="V20" s="172">
        <f t="shared" si="4"/>
        <v>1231.6513608818325</v>
      </c>
      <c r="W20" s="170"/>
      <c r="X20" s="172">
        <f t="shared" si="10"/>
        <v>8709898.6144307032</v>
      </c>
      <c r="Y20" s="172">
        <f t="shared" si="5"/>
        <v>13975.31387742775</v>
      </c>
      <c r="Z20" s="172">
        <f t="shared" si="5"/>
        <v>257155048.97795939</v>
      </c>
      <c r="AA20" s="172">
        <f t="shared" si="6"/>
        <v>19072930.588271625</v>
      </c>
      <c r="AB20" s="172">
        <f t="shared" si="6"/>
        <v>1174.1838384013067</v>
      </c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170"/>
      <c r="AX20" s="172">
        <f t="shared" si="7"/>
        <v>8622964.860434426</v>
      </c>
      <c r="AY20" s="172">
        <f t="shared" si="7"/>
        <v>28036.618803544843</v>
      </c>
      <c r="AZ20" s="172">
        <f t="shared" si="7"/>
        <v>258425540.48023751</v>
      </c>
      <c r="BA20" s="172">
        <f t="shared" si="7"/>
        <v>20017586.256134517</v>
      </c>
      <c r="BB20" s="172">
        <f t="shared" si="7"/>
        <v>1231.6513608818325</v>
      </c>
      <c r="BC20" s="83"/>
      <c r="BD20" s="83"/>
      <c r="BE20" s="83"/>
      <c r="BF20" s="83"/>
      <c r="BG20" s="83"/>
      <c r="BH20" s="83"/>
      <c r="BI20" s="170"/>
      <c r="BJ20" s="320">
        <f t="shared" si="8"/>
        <v>8709898.6144307014</v>
      </c>
      <c r="BK20" s="320">
        <f t="shared" si="8"/>
        <v>13975.313877427752</v>
      </c>
      <c r="BL20" s="320">
        <f t="shared" si="8"/>
        <v>257155048.97795942</v>
      </c>
      <c r="BM20" s="320">
        <f t="shared" si="8"/>
        <v>19072930.588271629</v>
      </c>
      <c r="BN20" s="320">
        <f t="shared" si="8"/>
        <v>1174.1838384013067</v>
      </c>
      <c r="BO20" s="83"/>
      <c r="BP20" s="83"/>
      <c r="BQ20" s="154">
        <f t="shared" si="11"/>
        <v>0</v>
      </c>
      <c r="BR20" s="154">
        <f t="shared" si="12"/>
        <v>0</v>
      </c>
      <c r="BS20" s="154">
        <f t="shared" si="13"/>
        <v>0</v>
      </c>
      <c r="BT20" s="154">
        <f t="shared" si="14"/>
        <v>0</v>
      </c>
      <c r="BU20" s="154">
        <f t="shared" si="15"/>
        <v>0</v>
      </c>
      <c r="BV20" s="154">
        <f t="shared" si="16"/>
        <v>13975.313877427752</v>
      </c>
      <c r="BW20" s="83"/>
      <c r="BX20" s="83"/>
    </row>
    <row r="21" spans="1:76" x14ac:dyDescent="0.35">
      <c r="A21" s="168">
        <v>16</v>
      </c>
      <c r="B21" s="169">
        <f>SUM(B44,B67,B90,B113,B182,B205)</f>
        <v>0.57634918269869262</v>
      </c>
      <c r="C21" s="170"/>
      <c r="D21" s="154">
        <f t="shared" si="1"/>
        <v>-135290.44390455226</v>
      </c>
      <c r="E21" s="154">
        <f t="shared" si="1"/>
        <v>14174.125752275628</v>
      </c>
      <c r="F21" s="154">
        <f t="shared" si="1"/>
        <v>279174.43352042424</v>
      </c>
      <c r="G21" s="154">
        <f t="shared" si="9"/>
        <v>24846.524583317758</v>
      </c>
      <c r="H21" s="154">
        <f t="shared" si="1"/>
        <v>963344.25453154952</v>
      </c>
      <c r="I21" s="154">
        <f t="shared" si="1"/>
        <v>58.604290503016578</v>
      </c>
      <c r="J21" s="154">
        <f t="shared" si="1"/>
        <v>-71123.997202320723</v>
      </c>
      <c r="K21" s="170"/>
      <c r="L21" s="171">
        <f t="shared" si="2"/>
        <v>-3.9688024560492016E-2</v>
      </c>
      <c r="M21" s="171">
        <f t="shared" si="2"/>
        <v>0.12055653371095294</v>
      </c>
      <c r="N21" s="171">
        <f t="shared" si="2"/>
        <v>2.344877336624663E-3</v>
      </c>
      <c r="O21" s="171">
        <f t="shared" si="3"/>
        <v>5.3539420502614538E-2</v>
      </c>
      <c r="P21" s="171">
        <f t="shared" si="3"/>
        <v>5.3164310404304742E-2</v>
      </c>
      <c r="Q21" s="170"/>
      <c r="R21" s="172">
        <f t="shared" si="4"/>
        <v>3408848.0190880797</v>
      </c>
      <c r="S21" s="172">
        <f t="shared" si="4"/>
        <v>117572.43938565449</v>
      </c>
      <c r="T21" s="172">
        <f t="shared" si="4"/>
        <v>119057158.83726451</v>
      </c>
      <c r="U21" s="172">
        <f t="shared" si="4"/>
        <v>17993176.718909495</v>
      </c>
      <c r="V21" s="172">
        <f t="shared" si="4"/>
        <v>1102.3239097308287</v>
      </c>
      <c r="W21" s="170"/>
      <c r="X21" s="172">
        <f t="shared" si="10"/>
        <v>3544138.4629926318</v>
      </c>
      <c r="Y21" s="172">
        <f t="shared" si="5"/>
        <v>103398.31363337886</v>
      </c>
      <c r="Z21" s="172">
        <f t="shared" si="5"/>
        <v>118777984.40374409</v>
      </c>
      <c r="AA21" s="172">
        <f t="shared" si="6"/>
        <v>17029832.464377943</v>
      </c>
      <c r="AB21" s="172">
        <f t="shared" si="6"/>
        <v>1043.7196192278122</v>
      </c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170"/>
      <c r="AX21" s="172">
        <f t="shared" si="7"/>
        <v>3408848.0190880797</v>
      </c>
      <c r="AY21" s="172">
        <f t="shared" si="7"/>
        <v>117572.43938565449</v>
      </c>
      <c r="AZ21" s="172">
        <f t="shared" si="7"/>
        <v>119057158.83726451</v>
      </c>
      <c r="BA21" s="172">
        <f t="shared" si="7"/>
        <v>17993176.718909495</v>
      </c>
      <c r="BB21" s="172">
        <f t="shared" si="7"/>
        <v>1102.3239097308287</v>
      </c>
      <c r="BC21" s="83"/>
      <c r="BD21" s="83"/>
      <c r="BE21" s="83"/>
      <c r="BF21" s="83"/>
      <c r="BG21" s="83"/>
      <c r="BH21" s="83"/>
      <c r="BI21" s="170"/>
      <c r="BJ21" s="320">
        <f t="shared" si="8"/>
        <v>3296606.9701665319</v>
      </c>
      <c r="BK21" s="320">
        <f t="shared" si="8"/>
        <v>98445.852127267237</v>
      </c>
      <c r="BL21" s="320">
        <f t="shared" si="8"/>
        <v>111016133.53527486</v>
      </c>
      <c r="BM21" s="320">
        <f t="shared" si="8"/>
        <v>16044440.383167945</v>
      </c>
      <c r="BN21" s="320">
        <f t="shared" si="8"/>
        <v>983.27655717547918</v>
      </c>
      <c r="BO21" s="83"/>
      <c r="BP21" s="83"/>
      <c r="BQ21" s="154">
        <f t="shared" si="11"/>
        <v>11926.736501658715</v>
      </c>
      <c r="BR21" s="154">
        <f t="shared" si="12"/>
        <v>19148.768883489884</v>
      </c>
      <c r="BS21" s="154">
        <f t="shared" si="13"/>
        <v>4059.4378168849676</v>
      </c>
      <c r="BT21" s="154">
        <f t="shared" si="14"/>
        <v>7036.7662453220419</v>
      </c>
      <c r="BU21" s="154">
        <f t="shared" si="15"/>
        <v>11617.654671851733</v>
      </c>
      <c r="BV21" s="154">
        <f t="shared" si="16"/>
        <v>44656.488008059896</v>
      </c>
      <c r="BW21" s="83"/>
      <c r="BX21" s="83"/>
    </row>
    <row r="22" spans="1:76" x14ac:dyDescent="0.35">
      <c r="A22" s="173" t="s">
        <v>130</v>
      </c>
      <c r="B22" s="174">
        <f>SUM(B6:B21)</f>
        <v>64.640191581800011</v>
      </c>
      <c r="C22" s="166"/>
      <c r="D22" s="175">
        <f>SUM(D6:D21)</f>
        <v>-15451366.739763731</v>
      </c>
      <c r="E22" s="175">
        <f t="shared" ref="E22:J22" si="17">SUM(E6:E21)</f>
        <v>2003424.2793463194</v>
      </c>
      <c r="F22" s="175">
        <f t="shared" si="17"/>
        <v>90885902.107920185</v>
      </c>
      <c r="G22" s="175">
        <f t="shared" si="17"/>
        <v>8088845.2876048954</v>
      </c>
      <c r="H22" s="175">
        <f t="shared" si="17"/>
        <v>123858367.48499455</v>
      </c>
      <c r="I22" s="175">
        <f t="shared" si="17"/>
        <v>7427.8583667498542</v>
      </c>
      <c r="J22" s="175">
        <f t="shared" si="17"/>
        <v>15560855.832244394</v>
      </c>
      <c r="K22" s="166"/>
      <c r="L22" s="176">
        <f t="shared" si="2"/>
        <v>-4.0444511940600295E-2</v>
      </c>
      <c r="M22" s="176">
        <f t="shared" si="2"/>
        <v>0.53873319457090219</v>
      </c>
      <c r="N22" s="176">
        <f t="shared" si="2"/>
        <v>7.5825950823069877E-3</v>
      </c>
      <c r="O22" s="176">
        <f t="shared" ref="O22:P22" si="18">IF(BA22=0,0,H22/BA22)</f>
        <v>0.10990406469946598</v>
      </c>
      <c r="P22" s="176">
        <f t="shared" si="18"/>
        <v>0.10756331573584124</v>
      </c>
      <c r="Q22" s="166"/>
      <c r="R22" s="188">
        <f t="shared" si="4"/>
        <v>382038649.95222872</v>
      </c>
      <c r="S22" s="188">
        <f t="shared" si="4"/>
        <v>3718768.9556460967</v>
      </c>
      <c r="T22" s="188">
        <f t="shared" si="4"/>
        <v>11986120994.379717</v>
      </c>
      <c r="U22" s="188">
        <f t="shared" si="4"/>
        <v>1126968031.8347349</v>
      </c>
      <c r="V22" s="188">
        <f t="shared" si="4"/>
        <v>69055.684235241672</v>
      </c>
      <c r="W22" s="166"/>
      <c r="X22" s="188">
        <f t="shared" si="10"/>
        <v>397490016.69199246</v>
      </c>
      <c r="Y22" s="188">
        <f t="shared" si="5"/>
        <v>1715344.6762997773</v>
      </c>
      <c r="Z22" s="188">
        <f t="shared" si="5"/>
        <v>11895235092.271797</v>
      </c>
      <c r="AA22" s="188">
        <f>U22-H22</f>
        <v>1003109664.3497404</v>
      </c>
      <c r="AB22" s="188">
        <f>V22-I22</f>
        <v>61627.825868491818</v>
      </c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170"/>
      <c r="AX22" s="177">
        <f>SUM(AX6:AX21)</f>
        <v>382038649.95222872</v>
      </c>
      <c r="AY22" s="177">
        <f t="shared" ref="AY22:BB22" si="19">SUM(AY6:AY21)</f>
        <v>3718768.9556460967</v>
      </c>
      <c r="AZ22" s="177">
        <f t="shared" si="19"/>
        <v>11986120994.379717</v>
      </c>
      <c r="BA22" s="177">
        <f t="shared" si="19"/>
        <v>1126968031.8347349</v>
      </c>
      <c r="BB22" s="177">
        <f t="shared" si="19"/>
        <v>69055.684235241672</v>
      </c>
      <c r="BC22" s="83"/>
      <c r="BD22" s="83"/>
      <c r="BE22" s="83"/>
      <c r="BF22" s="83"/>
      <c r="BG22" s="83"/>
      <c r="BH22" s="83"/>
      <c r="BI22" s="170"/>
      <c r="BJ22" s="321">
        <f>SUM(BJ6:BJ21)</f>
        <v>397242485.1991663</v>
      </c>
      <c r="BK22" s="321">
        <f t="shared" ref="BK22:BN22" si="20">SUM(BK6:BK21)</f>
        <v>1710392.2147936658</v>
      </c>
      <c r="BL22" s="321">
        <f t="shared" si="20"/>
        <v>11887473241.403328</v>
      </c>
      <c r="BM22" s="321">
        <f t="shared" si="20"/>
        <v>1002124272.2685302</v>
      </c>
      <c r="BN22" s="321">
        <f t="shared" si="20"/>
        <v>61567.382806439484</v>
      </c>
      <c r="BO22" s="83"/>
      <c r="BP22" s="83"/>
      <c r="BQ22" s="315">
        <f>SUM(BQ6:BQ21)</f>
        <v>11926.736501658715</v>
      </c>
      <c r="BR22" s="315">
        <f t="shared" ref="BR22:BV22" si="21">SUM(BR6:BR21)</f>
        <v>21331.573957285465</v>
      </c>
      <c r="BS22" s="315">
        <f t="shared" si="21"/>
        <v>4649.9584781461444</v>
      </c>
      <c r="BT22" s="315">
        <f t="shared" si="21"/>
        <v>9716.1304554493163</v>
      </c>
      <c r="BU22" s="315">
        <f t="shared" si="21"/>
        <v>13509.33353349826</v>
      </c>
      <c r="BV22" s="315">
        <f t="shared" si="21"/>
        <v>1649258.4818676277</v>
      </c>
      <c r="BW22" s="83"/>
      <c r="BX22" s="83"/>
    </row>
    <row r="23" spans="1:76" x14ac:dyDescent="0.35">
      <c r="A23" s="83"/>
      <c r="B23" s="169" t="str">
        <f>"Note that this is "&amp;TEXT(B22/175.96,"0%")&amp;" of all nonresidential new construction floor area."</f>
        <v>Note that this is 37% of all nonresidential new construction floor area.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154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154">
        <f>X22</f>
        <v>397490016.69199246</v>
      </c>
      <c r="BK23" s="154">
        <f t="shared" ref="BK23:BN23" si="22">Y22</f>
        <v>1715344.6762997773</v>
      </c>
      <c r="BL23" s="154">
        <f t="shared" si="22"/>
        <v>11895235092.271797</v>
      </c>
      <c r="BM23" s="154">
        <f t="shared" si="22"/>
        <v>1003109664.3497404</v>
      </c>
      <c r="BN23" s="154">
        <f t="shared" si="22"/>
        <v>61627.825868491818</v>
      </c>
      <c r="BO23" s="83"/>
      <c r="BP23" s="83"/>
      <c r="BQ23" s="83"/>
      <c r="BR23" s="83"/>
      <c r="BS23" s="83"/>
      <c r="BT23" s="83"/>
      <c r="BU23" s="83"/>
      <c r="BV23" s="83"/>
      <c r="BW23" s="83"/>
      <c r="BX23" s="83"/>
    </row>
    <row r="24" spans="1:76" x14ac:dyDescent="0.3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154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</row>
    <row r="25" spans="1:76" ht="15.5" x14ac:dyDescent="0.35">
      <c r="A25" s="155" t="s">
        <v>131</v>
      </c>
      <c r="B25" s="83"/>
      <c r="C25" s="83"/>
      <c r="D25" s="83"/>
      <c r="E25" s="154">
        <f>E214</f>
        <v>5503</v>
      </c>
      <c r="F25" s="156" t="s">
        <v>132</v>
      </c>
      <c r="G25" s="156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178"/>
      <c r="S25" s="178"/>
      <c r="T25" s="179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</row>
    <row r="26" spans="1:76" x14ac:dyDescent="0.35">
      <c r="A26" s="157"/>
      <c r="B26" s="158" t="s">
        <v>105</v>
      </c>
      <c r="C26" s="159"/>
      <c r="D26" s="158" t="s">
        <v>106</v>
      </c>
      <c r="E26" s="158"/>
      <c r="F26" s="158"/>
      <c r="G26" s="158"/>
      <c r="H26" s="158"/>
      <c r="I26" s="158"/>
      <c r="J26" s="158"/>
      <c r="K26" s="159"/>
      <c r="L26" s="158" t="s">
        <v>106</v>
      </c>
      <c r="M26" s="158"/>
      <c r="N26" s="158"/>
      <c r="O26" s="158"/>
      <c r="P26" s="158"/>
      <c r="Q26" s="159"/>
      <c r="R26" s="157" t="str">
        <f>R3</f>
        <v xml:space="preserve"> 2019 Energy Code Consumption </v>
      </c>
      <c r="S26" s="157"/>
      <c r="T26" s="158"/>
      <c r="U26" s="158"/>
      <c r="V26" s="158"/>
      <c r="W26" s="159"/>
      <c r="X26" s="158" t="str">
        <f>X3</f>
        <v>2022 Energy Code Consumption</v>
      </c>
      <c r="Y26" s="158"/>
      <c r="Z26" s="158"/>
      <c r="AA26" s="158"/>
      <c r="AB26" s="158"/>
      <c r="AC26" s="159"/>
      <c r="AD26" s="158" t="s">
        <v>133</v>
      </c>
      <c r="AE26" s="158"/>
      <c r="AF26" s="158"/>
      <c r="AG26" s="158"/>
      <c r="AH26" s="158"/>
      <c r="AI26" s="180"/>
      <c r="AJ26" s="159"/>
      <c r="AK26" s="158" t="s">
        <v>134</v>
      </c>
      <c r="AL26" s="158"/>
      <c r="AM26" s="158"/>
      <c r="AN26" s="158"/>
      <c r="AO26" s="158"/>
      <c r="AP26" s="158"/>
      <c r="AQ26" s="159"/>
      <c r="AR26" s="160" t="s">
        <v>614</v>
      </c>
      <c r="AS26" s="160"/>
      <c r="AT26" s="160"/>
      <c r="AU26" s="160"/>
      <c r="AV26" s="160"/>
      <c r="AW26" s="159"/>
      <c r="AX26" s="160" t="s">
        <v>613</v>
      </c>
      <c r="AY26" s="160"/>
      <c r="AZ26" s="160"/>
      <c r="BA26" s="160"/>
      <c r="BB26" s="160"/>
      <c r="BC26" s="159"/>
      <c r="BD26" s="316" t="s">
        <v>135</v>
      </c>
      <c r="BE26" s="316"/>
      <c r="BF26" s="316"/>
      <c r="BG26" s="316"/>
      <c r="BH26" s="316"/>
      <c r="BI26" s="322"/>
      <c r="BJ26" s="316" t="s">
        <v>108</v>
      </c>
      <c r="BK26" s="316"/>
      <c r="BL26" s="316"/>
      <c r="BM26" s="316"/>
      <c r="BN26" s="316"/>
      <c r="BO26" s="83"/>
      <c r="BP26" s="83"/>
      <c r="BQ26" s="83"/>
      <c r="BR26" s="83"/>
      <c r="BS26" s="83"/>
      <c r="BT26" s="83"/>
      <c r="BU26" s="83"/>
      <c r="BV26" s="83"/>
      <c r="BW26" s="83"/>
      <c r="BX26" s="83"/>
    </row>
    <row r="27" spans="1:76" ht="16.5" x14ac:dyDescent="0.45">
      <c r="A27" s="83"/>
      <c r="B27" s="161" t="s">
        <v>109</v>
      </c>
      <c r="C27" s="162"/>
      <c r="D27" s="163" t="s">
        <v>110</v>
      </c>
      <c r="E27" s="163" t="s">
        <v>111</v>
      </c>
      <c r="F27" s="163" t="s">
        <v>8</v>
      </c>
      <c r="G27" s="163" t="s">
        <v>8</v>
      </c>
      <c r="H27" s="163" t="s">
        <v>112</v>
      </c>
      <c r="I27" s="163" t="s">
        <v>113</v>
      </c>
      <c r="J27" s="163" t="s">
        <v>114</v>
      </c>
      <c r="K27" s="162"/>
      <c r="L27" s="163" t="s">
        <v>110</v>
      </c>
      <c r="M27" s="163" t="s">
        <v>111</v>
      </c>
      <c r="N27" s="163" t="s">
        <v>8</v>
      </c>
      <c r="O27" s="163" t="s">
        <v>112</v>
      </c>
      <c r="P27" s="163" t="s">
        <v>113</v>
      </c>
      <c r="Q27" s="162"/>
      <c r="R27" s="163" t="s">
        <v>110</v>
      </c>
      <c r="S27" s="163" t="s">
        <v>111</v>
      </c>
      <c r="T27" s="163" t="s">
        <v>8</v>
      </c>
      <c r="U27" s="163" t="s">
        <v>112</v>
      </c>
      <c r="V27" s="163" t="s">
        <v>113</v>
      </c>
      <c r="W27" s="162"/>
      <c r="X27" s="163" t="s">
        <v>110</v>
      </c>
      <c r="Y27" s="163" t="s">
        <v>111</v>
      </c>
      <c r="Z27" s="163" t="s">
        <v>8</v>
      </c>
      <c r="AA27" s="163" t="s">
        <v>112</v>
      </c>
      <c r="AB27" s="163" t="s">
        <v>113</v>
      </c>
      <c r="AC27" s="162"/>
      <c r="AD27" s="163" t="s">
        <v>110</v>
      </c>
      <c r="AE27" s="163" t="s">
        <v>111</v>
      </c>
      <c r="AF27" s="163" t="s">
        <v>8</v>
      </c>
      <c r="AG27" s="163" t="s">
        <v>112</v>
      </c>
      <c r="AH27" s="163" t="s">
        <v>113</v>
      </c>
      <c r="AI27" s="181" t="s">
        <v>114</v>
      </c>
      <c r="AJ27" s="162"/>
      <c r="AK27" s="163" t="s">
        <v>110</v>
      </c>
      <c r="AL27" s="163" t="s">
        <v>111</v>
      </c>
      <c r="AM27" s="163" t="s">
        <v>8</v>
      </c>
      <c r="AN27" s="163" t="s">
        <v>112</v>
      </c>
      <c r="AO27" s="163" t="s">
        <v>113</v>
      </c>
      <c r="AP27" s="163" t="s">
        <v>114</v>
      </c>
      <c r="AQ27" s="162"/>
      <c r="AR27" s="164" t="s">
        <v>110</v>
      </c>
      <c r="AS27" s="164" t="s">
        <v>111</v>
      </c>
      <c r="AT27" s="164" t="s">
        <v>8</v>
      </c>
      <c r="AU27" s="164" t="s">
        <v>112</v>
      </c>
      <c r="AV27" s="164" t="s">
        <v>115</v>
      </c>
      <c r="AW27" s="162"/>
      <c r="AX27" s="164" t="s">
        <v>110</v>
      </c>
      <c r="AY27" s="164" t="s">
        <v>111</v>
      </c>
      <c r="AZ27" s="164" t="s">
        <v>8</v>
      </c>
      <c r="BA27" s="164" t="s">
        <v>112</v>
      </c>
      <c r="BB27" s="164" t="s">
        <v>115</v>
      </c>
      <c r="BC27" s="162"/>
      <c r="BD27" s="317" t="s">
        <v>110</v>
      </c>
      <c r="BE27" s="317" t="s">
        <v>111</v>
      </c>
      <c r="BF27" s="317" t="s">
        <v>8</v>
      </c>
      <c r="BG27" s="317" t="s">
        <v>112</v>
      </c>
      <c r="BH27" s="317" t="s">
        <v>116</v>
      </c>
      <c r="BI27" s="323"/>
      <c r="BJ27" s="317" t="s">
        <v>110</v>
      </c>
      <c r="BK27" s="317" t="s">
        <v>111</v>
      </c>
      <c r="BL27" s="317" t="s">
        <v>8</v>
      </c>
      <c r="BM27" s="317" t="s">
        <v>112</v>
      </c>
      <c r="BN27" s="317" t="s">
        <v>116</v>
      </c>
      <c r="BO27" s="83"/>
      <c r="BP27" s="83"/>
      <c r="BQ27" s="83"/>
      <c r="BR27" s="83"/>
      <c r="BS27" s="83"/>
      <c r="BT27" s="83"/>
      <c r="BU27" s="83"/>
      <c r="BV27" s="83"/>
      <c r="BW27" s="83"/>
      <c r="BX27" s="83"/>
    </row>
    <row r="28" spans="1:76" x14ac:dyDescent="0.35">
      <c r="A28" s="153" t="s">
        <v>96</v>
      </c>
      <c r="B28" s="165" t="s">
        <v>118</v>
      </c>
      <c r="C28" s="166"/>
      <c r="D28" s="165" t="s">
        <v>7</v>
      </c>
      <c r="E28" s="165" t="s">
        <v>119</v>
      </c>
      <c r="F28" s="165" t="s">
        <v>120</v>
      </c>
      <c r="G28" s="165" t="s">
        <v>121</v>
      </c>
      <c r="H28" s="165" t="s">
        <v>120</v>
      </c>
      <c r="I28" s="165" t="s">
        <v>122</v>
      </c>
      <c r="J28" s="165" t="s">
        <v>121</v>
      </c>
      <c r="K28" s="166"/>
      <c r="L28" s="165" t="s">
        <v>123</v>
      </c>
      <c r="M28" s="165" t="s">
        <v>123</v>
      </c>
      <c r="N28" s="165" t="s">
        <v>123</v>
      </c>
      <c r="O28" s="165" t="s">
        <v>123</v>
      </c>
      <c r="P28" s="165" t="s">
        <v>123</v>
      </c>
      <c r="Q28" s="166"/>
      <c r="R28" s="165" t="s">
        <v>7</v>
      </c>
      <c r="S28" s="165" t="s">
        <v>119</v>
      </c>
      <c r="T28" s="165" t="s">
        <v>120</v>
      </c>
      <c r="U28" s="165" t="s">
        <v>120</v>
      </c>
      <c r="V28" s="165" t="s">
        <v>122</v>
      </c>
      <c r="W28" s="166"/>
      <c r="X28" s="165" t="s">
        <v>7</v>
      </c>
      <c r="Y28" s="165" t="s">
        <v>119</v>
      </c>
      <c r="Z28" s="165" t="s">
        <v>120</v>
      </c>
      <c r="AA28" s="165" t="s">
        <v>120</v>
      </c>
      <c r="AB28" s="165" t="s">
        <v>122</v>
      </c>
      <c r="AC28" s="166"/>
      <c r="AD28" s="165" t="s">
        <v>7</v>
      </c>
      <c r="AE28" s="165" t="s">
        <v>119</v>
      </c>
      <c r="AF28" s="165" t="s">
        <v>120</v>
      </c>
      <c r="AG28" s="165" t="s">
        <v>120</v>
      </c>
      <c r="AH28" s="165" t="s">
        <v>122</v>
      </c>
      <c r="AI28" s="182" t="s">
        <v>121</v>
      </c>
      <c r="AJ28" s="166"/>
      <c r="AK28" s="165" t="s">
        <v>136</v>
      </c>
      <c r="AL28" s="165" t="s">
        <v>137</v>
      </c>
      <c r="AM28" s="165" t="s">
        <v>138</v>
      </c>
      <c r="AN28" s="165" t="s">
        <v>138</v>
      </c>
      <c r="AO28" s="165" t="s">
        <v>139</v>
      </c>
      <c r="AP28" s="165" t="s">
        <v>140</v>
      </c>
      <c r="AQ28" s="166"/>
      <c r="AR28" s="167" t="s">
        <v>136</v>
      </c>
      <c r="AS28" s="167" t="s">
        <v>137</v>
      </c>
      <c r="AT28" s="167" t="s">
        <v>138</v>
      </c>
      <c r="AU28" s="167" t="s">
        <v>138</v>
      </c>
      <c r="AV28" s="167" t="s">
        <v>139</v>
      </c>
      <c r="AW28" s="166"/>
      <c r="AX28" s="167" t="s">
        <v>7</v>
      </c>
      <c r="AY28" s="167" t="s">
        <v>119</v>
      </c>
      <c r="AZ28" s="167" t="s">
        <v>120</v>
      </c>
      <c r="BA28" s="167" t="s">
        <v>120</v>
      </c>
      <c r="BB28" s="167" t="s">
        <v>122</v>
      </c>
      <c r="BC28" s="166"/>
      <c r="BD28" s="319" t="s">
        <v>7</v>
      </c>
      <c r="BE28" s="319" t="s">
        <v>119</v>
      </c>
      <c r="BF28" s="319" t="s">
        <v>120</v>
      </c>
      <c r="BG28" s="319" t="s">
        <v>120</v>
      </c>
      <c r="BH28" s="319" t="s">
        <v>122</v>
      </c>
      <c r="BI28" s="324"/>
      <c r="BJ28" s="319" t="s">
        <v>7</v>
      </c>
      <c r="BK28" s="319" t="s">
        <v>119</v>
      </c>
      <c r="BL28" s="319" t="s">
        <v>120</v>
      </c>
      <c r="BM28" s="319" t="s">
        <v>120</v>
      </c>
      <c r="BN28" s="319" t="s">
        <v>122</v>
      </c>
      <c r="BO28" s="83"/>
      <c r="BP28" s="83"/>
      <c r="BQ28" s="83"/>
      <c r="BR28" s="83"/>
      <c r="BS28" s="83"/>
      <c r="BT28" s="83"/>
      <c r="BU28" s="83"/>
      <c r="BV28" s="83"/>
      <c r="BW28" s="83"/>
      <c r="BX28" s="83"/>
    </row>
    <row r="29" spans="1:76" x14ac:dyDescent="0.35">
      <c r="A29" s="168">
        <v>1</v>
      </c>
      <c r="B29" s="169">
        <f t="shared" ref="B29:B44" si="23">K222</f>
        <v>3.6503027160401408E-2</v>
      </c>
      <c r="C29" s="170"/>
      <c r="D29" s="154">
        <f>AK29*$B29*10^6</f>
        <v>-38899.229908370107</v>
      </c>
      <c r="E29" s="154">
        <f t="shared" ref="D29:F44" si="24">AL29*$B29*10^6</f>
        <v>4553.6825544445592</v>
      </c>
      <c r="F29" s="154">
        <f t="shared" si="24"/>
        <v>-78774.507302276776</v>
      </c>
      <c r="G29" s="154">
        <f>F29*0.089</f>
        <v>-7010.9311499026326</v>
      </c>
      <c r="H29" s="154">
        <f t="shared" ref="H29:J44" si="25">AN29*$B29*10^6</f>
        <v>249561.92053611699</v>
      </c>
      <c r="I29" s="154">
        <f t="shared" si="25"/>
        <v>14.805888299808677</v>
      </c>
      <c r="J29" s="154">
        <f t="shared" si="25"/>
        <v>31347.29794716827</v>
      </c>
      <c r="K29" s="170"/>
      <c r="L29" s="171">
        <f t="shared" ref="L29:N45" si="26">IF(AX29=0,0,D29/AX29)</f>
        <v>-0.12219163529472815</v>
      </c>
      <c r="M29" s="171">
        <f t="shared" si="26"/>
        <v>1</v>
      </c>
      <c r="N29" s="171">
        <f t="shared" si="26"/>
        <v>-8.960436949772433E-3</v>
      </c>
      <c r="O29" s="171">
        <f t="shared" ref="O29:P45" si="27">IF(BA29=0,0,H29/BA29)</f>
        <v>0.23909002114852482</v>
      </c>
      <c r="P29" s="171">
        <f t="shared" si="27"/>
        <v>0.23231588014932425</v>
      </c>
      <c r="Q29" s="170"/>
      <c r="R29" s="154">
        <v>47992.144644997679</v>
      </c>
      <c r="S29" s="154">
        <v>686.48868454100148</v>
      </c>
      <c r="T29" s="154">
        <v>1325339.4902066865</v>
      </c>
      <c r="U29" s="154">
        <v>157357.51912756712</v>
      </c>
      <c r="V29" s="154">
        <v>9.6078497417566719</v>
      </c>
      <c r="W29" s="170"/>
      <c r="X29" s="154">
        <v>53856.383280471076</v>
      </c>
      <c r="Y29" s="154">
        <v>0</v>
      </c>
      <c r="Z29" s="154">
        <v>1337215.1111457271</v>
      </c>
      <c r="AA29" s="154">
        <v>119734.9065514777</v>
      </c>
      <c r="AB29" s="154">
        <v>7.3757936726580127</v>
      </c>
      <c r="AC29" s="170"/>
      <c r="AD29" s="154">
        <f t="shared" ref="AD29:AH44" si="28">R29-X29</f>
        <v>-5864.2386354733972</v>
      </c>
      <c r="AE29" s="154">
        <f t="shared" si="28"/>
        <v>686.48868454100148</v>
      </c>
      <c r="AF29" s="154">
        <f t="shared" si="28"/>
        <v>-11875.620939040557</v>
      </c>
      <c r="AG29" s="154">
        <f t="shared" si="28"/>
        <v>37622.612576089421</v>
      </c>
      <c r="AH29" s="154">
        <f t="shared" si="28"/>
        <v>2.2320560690986593</v>
      </c>
      <c r="AI29" s="154">
        <v>4725.7500000000009</v>
      </c>
      <c r="AJ29" s="170"/>
      <c r="AK29" s="183">
        <f t="shared" ref="AK29:AP29" si="29">AD29/$E25</f>
        <v>-1.0656439461154639</v>
      </c>
      <c r="AL29" s="183">
        <f t="shared" si="29"/>
        <v>0.1247480800546977</v>
      </c>
      <c r="AM29" s="183">
        <f t="shared" si="29"/>
        <v>-2.1580267016246695</v>
      </c>
      <c r="AN29" s="183">
        <f t="shared" si="29"/>
        <v>6.8367458797182303</v>
      </c>
      <c r="AO29" s="183">
        <f t="shared" si="29"/>
        <v>4.0560713594378688E-4</v>
      </c>
      <c r="AP29" s="183">
        <f t="shared" si="29"/>
        <v>0.85875885880428871</v>
      </c>
      <c r="AQ29" s="170"/>
      <c r="AR29" s="184">
        <f>R29/$E$25</f>
        <v>8.7210875240773547</v>
      </c>
      <c r="AS29" s="184">
        <f t="shared" ref="AS29:AV44" si="30">S29/$E$25</f>
        <v>0.1247480800546977</v>
      </c>
      <c r="AT29" s="184">
        <f t="shared" si="30"/>
        <v>240.83944942880004</v>
      </c>
      <c r="AU29" s="184">
        <f t="shared" si="30"/>
        <v>28.594860826379634</v>
      </c>
      <c r="AV29" s="184">
        <f t="shared" si="30"/>
        <v>1.7459294460760806E-3</v>
      </c>
      <c r="AW29" s="170"/>
      <c r="AX29" s="172">
        <f t="shared" ref="AX29:BB44" si="31">AR29*$B29*10^6</f>
        <v>318346.09475963353</v>
      </c>
      <c r="AY29" s="172">
        <f t="shared" si="31"/>
        <v>4553.6825544445592</v>
      </c>
      <c r="AZ29" s="172">
        <f t="shared" si="31"/>
        <v>8791368.9637956098</v>
      </c>
      <c r="BA29" s="172">
        <f t="shared" si="31"/>
        <v>1043798.981393234</v>
      </c>
      <c r="BB29" s="172">
        <f t="shared" si="31"/>
        <v>63.731709990259759</v>
      </c>
      <c r="BC29" s="170"/>
      <c r="BD29" s="325">
        <f>X29/$E25</f>
        <v>9.7867314701928176</v>
      </c>
      <c r="BE29" s="325">
        <f>Y29/$E25</f>
        <v>0</v>
      </c>
      <c r="BF29" s="325">
        <f>Z29/$E25</f>
        <v>242.9974761304247</v>
      </c>
      <c r="BG29" s="325">
        <f>AA29/$E25</f>
        <v>21.758114946661404</v>
      </c>
      <c r="BH29" s="325">
        <f>AB29/$E25</f>
        <v>1.3403223101322937E-3</v>
      </c>
      <c r="BI29" s="326"/>
      <c r="BJ29" s="320">
        <f t="shared" ref="BJ29:BN44" si="32">BD29*$B29*10^6</f>
        <v>357245.32466800365</v>
      </c>
      <c r="BK29" s="320">
        <f t="shared" si="32"/>
        <v>0</v>
      </c>
      <c r="BL29" s="320">
        <f t="shared" si="32"/>
        <v>8870143.4710978847</v>
      </c>
      <c r="BM29" s="320">
        <f t="shared" si="32"/>
        <v>794237.06085711706</v>
      </c>
      <c r="BN29" s="320">
        <f t="shared" si="32"/>
        <v>48.925821690451073</v>
      </c>
      <c r="BO29" s="83"/>
      <c r="BP29" s="83"/>
      <c r="BQ29" s="83"/>
      <c r="BR29" s="83"/>
      <c r="BS29" s="83"/>
      <c r="BT29" s="83"/>
      <c r="BU29" s="83"/>
      <c r="BV29" s="83"/>
      <c r="BW29" s="83"/>
      <c r="BX29" s="83"/>
    </row>
    <row r="30" spans="1:76" x14ac:dyDescent="0.35">
      <c r="A30" s="168">
        <v>2</v>
      </c>
      <c r="B30" s="169">
        <f t="shared" si="23"/>
        <v>0.21690707447712726</v>
      </c>
      <c r="C30" s="170"/>
      <c r="D30" s="154">
        <f t="shared" si="24"/>
        <v>-128636.21765931071</v>
      </c>
      <c r="E30" s="154">
        <f t="shared" si="24"/>
        <v>13944.042020358893</v>
      </c>
      <c r="F30" s="154">
        <f t="shared" si="24"/>
        <v>-248722.94228204733</v>
      </c>
      <c r="G30" s="154">
        <f t="shared" ref="G30:G44" si="33">F30*0.089</f>
        <v>-22136.34186310221</v>
      </c>
      <c r="H30" s="154">
        <f t="shared" si="25"/>
        <v>632636.52497201343</v>
      </c>
      <c r="I30" s="154">
        <f t="shared" si="25"/>
        <v>37.284689810512354</v>
      </c>
      <c r="J30" s="154">
        <f t="shared" si="25"/>
        <v>186270.87174455466</v>
      </c>
      <c r="K30" s="170"/>
      <c r="L30" s="171">
        <f t="shared" si="26"/>
        <v>-5.9693718394241792E-2</v>
      </c>
      <c r="M30" s="171">
        <f t="shared" si="26"/>
        <v>1</v>
      </c>
      <c r="N30" s="171">
        <f t="shared" si="26"/>
        <v>-4.0962518303231804E-3</v>
      </c>
      <c r="O30" s="171">
        <f t="shared" si="27"/>
        <v>0.11496125035451922</v>
      </c>
      <c r="P30" s="171">
        <f t="shared" si="27"/>
        <v>0.11053647900247526</v>
      </c>
      <c r="Q30" s="170"/>
      <c r="R30" s="154">
        <v>54671.42896580472</v>
      </c>
      <c r="S30" s="154">
        <v>353.7646866659785</v>
      </c>
      <c r="T30" s="154">
        <v>1540476.2039747173</v>
      </c>
      <c r="U30" s="154">
        <v>139613.87442329412</v>
      </c>
      <c r="V30" s="154">
        <v>8.5575747960882254</v>
      </c>
      <c r="W30" s="170"/>
      <c r="X30" s="154">
        <v>57934.969850700261</v>
      </c>
      <c r="Y30" s="154">
        <v>0</v>
      </c>
      <c r="Z30" s="154">
        <v>1546786.382444818</v>
      </c>
      <c r="AA30" s="154">
        <v>123563.6888527534</v>
      </c>
      <c r="AB30" s="154">
        <v>7.6116506093283078</v>
      </c>
      <c r="AC30" s="170"/>
      <c r="AD30" s="154">
        <f t="shared" si="28"/>
        <v>-3263.5408848955412</v>
      </c>
      <c r="AE30" s="154">
        <f t="shared" si="28"/>
        <v>353.7646866659785</v>
      </c>
      <c r="AF30" s="154">
        <f t="shared" si="28"/>
        <v>-6310.1784701007418</v>
      </c>
      <c r="AG30" s="154">
        <f t="shared" si="28"/>
        <v>16050.185570540722</v>
      </c>
      <c r="AH30" s="154">
        <f t="shared" si="28"/>
        <v>0.94592418675991752</v>
      </c>
      <c r="AI30" s="154">
        <v>4725.7500000000009</v>
      </c>
      <c r="AJ30" s="170"/>
      <c r="AK30" s="183">
        <f t="shared" ref="AK30:AP30" si="34">AD30/$E25</f>
        <v>-0.59304758947765601</v>
      </c>
      <c r="AL30" s="183">
        <f t="shared" si="34"/>
        <v>6.4285787146279944E-2</v>
      </c>
      <c r="AM30" s="183">
        <f t="shared" si="34"/>
        <v>-1.1466797147193788</v>
      </c>
      <c r="AN30" s="183">
        <f t="shared" si="34"/>
        <v>2.9166246720953519</v>
      </c>
      <c r="AO30" s="183">
        <f t="shared" si="34"/>
        <v>1.7189245625293795E-4</v>
      </c>
      <c r="AP30" s="183">
        <f t="shared" si="34"/>
        <v>0.85875885880428871</v>
      </c>
      <c r="AQ30" s="170"/>
      <c r="AR30" s="184">
        <f t="shared" ref="AR30:AR44" si="35">R30/$E$25</f>
        <v>9.9348408078874648</v>
      </c>
      <c r="AS30" s="184">
        <f t="shared" si="30"/>
        <v>6.4285787146279944E-2</v>
      </c>
      <c r="AT30" s="184">
        <f t="shared" si="30"/>
        <v>279.9338913274064</v>
      </c>
      <c r="AU30" s="184">
        <f t="shared" si="30"/>
        <v>25.370502348408891</v>
      </c>
      <c r="AV30" s="184">
        <f t="shared" si="30"/>
        <v>1.5550744677608986E-3</v>
      </c>
      <c r="AW30" s="170"/>
      <c r="AX30" s="172">
        <f t="shared" si="31"/>
        <v>2154937.2550348495</v>
      </c>
      <c r="AY30" s="172">
        <f t="shared" si="31"/>
        <v>13944.042020358893</v>
      </c>
      <c r="AZ30" s="172">
        <f t="shared" si="31"/>
        <v>60719641.41482579</v>
      </c>
      <c r="BA30" s="172">
        <f t="shared" si="31"/>
        <v>5503041.4424084593</v>
      </c>
      <c r="BB30" s="172">
        <f t="shared" si="31"/>
        <v>337.30665339609226</v>
      </c>
      <c r="BC30" s="170"/>
      <c r="BD30" s="325">
        <f>X30/$E25</f>
        <v>10.527888397365121</v>
      </c>
      <c r="BE30" s="325">
        <f>Y30/$E25</f>
        <v>0</v>
      </c>
      <c r="BF30" s="325">
        <f>Z30/$E25</f>
        <v>281.08057104212577</v>
      </c>
      <c r="BG30" s="325">
        <f>AA30/$E25</f>
        <v>22.453877676313539</v>
      </c>
      <c r="BH30" s="325">
        <f>AB30/$E25</f>
        <v>1.3831820115079608E-3</v>
      </c>
      <c r="BI30" s="326"/>
      <c r="BJ30" s="320">
        <f t="shared" si="32"/>
        <v>2283573.4726941604</v>
      </c>
      <c r="BK30" s="320">
        <f t="shared" si="32"/>
        <v>0</v>
      </c>
      <c r="BL30" s="320">
        <f t="shared" si="32"/>
        <v>60968364.357107833</v>
      </c>
      <c r="BM30" s="320">
        <f t="shared" si="32"/>
        <v>4870404.9174364461</v>
      </c>
      <c r="BN30" s="320">
        <f t="shared" si="32"/>
        <v>300.02196358557995</v>
      </c>
      <c r="BO30" s="83"/>
      <c r="BP30" s="83"/>
      <c r="BQ30" s="83"/>
      <c r="BR30" s="83"/>
      <c r="BS30" s="83"/>
      <c r="BT30" s="83"/>
      <c r="BU30" s="83"/>
      <c r="BV30" s="83"/>
      <c r="BW30" s="83"/>
      <c r="BX30" s="83"/>
    </row>
    <row r="31" spans="1:76" x14ac:dyDescent="0.35">
      <c r="A31" s="168">
        <v>3</v>
      </c>
      <c r="B31" s="169">
        <f t="shared" si="23"/>
        <v>0.77838396271738108</v>
      </c>
      <c r="C31" s="170"/>
      <c r="D31" s="154">
        <f t="shared" si="24"/>
        <v>-283490.10043740447</v>
      </c>
      <c r="E31" s="154">
        <f t="shared" si="24"/>
        <v>35029.813663401736</v>
      </c>
      <c r="F31" s="154">
        <f t="shared" si="24"/>
        <v>381406.20702883328</v>
      </c>
      <c r="G31" s="154">
        <f t="shared" si="33"/>
        <v>33945.152425566157</v>
      </c>
      <c r="H31" s="154">
        <f t="shared" si="25"/>
        <v>1733592.9516558198</v>
      </c>
      <c r="I31" s="154">
        <f t="shared" si="25"/>
        <v>102.57017537602256</v>
      </c>
      <c r="J31" s="154">
        <f t="shared" si="25"/>
        <v>668444.12353473809</v>
      </c>
      <c r="K31" s="170"/>
      <c r="L31" s="171">
        <f t="shared" si="26"/>
        <v>-3.7946827847557901E-2</v>
      </c>
      <c r="M31" s="171">
        <f t="shared" si="26"/>
        <v>1</v>
      </c>
      <c r="N31" s="171">
        <f t="shared" si="26"/>
        <v>1.8832886641252777E-3</v>
      </c>
      <c r="O31" s="171">
        <f t="shared" si="27"/>
        <v>9.6692623211644901E-2</v>
      </c>
      <c r="P31" s="171">
        <f t="shared" si="27"/>
        <v>9.3227125036463979E-2</v>
      </c>
      <c r="Q31" s="170"/>
      <c r="R31" s="154">
        <v>52816.309765065867</v>
      </c>
      <c r="S31" s="154">
        <v>247.65292429295741</v>
      </c>
      <c r="T31" s="154">
        <v>1431780.6789000421</v>
      </c>
      <c r="U31" s="154">
        <v>126753.34333466957</v>
      </c>
      <c r="V31" s="154">
        <v>7.7782955320654246</v>
      </c>
      <c r="W31" s="170"/>
      <c r="X31" s="154">
        <v>54820.521179264113</v>
      </c>
      <c r="Y31" s="154">
        <v>0</v>
      </c>
      <c r="Z31" s="154">
        <v>1429084.222577956</v>
      </c>
      <c r="AA31" s="154">
        <v>114497.2300667941</v>
      </c>
      <c r="AB31" s="154">
        <v>7.0531474019269922</v>
      </c>
      <c r="AC31" s="170"/>
      <c r="AD31" s="154">
        <f t="shared" si="28"/>
        <v>-2004.2114141982456</v>
      </c>
      <c r="AE31" s="154">
        <f t="shared" si="28"/>
        <v>247.65292429295741</v>
      </c>
      <c r="AF31" s="154">
        <f t="shared" si="28"/>
        <v>2696.4563220860437</v>
      </c>
      <c r="AG31" s="154">
        <f t="shared" si="28"/>
        <v>12256.113267875466</v>
      </c>
      <c r="AH31" s="154">
        <f t="shared" si="28"/>
        <v>0.72514813013843238</v>
      </c>
      <c r="AI31" s="154">
        <v>4725.7500000000009</v>
      </c>
      <c r="AJ31" s="170"/>
      <c r="AK31" s="183">
        <f t="shared" ref="AK31:AP31" si="36">AD31/$E25</f>
        <v>-0.36420341889846369</v>
      </c>
      <c r="AL31" s="183">
        <f t="shared" si="36"/>
        <v>4.500325718570914E-2</v>
      </c>
      <c r="AM31" s="183">
        <f t="shared" si="36"/>
        <v>0.48999751446230122</v>
      </c>
      <c r="AN31" s="183">
        <f t="shared" si="36"/>
        <v>2.2271694108441698</v>
      </c>
      <c r="AO31" s="183">
        <f t="shared" si="36"/>
        <v>1.317732382588465E-4</v>
      </c>
      <c r="AP31" s="183">
        <f t="shared" si="36"/>
        <v>0.85875885880428871</v>
      </c>
      <c r="AQ31" s="170"/>
      <c r="AR31" s="184">
        <f t="shared" si="35"/>
        <v>9.5977302862194929</v>
      </c>
      <c r="AS31" s="184">
        <f t="shared" si="30"/>
        <v>4.500325718570914E-2</v>
      </c>
      <c r="AT31" s="184">
        <f t="shared" si="30"/>
        <v>260.18184243140871</v>
      </c>
      <c r="AU31" s="184">
        <f t="shared" si="30"/>
        <v>23.033498697922873</v>
      </c>
      <c r="AV31" s="184">
        <f t="shared" si="30"/>
        <v>1.4134645706097447E-3</v>
      </c>
      <c r="AW31" s="170"/>
      <c r="AX31" s="172">
        <f t="shared" si="31"/>
        <v>7470719.3332801526</v>
      </c>
      <c r="AY31" s="172">
        <f t="shared" si="31"/>
        <v>35029.813663401736</v>
      </c>
      <c r="AZ31" s="172">
        <f t="shared" si="31"/>
        <v>202521373.53886917</v>
      </c>
      <c r="BA31" s="172">
        <f t="shared" si="31"/>
        <v>17928905.991734844</v>
      </c>
      <c r="BB31" s="172">
        <f t="shared" si="31"/>
        <v>1100.2181536318344</v>
      </c>
      <c r="BC31" s="170"/>
      <c r="BD31" s="325">
        <f>X31/$E25</f>
        <v>9.9619337051179571</v>
      </c>
      <c r="BE31" s="325">
        <f>Y31/$E25</f>
        <v>0</v>
      </c>
      <c r="BF31" s="325">
        <f>Z31/$E25</f>
        <v>259.69184491694642</v>
      </c>
      <c r="BG31" s="325">
        <f>AA31/$E25</f>
        <v>20.806329287078704</v>
      </c>
      <c r="BH31" s="325">
        <f>AB31/$E25</f>
        <v>1.2816913323508981E-3</v>
      </c>
      <c r="BI31" s="326"/>
      <c r="BJ31" s="320">
        <f t="shared" si="32"/>
        <v>7754209.4337175582</v>
      </c>
      <c r="BK31" s="320">
        <f t="shared" si="32"/>
        <v>0</v>
      </c>
      <c r="BL31" s="320">
        <f t="shared" si="32"/>
        <v>202139967.33184034</v>
      </c>
      <c r="BM31" s="320">
        <f t="shared" si="32"/>
        <v>16195313.040079026</v>
      </c>
      <c r="BN31" s="320">
        <f t="shared" si="32"/>
        <v>997.64797825581206</v>
      </c>
      <c r="BO31" s="83"/>
      <c r="BP31" s="83"/>
      <c r="BQ31" s="83"/>
      <c r="BR31" s="83"/>
      <c r="BS31" s="83"/>
      <c r="BT31" s="83"/>
      <c r="BU31" s="83"/>
      <c r="BV31" s="83"/>
      <c r="BW31" s="83"/>
      <c r="BX31" s="83"/>
    </row>
    <row r="32" spans="1:76" x14ac:dyDescent="0.35">
      <c r="A32" s="168">
        <v>4</v>
      </c>
      <c r="B32" s="169">
        <f t="shared" si="23"/>
        <v>0.3895728317350276</v>
      </c>
      <c r="C32" s="170"/>
      <c r="D32" s="154">
        <f t="shared" si="24"/>
        <v>-119167.33674439329</v>
      </c>
      <c r="E32" s="154">
        <f t="shared" si="24"/>
        <v>13798.530720418245</v>
      </c>
      <c r="F32" s="154">
        <f t="shared" si="24"/>
        <v>-202047.65594046586</v>
      </c>
      <c r="G32" s="154">
        <f t="shared" si="33"/>
        <v>-17982.241378701459</v>
      </c>
      <c r="H32" s="154">
        <f t="shared" si="25"/>
        <v>624290.36272412643</v>
      </c>
      <c r="I32" s="154">
        <f t="shared" si="25"/>
        <v>36.812265334501262</v>
      </c>
      <c r="J32" s="154">
        <f t="shared" si="25"/>
        <v>334549.12040192744</v>
      </c>
      <c r="K32" s="170"/>
      <c r="L32" s="171">
        <f t="shared" si="26"/>
        <v>-2.9747495089124967E-2</v>
      </c>
      <c r="M32" s="171">
        <f t="shared" si="26"/>
        <v>1</v>
      </c>
      <c r="N32" s="171">
        <f t="shared" si="26"/>
        <v>-1.8095141200461442E-3</v>
      </c>
      <c r="O32" s="171">
        <f t="shared" si="27"/>
        <v>6.7883023589076524E-2</v>
      </c>
      <c r="P32" s="171">
        <f t="shared" si="27"/>
        <v>6.5169104103929967E-2</v>
      </c>
      <c r="Q32" s="170"/>
      <c r="R32" s="154">
        <v>56587.131923199173</v>
      </c>
      <c r="S32" s="154">
        <v>194.9142968114073</v>
      </c>
      <c r="T32" s="154">
        <v>1577257.8247693465</v>
      </c>
      <c r="U32" s="154">
        <v>129908.12163811948</v>
      </c>
      <c r="V32" s="154">
        <v>7.9792421242434228</v>
      </c>
      <c r="W32" s="170"/>
      <c r="X32" s="154">
        <v>58270.457352192207</v>
      </c>
      <c r="Y32" s="154">
        <v>0</v>
      </c>
      <c r="Z32" s="154">
        <v>1580111.8950742199</v>
      </c>
      <c r="AA32" s="154">
        <v>121089.5655525464</v>
      </c>
      <c r="AB32" s="154">
        <v>7.4592420635781398</v>
      </c>
      <c r="AC32" s="170"/>
      <c r="AD32" s="154">
        <f t="shared" si="28"/>
        <v>-1683.3254289930337</v>
      </c>
      <c r="AE32" s="154">
        <f t="shared" si="28"/>
        <v>194.9142968114073</v>
      </c>
      <c r="AF32" s="154">
        <f t="shared" si="28"/>
        <v>-2854.0703048733994</v>
      </c>
      <c r="AG32" s="154">
        <f t="shared" si="28"/>
        <v>8818.5560855730873</v>
      </c>
      <c r="AH32" s="154">
        <f t="shared" si="28"/>
        <v>0.52000006066528304</v>
      </c>
      <c r="AI32" s="154">
        <v>4725.7500000000009</v>
      </c>
      <c r="AJ32" s="170"/>
      <c r="AK32" s="183">
        <f t="shared" ref="AK32:AP32" si="37">AD32/$E25</f>
        <v>-0.30589231855225035</v>
      </c>
      <c r="AL32" s="183">
        <f t="shared" si="37"/>
        <v>3.5419643251209755E-2</v>
      </c>
      <c r="AM32" s="183">
        <f t="shared" si="37"/>
        <v>-0.51863897962445926</v>
      </c>
      <c r="AN32" s="183">
        <f t="shared" si="37"/>
        <v>1.6024997429716676</v>
      </c>
      <c r="AO32" s="183">
        <f t="shared" si="37"/>
        <v>9.4493923435450303E-5</v>
      </c>
      <c r="AP32" s="183">
        <f t="shared" si="37"/>
        <v>0.85875885880428871</v>
      </c>
      <c r="AQ32" s="170"/>
      <c r="AR32" s="184">
        <f t="shared" si="35"/>
        <v>10.2829605530073</v>
      </c>
      <c r="AS32" s="184">
        <f t="shared" si="30"/>
        <v>3.5419643251209755E-2</v>
      </c>
      <c r="AT32" s="184">
        <f t="shared" si="30"/>
        <v>286.6178129691707</v>
      </c>
      <c r="AU32" s="184">
        <f t="shared" si="30"/>
        <v>23.606782053083677</v>
      </c>
      <c r="AV32" s="184">
        <f t="shared" si="30"/>
        <v>1.4499803969186668E-3</v>
      </c>
      <c r="AW32" s="170"/>
      <c r="AX32" s="172">
        <f t="shared" si="31"/>
        <v>4005962.0612546387</v>
      </c>
      <c r="AY32" s="172">
        <f t="shared" si="31"/>
        <v>13798.530720418245</v>
      </c>
      <c r="AZ32" s="172">
        <f t="shared" si="31"/>
        <v>111658513.02410035</v>
      </c>
      <c r="BA32" s="172">
        <f t="shared" si="31"/>
        <v>9196560.9325714372</v>
      </c>
      <c r="BB32" s="172">
        <f t="shared" si="31"/>
        <v>564.87296918788434</v>
      </c>
      <c r="BC32" s="170"/>
      <c r="BD32" s="325">
        <f>X32/$E25</f>
        <v>10.588852871559551</v>
      </c>
      <c r="BE32" s="325">
        <f>Y32/$E25</f>
        <v>0</v>
      </c>
      <c r="BF32" s="325">
        <f>Z32/$E25</f>
        <v>287.13645194879518</v>
      </c>
      <c r="BG32" s="325">
        <f>AA32/$E25</f>
        <v>22.004282310112011</v>
      </c>
      <c r="BH32" s="325">
        <f>AB32/$E25</f>
        <v>1.3554864734832163E-3</v>
      </c>
      <c r="BI32" s="326"/>
      <c r="BJ32" s="320">
        <f t="shared" si="32"/>
        <v>4125129.3979990333</v>
      </c>
      <c r="BK32" s="320">
        <f t="shared" si="32"/>
        <v>0</v>
      </c>
      <c r="BL32" s="320">
        <f t="shared" si="32"/>
        <v>111860560.68004082</v>
      </c>
      <c r="BM32" s="320">
        <f t="shared" si="32"/>
        <v>8572270.56984731</v>
      </c>
      <c r="BN32" s="320">
        <f t="shared" si="32"/>
        <v>528.06070385338307</v>
      </c>
      <c r="BO32" s="83"/>
      <c r="BP32" s="83"/>
      <c r="BQ32" s="83"/>
      <c r="BR32" s="83"/>
      <c r="BS32" s="83"/>
      <c r="BT32" s="83"/>
      <c r="BU32" s="83"/>
      <c r="BV32" s="83"/>
      <c r="BW32" s="83"/>
      <c r="BX32" s="83"/>
    </row>
    <row r="33" spans="1:76" x14ac:dyDescent="0.35">
      <c r="A33" s="168">
        <v>5</v>
      </c>
      <c r="B33" s="169">
        <f t="shared" si="23"/>
        <v>8.4829971015303554E-2</v>
      </c>
      <c r="C33" s="170"/>
      <c r="D33" s="154">
        <f t="shared" si="24"/>
        <v>-31975.740204512764</v>
      </c>
      <c r="E33" s="154">
        <f t="shared" si="24"/>
        <v>3659.6561521720255</v>
      </c>
      <c r="F33" s="154">
        <f t="shared" si="24"/>
        <v>-30811.830200485416</v>
      </c>
      <c r="G33" s="154">
        <f t="shared" si="33"/>
        <v>-2742.2528878432017</v>
      </c>
      <c r="H33" s="154">
        <f t="shared" si="25"/>
        <v>171750.89852074411</v>
      </c>
      <c r="I33" s="154">
        <f t="shared" si="25"/>
        <v>10.139993863925433</v>
      </c>
      <c r="J33" s="154">
        <f t="shared" si="25"/>
        <v>72848.489101502972</v>
      </c>
      <c r="K33" s="170"/>
      <c r="L33" s="171">
        <f t="shared" si="26"/>
        <v>-3.9231252887374633E-2</v>
      </c>
      <c r="M33" s="171">
        <f t="shared" si="26"/>
        <v>1</v>
      </c>
      <c r="N33" s="171">
        <f t="shared" si="26"/>
        <v>-1.4752327300366214E-3</v>
      </c>
      <c r="O33" s="171">
        <f t="shared" si="27"/>
        <v>8.9106412338375129E-2</v>
      </c>
      <c r="P33" s="171">
        <f t="shared" si="27"/>
        <v>8.5718026737596834E-2</v>
      </c>
      <c r="Q33" s="170"/>
      <c r="R33" s="154">
        <v>52873.568563291163</v>
      </c>
      <c r="S33" s="154">
        <v>237.40533639660811</v>
      </c>
      <c r="T33" s="154">
        <v>1354899.7131648751</v>
      </c>
      <c r="U33" s="154">
        <v>125037.49193371463</v>
      </c>
      <c r="V33" s="154">
        <v>7.6738926847880577</v>
      </c>
      <c r="W33" s="170"/>
      <c r="X33" s="154">
        <v>54947.864902655579</v>
      </c>
      <c r="Y33" s="154">
        <v>0</v>
      </c>
      <c r="Z33" s="154">
        <v>1356898.5055676531</v>
      </c>
      <c r="AA33" s="154">
        <v>113895.8496197128</v>
      </c>
      <c r="AB33" s="154">
        <v>7.0161017464519464</v>
      </c>
      <c r="AC33" s="170"/>
      <c r="AD33" s="154">
        <f t="shared" si="28"/>
        <v>-2074.2963393644168</v>
      </c>
      <c r="AE33" s="154">
        <f t="shared" si="28"/>
        <v>237.40533639660811</v>
      </c>
      <c r="AF33" s="154">
        <f t="shared" si="28"/>
        <v>-1998.7924027780537</v>
      </c>
      <c r="AG33" s="154">
        <f t="shared" si="28"/>
        <v>11141.642314001831</v>
      </c>
      <c r="AH33" s="154">
        <f t="shared" si="28"/>
        <v>0.65779093833611135</v>
      </c>
      <c r="AI33" s="154">
        <v>4725.7500000000009</v>
      </c>
      <c r="AJ33" s="170"/>
      <c r="AK33" s="183">
        <f t="shared" ref="AK33:AP33" si="38">AD33/$E25</f>
        <v>-0.3769391857831032</v>
      </c>
      <c r="AL33" s="183">
        <f t="shared" si="38"/>
        <v>4.3141075122043994E-2</v>
      </c>
      <c r="AM33" s="183">
        <f t="shared" si="38"/>
        <v>-0.36321868122443279</v>
      </c>
      <c r="AN33" s="183">
        <f t="shared" si="38"/>
        <v>2.0246487941126352</v>
      </c>
      <c r="AO33" s="183">
        <f t="shared" si="38"/>
        <v>1.1953315252337114E-4</v>
      </c>
      <c r="AP33" s="183">
        <f t="shared" si="38"/>
        <v>0.85875885880428871</v>
      </c>
      <c r="AQ33" s="170"/>
      <c r="AR33" s="184">
        <f t="shared" si="35"/>
        <v>9.6081353013431148</v>
      </c>
      <c r="AS33" s="184">
        <f t="shared" si="30"/>
        <v>4.3141075122043994E-2</v>
      </c>
      <c r="AT33" s="184">
        <f t="shared" si="30"/>
        <v>246.21110542701709</v>
      </c>
      <c r="AU33" s="184">
        <f t="shared" si="30"/>
        <v>22.721695790244343</v>
      </c>
      <c r="AV33" s="184">
        <f t="shared" si="30"/>
        <v>1.3944925830979571E-3</v>
      </c>
      <c r="AW33" s="170"/>
      <c r="AX33" s="172">
        <f t="shared" si="31"/>
        <v>815057.83912405127</v>
      </c>
      <c r="AY33" s="172">
        <f t="shared" si="31"/>
        <v>3659.6561521720255</v>
      </c>
      <c r="AZ33" s="172">
        <f t="shared" si="31"/>
        <v>20886080.937019706</v>
      </c>
      <c r="BA33" s="172">
        <f t="shared" si="31"/>
        <v>1927480.7953049724</v>
      </c>
      <c r="BB33" s="172">
        <f t="shared" si="31"/>
        <v>118.29476540525548</v>
      </c>
      <c r="BC33" s="170"/>
      <c r="BD33" s="325">
        <f>X33/$E25</f>
        <v>9.9850744871262176</v>
      </c>
      <c r="BE33" s="325">
        <f>Y33/$E25</f>
        <v>0</v>
      </c>
      <c r="BF33" s="325">
        <f>Z33/$E25</f>
        <v>246.57432410824151</v>
      </c>
      <c r="BG33" s="325">
        <f>AA33/$E25</f>
        <v>20.697046996131711</v>
      </c>
      <c r="BH33" s="325">
        <f>AB33/$E25</f>
        <v>1.274959430574586E-3</v>
      </c>
      <c r="BI33" s="326"/>
      <c r="BJ33" s="320">
        <f t="shared" si="32"/>
        <v>847033.579328564</v>
      </c>
      <c r="BK33" s="320">
        <f t="shared" si="32"/>
        <v>0</v>
      </c>
      <c r="BL33" s="320">
        <f t="shared" si="32"/>
        <v>20916892.767220192</v>
      </c>
      <c r="BM33" s="320">
        <f t="shared" si="32"/>
        <v>1755729.8967842285</v>
      </c>
      <c r="BN33" s="320">
        <f t="shared" si="32"/>
        <v>108.15477154133005</v>
      </c>
      <c r="BO33" s="83"/>
      <c r="BP33" s="83"/>
      <c r="BQ33" s="83"/>
      <c r="BR33" s="83"/>
      <c r="BS33" s="83"/>
      <c r="BT33" s="83"/>
      <c r="BU33" s="83"/>
      <c r="BV33" s="83"/>
      <c r="BW33" s="83"/>
      <c r="BX33" s="83"/>
    </row>
    <row r="34" spans="1:76" x14ac:dyDescent="0.35">
      <c r="A34" s="168">
        <v>6</v>
      </c>
      <c r="B34" s="169">
        <f t="shared" si="23"/>
        <v>0.57674374111125992</v>
      </c>
      <c r="C34" s="170"/>
      <c r="D34" s="154">
        <f t="shared" si="24"/>
        <v>-48766.4776239114</v>
      </c>
      <c r="E34" s="154">
        <f t="shared" si="24"/>
        <v>6027.2949078647689</v>
      </c>
      <c r="F34" s="154">
        <f t="shared" si="24"/>
        <v>105996.47168992984</v>
      </c>
      <c r="G34" s="154">
        <f t="shared" si="33"/>
        <v>9433.6859804037558</v>
      </c>
      <c r="H34" s="154">
        <f t="shared" si="25"/>
        <v>278747.38671539776</v>
      </c>
      <c r="I34" s="154">
        <f t="shared" si="25"/>
        <v>16.889852666008352</v>
      </c>
      <c r="J34" s="154">
        <f t="shared" si="25"/>
        <v>495283.79693922168</v>
      </c>
      <c r="K34" s="170"/>
      <c r="L34" s="171">
        <f t="shared" si="26"/>
        <v>-8.0515104688894269E-3</v>
      </c>
      <c r="M34" s="171">
        <f t="shared" si="26"/>
        <v>1</v>
      </c>
      <c r="N34" s="171">
        <f t="shared" si="26"/>
        <v>6.6893786466505915E-4</v>
      </c>
      <c r="O34" s="171">
        <f t="shared" si="27"/>
        <v>2.2090723130326395E-2</v>
      </c>
      <c r="P34" s="171">
        <f t="shared" si="27"/>
        <v>2.1736729027265596E-2</v>
      </c>
      <c r="Q34" s="170"/>
      <c r="R34" s="154">
        <v>57791.058427235599</v>
      </c>
      <c r="S34" s="154">
        <v>57.50943012241779</v>
      </c>
      <c r="T34" s="154">
        <v>1511897.1633542804</v>
      </c>
      <c r="U34" s="154">
        <v>120397.50706753728</v>
      </c>
      <c r="V34" s="154">
        <v>7.4139267746494468</v>
      </c>
      <c r="W34" s="170"/>
      <c r="X34" s="154">
        <v>58256.363739170687</v>
      </c>
      <c r="Y34" s="154">
        <v>0</v>
      </c>
      <c r="Z34" s="154">
        <v>1510885.798094233</v>
      </c>
      <c r="AA34" s="154">
        <v>117737.8390733268</v>
      </c>
      <c r="AB34" s="154">
        <v>7.2527722573209026</v>
      </c>
      <c r="AC34" s="170"/>
      <c r="AD34" s="154">
        <f t="shared" si="28"/>
        <v>-465.30531193508796</v>
      </c>
      <c r="AE34" s="154">
        <f t="shared" si="28"/>
        <v>57.50943012241779</v>
      </c>
      <c r="AF34" s="154">
        <f t="shared" si="28"/>
        <v>1011.3652600473724</v>
      </c>
      <c r="AG34" s="154">
        <f t="shared" si="28"/>
        <v>2659.667994210482</v>
      </c>
      <c r="AH34" s="154">
        <f t="shared" si="28"/>
        <v>0.16115451732854424</v>
      </c>
      <c r="AI34" s="154">
        <v>4725.7500000000009</v>
      </c>
      <c r="AJ34" s="170"/>
      <c r="AK34" s="183">
        <f t="shared" ref="AK34:AP34" si="39">AD34/$E25</f>
        <v>-8.4554844981844082E-2</v>
      </c>
      <c r="AL34" s="183">
        <f t="shared" si="39"/>
        <v>1.0450559716957622E-2</v>
      </c>
      <c r="AM34" s="183">
        <f t="shared" si="39"/>
        <v>0.18378434672857941</v>
      </c>
      <c r="AN34" s="183">
        <f t="shared" si="39"/>
        <v>0.48331237401607885</v>
      </c>
      <c r="AO34" s="183">
        <f t="shared" si="39"/>
        <v>2.9284847779128521E-5</v>
      </c>
      <c r="AP34" s="183">
        <f t="shared" si="39"/>
        <v>0.85875885880428871</v>
      </c>
      <c r="AQ34" s="170"/>
      <c r="AR34" s="184">
        <f t="shared" si="35"/>
        <v>10.501736948434599</v>
      </c>
      <c r="AS34" s="184">
        <f t="shared" si="30"/>
        <v>1.0450559716957622E-2</v>
      </c>
      <c r="AT34" s="184">
        <f t="shared" si="30"/>
        <v>274.74053486357997</v>
      </c>
      <c r="AU34" s="184">
        <f t="shared" si="30"/>
        <v>21.878522091138883</v>
      </c>
      <c r="AV34" s="184">
        <f t="shared" si="30"/>
        <v>1.3472518216698978E-3</v>
      </c>
      <c r="AW34" s="170"/>
      <c r="AX34" s="172">
        <f t="shared" si="31"/>
        <v>6056811.0558065176</v>
      </c>
      <c r="AY34" s="172">
        <f t="shared" si="31"/>
        <v>6027.2949078647689</v>
      </c>
      <c r="AZ34" s="172">
        <f t="shared" si="31"/>
        <v>158454883.91212964</v>
      </c>
      <c r="BA34" s="172">
        <f t="shared" si="31"/>
        <v>12618300.680828786</v>
      </c>
      <c r="BB34" s="172">
        <f t="shared" si="31"/>
        <v>777.01905584885674</v>
      </c>
      <c r="BC34" s="170"/>
      <c r="BD34" s="325">
        <f>X34/$E25</f>
        <v>10.586291793416443</v>
      </c>
      <c r="BE34" s="325">
        <f>Y34/$E25</f>
        <v>0</v>
      </c>
      <c r="BF34" s="325">
        <f>Z34/$E25</f>
        <v>274.55675051685137</v>
      </c>
      <c r="BG34" s="325">
        <f>AA34/$E25</f>
        <v>21.395209717122807</v>
      </c>
      <c r="BH34" s="325">
        <f>AB34/$E25</f>
        <v>1.3179669738907691E-3</v>
      </c>
      <c r="BI34" s="326"/>
      <c r="BJ34" s="320">
        <f t="shared" si="32"/>
        <v>6105577.5334304282</v>
      </c>
      <c r="BK34" s="320">
        <f t="shared" si="32"/>
        <v>0</v>
      </c>
      <c r="BL34" s="320">
        <f t="shared" si="32"/>
        <v>158348887.4404397</v>
      </c>
      <c r="BM34" s="320">
        <f t="shared" si="32"/>
        <v>12339553.294113388</v>
      </c>
      <c r="BN34" s="320">
        <f t="shared" si="32"/>
        <v>760.12920318284841</v>
      </c>
      <c r="BO34" s="83"/>
      <c r="BP34" s="83"/>
      <c r="BQ34" s="83"/>
      <c r="BR34" s="83"/>
      <c r="BS34" s="83"/>
      <c r="BT34" s="83"/>
      <c r="BU34" s="83"/>
      <c r="BV34" s="83"/>
      <c r="BW34" s="83"/>
      <c r="BX34" s="83"/>
    </row>
    <row r="35" spans="1:76" x14ac:dyDescent="0.35">
      <c r="A35" s="168">
        <v>7</v>
      </c>
      <c r="B35" s="169">
        <f t="shared" si="23"/>
        <v>0.78937215584234899</v>
      </c>
      <c r="C35" s="170"/>
      <c r="D35" s="154">
        <f t="shared" si="24"/>
        <v>-54116.533319459333</v>
      </c>
      <c r="E35" s="154">
        <f t="shared" si="24"/>
        <v>6849.3701532995228</v>
      </c>
      <c r="F35" s="154">
        <f t="shared" si="24"/>
        <v>270644.93559246045</v>
      </c>
      <c r="G35" s="154">
        <f t="shared" si="33"/>
        <v>24087.399267728979</v>
      </c>
      <c r="H35" s="154">
        <f t="shared" si="25"/>
        <v>343564.46117097174</v>
      </c>
      <c r="I35" s="154">
        <f t="shared" si="25"/>
        <v>20.823551771748054</v>
      </c>
      <c r="J35" s="154">
        <f t="shared" si="25"/>
        <v>677880.33172305673</v>
      </c>
      <c r="K35" s="170"/>
      <c r="L35" s="171">
        <f t="shared" si="26"/>
        <v>-6.6187844233929682E-3</v>
      </c>
      <c r="M35" s="171">
        <f t="shared" si="26"/>
        <v>1</v>
      </c>
      <c r="N35" s="171">
        <f t="shared" si="26"/>
        <v>1.300877204166017E-3</v>
      </c>
      <c r="O35" s="171">
        <f t="shared" si="27"/>
        <v>2.0152746434041472E-2</v>
      </c>
      <c r="P35" s="171">
        <f t="shared" si="27"/>
        <v>1.9835064478085789E-2</v>
      </c>
      <c r="Q35" s="170"/>
      <c r="R35" s="154">
        <v>56999.289427677737</v>
      </c>
      <c r="S35" s="154">
        <v>47.74944704425959</v>
      </c>
      <c r="T35" s="154">
        <v>1450378.3591419084</v>
      </c>
      <c r="U35" s="154">
        <v>118847.95206424709</v>
      </c>
      <c r="V35" s="154">
        <v>7.3187834967176046</v>
      </c>
      <c r="W35" s="170"/>
      <c r="X35" s="154">
        <v>57376.555436686118</v>
      </c>
      <c r="Y35" s="154">
        <v>0</v>
      </c>
      <c r="Z35" s="154">
        <v>1448491.5949970849</v>
      </c>
      <c r="AA35" s="154">
        <v>116452.8394220912</v>
      </c>
      <c r="AB35" s="154">
        <v>7.1736149541590608</v>
      </c>
      <c r="AC35" s="170"/>
      <c r="AD35" s="154">
        <f t="shared" si="28"/>
        <v>-377.26600900838093</v>
      </c>
      <c r="AE35" s="154">
        <f t="shared" si="28"/>
        <v>47.74944704425959</v>
      </c>
      <c r="AF35" s="154">
        <f t="shared" si="28"/>
        <v>1886.7641448234208</v>
      </c>
      <c r="AG35" s="154">
        <f t="shared" si="28"/>
        <v>2395.1126421558874</v>
      </c>
      <c r="AH35" s="154">
        <f t="shared" si="28"/>
        <v>0.14516854255854383</v>
      </c>
      <c r="AI35" s="154">
        <v>4725.7500000000009</v>
      </c>
      <c r="AJ35" s="170"/>
      <c r="AK35" s="183">
        <f t="shared" ref="AK35:AP35" si="40">AD35/$E25</f>
        <v>-6.8556425405847887E-2</v>
      </c>
      <c r="AL35" s="183">
        <f t="shared" si="40"/>
        <v>8.6769847436415758E-3</v>
      </c>
      <c r="AM35" s="183">
        <f t="shared" si="40"/>
        <v>0.34286101123449408</v>
      </c>
      <c r="AN35" s="183">
        <f t="shared" si="40"/>
        <v>0.43523762350643058</v>
      </c>
      <c r="AO35" s="183">
        <f t="shared" si="40"/>
        <v>2.6379891433498787E-5</v>
      </c>
      <c r="AP35" s="183">
        <f t="shared" si="40"/>
        <v>0.85875885880428871</v>
      </c>
      <c r="AQ35" s="170"/>
      <c r="AR35" s="184">
        <f t="shared" si="35"/>
        <v>10.357857428253268</v>
      </c>
      <c r="AS35" s="184">
        <f t="shared" si="30"/>
        <v>8.6769847436415758E-3</v>
      </c>
      <c r="AT35" s="184">
        <f t="shared" si="30"/>
        <v>263.56139544646709</v>
      </c>
      <c r="AU35" s="184">
        <f t="shared" si="30"/>
        <v>21.596938408912791</v>
      </c>
      <c r="AV35" s="184">
        <f t="shared" si="30"/>
        <v>1.3299624744171552E-3</v>
      </c>
      <c r="AW35" s="170"/>
      <c r="AX35" s="172">
        <f t="shared" si="31"/>
        <v>8176204.2480479721</v>
      </c>
      <c r="AY35" s="172">
        <f t="shared" si="31"/>
        <v>6849.3701532995228</v>
      </c>
      <c r="AZ35" s="172">
        <f t="shared" si="31"/>
        <v>208048026.92039558</v>
      </c>
      <c r="BA35" s="172">
        <f t="shared" si="31"/>
        <v>17048021.831437923</v>
      </c>
      <c r="BB35" s="172">
        <f t="shared" si="31"/>
        <v>1049.8353456200946</v>
      </c>
      <c r="BC35" s="170"/>
      <c r="BD35" s="325">
        <f>X35/$E25</f>
        <v>10.426413853659117</v>
      </c>
      <c r="BE35" s="325">
        <f>Y35/$E25</f>
        <v>0</v>
      </c>
      <c r="BF35" s="325">
        <f>Z35/$E25</f>
        <v>263.21853443523258</v>
      </c>
      <c r="BG35" s="325">
        <f>AA35/$E25</f>
        <v>21.16170078540636</v>
      </c>
      <c r="BH35" s="325">
        <f>AB35/$E25</f>
        <v>1.3035825829836563E-3</v>
      </c>
      <c r="BI35" s="326"/>
      <c r="BJ35" s="320">
        <f t="shared" si="32"/>
        <v>8230320.7813674305</v>
      </c>
      <c r="BK35" s="320">
        <f t="shared" si="32"/>
        <v>0</v>
      </c>
      <c r="BL35" s="320">
        <f t="shared" si="32"/>
        <v>207777381.98480314</v>
      </c>
      <c r="BM35" s="320">
        <f t="shared" si="32"/>
        <v>16704457.370266948</v>
      </c>
      <c r="BN35" s="320">
        <f t="shared" si="32"/>
        <v>1029.0117938483468</v>
      </c>
      <c r="BO35" s="83"/>
      <c r="BP35" s="83"/>
      <c r="BQ35" s="83"/>
      <c r="BR35" s="83"/>
      <c r="BS35" s="83"/>
      <c r="BT35" s="83"/>
      <c r="BU35" s="83"/>
      <c r="BV35" s="83"/>
      <c r="BW35" s="83"/>
      <c r="BX35" s="83"/>
    </row>
    <row r="36" spans="1:76" x14ac:dyDescent="0.35">
      <c r="A36" s="168">
        <v>8</v>
      </c>
      <c r="B36" s="169">
        <f t="shared" si="23"/>
        <v>0.75847896498740563</v>
      </c>
      <c r="C36" s="170"/>
      <c r="D36" s="154">
        <f t="shared" si="24"/>
        <v>-84556.231744860663</v>
      </c>
      <c r="E36" s="154">
        <f t="shared" si="24"/>
        <v>10597.431786607653</v>
      </c>
      <c r="F36" s="154">
        <f t="shared" si="24"/>
        <v>104981.51558848696</v>
      </c>
      <c r="G36" s="154">
        <f t="shared" si="33"/>
        <v>9343.3548873753389</v>
      </c>
      <c r="H36" s="154">
        <f t="shared" si="25"/>
        <v>461947.75459280761</v>
      </c>
      <c r="I36" s="154">
        <f t="shared" si="25"/>
        <v>27.980203289385688</v>
      </c>
      <c r="J36" s="154">
        <f t="shared" si="25"/>
        <v>651350.53039964254</v>
      </c>
      <c r="K36" s="170"/>
      <c r="L36" s="171">
        <f t="shared" si="26"/>
        <v>-1.020404418038047E-2</v>
      </c>
      <c r="M36" s="171">
        <f t="shared" si="26"/>
        <v>1</v>
      </c>
      <c r="N36" s="171">
        <f t="shared" si="26"/>
        <v>4.4936796944393246E-4</v>
      </c>
      <c r="O36" s="171">
        <f t="shared" si="27"/>
        <v>2.6340653085101511E-2</v>
      </c>
      <c r="P36" s="171">
        <f t="shared" si="27"/>
        <v>2.5911231953909326E-2</v>
      </c>
      <c r="Q36" s="170"/>
      <c r="R36" s="154">
        <v>60121.424478994653</v>
      </c>
      <c r="S36" s="154">
        <v>76.88765254375943</v>
      </c>
      <c r="T36" s="154">
        <v>1694988.2701096374</v>
      </c>
      <c r="U36" s="154">
        <v>127239.59959127654</v>
      </c>
      <c r="V36" s="154">
        <v>7.834635125440462</v>
      </c>
      <c r="W36" s="170"/>
      <c r="X36" s="154">
        <v>60734.906150565723</v>
      </c>
      <c r="Y36" s="154">
        <v>0</v>
      </c>
      <c r="Z36" s="154">
        <v>1694226.596672467</v>
      </c>
      <c r="AA36" s="154">
        <v>123888.0254397555</v>
      </c>
      <c r="AB36" s="154">
        <v>7.6316300774309287</v>
      </c>
      <c r="AC36" s="170"/>
      <c r="AD36" s="154">
        <f t="shared" si="28"/>
        <v>-613.48167157106946</v>
      </c>
      <c r="AE36" s="154">
        <f t="shared" si="28"/>
        <v>76.88765254375943</v>
      </c>
      <c r="AF36" s="154">
        <f t="shared" si="28"/>
        <v>761.67343717045151</v>
      </c>
      <c r="AG36" s="154">
        <f t="shared" si="28"/>
        <v>3351.5741515210393</v>
      </c>
      <c r="AH36" s="154">
        <f t="shared" si="28"/>
        <v>0.20300504800953334</v>
      </c>
      <c r="AI36" s="154">
        <v>4725.7500000000009</v>
      </c>
      <c r="AJ36" s="170"/>
      <c r="AK36" s="183">
        <f t="shared" ref="AK36:AP36" si="41">AD36/$E25</f>
        <v>-0.11148131411431392</v>
      </c>
      <c r="AL36" s="183">
        <f t="shared" si="41"/>
        <v>1.3971952124978999E-2</v>
      </c>
      <c r="AM36" s="183">
        <f t="shared" si="41"/>
        <v>0.13841058280400717</v>
      </c>
      <c r="AN36" s="183">
        <f t="shared" si="41"/>
        <v>0.60904491214265666</v>
      </c>
      <c r="AO36" s="183">
        <f t="shared" si="41"/>
        <v>3.6889886972475622E-5</v>
      </c>
      <c r="AP36" s="183">
        <f t="shared" si="41"/>
        <v>0.85875885880428871</v>
      </c>
      <c r="AQ36" s="170"/>
      <c r="AR36" s="184">
        <f t="shared" si="35"/>
        <v>10.925208882245077</v>
      </c>
      <c r="AS36" s="184">
        <f t="shared" si="30"/>
        <v>1.3971952124978999E-2</v>
      </c>
      <c r="AT36" s="184">
        <f t="shared" si="30"/>
        <v>308.01167910405911</v>
      </c>
      <c r="AU36" s="184">
        <f t="shared" si="30"/>
        <v>23.121860728925412</v>
      </c>
      <c r="AV36" s="184">
        <f t="shared" si="30"/>
        <v>1.4237025486898895E-3</v>
      </c>
      <c r="AW36" s="170"/>
      <c r="AX36" s="172">
        <f t="shared" si="31"/>
        <v>8286541.1252764575</v>
      </c>
      <c r="AY36" s="172">
        <f t="shared" si="31"/>
        <v>10597.431786607653</v>
      </c>
      <c r="AZ36" s="172">
        <f t="shared" si="31"/>
        <v>233620379.57087967</v>
      </c>
      <c r="BA36" s="172">
        <f t="shared" si="31"/>
        <v>17537444.994258288</v>
      </c>
      <c r="BB36" s="172">
        <f t="shared" si="31"/>
        <v>1079.8484355802391</v>
      </c>
      <c r="BC36" s="170"/>
      <c r="BD36" s="325">
        <f>X36/$E25</f>
        <v>11.036690196359389</v>
      </c>
      <c r="BE36" s="325">
        <f>Y36/$E25</f>
        <v>0</v>
      </c>
      <c r="BF36" s="325">
        <f>Z36/$E25</f>
        <v>307.87326852125511</v>
      </c>
      <c r="BG36" s="325">
        <f>AA36/$E25</f>
        <v>22.512815816782755</v>
      </c>
      <c r="BH36" s="325">
        <f>AB36/$E25</f>
        <v>1.386812661717414E-3</v>
      </c>
      <c r="BI36" s="326"/>
      <c r="BJ36" s="320">
        <f t="shared" si="32"/>
        <v>8371097.357021316</v>
      </c>
      <c r="BK36" s="320">
        <f t="shared" si="32"/>
        <v>0</v>
      </c>
      <c r="BL36" s="320">
        <f t="shared" si="32"/>
        <v>233515398.05529121</v>
      </c>
      <c r="BM36" s="320">
        <f t="shared" si="32"/>
        <v>17075497.239665482</v>
      </c>
      <c r="BN36" s="320">
        <f t="shared" si="32"/>
        <v>1051.8682322908533</v>
      </c>
      <c r="BO36" s="83"/>
      <c r="BP36" s="83"/>
      <c r="BQ36" s="83"/>
      <c r="BR36" s="83"/>
      <c r="BS36" s="83"/>
      <c r="BT36" s="83"/>
      <c r="BU36" s="83"/>
      <c r="BV36" s="83"/>
      <c r="BW36" s="83"/>
      <c r="BX36" s="83"/>
    </row>
    <row r="37" spans="1:76" x14ac:dyDescent="0.35">
      <c r="A37" s="168">
        <v>9</v>
      </c>
      <c r="B37" s="169">
        <f t="shared" si="23"/>
        <v>1.2276033001767823</v>
      </c>
      <c r="C37" s="170"/>
      <c r="D37" s="154">
        <f t="shared" si="24"/>
        <v>-157656.12393337145</v>
      </c>
      <c r="E37" s="154">
        <f t="shared" si="24"/>
        <v>19346.494773330251</v>
      </c>
      <c r="F37" s="154">
        <f t="shared" si="24"/>
        <v>239788.03790318078</v>
      </c>
      <c r="G37" s="154">
        <f t="shared" si="33"/>
        <v>21341.135373383087</v>
      </c>
      <c r="H37" s="154">
        <f t="shared" si="25"/>
        <v>844498.33145088446</v>
      </c>
      <c r="I37" s="154">
        <f t="shared" si="25"/>
        <v>51.144012045492701</v>
      </c>
      <c r="J37" s="154">
        <f t="shared" si="25"/>
        <v>1054215.2091241924</v>
      </c>
      <c r="K37" s="170"/>
      <c r="L37" s="171">
        <f t="shared" si="26"/>
        <v>-1.1729932375672467E-2</v>
      </c>
      <c r="M37" s="171">
        <f t="shared" si="26"/>
        <v>1</v>
      </c>
      <c r="N37" s="171">
        <f t="shared" si="26"/>
        <v>6.3782816669075452E-4</v>
      </c>
      <c r="O37" s="171">
        <f t="shared" si="27"/>
        <v>2.9331587999766609E-2</v>
      </c>
      <c r="P37" s="171">
        <f t="shared" si="27"/>
        <v>2.8850851220359536E-2</v>
      </c>
      <c r="Q37" s="170"/>
      <c r="R37" s="154">
        <v>60249.96544150947</v>
      </c>
      <c r="S37" s="154">
        <v>86.724889646602406</v>
      </c>
      <c r="T37" s="154">
        <v>1685253.6858089485</v>
      </c>
      <c r="U37" s="154">
        <v>129063.87055770305</v>
      </c>
      <c r="V37" s="154">
        <v>7.946531843876425</v>
      </c>
      <c r="W37" s="170"/>
      <c r="X37" s="154">
        <v>60956.693461774979</v>
      </c>
      <c r="Y37" s="154">
        <v>0</v>
      </c>
      <c r="Z37" s="154">
        <v>1684178.7835401201</v>
      </c>
      <c r="AA37" s="154">
        <v>125278.2222808493</v>
      </c>
      <c r="AB37" s="154">
        <v>7.7172676359308969</v>
      </c>
      <c r="AC37" s="170"/>
      <c r="AD37" s="154">
        <f t="shared" si="28"/>
        <v>-706.72802026550926</v>
      </c>
      <c r="AE37" s="154">
        <f t="shared" si="28"/>
        <v>86.724889646602406</v>
      </c>
      <c r="AF37" s="154">
        <f t="shared" si="28"/>
        <v>1074.9022688283585</v>
      </c>
      <c r="AG37" s="154">
        <f t="shared" si="28"/>
        <v>3785.6482768537535</v>
      </c>
      <c r="AH37" s="154">
        <f t="shared" si="28"/>
        <v>0.22926420794552804</v>
      </c>
      <c r="AI37" s="154">
        <v>4725.7500000000009</v>
      </c>
      <c r="AJ37" s="170"/>
      <c r="AK37" s="183">
        <f t="shared" ref="AK37:AP37" si="42">AD37/$E25</f>
        <v>-0.12842595316473002</v>
      </c>
      <c r="AL37" s="183">
        <f t="shared" si="42"/>
        <v>1.5759565627221951E-2</v>
      </c>
      <c r="AM37" s="183">
        <f t="shared" si="42"/>
        <v>0.1953302323874902</v>
      </c>
      <c r="AN37" s="183">
        <f t="shared" si="42"/>
        <v>0.68792445517967538</v>
      </c>
      <c r="AO37" s="183">
        <f t="shared" si="42"/>
        <v>4.1661676893608588E-5</v>
      </c>
      <c r="AP37" s="183">
        <f t="shared" si="42"/>
        <v>0.85875885880428871</v>
      </c>
      <c r="AQ37" s="170"/>
      <c r="AR37" s="184">
        <f t="shared" si="35"/>
        <v>10.948567225424219</v>
      </c>
      <c r="AS37" s="184">
        <f t="shared" si="30"/>
        <v>1.5759565627221951E-2</v>
      </c>
      <c r="AT37" s="184">
        <f t="shared" si="30"/>
        <v>306.24271957276915</v>
      </c>
      <c r="AU37" s="184">
        <f t="shared" si="30"/>
        <v>23.453365538379622</v>
      </c>
      <c r="AV37" s="184">
        <f t="shared" si="30"/>
        <v>1.4440363154418362E-3</v>
      </c>
      <c r="AW37" s="170"/>
      <c r="AX37" s="172">
        <f t="shared" si="31"/>
        <v>13440497.258138128</v>
      </c>
      <c r="AY37" s="172">
        <f t="shared" si="31"/>
        <v>19346.494773330251</v>
      </c>
      <c r="AZ37" s="172">
        <f t="shared" si="31"/>
        <v>375944573.20264429</v>
      </c>
      <c r="BA37" s="172">
        <f t="shared" si="31"/>
        <v>28791428.935167238</v>
      </c>
      <c r="BB37" s="172">
        <f t="shared" si="31"/>
        <v>1772.7037464115192</v>
      </c>
      <c r="BC37" s="170"/>
      <c r="BD37" s="325">
        <f>X37/$E25</f>
        <v>11.076993178588948</v>
      </c>
      <c r="BE37" s="325">
        <f>Y37/$E25</f>
        <v>0</v>
      </c>
      <c r="BF37" s="325">
        <f>Z37/$E25</f>
        <v>306.04738934038164</v>
      </c>
      <c r="BG37" s="325">
        <f>AA37/$E25</f>
        <v>22.765441083199946</v>
      </c>
      <c r="BH37" s="325">
        <f>AB37/$E25</f>
        <v>1.4023746385482276E-3</v>
      </c>
      <c r="BI37" s="326"/>
      <c r="BJ37" s="320">
        <f t="shared" si="32"/>
        <v>13598153.382071499</v>
      </c>
      <c r="BK37" s="320">
        <f t="shared" si="32"/>
        <v>0</v>
      </c>
      <c r="BL37" s="320">
        <f t="shared" si="32"/>
        <v>375704785.1647411</v>
      </c>
      <c r="BM37" s="320">
        <f t="shared" si="32"/>
        <v>27946930.603716359</v>
      </c>
      <c r="BN37" s="320">
        <f t="shared" si="32"/>
        <v>1721.5597343660265</v>
      </c>
      <c r="BO37" s="83"/>
      <c r="BP37" s="83"/>
      <c r="BQ37" s="83"/>
      <c r="BR37" s="83"/>
      <c r="BS37" s="83"/>
      <c r="BT37" s="83"/>
      <c r="BU37" s="83"/>
      <c r="BV37" s="83"/>
      <c r="BW37" s="83"/>
      <c r="BX37" s="83"/>
    </row>
    <row r="38" spans="1:76" x14ac:dyDescent="0.35">
      <c r="A38" s="168">
        <v>10</v>
      </c>
      <c r="B38" s="169">
        <f t="shared" si="23"/>
        <v>1.0104364758704398</v>
      </c>
      <c r="C38" s="170"/>
      <c r="D38" s="154">
        <f t="shared" si="24"/>
        <v>-207247.4220907125</v>
      </c>
      <c r="E38" s="154">
        <f t="shared" si="24"/>
        <v>23004.960510996509</v>
      </c>
      <c r="F38" s="154">
        <f t="shared" si="24"/>
        <v>-53984.301916816257</v>
      </c>
      <c r="G38" s="154">
        <f t="shared" si="33"/>
        <v>-4804.6028705966464</v>
      </c>
      <c r="H38" s="154">
        <f t="shared" si="25"/>
        <v>1008618.3842419047</v>
      </c>
      <c r="I38" s="154">
        <f t="shared" si="25"/>
        <v>61.01125649282617</v>
      </c>
      <c r="J38" s="154">
        <f t="shared" si="25"/>
        <v>867721.27491272613</v>
      </c>
      <c r="K38" s="170"/>
      <c r="L38" s="171">
        <f t="shared" si="26"/>
        <v>-1.8311404978912822E-2</v>
      </c>
      <c r="M38" s="171">
        <f t="shared" si="26"/>
        <v>1</v>
      </c>
      <c r="N38" s="171">
        <f t="shared" si="26"/>
        <v>-1.7705193067552496E-4</v>
      </c>
      <c r="O38" s="171">
        <f t="shared" si="27"/>
        <v>4.0407626474441495E-2</v>
      </c>
      <c r="P38" s="171">
        <f t="shared" si="27"/>
        <v>3.9707733114634353E-2</v>
      </c>
      <c r="Q38" s="170"/>
      <c r="R38" s="154">
        <v>61639.338142426961</v>
      </c>
      <c r="S38" s="154">
        <v>125.28872493736679</v>
      </c>
      <c r="T38" s="154">
        <v>1660570.5067954781</v>
      </c>
      <c r="U38" s="154">
        <v>135942.11932401088</v>
      </c>
      <c r="V38" s="154">
        <v>8.3680713060321334</v>
      </c>
      <c r="W38" s="170"/>
      <c r="X38" s="154">
        <v>62768.041025785089</v>
      </c>
      <c r="Y38" s="154">
        <v>0</v>
      </c>
      <c r="Z38" s="154">
        <v>1660864.514009729</v>
      </c>
      <c r="AA38" s="154">
        <v>130449.0209442223</v>
      </c>
      <c r="AB38" s="154">
        <v>8.0357941639279797</v>
      </c>
      <c r="AC38" s="170"/>
      <c r="AD38" s="154">
        <f t="shared" si="28"/>
        <v>-1128.702883358128</v>
      </c>
      <c r="AE38" s="154">
        <f t="shared" si="28"/>
        <v>125.28872493736679</v>
      </c>
      <c r="AF38" s="154">
        <f t="shared" si="28"/>
        <v>-294.00721425097436</v>
      </c>
      <c r="AG38" s="154">
        <f t="shared" si="28"/>
        <v>5493.0983797885856</v>
      </c>
      <c r="AH38" s="154">
        <f t="shared" si="28"/>
        <v>0.33227714210415371</v>
      </c>
      <c r="AI38" s="154">
        <v>4725.7500000000009</v>
      </c>
      <c r="AJ38" s="170"/>
      <c r="AK38" s="183">
        <f t="shared" ref="AK38:AP38" si="43">AD38/$E25</f>
        <v>-0.20510682961259821</v>
      </c>
      <c r="AL38" s="183">
        <f t="shared" si="43"/>
        <v>2.2767349616094276E-2</v>
      </c>
      <c r="AM38" s="183">
        <f t="shared" si="43"/>
        <v>-5.3426715291836152E-2</v>
      </c>
      <c r="AN38" s="183">
        <f t="shared" si="43"/>
        <v>0.99820068685963759</v>
      </c>
      <c r="AO38" s="183">
        <f t="shared" si="43"/>
        <v>6.0381090696738819E-5</v>
      </c>
      <c r="AP38" s="183">
        <f t="shared" si="43"/>
        <v>0.85875885880428871</v>
      </c>
      <c r="AQ38" s="170"/>
      <c r="AR38" s="184">
        <f t="shared" si="35"/>
        <v>11.20104272986134</v>
      </c>
      <c r="AS38" s="184">
        <f t="shared" si="30"/>
        <v>2.2767349616094276E-2</v>
      </c>
      <c r="AT38" s="184">
        <f t="shared" si="30"/>
        <v>301.75731542712668</v>
      </c>
      <c r="AU38" s="184">
        <f t="shared" si="30"/>
        <v>24.70327445466307</v>
      </c>
      <c r="AV38" s="184">
        <f t="shared" si="30"/>
        <v>1.5206380712397118E-3</v>
      </c>
      <c r="AW38" s="170"/>
      <c r="AX38" s="172">
        <f t="shared" si="31"/>
        <v>11317942.142035304</v>
      </c>
      <c r="AY38" s="172">
        <f t="shared" si="31"/>
        <v>23004.960510996509</v>
      </c>
      <c r="AZ38" s="172">
        <f t="shared" si="31"/>
        <v>304906598.36831057</v>
      </c>
      <c r="BA38" s="172">
        <f t="shared" si="31"/>
        <v>24961089.582430013</v>
      </c>
      <c r="BB38" s="172">
        <f t="shared" si="31"/>
        <v>1536.5081737778771</v>
      </c>
      <c r="BC38" s="170"/>
      <c r="BD38" s="325">
        <f>X38/$E25</f>
        <v>11.40614955947394</v>
      </c>
      <c r="BE38" s="325">
        <f>Y38/$E25</f>
        <v>0</v>
      </c>
      <c r="BF38" s="325">
        <f>Z38/$E25</f>
        <v>301.81074214241852</v>
      </c>
      <c r="BG38" s="325">
        <f>AA38/$E25</f>
        <v>23.705073767803434</v>
      </c>
      <c r="BH38" s="325">
        <f>AB38/$E25</f>
        <v>1.4602569805429728E-3</v>
      </c>
      <c r="BI38" s="326"/>
      <c r="BJ38" s="320">
        <f t="shared" si="32"/>
        <v>11525189.564126018</v>
      </c>
      <c r="BK38" s="320">
        <f t="shared" si="32"/>
        <v>0</v>
      </c>
      <c r="BL38" s="320">
        <f t="shared" si="32"/>
        <v>304960582.67022741</v>
      </c>
      <c r="BM38" s="320">
        <f t="shared" si="32"/>
        <v>23952471.198188111</v>
      </c>
      <c r="BN38" s="320">
        <f t="shared" si="32"/>
        <v>1475.4969172850508</v>
      </c>
      <c r="BO38" s="83"/>
      <c r="BP38" s="83"/>
      <c r="BQ38" s="83"/>
      <c r="BR38" s="83"/>
      <c r="BS38" s="83"/>
      <c r="BT38" s="83"/>
      <c r="BU38" s="83"/>
      <c r="BV38" s="83"/>
      <c r="BW38" s="83"/>
      <c r="BX38" s="83"/>
    </row>
    <row r="39" spans="1:76" x14ac:dyDescent="0.35">
      <c r="A39" s="168">
        <v>11</v>
      </c>
      <c r="B39" s="169">
        <f t="shared" si="23"/>
        <v>0.27596512429219344</v>
      </c>
      <c r="C39" s="170"/>
      <c r="D39" s="154">
        <f t="shared" si="24"/>
        <v>-158928.83850095471</v>
      </c>
      <c r="E39" s="154">
        <f t="shared" si="24"/>
        <v>17570.80661401217</v>
      </c>
      <c r="F39" s="154">
        <f t="shared" si="24"/>
        <v>-125640.12637008776</v>
      </c>
      <c r="G39" s="154">
        <f t="shared" si="33"/>
        <v>-11181.97124693781</v>
      </c>
      <c r="H39" s="154">
        <f t="shared" si="25"/>
        <v>796982.73781641154</v>
      </c>
      <c r="I39" s="154">
        <f t="shared" si="25"/>
        <v>46.990200923270983</v>
      </c>
      <c r="J39" s="154">
        <f t="shared" si="25"/>
        <v>236987.49520694773</v>
      </c>
      <c r="K39" s="170"/>
      <c r="L39" s="171">
        <f t="shared" si="26"/>
        <v>-5.1231535654353691E-2</v>
      </c>
      <c r="M39" s="171">
        <f t="shared" si="26"/>
        <v>1</v>
      </c>
      <c r="N39" s="171">
        <f t="shared" si="26"/>
        <v>-1.4371459323246488E-3</v>
      </c>
      <c r="O39" s="171">
        <f t="shared" si="27"/>
        <v>0.10161938294967114</v>
      </c>
      <c r="P39" s="171">
        <f t="shared" si="27"/>
        <v>9.7688426697308192E-2</v>
      </c>
      <c r="Q39" s="170"/>
      <c r="R39" s="154">
        <v>61860.104270200267</v>
      </c>
      <c r="S39" s="154">
        <v>350.3781466767183</v>
      </c>
      <c r="T39" s="154">
        <v>1743302.7159174986</v>
      </c>
      <c r="U39" s="154">
        <v>156393.13076076741</v>
      </c>
      <c r="V39" s="154">
        <v>9.5920072645890393</v>
      </c>
      <c r="W39" s="170"/>
      <c r="X39" s="154">
        <v>65029.292407701068</v>
      </c>
      <c r="Y39" s="154">
        <v>0</v>
      </c>
      <c r="Z39" s="154">
        <v>1745808.0963244899</v>
      </c>
      <c r="AA39" s="154">
        <v>140500.55731529099</v>
      </c>
      <c r="AB39" s="154">
        <v>8.6549791660421853</v>
      </c>
      <c r="AC39" s="170"/>
      <c r="AD39" s="154">
        <f t="shared" si="28"/>
        <v>-3169.1881375008015</v>
      </c>
      <c r="AE39" s="154">
        <f t="shared" si="28"/>
        <v>350.3781466767183</v>
      </c>
      <c r="AF39" s="154">
        <f t="shared" si="28"/>
        <v>-2505.3804069913458</v>
      </c>
      <c r="AG39" s="154">
        <f t="shared" si="28"/>
        <v>15892.573445476417</v>
      </c>
      <c r="AH39" s="154">
        <f t="shared" si="28"/>
        <v>0.93702809854685398</v>
      </c>
      <c r="AI39" s="154">
        <v>4725.7500000000009</v>
      </c>
      <c r="AJ39" s="170"/>
      <c r="AK39" s="183">
        <f t="shared" ref="AK39:AP39" si="44">AD39/$E25</f>
        <v>-0.57590189669285874</v>
      </c>
      <c r="AL39" s="183">
        <f t="shared" si="44"/>
        <v>6.3670388274889758E-2</v>
      </c>
      <c r="AM39" s="183">
        <f t="shared" si="44"/>
        <v>-0.45527537833751514</v>
      </c>
      <c r="AN39" s="183">
        <f t="shared" si="44"/>
        <v>2.8879835445168847</v>
      </c>
      <c r="AO39" s="183">
        <f t="shared" si="44"/>
        <v>1.7027586744445828E-4</v>
      </c>
      <c r="AP39" s="183">
        <f t="shared" si="44"/>
        <v>0.85875885880428871</v>
      </c>
      <c r="AQ39" s="170"/>
      <c r="AR39" s="184">
        <f t="shared" si="35"/>
        <v>11.241160143594451</v>
      </c>
      <c r="AS39" s="184">
        <f t="shared" si="30"/>
        <v>6.3670388274889758E-2</v>
      </c>
      <c r="AT39" s="184">
        <f t="shared" si="30"/>
        <v>316.79133489323976</v>
      </c>
      <c r="AU39" s="184">
        <f t="shared" si="30"/>
        <v>28.419613076643177</v>
      </c>
      <c r="AV39" s="184">
        <f t="shared" si="30"/>
        <v>1.7430505659801997E-3</v>
      </c>
      <c r="AW39" s="170"/>
      <c r="AX39" s="172">
        <f t="shared" si="31"/>
        <v>3102168.1562154936</v>
      </c>
      <c r="AY39" s="172">
        <f t="shared" si="31"/>
        <v>17570.80661401217</v>
      </c>
      <c r="AZ39" s="172">
        <f t="shared" si="31"/>
        <v>87423360.10850279</v>
      </c>
      <c r="BA39" s="172">
        <f t="shared" si="31"/>
        <v>7842822.0550318807</v>
      </c>
      <c r="BB39" s="172">
        <f t="shared" si="31"/>
        <v>481.02116608830391</v>
      </c>
      <c r="BC39" s="170"/>
      <c r="BD39" s="325">
        <f>X39/$E25</f>
        <v>11.817062040287309</v>
      </c>
      <c r="BE39" s="325">
        <f>Y39/$E25</f>
        <v>0</v>
      </c>
      <c r="BF39" s="325">
        <f>Z39/$E25</f>
        <v>317.24661027157731</v>
      </c>
      <c r="BG39" s="325">
        <f>AA39/$E25</f>
        <v>25.531629532126292</v>
      </c>
      <c r="BH39" s="325">
        <f>AB39/$E25</f>
        <v>1.5727746985357415E-3</v>
      </c>
      <c r="BI39" s="326"/>
      <c r="BJ39" s="320">
        <f t="shared" si="32"/>
        <v>3261096.9947164487</v>
      </c>
      <c r="BK39" s="320">
        <f t="shared" si="32"/>
        <v>0</v>
      </c>
      <c r="BL39" s="320">
        <f t="shared" si="32"/>
        <v>87549000.234872892</v>
      </c>
      <c r="BM39" s="320">
        <f t="shared" si="32"/>
        <v>7045839.3172154687</v>
      </c>
      <c r="BN39" s="320">
        <f t="shared" si="32"/>
        <v>434.03096516503297</v>
      </c>
      <c r="BO39" s="83"/>
      <c r="BP39" s="83"/>
      <c r="BQ39" s="83"/>
      <c r="BR39" s="83"/>
      <c r="BS39" s="83"/>
      <c r="BT39" s="83"/>
      <c r="BU39" s="83"/>
      <c r="BV39" s="83"/>
      <c r="BW39" s="83"/>
      <c r="BX39" s="83"/>
    </row>
    <row r="40" spans="1:76" x14ac:dyDescent="0.35">
      <c r="A40" s="168">
        <v>12</v>
      </c>
      <c r="B40" s="169">
        <f t="shared" si="23"/>
        <v>1.4411437181498095</v>
      </c>
      <c r="C40" s="170"/>
      <c r="D40" s="154">
        <f t="shared" si="24"/>
        <v>-798280.08396898827</v>
      </c>
      <c r="E40" s="154">
        <f t="shared" si="24"/>
        <v>87404.211264761208</v>
      </c>
      <c r="F40" s="154">
        <f t="shared" si="24"/>
        <v>-1316323.9676143622</v>
      </c>
      <c r="G40" s="154">
        <f t="shared" si="33"/>
        <v>-117152.83311767824</v>
      </c>
      <c r="H40" s="154">
        <f t="shared" si="25"/>
        <v>3784905.6920514726</v>
      </c>
      <c r="I40" s="154">
        <f t="shared" si="25"/>
        <v>222.92509899572224</v>
      </c>
      <c r="J40" s="154">
        <f t="shared" si="25"/>
        <v>1237594.9347712998</v>
      </c>
      <c r="K40" s="170"/>
      <c r="L40" s="171">
        <f t="shared" si="26"/>
        <v>-5.254251143365337E-2</v>
      </c>
      <c r="M40" s="171">
        <f t="shared" si="26"/>
        <v>1</v>
      </c>
      <c r="N40" s="171">
        <f t="shared" si="26"/>
        <v>-3.1557507758978123E-3</v>
      </c>
      <c r="O40" s="171">
        <f t="shared" si="27"/>
        <v>0.10015692292171333</v>
      </c>
      <c r="P40" s="171">
        <f t="shared" si="27"/>
        <v>9.6185463332957452E-2</v>
      </c>
      <c r="Q40" s="170"/>
      <c r="R40" s="154">
        <v>58014.51778037857</v>
      </c>
      <c r="S40" s="154">
        <v>333.75253871798901</v>
      </c>
      <c r="T40" s="154">
        <v>1592767.2274292475</v>
      </c>
      <c r="U40" s="154">
        <v>144299.99268660444</v>
      </c>
      <c r="V40" s="154">
        <v>8.8499689423244394</v>
      </c>
      <c r="W40" s="170"/>
      <c r="X40" s="154">
        <v>61062.746244171998</v>
      </c>
      <c r="Y40" s="154">
        <v>0</v>
      </c>
      <c r="Z40" s="154">
        <v>1597793.6038430319</v>
      </c>
      <c r="AA40" s="154">
        <v>129847.3494414884</v>
      </c>
      <c r="AB40" s="154">
        <v>7.9987305791246799</v>
      </c>
      <c r="AC40" s="170"/>
      <c r="AD40" s="154">
        <f t="shared" si="28"/>
        <v>-3048.2284637934281</v>
      </c>
      <c r="AE40" s="154">
        <f t="shared" si="28"/>
        <v>333.75253871798901</v>
      </c>
      <c r="AF40" s="154">
        <f t="shared" si="28"/>
        <v>-5026.3764137844555</v>
      </c>
      <c r="AG40" s="154">
        <f t="shared" si="28"/>
        <v>14452.643245116036</v>
      </c>
      <c r="AH40" s="154">
        <f t="shared" si="28"/>
        <v>0.85123836319975954</v>
      </c>
      <c r="AI40" s="154">
        <v>4725.7500000000009</v>
      </c>
      <c r="AJ40" s="170"/>
      <c r="AK40" s="183">
        <f t="shared" ref="AK40:AP40" si="45">AD40/$E25</f>
        <v>-0.55392121820705575</v>
      </c>
      <c r="AL40" s="183">
        <f t="shared" si="45"/>
        <v>6.0649198385969293E-2</v>
      </c>
      <c r="AM40" s="183">
        <f t="shared" si="45"/>
        <v>-0.91338840882872174</v>
      </c>
      <c r="AN40" s="183">
        <f t="shared" si="45"/>
        <v>2.6263207786872682</v>
      </c>
      <c r="AO40" s="183">
        <f t="shared" si="45"/>
        <v>1.5468623717967647E-4</v>
      </c>
      <c r="AP40" s="183">
        <f t="shared" si="45"/>
        <v>0.85875885880428871</v>
      </c>
      <c r="AQ40" s="170"/>
      <c r="AR40" s="184">
        <f t="shared" si="35"/>
        <v>10.542343772556528</v>
      </c>
      <c r="AS40" s="184">
        <f t="shared" si="30"/>
        <v>6.0649198385969293E-2</v>
      </c>
      <c r="AT40" s="184">
        <f t="shared" si="30"/>
        <v>289.43616707782076</v>
      </c>
      <c r="AU40" s="184">
        <f t="shared" si="30"/>
        <v>26.222059365183433</v>
      </c>
      <c r="AV40" s="184">
        <f t="shared" si="30"/>
        <v>1.6082080578456186E-3</v>
      </c>
      <c r="AW40" s="170"/>
      <c r="AX40" s="172">
        <f t="shared" si="31"/>
        <v>15193032.502395604</v>
      </c>
      <c r="AY40" s="172">
        <f t="shared" si="31"/>
        <v>87404.211264761208</v>
      </c>
      <c r="AZ40" s="172">
        <f t="shared" si="31"/>
        <v>417119113.98956007</v>
      </c>
      <c r="BA40" s="172">
        <f t="shared" si="31"/>
        <v>37789756.131085485</v>
      </c>
      <c r="BB40" s="172">
        <f t="shared" si="31"/>
        <v>2317.6589400421185</v>
      </c>
      <c r="BC40" s="170"/>
      <c r="BD40" s="325">
        <f>X40/$E25</f>
        <v>11.096264990763583</v>
      </c>
      <c r="BE40" s="325">
        <f>Y40/$E25</f>
        <v>0</v>
      </c>
      <c r="BF40" s="325">
        <f>Z40/$E25</f>
        <v>290.34955548664942</v>
      </c>
      <c r="BG40" s="325">
        <f>AA40/$E25</f>
        <v>23.595738586496168</v>
      </c>
      <c r="BH40" s="325">
        <f>AB40/$E25</f>
        <v>1.4535218206659423E-3</v>
      </c>
      <c r="BI40" s="326"/>
      <c r="BJ40" s="320">
        <f t="shared" si="32"/>
        <v>15991312.586364591</v>
      </c>
      <c r="BK40" s="320">
        <f t="shared" si="32"/>
        <v>0</v>
      </c>
      <c r="BL40" s="320">
        <f t="shared" si="32"/>
        <v>418435437.95717436</v>
      </c>
      <c r="BM40" s="320">
        <f t="shared" si="32"/>
        <v>34004850.439034015</v>
      </c>
      <c r="BN40" s="320">
        <f t="shared" si="32"/>
        <v>2094.7338410463967</v>
      </c>
      <c r="BO40" s="83"/>
      <c r="BP40" s="83"/>
      <c r="BQ40" s="83"/>
      <c r="BR40" s="83"/>
      <c r="BS40" s="83"/>
      <c r="BT40" s="83"/>
      <c r="BU40" s="83"/>
      <c r="BV40" s="83"/>
      <c r="BW40" s="83"/>
      <c r="BX40" s="83"/>
    </row>
    <row r="41" spans="1:76" x14ac:dyDescent="0.35">
      <c r="A41" s="168">
        <v>13</v>
      </c>
      <c r="B41" s="169">
        <f t="shared" si="23"/>
        <v>0.58823954847105975</v>
      </c>
      <c r="C41" s="170"/>
      <c r="D41" s="154">
        <f t="shared" si="24"/>
        <v>-268438.47643254383</v>
      </c>
      <c r="E41" s="154">
        <f t="shared" si="24"/>
        <v>29689.983520315713</v>
      </c>
      <c r="F41" s="154">
        <f t="shared" si="24"/>
        <v>-314406.08389694296</v>
      </c>
      <c r="G41" s="154">
        <f t="shared" si="33"/>
        <v>-27982.141466827921</v>
      </c>
      <c r="H41" s="154">
        <f t="shared" si="25"/>
        <v>1246730.8530405208</v>
      </c>
      <c r="I41" s="154">
        <f t="shared" si="25"/>
        <v>73.41571363190927</v>
      </c>
      <c r="J41" s="154">
        <f t="shared" si="25"/>
        <v>505155.92334855732</v>
      </c>
      <c r="K41" s="170"/>
      <c r="L41" s="171">
        <f t="shared" si="26"/>
        <v>-3.9959516763940571E-2</v>
      </c>
      <c r="M41" s="171">
        <f t="shared" si="26"/>
        <v>1</v>
      </c>
      <c r="N41" s="171">
        <f t="shared" si="26"/>
        <v>-1.7285599010459377E-3</v>
      </c>
      <c r="O41" s="171">
        <f t="shared" si="27"/>
        <v>7.7146676265757622E-2</v>
      </c>
      <c r="P41" s="171">
        <f t="shared" si="27"/>
        <v>7.3998760448467857E-2</v>
      </c>
      <c r="Q41" s="170"/>
      <c r="R41" s="154">
        <v>62844.86980506187</v>
      </c>
      <c r="S41" s="154">
        <v>277.75075602611503</v>
      </c>
      <c r="T41" s="154">
        <v>1701577.759136579</v>
      </c>
      <c r="U41" s="154">
        <v>151182.24160572558</v>
      </c>
      <c r="V41" s="154">
        <v>9.2813227029279943</v>
      </c>
      <c r="W41" s="170"/>
      <c r="X41" s="154">
        <v>65356.120433564902</v>
      </c>
      <c r="Y41" s="154">
        <v>0</v>
      </c>
      <c r="Z41" s="154">
        <v>1704519.0382195341</v>
      </c>
      <c r="AA41" s="154">
        <v>139519.03415543711</v>
      </c>
      <c r="AB41" s="154">
        <v>8.5945163275890994</v>
      </c>
      <c r="AC41" s="170"/>
      <c r="AD41" s="154">
        <f t="shared" si="28"/>
        <v>-2511.2506285030322</v>
      </c>
      <c r="AE41" s="154">
        <f t="shared" si="28"/>
        <v>277.75075602611503</v>
      </c>
      <c r="AF41" s="154">
        <f t="shared" si="28"/>
        <v>-2941.2790829550941</v>
      </c>
      <c r="AG41" s="154">
        <f t="shared" si="28"/>
        <v>11663.207450288464</v>
      </c>
      <c r="AH41" s="154">
        <f t="shared" si="28"/>
        <v>0.68680637533889488</v>
      </c>
      <c r="AI41" s="154">
        <v>4725.7500000000009</v>
      </c>
      <c r="AJ41" s="170"/>
      <c r="AK41" s="183">
        <f t="shared" ref="AK41:AP41" si="46">AD41/$E25</f>
        <v>-0.45634210948628606</v>
      </c>
      <c r="AL41" s="183">
        <f t="shared" si="46"/>
        <v>5.0472606946413777E-2</v>
      </c>
      <c r="AM41" s="183">
        <f t="shared" si="46"/>
        <v>-0.53448647700437835</v>
      </c>
      <c r="AN41" s="183">
        <f t="shared" si="46"/>
        <v>2.119427121622472</v>
      </c>
      <c r="AO41" s="183">
        <f t="shared" si="46"/>
        <v>1.2480581052860164E-4</v>
      </c>
      <c r="AP41" s="183">
        <f t="shared" si="46"/>
        <v>0.85875885880428871</v>
      </c>
      <c r="AQ41" s="170"/>
      <c r="AR41" s="184">
        <f t="shared" si="35"/>
        <v>11.420110813204047</v>
      </c>
      <c r="AS41" s="184">
        <f t="shared" si="30"/>
        <v>5.0472606946413777E-2</v>
      </c>
      <c r="AT41" s="184">
        <f t="shared" si="30"/>
        <v>309.20911487126642</v>
      </c>
      <c r="AU41" s="184">
        <f t="shared" si="30"/>
        <v>27.472695185485296</v>
      </c>
      <c r="AV41" s="184">
        <f t="shared" si="30"/>
        <v>1.6865932587548599E-3</v>
      </c>
      <c r="AW41" s="170"/>
      <c r="AX41" s="172">
        <f t="shared" si="31"/>
        <v>6717760.8282486154</v>
      </c>
      <c r="AY41" s="172">
        <f t="shared" si="31"/>
        <v>29689.983520315713</v>
      </c>
      <c r="AZ41" s="172">
        <f t="shared" si="31"/>
        <v>181889030.11500981</v>
      </c>
      <c r="BA41" s="172">
        <f t="shared" si="31"/>
        <v>16160525.811192926</v>
      </c>
      <c r="BB41" s="172">
        <f t="shared" si="31"/>
        <v>992.12085698429212</v>
      </c>
      <c r="BC41" s="170"/>
      <c r="BD41" s="325">
        <f>X41/$E25</f>
        <v>11.876452922690333</v>
      </c>
      <c r="BE41" s="325">
        <f>Y41/$E25</f>
        <v>0</v>
      </c>
      <c r="BF41" s="325">
        <f>Z41/$E25</f>
        <v>309.74360134827077</v>
      </c>
      <c r="BG41" s="325">
        <f>AA41/$E25</f>
        <v>25.353268063862821</v>
      </c>
      <c r="BH41" s="325">
        <f>AB41/$E25</f>
        <v>1.5617874482262582E-3</v>
      </c>
      <c r="BI41" s="326"/>
      <c r="BJ41" s="320">
        <f t="shared" si="32"/>
        <v>6986199.3046811596</v>
      </c>
      <c r="BK41" s="320">
        <f t="shared" si="32"/>
        <v>0</v>
      </c>
      <c r="BL41" s="320">
        <f t="shared" si="32"/>
        <v>182203436.19890672</v>
      </c>
      <c r="BM41" s="320">
        <f t="shared" si="32"/>
        <v>14913794.958152404</v>
      </c>
      <c r="BN41" s="320">
        <f t="shared" si="32"/>
        <v>918.70514335238272</v>
      </c>
      <c r="BO41" s="83"/>
      <c r="BP41" s="83"/>
      <c r="BQ41" s="83"/>
      <c r="BR41" s="83"/>
      <c r="BS41" s="83"/>
      <c r="BT41" s="83"/>
      <c r="BU41" s="83"/>
      <c r="BV41" s="83"/>
      <c r="BW41" s="83"/>
      <c r="BX41" s="83"/>
    </row>
    <row r="42" spans="1:76" x14ac:dyDescent="0.35">
      <c r="A42" s="168">
        <v>14</v>
      </c>
      <c r="B42" s="169">
        <f t="shared" si="23"/>
        <v>0.19809835139477983</v>
      </c>
      <c r="C42" s="170"/>
      <c r="D42" s="154">
        <f t="shared" si="24"/>
        <v>-115440.58945363823</v>
      </c>
      <c r="E42" s="154">
        <f t="shared" si="24"/>
        <v>11858.319115289427</v>
      </c>
      <c r="F42" s="154">
        <f t="shared" si="24"/>
        <v>-364000.70331058546</v>
      </c>
      <c r="G42" s="154">
        <f t="shared" si="33"/>
        <v>-32396.062594642106</v>
      </c>
      <c r="H42" s="154">
        <f t="shared" si="25"/>
        <v>454022.22750600462</v>
      </c>
      <c r="I42" s="154">
        <f t="shared" si="25"/>
        <v>27.419419178153266</v>
      </c>
      <c r="J42" s="154">
        <f t="shared" si="25"/>
        <v>170118.71417479211</v>
      </c>
      <c r="K42" s="170"/>
      <c r="L42" s="171">
        <f t="shared" si="26"/>
        <v>-5.093309003051319E-2</v>
      </c>
      <c r="M42" s="171">
        <f t="shared" si="26"/>
        <v>1</v>
      </c>
      <c r="N42" s="171">
        <f t="shared" si="26"/>
        <v>-5.8245969894160816E-3</v>
      </c>
      <c r="O42" s="171">
        <f t="shared" si="27"/>
        <v>8.1162203926904292E-2</v>
      </c>
      <c r="P42" s="171">
        <f t="shared" si="27"/>
        <v>7.9696493380318964E-2</v>
      </c>
      <c r="Q42" s="170"/>
      <c r="R42" s="154">
        <v>62961.803880297753</v>
      </c>
      <c r="S42" s="154">
        <v>329.41379689420933</v>
      </c>
      <c r="T42" s="154">
        <v>1736021.0740748865</v>
      </c>
      <c r="U42" s="154">
        <v>155396.75119907176</v>
      </c>
      <c r="V42" s="154">
        <v>9.5573543762581217</v>
      </c>
      <c r="W42" s="170"/>
      <c r="X42" s="154">
        <v>66168.643105816474</v>
      </c>
      <c r="Y42" s="154">
        <v>0</v>
      </c>
      <c r="Z42" s="154">
        <v>1746132.697196506</v>
      </c>
      <c r="AA42" s="154">
        <v>142784.40838867429</v>
      </c>
      <c r="AB42" s="154">
        <v>8.7956667464773037</v>
      </c>
      <c r="AC42" s="170"/>
      <c r="AD42" s="154">
        <f t="shared" si="28"/>
        <v>-3206.8392255187209</v>
      </c>
      <c r="AE42" s="154">
        <f t="shared" si="28"/>
        <v>329.41379689420933</v>
      </c>
      <c r="AF42" s="154">
        <f t="shared" si="28"/>
        <v>-10111.623121619457</v>
      </c>
      <c r="AG42" s="154">
        <f t="shared" si="28"/>
        <v>12612.342810397473</v>
      </c>
      <c r="AH42" s="154">
        <f t="shared" si="28"/>
        <v>0.76168762978081794</v>
      </c>
      <c r="AI42" s="154">
        <v>4725.7500000000009</v>
      </c>
      <c r="AJ42" s="170"/>
      <c r="AK42" s="183">
        <f t="shared" ref="AK42:AP42" si="47">AD42/$E25</f>
        <v>-0.5827438171031657</v>
      </c>
      <c r="AL42" s="183">
        <f t="shared" si="47"/>
        <v>5.9860766290061665E-2</v>
      </c>
      <c r="AM42" s="183">
        <f t="shared" si="47"/>
        <v>-1.8374746722913788</v>
      </c>
      <c r="AN42" s="183">
        <f t="shared" si="47"/>
        <v>2.2919031092853848</v>
      </c>
      <c r="AO42" s="183">
        <f t="shared" si="47"/>
        <v>1.3841316187185497E-4</v>
      </c>
      <c r="AP42" s="183">
        <f t="shared" si="47"/>
        <v>0.85875885880428871</v>
      </c>
      <c r="AQ42" s="170"/>
      <c r="AR42" s="184">
        <f t="shared" si="35"/>
        <v>11.441359963710296</v>
      </c>
      <c r="AS42" s="184">
        <f t="shared" si="30"/>
        <v>5.9860766290061665E-2</v>
      </c>
      <c r="AT42" s="184">
        <f t="shared" si="30"/>
        <v>315.46812176538009</v>
      </c>
      <c r="AU42" s="184">
        <f t="shared" si="30"/>
        <v>28.238551916967428</v>
      </c>
      <c r="AV42" s="184">
        <f t="shared" si="30"/>
        <v>1.7367534756056917E-3</v>
      </c>
      <c r="AW42" s="170"/>
      <c r="AX42" s="172">
        <f t="shared" si="31"/>
        <v>2266514.5465252479</v>
      </c>
      <c r="AY42" s="172">
        <f t="shared" si="31"/>
        <v>11858.319115289427</v>
      </c>
      <c r="AZ42" s="172">
        <f t="shared" si="31"/>
        <v>62493714.839329459</v>
      </c>
      <c r="BA42" s="172">
        <f t="shared" si="31"/>
        <v>5594010.5805271473</v>
      </c>
      <c r="BB42" s="172">
        <f t="shared" si="31"/>
        <v>344.04800029664148</v>
      </c>
      <c r="BC42" s="170"/>
      <c r="BD42" s="325">
        <f>X42/$E25</f>
        <v>12.02410378081346</v>
      </c>
      <c r="BE42" s="325">
        <f>Y42/$E25</f>
        <v>0</v>
      </c>
      <c r="BF42" s="325">
        <f>Z42/$E25</f>
        <v>317.30559643767145</v>
      </c>
      <c r="BG42" s="325">
        <f>AA42/$E25</f>
        <v>25.946648807682045</v>
      </c>
      <c r="BH42" s="325">
        <f>AB42/$E25</f>
        <v>1.5983403137338368E-3</v>
      </c>
      <c r="BI42" s="326"/>
      <c r="BJ42" s="320">
        <f t="shared" si="32"/>
        <v>2381955.1359788855</v>
      </c>
      <c r="BK42" s="320">
        <f t="shared" si="32"/>
        <v>0</v>
      </c>
      <c r="BL42" s="320">
        <f t="shared" si="32"/>
        <v>62857715.542640038</v>
      </c>
      <c r="BM42" s="320">
        <f t="shared" si="32"/>
        <v>5139988.353021143</v>
      </c>
      <c r="BN42" s="320">
        <f t="shared" si="32"/>
        <v>316.62858111848823</v>
      </c>
      <c r="BO42" s="83"/>
      <c r="BP42" s="83"/>
      <c r="BQ42" s="83"/>
      <c r="BR42" s="83"/>
      <c r="BS42" s="83"/>
      <c r="BT42" s="83"/>
      <c r="BU42" s="83"/>
      <c r="BV42" s="83"/>
      <c r="BW42" s="83"/>
      <c r="BX42" s="83"/>
    </row>
    <row r="43" spans="1:76" x14ac:dyDescent="0.35">
      <c r="A43" s="168">
        <v>15</v>
      </c>
      <c r="B43" s="169">
        <f t="shared" si="23"/>
        <v>0.19134040293737797</v>
      </c>
      <c r="C43" s="170"/>
      <c r="D43" s="154">
        <f t="shared" si="24"/>
        <v>-10354.54433221346</v>
      </c>
      <c r="E43" s="154">
        <f t="shared" si="24"/>
        <v>1245.5468623435227</v>
      </c>
      <c r="F43" s="154">
        <f t="shared" si="24"/>
        <v>-4890.594151327412</v>
      </c>
      <c r="G43" s="154">
        <f t="shared" si="33"/>
        <v>-435.26287946813966</v>
      </c>
      <c r="H43" s="154">
        <f t="shared" si="25"/>
        <v>50794.25570628835</v>
      </c>
      <c r="I43" s="154">
        <f t="shared" si="25"/>
        <v>3.0726530547378674</v>
      </c>
      <c r="J43" s="154">
        <f t="shared" si="25"/>
        <v>164315.26606965548</v>
      </c>
      <c r="K43" s="170"/>
      <c r="L43" s="171">
        <f t="shared" si="26"/>
        <v>-4.0722376350644917E-3</v>
      </c>
      <c r="M43" s="171">
        <f t="shared" si="26"/>
        <v>1</v>
      </c>
      <c r="N43" s="171">
        <f t="shared" si="26"/>
        <v>-6.9658605498018752E-5</v>
      </c>
      <c r="O43" s="171">
        <f t="shared" si="27"/>
        <v>9.474530307610857E-3</v>
      </c>
      <c r="P43" s="171">
        <f t="shared" si="27"/>
        <v>9.3055642132359208E-3</v>
      </c>
      <c r="Q43" s="170"/>
      <c r="R43" s="154">
        <v>73129.180587372859</v>
      </c>
      <c r="S43" s="154">
        <v>35.822253315310867</v>
      </c>
      <c r="T43" s="154">
        <v>2019201.5769431388</v>
      </c>
      <c r="U43" s="154">
        <v>154187.70356009604</v>
      </c>
      <c r="V43" s="154">
        <v>9.4965015492585465</v>
      </c>
      <c r="W43" s="170"/>
      <c r="X43" s="154">
        <v>73426.979988782186</v>
      </c>
      <c r="Y43" s="154">
        <v>0</v>
      </c>
      <c r="Z43" s="154">
        <v>2019342.2317092081</v>
      </c>
      <c r="AA43" s="154">
        <v>152726.84748965499</v>
      </c>
      <c r="AB43" s="154">
        <v>9.4081312442908267</v>
      </c>
      <c r="AC43" s="170"/>
      <c r="AD43" s="154">
        <f t="shared" si="28"/>
        <v>-297.7994014093274</v>
      </c>
      <c r="AE43" s="154">
        <f t="shared" si="28"/>
        <v>35.822253315310867</v>
      </c>
      <c r="AF43" s="154">
        <f t="shared" si="28"/>
        <v>-140.65476606925949</v>
      </c>
      <c r="AG43" s="154">
        <f t="shared" si="28"/>
        <v>1460.8560704410484</v>
      </c>
      <c r="AH43" s="154">
        <f t="shared" si="28"/>
        <v>8.8370304967719804E-2</v>
      </c>
      <c r="AI43" s="154">
        <v>4725.7500000000009</v>
      </c>
      <c r="AJ43" s="170"/>
      <c r="AK43" s="183">
        <f t="shared" ref="AK43:AP43" si="48">AD43/$E25</f>
        <v>-5.4115827986430567E-2</v>
      </c>
      <c r="AL43" s="183">
        <f t="shared" si="48"/>
        <v>6.5095862829930703E-3</v>
      </c>
      <c r="AM43" s="183">
        <f t="shared" si="48"/>
        <v>-2.555965220230047E-2</v>
      </c>
      <c r="AN43" s="183">
        <f t="shared" si="48"/>
        <v>0.26546539531910746</v>
      </c>
      <c r="AO43" s="183">
        <f t="shared" si="48"/>
        <v>1.6058568956518229E-5</v>
      </c>
      <c r="AP43" s="183">
        <f t="shared" si="48"/>
        <v>0.85875885880428871</v>
      </c>
      <c r="AQ43" s="170"/>
      <c r="AR43" s="184">
        <f t="shared" si="35"/>
        <v>13.288966125272189</v>
      </c>
      <c r="AS43" s="184">
        <f t="shared" si="30"/>
        <v>6.5095862829930703E-3</v>
      </c>
      <c r="AT43" s="184">
        <f t="shared" si="30"/>
        <v>366.92741721663435</v>
      </c>
      <c r="AU43" s="184">
        <f t="shared" si="30"/>
        <v>28.018844913700896</v>
      </c>
      <c r="AV43" s="184">
        <f t="shared" si="30"/>
        <v>1.7256953569432213E-3</v>
      </c>
      <c r="AW43" s="170"/>
      <c r="AX43" s="172">
        <f t="shared" si="31"/>
        <v>2542716.1330307471</v>
      </c>
      <c r="AY43" s="172">
        <f t="shared" si="31"/>
        <v>1245.5468623435227</v>
      </c>
      <c r="AZ43" s="172">
        <f t="shared" si="31"/>
        <v>70208039.859002218</v>
      </c>
      <c r="BA43" s="172">
        <f t="shared" si="31"/>
        <v>5361137.0756274322</v>
      </c>
      <c r="BB43" s="172">
        <f t="shared" si="31"/>
        <v>330.19524494467828</v>
      </c>
      <c r="BC43" s="170"/>
      <c r="BD43" s="325">
        <f>X43/$E25</f>
        <v>13.34308195325862</v>
      </c>
      <c r="BE43" s="325">
        <f>Y43/$E25</f>
        <v>0</v>
      </c>
      <c r="BF43" s="325">
        <f>Z43/$E25</f>
        <v>366.95297686883663</v>
      </c>
      <c r="BG43" s="325">
        <f>AA43/$E25</f>
        <v>27.753379518381788</v>
      </c>
      <c r="BH43" s="325">
        <f>AB43/$E25</f>
        <v>1.7096367879867031E-3</v>
      </c>
      <c r="BI43" s="326"/>
      <c r="BJ43" s="320">
        <f t="shared" si="32"/>
        <v>2553070.6773629608</v>
      </c>
      <c r="BK43" s="320">
        <f t="shared" si="32"/>
        <v>0</v>
      </c>
      <c r="BL43" s="320">
        <f t="shared" si="32"/>
        <v>70212930.453153551</v>
      </c>
      <c r="BM43" s="320">
        <f t="shared" si="32"/>
        <v>5310342.8199211443</v>
      </c>
      <c r="BN43" s="320">
        <f t="shared" si="32"/>
        <v>327.1225918899404</v>
      </c>
      <c r="BO43" s="83"/>
      <c r="BP43" s="83"/>
      <c r="BQ43" s="83"/>
      <c r="BR43" s="83"/>
      <c r="BS43" s="83"/>
      <c r="BT43" s="83"/>
      <c r="BU43" s="83"/>
      <c r="BV43" s="83"/>
      <c r="BW43" s="83"/>
      <c r="BX43" s="83"/>
    </row>
    <row r="44" spans="1:76" x14ac:dyDescent="0.35">
      <c r="A44" s="168">
        <v>16</v>
      </c>
      <c r="B44" s="169">
        <f t="shared" si="23"/>
        <v>8.0099262461302334E-2</v>
      </c>
      <c r="C44" s="170"/>
      <c r="D44" s="154">
        <f t="shared" si="24"/>
        <v>0</v>
      </c>
      <c r="E44" s="154">
        <f t="shared" si="24"/>
        <v>0</v>
      </c>
      <c r="F44" s="154">
        <f t="shared" si="24"/>
        <v>0</v>
      </c>
      <c r="G44" s="154">
        <f t="shared" si="33"/>
        <v>0</v>
      </c>
      <c r="H44" s="154">
        <f t="shared" si="25"/>
        <v>0</v>
      </c>
      <c r="I44" s="154">
        <f t="shared" si="25"/>
        <v>0</v>
      </c>
      <c r="J44" s="154">
        <f t="shared" si="25"/>
        <v>0</v>
      </c>
      <c r="K44" s="170"/>
      <c r="L44" s="171">
        <f t="shared" si="26"/>
        <v>0</v>
      </c>
      <c r="M44" s="171">
        <f t="shared" si="26"/>
        <v>0</v>
      </c>
      <c r="N44" s="171">
        <f t="shared" si="26"/>
        <v>0</v>
      </c>
      <c r="O44" s="171">
        <f t="shared" si="27"/>
        <v>0</v>
      </c>
      <c r="P44" s="171">
        <f t="shared" si="27"/>
        <v>0</v>
      </c>
      <c r="Q44" s="170"/>
      <c r="R44" s="154">
        <v>57614.984865370192</v>
      </c>
      <c r="S44" s="154">
        <v>819.3936991659134</v>
      </c>
      <c r="T44" s="154">
        <v>1615101.8262743037</v>
      </c>
      <c r="U44" s="154">
        <v>188506.73724951776</v>
      </c>
      <c r="V44" s="154">
        <v>11.573157656264057</v>
      </c>
      <c r="W44" s="170"/>
      <c r="X44" s="154">
        <v>57614.984865370192</v>
      </c>
      <c r="Y44" s="154">
        <v>819.3936991659134</v>
      </c>
      <c r="Z44" s="154">
        <v>1615101.8262743037</v>
      </c>
      <c r="AA44" s="154">
        <v>188506.73724951776</v>
      </c>
      <c r="AB44" s="154">
        <v>11.573157656264057</v>
      </c>
      <c r="AC44" s="170"/>
      <c r="AD44" s="154">
        <f t="shared" si="28"/>
        <v>0</v>
      </c>
      <c r="AE44" s="154">
        <f t="shared" si="28"/>
        <v>0</v>
      </c>
      <c r="AF44" s="154">
        <f t="shared" si="28"/>
        <v>0</v>
      </c>
      <c r="AG44" s="154">
        <f t="shared" si="28"/>
        <v>0</v>
      </c>
      <c r="AH44" s="154">
        <f t="shared" si="28"/>
        <v>0</v>
      </c>
      <c r="AI44" s="154">
        <v>0</v>
      </c>
      <c r="AJ44" s="170"/>
      <c r="AK44" s="183">
        <f t="shared" ref="AK44:AP44" si="49">AD44/$E25</f>
        <v>0</v>
      </c>
      <c r="AL44" s="183">
        <f t="shared" si="49"/>
        <v>0</v>
      </c>
      <c r="AM44" s="183">
        <f t="shared" si="49"/>
        <v>0</v>
      </c>
      <c r="AN44" s="183">
        <f t="shared" si="49"/>
        <v>0</v>
      </c>
      <c r="AO44" s="183">
        <f t="shared" si="49"/>
        <v>0</v>
      </c>
      <c r="AP44" s="183">
        <f t="shared" si="49"/>
        <v>0</v>
      </c>
      <c r="AQ44" s="170"/>
      <c r="AR44" s="184">
        <f t="shared" si="35"/>
        <v>10.469741025871377</v>
      </c>
      <c r="AS44" s="184">
        <f t="shared" si="30"/>
        <v>0.14889945469124358</v>
      </c>
      <c r="AT44" s="184">
        <f t="shared" si="30"/>
        <v>293.49478943745299</v>
      </c>
      <c r="AU44" s="184">
        <f t="shared" si="30"/>
        <v>34.255267535801885</v>
      </c>
      <c r="AV44" s="184">
        <f t="shared" si="30"/>
        <v>2.1030633574893797E-3</v>
      </c>
      <c r="AW44" s="170"/>
      <c r="AX44" s="172">
        <f t="shared" si="31"/>
        <v>838618.53433313617</v>
      </c>
      <c r="AY44" s="172">
        <f t="shared" si="31"/>
        <v>11926.736501658715</v>
      </c>
      <c r="AZ44" s="172">
        <f t="shared" si="31"/>
        <v>23508716.170175213</v>
      </c>
      <c r="BA44" s="172">
        <f t="shared" si="31"/>
        <v>2743821.6650323244</v>
      </c>
      <c r="BB44" s="172">
        <f t="shared" si="31"/>
        <v>168.45382384428953</v>
      </c>
      <c r="BC44" s="170"/>
      <c r="BD44" s="325">
        <f>X44/$E25</f>
        <v>10.469741025871377</v>
      </c>
      <c r="BE44" s="325">
        <f>Y44/$E25</f>
        <v>0.14889945469124358</v>
      </c>
      <c r="BF44" s="325">
        <f>Z44/$E25</f>
        <v>293.49478943745299</v>
      </c>
      <c r="BG44" s="325">
        <f>AA44/$E25</f>
        <v>34.255267535801885</v>
      </c>
      <c r="BH44" s="325">
        <f>AB44/$E25</f>
        <v>2.1030633574893797E-3</v>
      </c>
      <c r="BI44" s="326"/>
      <c r="BJ44" s="320">
        <f t="shared" si="32"/>
        <v>838618.53433313617</v>
      </c>
      <c r="BK44" s="320">
        <f t="shared" si="32"/>
        <v>11926.736501658715</v>
      </c>
      <c r="BL44" s="320">
        <f t="shared" si="32"/>
        <v>23508716.170175213</v>
      </c>
      <c r="BM44" s="320">
        <f t="shared" si="32"/>
        <v>2743821.6650323244</v>
      </c>
      <c r="BN44" s="320">
        <f t="shared" si="32"/>
        <v>168.45382384428953</v>
      </c>
      <c r="BO44" s="83"/>
      <c r="BP44" s="83"/>
      <c r="BQ44" s="83"/>
      <c r="BR44" s="83"/>
      <c r="BS44" s="83"/>
      <c r="BT44" s="83"/>
      <c r="BU44" s="83"/>
      <c r="BV44" s="83"/>
      <c r="BW44" s="83"/>
      <c r="BX44" s="83"/>
    </row>
    <row r="45" spans="1:76" x14ac:dyDescent="0.35">
      <c r="A45" s="173" t="s">
        <v>130</v>
      </c>
      <c r="B45" s="174">
        <f>SUM(B29:B44)</f>
        <v>8.6437179128000015</v>
      </c>
      <c r="C45" s="166"/>
      <c r="D45" s="175">
        <f>SUM(D29:D44)</f>
        <v>-2505953.9463546448</v>
      </c>
      <c r="E45" s="175">
        <f t="shared" ref="E45:J45" si="50">SUM(E29:E44)</f>
        <v>284580.14461961621</v>
      </c>
      <c r="F45" s="175">
        <f t="shared" si="50"/>
        <v>-1636785.5451825061</v>
      </c>
      <c r="G45" s="175">
        <f t="shared" si="50"/>
        <v>-145673.91352124306</v>
      </c>
      <c r="H45" s="175">
        <f t="shared" si="50"/>
        <v>12682644.742701482</v>
      </c>
      <c r="I45" s="175">
        <f t="shared" si="50"/>
        <v>753.2849747340249</v>
      </c>
      <c r="J45" s="175">
        <f t="shared" si="50"/>
        <v>7354083.3793999823</v>
      </c>
      <c r="K45" s="166"/>
      <c r="L45" s="176">
        <f t="shared" si="26"/>
        <v>-2.7031827814645661E-2</v>
      </c>
      <c r="M45" s="176">
        <f t="shared" si="26"/>
        <v>0.95977585256518694</v>
      </c>
      <c r="N45" s="176">
        <f t="shared" si="26"/>
        <v>-6.4741310356782153E-4</v>
      </c>
      <c r="O45" s="176">
        <f t="shared" si="27"/>
        <v>5.9810212411956512E-2</v>
      </c>
      <c r="P45" s="176">
        <f t="shared" si="27"/>
        <v>5.7794567506218184E-2</v>
      </c>
      <c r="Q45" s="166"/>
      <c r="R45" s="185"/>
      <c r="S45" s="185"/>
      <c r="T45" s="185"/>
      <c r="U45" s="185"/>
      <c r="V45" s="186"/>
      <c r="W45" s="166"/>
      <c r="X45" s="185"/>
      <c r="Y45" s="185"/>
      <c r="Z45" s="185"/>
      <c r="AA45" s="185"/>
      <c r="AB45" s="185"/>
      <c r="AC45" s="166"/>
      <c r="AD45" s="185"/>
      <c r="AE45" s="185"/>
      <c r="AF45" s="185"/>
      <c r="AG45" s="185"/>
      <c r="AH45" s="185"/>
      <c r="AI45" s="186"/>
      <c r="AJ45" s="166"/>
      <c r="AK45" s="185"/>
      <c r="AL45" s="185"/>
      <c r="AM45" s="185"/>
      <c r="AN45" s="185"/>
      <c r="AO45" s="185"/>
      <c r="AP45" s="185"/>
      <c r="AQ45" s="166"/>
      <c r="AR45" s="187"/>
      <c r="AS45" s="187"/>
      <c r="AT45" s="187"/>
      <c r="AU45" s="187"/>
      <c r="AV45" s="187"/>
      <c r="AW45" s="166"/>
      <c r="AX45" s="188">
        <f>SUM(AX29:AX44)</f>
        <v>92703829.113506556</v>
      </c>
      <c r="AY45" s="188">
        <f t="shared" ref="AY45:BB45" si="51">SUM(AY29:AY44)</f>
        <v>296506.88112127496</v>
      </c>
      <c r="AZ45" s="188">
        <f t="shared" si="51"/>
        <v>2528193414.9345498</v>
      </c>
      <c r="BA45" s="188">
        <f t="shared" si="51"/>
        <v>212048147.48603243</v>
      </c>
      <c r="BB45" s="188">
        <f t="shared" si="51"/>
        <v>13033.837041050236</v>
      </c>
      <c r="BC45" s="166"/>
      <c r="BD45" s="327"/>
      <c r="BE45" s="327"/>
      <c r="BF45" s="327"/>
      <c r="BG45" s="327"/>
      <c r="BH45" s="327"/>
      <c r="BI45" s="324"/>
      <c r="BJ45" s="328">
        <f>SUM(BJ29:BJ44)</f>
        <v>95209783.059861213</v>
      </c>
      <c r="BK45" s="328">
        <f t="shared" ref="BK45:BN45" si="52">SUM(BK29:BK44)</f>
        <v>11926.736501658715</v>
      </c>
      <c r="BL45" s="328">
        <f t="shared" si="52"/>
        <v>2529830200.4797325</v>
      </c>
      <c r="BM45" s="328">
        <f t="shared" si="52"/>
        <v>199365502.7433309</v>
      </c>
      <c r="BN45" s="328">
        <f t="shared" si="52"/>
        <v>12280.552066316211</v>
      </c>
      <c r="BO45" s="83"/>
      <c r="BP45" s="83"/>
      <c r="BQ45" s="83"/>
      <c r="BR45" s="83"/>
      <c r="BS45" s="83"/>
      <c r="BT45" s="83"/>
      <c r="BU45" s="83"/>
      <c r="BV45" s="83"/>
      <c r="BW45" s="83"/>
      <c r="BX45" s="83"/>
    </row>
    <row r="46" spans="1:76" x14ac:dyDescent="0.3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</row>
    <row r="47" spans="1:76" x14ac:dyDescent="0.3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</row>
    <row r="48" spans="1:76" ht="15.5" x14ac:dyDescent="0.35">
      <c r="A48" s="189" t="s">
        <v>141</v>
      </c>
      <c r="B48" s="83"/>
      <c r="C48" s="83"/>
      <c r="D48" s="157"/>
      <c r="E48" s="154">
        <f>B214</f>
        <v>240023</v>
      </c>
      <c r="F48" s="190" t="s">
        <v>132</v>
      </c>
      <c r="G48" s="190"/>
      <c r="H48" s="178"/>
      <c r="I48" s="178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</row>
    <row r="49" spans="1:76" x14ac:dyDescent="0.35">
      <c r="A49" s="158"/>
      <c r="B49" s="158" t="s">
        <v>105</v>
      </c>
      <c r="C49" s="159"/>
      <c r="D49" s="158" t="s">
        <v>106</v>
      </c>
      <c r="E49" s="158"/>
      <c r="F49" s="158"/>
      <c r="G49" s="158"/>
      <c r="H49" s="158"/>
      <c r="I49" s="158"/>
      <c r="J49" s="158"/>
      <c r="K49" s="159"/>
      <c r="L49" s="158" t="s">
        <v>106</v>
      </c>
      <c r="M49" s="158"/>
      <c r="N49" s="158"/>
      <c r="O49" s="158"/>
      <c r="P49" s="158"/>
      <c r="Q49" s="159"/>
      <c r="R49" s="158" t="str">
        <f>R26</f>
        <v xml:space="preserve"> 2019 Energy Code Consumption </v>
      </c>
      <c r="S49" s="158"/>
      <c r="T49" s="158"/>
      <c r="U49" s="158"/>
      <c r="V49" s="158"/>
      <c r="W49" s="159"/>
      <c r="X49" s="158" t="str">
        <f>X26</f>
        <v>2022 Energy Code Consumption</v>
      </c>
      <c r="Y49" s="158"/>
      <c r="Z49" s="158"/>
      <c r="AA49" s="158"/>
      <c r="AB49" s="158"/>
      <c r="AC49" s="159"/>
      <c r="AD49" s="158" t="s">
        <v>133</v>
      </c>
      <c r="AE49" s="158"/>
      <c r="AF49" s="158"/>
      <c r="AG49" s="158"/>
      <c r="AH49" s="158"/>
      <c r="AI49" s="180"/>
      <c r="AJ49" s="159"/>
      <c r="AK49" s="158" t="s">
        <v>134</v>
      </c>
      <c r="AL49" s="158"/>
      <c r="AM49" s="158"/>
      <c r="AN49" s="158"/>
      <c r="AO49" s="158"/>
      <c r="AP49" s="158"/>
      <c r="AQ49" s="159"/>
      <c r="AR49" s="160" t="s">
        <v>614</v>
      </c>
      <c r="AS49" s="160"/>
      <c r="AT49" s="160"/>
      <c r="AU49" s="160"/>
      <c r="AV49" s="160"/>
      <c r="AW49" s="159"/>
      <c r="AX49" s="160" t="s">
        <v>107</v>
      </c>
      <c r="AY49" s="160"/>
      <c r="AZ49" s="160"/>
      <c r="BA49" s="160"/>
      <c r="BB49" s="160"/>
      <c r="BC49" s="159"/>
      <c r="BD49" s="316" t="s">
        <v>135</v>
      </c>
      <c r="BE49" s="316"/>
      <c r="BF49" s="316"/>
      <c r="BG49" s="316"/>
      <c r="BH49" s="316"/>
      <c r="BI49" s="322"/>
      <c r="BJ49" s="316" t="s">
        <v>108</v>
      </c>
      <c r="BK49" s="316"/>
      <c r="BL49" s="316"/>
      <c r="BM49" s="316"/>
      <c r="BN49" s="316"/>
      <c r="BO49" s="83"/>
      <c r="BP49" s="83"/>
      <c r="BQ49" s="83"/>
      <c r="BR49" s="83"/>
      <c r="BS49" s="83"/>
      <c r="BT49" s="83"/>
      <c r="BU49" s="83"/>
      <c r="BV49" s="83"/>
      <c r="BW49" s="83"/>
      <c r="BX49" s="83"/>
    </row>
    <row r="50" spans="1:76" ht="16.5" x14ac:dyDescent="0.45">
      <c r="A50" s="83"/>
      <c r="B50" s="161" t="s">
        <v>109</v>
      </c>
      <c r="C50" s="162"/>
      <c r="D50" s="163" t="s">
        <v>110</v>
      </c>
      <c r="E50" s="163" t="s">
        <v>111</v>
      </c>
      <c r="F50" s="163" t="s">
        <v>8</v>
      </c>
      <c r="G50" s="163" t="s">
        <v>8</v>
      </c>
      <c r="H50" s="163" t="s">
        <v>112</v>
      </c>
      <c r="I50" s="163" t="s">
        <v>113</v>
      </c>
      <c r="J50" s="163" t="s">
        <v>114</v>
      </c>
      <c r="K50" s="162"/>
      <c r="L50" s="163" t="s">
        <v>110</v>
      </c>
      <c r="M50" s="163" t="s">
        <v>111</v>
      </c>
      <c r="N50" s="163" t="s">
        <v>8</v>
      </c>
      <c r="O50" s="163" t="s">
        <v>112</v>
      </c>
      <c r="P50" s="163" t="s">
        <v>113</v>
      </c>
      <c r="Q50" s="162"/>
      <c r="R50" s="163" t="s">
        <v>110</v>
      </c>
      <c r="S50" s="163" t="s">
        <v>111</v>
      </c>
      <c r="T50" s="163" t="s">
        <v>8</v>
      </c>
      <c r="U50" s="163" t="s">
        <v>112</v>
      </c>
      <c r="V50" s="163" t="s">
        <v>113</v>
      </c>
      <c r="W50" s="162"/>
      <c r="X50" s="163" t="s">
        <v>110</v>
      </c>
      <c r="Y50" s="163" t="s">
        <v>111</v>
      </c>
      <c r="Z50" s="163" t="s">
        <v>8</v>
      </c>
      <c r="AA50" s="163" t="s">
        <v>112</v>
      </c>
      <c r="AB50" s="163" t="s">
        <v>113</v>
      </c>
      <c r="AC50" s="162"/>
      <c r="AD50" s="163" t="s">
        <v>110</v>
      </c>
      <c r="AE50" s="163" t="s">
        <v>111</v>
      </c>
      <c r="AF50" s="163" t="s">
        <v>8</v>
      </c>
      <c r="AG50" s="163" t="s">
        <v>112</v>
      </c>
      <c r="AH50" s="163" t="s">
        <v>113</v>
      </c>
      <c r="AI50" s="181" t="s">
        <v>114</v>
      </c>
      <c r="AJ50" s="162"/>
      <c r="AK50" s="163" t="s">
        <v>110</v>
      </c>
      <c r="AL50" s="163" t="s">
        <v>111</v>
      </c>
      <c r="AM50" s="163" t="s">
        <v>8</v>
      </c>
      <c r="AN50" s="163" t="s">
        <v>112</v>
      </c>
      <c r="AO50" s="163" t="s">
        <v>113</v>
      </c>
      <c r="AP50" s="163" t="s">
        <v>114</v>
      </c>
      <c r="AQ50" s="162"/>
      <c r="AR50" s="164" t="s">
        <v>110</v>
      </c>
      <c r="AS50" s="164" t="s">
        <v>111</v>
      </c>
      <c r="AT50" s="164" t="s">
        <v>8</v>
      </c>
      <c r="AU50" s="164" t="s">
        <v>112</v>
      </c>
      <c r="AV50" s="164" t="s">
        <v>115</v>
      </c>
      <c r="AW50" s="162"/>
      <c r="AX50" s="164" t="s">
        <v>110</v>
      </c>
      <c r="AY50" s="164" t="s">
        <v>111</v>
      </c>
      <c r="AZ50" s="164" t="s">
        <v>8</v>
      </c>
      <c r="BA50" s="164" t="s">
        <v>112</v>
      </c>
      <c r="BB50" s="164" t="s">
        <v>115</v>
      </c>
      <c r="BC50" s="162"/>
      <c r="BD50" s="317" t="s">
        <v>110</v>
      </c>
      <c r="BE50" s="317" t="s">
        <v>111</v>
      </c>
      <c r="BF50" s="317" t="s">
        <v>8</v>
      </c>
      <c r="BG50" s="317" t="s">
        <v>112</v>
      </c>
      <c r="BH50" s="317" t="s">
        <v>116</v>
      </c>
      <c r="BI50" s="323"/>
      <c r="BJ50" s="317" t="s">
        <v>110</v>
      </c>
      <c r="BK50" s="317" t="s">
        <v>111</v>
      </c>
      <c r="BL50" s="317" t="s">
        <v>8</v>
      </c>
      <c r="BM50" s="317" t="s">
        <v>112</v>
      </c>
      <c r="BN50" s="317" t="s">
        <v>116</v>
      </c>
      <c r="BO50" s="83"/>
      <c r="BP50" s="83"/>
      <c r="BQ50" s="83"/>
      <c r="BR50" s="83"/>
      <c r="BS50" s="83"/>
      <c r="BT50" s="83"/>
      <c r="BU50" s="83"/>
      <c r="BV50" s="83"/>
      <c r="BW50" s="83"/>
      <c r="BX50" s="83"/>
    </row>
    <row r="51" spans="1:76" x14ac:dyDescent="0.35">
      <c r="A51" s="153" t="s">
        <v>96</v>
      </c>
      <c r="B51" s="165" t="s">
        <v>118</v>
      </c>
      <c r="C51" s="166"/>
      <c r="D51" s="165" t="s">
        <v>7</v>
      </c>
      <c r="E51" s="165" t="s">
        <v>119</v>
      </c>
      <c r="F51" s="165" t="s">
        <v>120</v>
      </c>
      <c r="G51" s="165" t="s">
        <v>121</v>
      </c>
      <c r="H51" s="165" t="s">
        <v>120</v>
      </c>
      <c r="I51" s="165" t="s">
        <v>122</v>
      </c>
      <c r="J51" s="165" t="s">
        <v>121</v>
      </c>
      <c r="K51" s="166"/>
      <c r="L51" s="165" t="s">
        <v>123</v>
      </c>
      <c r="M51" s="165" t="s">
        <v>123</v>
      </c>
      <c r="N51" s="165" t="s">
        <v>123</v>
      </c>
      <c r="O51" s="165" t="s">
        <v>123</v>
      </c>
      <c r="P51" s="165" t="s">
        <v>123</v>
      </c>
      <c r="Q51" s="166"/>
      <c r="R51" s="165" t="s">
        <v>7</v>
      </c>
      <c r="S51" s="165" t="s">
        <v>119</v>
      </c>
      <c r="T51" s="165" t="s">
        <v>120</v>
      </c>
      <c r="U51" s="165" t="s">
        <v>120</v>
      </c>
      <c r="V51" s="165" t="s">
        <v>122</v>
      </c>
      <c r="W51" s="166"/>
      <c r="X51" s="165" t="s">
        <v>7</v>
      </c>
      <c r="Y51" s="165" t="s">
        <v>119</v>
      </c>
      <c r="Z51" s="165" t="s">
        <v>120</v>
      </c>
      <c r="AA51" s="165" t="s">
        <v>120</v>
      </c>
      <c r="AB51" s="165" t="s">
        <v>122</v>
      </c>
      <c r="AC51" s="166"/>
      <c r="AD51" s="165" t="s">
        <v>7</v>
      </c>
      <c r="AE51" s="165" t="s">
        <v>119</v>
      </c>
      <c r="AF51" s="165" t="s">
        <v>120</v>
      </c>
      <c r="AG51" s="165" t="s">
        <v>120</v>
      </c>
      <c r="AH51" s="165" t="s">
        <v>122</v>
      </c>
      <c r="AI51" s="182" t="s">
        <v>121</v>
      </c>
      <c r="AJ51" s="166"/>
      <c r="AK51" s="165" t="s">
        <v>136</v>
      </c>
      <c r="AL51" s="165" t="s">
        <v>137</v>
      </c>
      <c r="AM51" s="165" t="s">
        <v>138</v>
      </c>
      <c r="AN51" s="165" t="s">
        <v>138</v>
      </c>
      <c r="AO51" s="165" t="s">
        <v>139</v>
      </c>
      <c r="AP51" s="165" t="s">
        <v>140</v>
      </c>
      <c r="AQ51" s="166"/>
      <c r="AR51" s="167" t="s">
        <v>136</v>
      </c>
      <c r="AS51" s="167" t="s">
        <v>137</v>
      </c>
      <c r="AT51" s="167" t="s">
        <v>138</v>
      </c>
      <c r="AU51" s="167" t="s">
        <v>138</v>
      </c>
      <c r="AV51" s="167" t="s">
        <v>139</v>
      </c>
      <c r="AW51" s="166"/>
      <c r="AX51" s="167" t="s">
        <v>7</v>
      </c>
      <c r="AY51" s="167" t="s">
        <v>119</v>
      </c>
      <c r="AZ51" s="167" t="s">
        <v>120</v>
      </c>
      <c r="BA51" s="167" t="s">
        <v>120</v>
      </c>
      <c r="BB51" s="167" t="s">
        <v>122</v>
      </c>
      <c r="BC51" s="166"/>
      <c r="BD51" s="319" t="s">
        <v>7</v>
      </c>
      <c r="BE51" s="319" t="s">
        <v>119</v>
      </c>
      <c r="BF51" s="319" t="s">
        <v>120</v>
      </c>
      <c r="BG51" s="319" t="s">
        <v>120</v>
      </c>
      <c r="BH51" s="319" t="s">
        <v>122</v>
      </c>
      <c r="BI51" s="324"/>
      <c r="BJ51" s="319" t="s">
        <v>7</v>
      </c>
      <c r="BK51" s="319" t="s">
        <v>119</v>
      </c>
      <c r="BL51" s="319" t="s">
        <v>120</v>
      </c>
      <c r="BM51" s="319" t="s">
        <v>120</v>
      </c>
      <c r="BN51" s="319" t="s">
        <v>122</v>
      </c>
      <c r="BO51" s="83"/>
      <c r="BP51" s="83"/>
      <c r="BQ51" s="83"/>
      <c r="BR51" s="83"/>
      <c r="BS51" s="83"/>
      <c r="BT51" s="83"/>
      <c r="BU51" s="83"/>
      <c r="BV51" s="83"/>
      <c r="BW51" s="83"/>
      <c r="BX51" s="83"/>
    </row>
    <row r="52" spans="1:76" x14ac:dyDescent="0.35">
      <c r="A52" s="168">
        <v>1</v>
      </c>
      <c r="B52" s="169">
        <f t="shared" ref="B52:B67" si="53">H222</f>
        <v>7.9415442100609995E-2</v>
      </c>
      <c r="C52" s="170"/>
      <c r="D52" s="154">
        <f t="shared" ref="D52:F67" si="54">AK52*$B52*10^6</f>
        <v>-30689.744618880923</v>
      </c>
      <c r="E52" s="154">
        <f t="shared" si="54"/>
        <v>4059.0899572662029</v>
      </c>
      <c r="F52" s="154">
        <f t="shared" si="54"/>
        <v>136295.2044133374</v>
      </c>
      <c r="G52" s="154">
        <f>F52*0.089</f>
        <v>12130.273192787028</v>
      </c>
      <c r="H52" s="154">
        <f t="shared" ref="H52:J67" si="55">AN52*$B52*10^6</f>
        <v>297229.86716446897</v>
      </c>
      <c r="I52" s="154">
        <f t="shared" si="55"/>
        <v>17.770638378640335</v>
      </c>
      <c r="J52" s="154">
        <f t="shared" si="55"/>
        <v>-15087.488114838226</v>
      </c>
      <c r="K52" s="170"/>
      <c r="L52" s="171">
        <f t="shared" ref="L52:N68" si="56">IF(AX52=0,0,D52/AX52)</f>
        <v>-6.2422937641740929E-2</v>
      </c>
      <c r="M52" s="171">
        <f t="shared" si="56"/>
        <v>0.65029769598283793</v>
      </c>
      <c r="N52" s="171">
        <f t="shared" si="56"/>
        <v>9.1251437484517577E-3</v>
      </c>
      <c r="O52" s="171">
        <f t="shared" ref="O52:P68" si="57">IF(BA52=0,0,H52/BA52)</f>
        <v>0.1779373285178375</v>
      </c>
      <c r="P52" s="171">
        <f t="shared" si="57"/>
        <v>0.17410138996947047</v>
      </c>
      <c r="Q52" s="170"/>
      <c r="R52" s="154">
        <v>1485925.286675808</v>
      </c>
      <c r="S52" s="154">
        <v>18865.32809503852</v>
      </c>
      <c r="T52" s="154">
        <v>45142828.014149934</v>
      </c>
      <c r="U52" s="154">
        <v>5048626.9715298042</v>
      </c>
      <c r="V52" s="154">
        <v>308.49540000165132</v>
      </c>
      <c r="W52" s="170"/>
      <c r="X52" s="154">
        <v>1578681.108186258</v>
      </c>
      <c r="Y52" s="154">
        <v>6597.2487008746684</v>
      </c>
      <c r="Z52" s="154">
        <v>44730893.219309181</v>
      </c>
      <c r="AA52" s="154">
        <v>4150287.7755326903</v>
      </c>
      <c r="AB52" s="154">
        <v>254.78592206217604</v>
      </c>
      <c r="AC52" s="170"/>
      <c r="AD52" s="154">
        <f t="shared" ref="AD52:AH67" si="58">R52-X52</f>
        <v>-92755.821510449983</v>
      </c>
      <c r="AE52" s="154">
        <f t="shared" si="58"/>
        <v>12268.079394163851</v>
      </c>
      <c r="AF52" s="154">
        <f t="shared" si="58"/>
        <v>411934.79484075308</v>
      </c>
      <c r="AG52" s="154">
        <f t="shared" si="58"/>
        <v>898339.19599711383</v>
      </c>
      <c r="AH52" s="154">
        <f t="shared" si="58"/>
        <v>53.709477939475278</v>
      </c>
      <c r="AI52" s="154">
        <v>-45600</v>
      </c>
      <c r="AJ52" s="170"/>
      <c r="AK52" s="183">
        <f t="shared" ref="AK52:AP52" si="59">AD52/$E48</f>
        <v>-0.38644555526116242</v>
      </c>
      <c r="AL52" s="183">
        <f t="shared" si="59"/>
        <v>5.1112099232839568E-2</v>
      </c>
      <c r="AM52" s="183">
        <f t="shared" si="59"/>
        <v>1.7162305064129399</v>
      </c>
      <c r="AN52" s="183">
        <f t="shared" si="59"/>
        <v>3.7427213058628293</v>
      </c>
      <c r="AO52" s="183">
        <f t="shared" si="59"/>
        <v>2.2376804697664507E-4</v>
      </c>
      <c r="AP52" s="183">
        <f t="shared" si="59"/>
        <v>-0.18998179341146473</v>
      </c>
      <c r="AQ52" s="170"/>
      <c r="AR52" s="184">
        <f>R52/$E$48</f>
        <v>6.1907620797832212</v>
      </c>
      <c r="AS52" s="184">
        <f t="shared" ref="AS52:AV67" si="60">S52/$E$48</f>
        <v>7.8598001420857669E-2</v>
      </c>
      <c r="AT52" s="184">
        <f t="shared" si="60"/>
        <v>188.07709267091042</v>
      </c>
      <c r="AU52" s="184">
        <f t="shared" si="60"/>
        <v>21.033929963086056</v>
      </c>
      <c r="AV52" s="184">
        <f t="shared" si="60"/>
        <v>1.2852743278837916E-3</v>
      </c>
      <c r="AW52" s="170"/>
      <c r="AX52" s="172">
        <f t="shared" ref="AX52:BB67" si="61">AR52*$B52*10^6</f>
        <v>491642.10750567634</v>
      </c>
      <c r="AY52" s="172">
        <f t="shared" si="61"/>
        <v>6241.8950310617838</v>
      </c>
      <c r="AZ52" s="172">
        <f t="shared" si="61"/>
        <v>14936225.463457746</v>
      </c>
      <c r="BA52" s="172">
        <f t="shared" si="61"/>
        <v>1670418.8471317466</v>
      </c>
      <c r="BB52" s="172">
        <f t="shared" si="61"/>
        <v>102.07062896945568</v>
      </c>
      <c r="BC52" s="170"/>
      <c r="BD52" s="325">
        <f>X52/$E48</f>
        <v>6.5772076350443829</v>
      </c>
      <c r="BE52" s="325">
        <f>Y52/$E48</f>
        <v>2.7485902188018101E-2</v>
      </c>
      <c r="BF52" s="325">
        <f>Z52/$E48</f>
        <v>186.36086216449749</v>
      </c>
      <c r="BG52" s="325">
        <f>AA52/$E48</f>
        <v>17.291208657223226</v>
      </c>
      <c r="BH52" s="325">
        <f>AB52/$E48</f>
        <v>1.0615062809071465E-3</v>
      </c>
      <c r="BI52" s="326"/>
      <c r="BJ52" s="320">
        <f t="shared" ref="BJ52:BN67" si="62">BD52*$B52*10^6</f>
        <v>522331.85212455725</v>
      </c>
      <c r="BK52" s="320">
        <f t="shared" si="62"/>
        <v>2182.8050737955809</v>
      </c>
      <c r="BL52" s="320">
        <f t="shared" si="62"/>
        <v>14799930.259044411</v>
      </c>
      <c r="BM52" s="320">
        <f t="shared" si="62"/>
        <v>1373188.9799672775</v>
      </c>
      <c r="BN52" s="320">
        <f t="shared" si="62"/>
        <v>84.299990590815355</v>
      </c>
      <c r="BO52" s="83"/>
      <c r="BP52" s="83"/>
      <c r="BQ52" s="83"/>
      <c r="BR52" s="83"/>
      <c r="BS52" s="83"/>
      <c r="BT52" s="83"/>
      <c r="BU52" s="83"/>
      <c r="BV52" s="83"/>
      <c r="BW52" s="83"/>
      <c r="BX52" s="83"/>
    </row>
    <row r="53" spans="1:76" x14ac:dyDescent="0.35">
      <c r="A53" s="168">
        <v>2</v>
      </c>
      <c r="B53" s="169">
        <f t="shared" si="53"/>
        <v>0.47174983255948066</v>
      </c>
      <c r="C53" s="170"/>
      <c r="D53" s="154">
        <f t="shared" si="54"/>
        <v>-221268.95900433057</v>
      </c>
      <c r="E53" s="154">
        <f t="shared" si="54"/>
        <v>25219.238413737919</v>
      </c>
      <c r="F53" s="154">
        <f t="shared" si="54"/>
        <v>675270.22738738975</v>
      </c>
      <c r="G53" s="154">
        <f t="shared" ref="G53:G67" si="63">F53*0.089</f>
        <v>60099.050237477684</v>
      </c>
      <c r="H53" s="154">
        <f t="shared" si="55"/>
        <v>1528598.8448465681</v>
      </c>
      <c r="I53" s="154">
        <f t="shared" si="55"/>
        <v>90.814269698907182</v>
      </c>
      <c r="J53" s="154">
        <f t="shared" si="55"/>
        <v>44493.244176627413</v>
      </c>
      <c r="K53" s="170"/>
      <c r="L53" s="171">
        <f t="shared" si="56"/>
        <v>-6.6175708131243516E-2</v>
      </c>
      <c r="M53" s="171">
        <f t="shared" si="56"/>
        <v>1</v>
      </c>
      <c r="N53" s="171">
        <f t="shared" si="56"/>
        <v>6.1499797985436755E-3</v>
      </c>
      <c r="O53" s="171">
        <f t="shared" si="57"/>
        <v>0.16132693927550781</v>
      </c>
      <c r="P53" s="171">
        <f t="shared" si="57"/>
        <v>0.15648709256472937</v>
      </c>
      <c r="Q53" s="170"/>
      <c r="R53" s="154">
        <v>1701229.8734377089</v>
      </c>
      <c r="S53" s="154">
        <v>12831.371298933949</v>
      </c>
      <c r="T53" s="154">
        <v>55865670.796114966</v>
      </c>
      <c r="U53" s="154">
        <v>4820895.7218750007</v>
      </c>
      <c r="V53" s="154">
        <v>295.26820102707546</v>
      </c>
      <c r="W53" s="170"/>
      <c r="X53" s="154">
        <v>1813809.9650064751</v>
      </c>
      <c r="Y53" s="154">
        <v>0</v>
      </c>
      <c r="Z53" s="154">
        <v>55522098.049286768</v>
      </c>
      <c r="AA53" s="154">
        <v>4043155.3704985171</v>
      </c>
      <c r="AB53" s="154">
        <v>249.06253872153039</v>
      </c>
      <c r="AC53" s="170"/>
      <c r="AD53" s="154">
        <f t="shared" si="58"/>
        <v>-112580.09156876616</v>
      </c>
      <c r="AE53" s="154">
        <f t="shared" si="58"/>
        <v>12831.371298933949</v>
      </c>
      <c r="AF53" s="154">
        <f t="shared" si="58"/>
        <v>343572.74682819843</v>
      </c>
      <c r="AG53" s="154">
        <f t="shared" si="58"/>
        <v>777740.35137648368</v>
      </c>
      <c r="AH53" s="154">
        <f t="shared" si="58"/>
        <v>46.205662305545076</v>
      </c>
      <c r="AI53" s="154">
        <v>22637.850000000006</v>
      </c>
      <c r="AJ53" s="170"/>
      <c r="AK53" s="183">
        <f t="shared" ref="AK53:AP53" si="64">AD53/$E48</f>
        <v>-0.46903876532151567</v>
      </c>
      <c r="AL53" s="183">
        <f t="shared" si="64"/>
        <v>5.3458923932014638E-2</v>
      </c>
      <c r="AM53" s="183">
        <f t="shared" si="64"/>
        <v>1.4314159344237778</v>
      </c>
      <c r="AN53" s="183">
        <f t="shared" si="64"/>
        <v>3.2402742711176997</v>
      </c>
      <c r="AO53" s="183">
        <f t="shared" si="64"/>
        <v>1.9250514453008702E-4</v>
      </c>
      <c r="AP53" s="183">
        <f t="shared" si="64"/>
        <v>9.4315336446923859E-2</v>
      </c>
      <c r="AQ53" s="170"/>
      <c r="AR53" s="184">
        <f t="shared" ref="AR53:AR67" si="65">R53/$E$48</f>
        <v>7.0877785605450683</v>
      </c>
      <c r="AS53" s="184">
        <f t="shared" si="60"/>
        <v>5.3458923932014638E-2</v>
      </c>
      <c r="AT53" s="184">
        <f t="shared" si="60"/>
        <v>232.75132298202658</v>
      </c>
      <c r="AU53" s="184">
        <f t="shared" si="60"/>
        <v>20.085140681830495</v>
      </c>
      <c r="AV53" s="184">
        <f t="shared" si="60"/>
        <v>1.2301662800109801E-3</v>
      </c>
      <c r="AW53" s="170"/>
      <c r="AX53" s="172">
        <f t="shared" si="61"/>
        <v>3343658.3491558125</v>
      </c>
      <c r="AY53" s="172">
        <f t="shared" si="61"/>
        <v>25219.238413737919</v>
      </c>
      <c r="AZ53" s="172">
        <f t="shared" si="61"/>
        <v>109800397.64476864</v>
      </c>
      <c r="BA53" s="172">
        <f t="shared" si="61"/>
        <v>9475161.7535871491</v>
      </c>
      <c r="BB53" s="172">
        <f t="shared" si="61"/>
        <v>580.33073661549906</v>
      </c>
      <c r="BC53" s="170"/>
      <c r="BD53" s="325">
        <f>X53/$E48</f>
        <v>7.5568173258665841</v>
      </c>
      <c r="BE53" s="325">
        <f>Y53/$E48</f>
        <v>0</v>
      </c>
      <c r="BF53" s="325">
        <f>Z53/$E48</f>
        <v>231.31990704760281</v>
      </c>
      <c r="BG53" s="325">
        <f>AA53/$E48</f>
        <v>16.844866410712793</v>
      </c>
      <c r="BH53" s="325">
        <f>AB53/$E48</f>
        <v>1.037661135480893E-3</v>
      </c>
      <c r="BI53" s="326"/>
      <c r="BJ53" s="320">
        <f t="shared" si="62"/>
        <v>3564927.3081601434</v>
      </c>
      <c r="BK53" s="320">
        <f t="shared" si="62"/>
        <v>0</v>
      </c>
      <c r="BL53" s="320">
        <f t="shared" si="62"/>
        <v>109125127.41738126</v>
      </c>
      <c r="BM53" s="320">
        <f t="shared" si="62"/>
        <v>7946562.908740581</v>
      </c>
      <c r="BN53" s="320">
        <f t="shared" si="62"/>
        <v>489.51646691659181</v>
      </c>
      <c r="BO53" s="83"/>
      <c r="BP53" s="83"/>
      <c r="BQ53" s="83"/>
      <c r="BR53" s="83"/>
      <c r="BS53" s="83"/>
      <c r="BT53" s="83"/>
      <c r="BU53" s="83"/>
      <c r="BV53" s="83"/>
      <c r="BW53" s="83"/>
      <c r="BX53" s="83"/>
    </row>
    <row r="54" spans="1:76" x14ac:dyDescent="0.35">
      <c r="A54" s="168">
        <v>3</v>
      </c>
      <c r="B54" s="169">
        <f t="shared" si="53"/>
        <v>2.1560451461707921</v>
      </c>
      <c r="C54" s="170"/>
      <c r="D54" s="154">
        <f t="shared" si="54"/>
        <v>-602940.12670376501</v>
      </c>
      <c r="E54" s="154">
        <f t="shared" si="54"/>
        <v>77102.824705784515</v>
      </c>
      <c r="F54" s="154">
        <f t="shared" si="54"/>
        <v>3961139.7244326589</v>
      </c>
      <c r="G54" s="154">
        <f t="shared" si="63"/>
        <v>352541.43547450664</v>
      </c>
      <c r="H54" s="154">
        <f t="shared" si="55"/>
        <v>4877372.9762300085</v>
      </c>
      <c r="I54" s="154">
        <f t="shared" si="55"/>
        <v>290.21231481416555</v>
      </c>
      <c r="J54" s="154">
        <f t="shared" si="55"/>
        <v>203348.12335585538</v>
      </c>
      <c r="K54" s="170"/>
      <c r="L54" s="171">
        <f t="shared" si="56"/>
        <v>-4.2114936591344382E-2</v>
      </c>
      <c r="M54" s="171">
        <f t="shared" si="56"/>
        <v>1</v>
      </c>
      <c r="N54" s="171">
        <f t="shared" si="56"/>
        <v>9.0242505065553803E-3</v>
      </c>
      <c r="O54" s="171">
        <f t="shared" si="57"/>
        <v>0.12846414306184972</v>
      </c>
      <c r="P54" s="171">
        <f t="shared" si="57"/>
        <v>0.12463191369734108</v>
      </c>
      <c r="Q54" s="170"/>
      <c r="R54" s="154">
        <v>1593797.1499429541</v>
      </c>
      <c r="S54" s="154">
        <v>8583.5175238443353</v>
      </c>
      <c r="T54" s="154">
        <v>48865689.213190243</v>
      </c>
      <c r="U54" s="154">
        <v>4226676.9223924689</v>
      </c>
      <c r="V54" s="154">
        <v>259.22780520285255</v>
      </c>
      <c r="W54" s="170"/>
      <c r="X54" s="154">
        <v>1660919.815852267</v>
      </c>
      <c r="Y54" s="154">
        <v>0</v>
      </c>
      <c r="Z54" s="154">
        <v>48424712.992554933</v>
      </c>
      <c r="AA54" s="154">
        <v>3683700.4935580241</v>
      </c>
      <c r="AB54" s="154">
        <v>226.91974775685949</v>
      </c>
      <c r="AC54" s="170"/>
      <c r="AD54" s="154">
        <f t="shared" si="58"/>
        <v>-67122.665909312898</v>
      </c>
      <c r="AE54" s="154">
        <f t="shared" si="58"/>
        <v>8583.5175238443353</v>
      </c>
      <c r="AF54" s="154">
        <f t="shared" si="58"/>
        <v>440976.22063530982</v>
      </c>
      <c r="AG54" s="154">
        <f t="shared" si="58"/>
        <v>542976.42883444484</v>
      </c>
      <c r="AH54" s="154">
        <f t="shared" si="58"/>
        <v>32.308057445993057</v>
      </c>
      <c r="AI54" s="154">
        <v>22637.850000000006</v>
      </c>
      <c r="AJ54" s="170"/>
      <c r="AK54" s="183">
        <f t="shared" ref="AK54:AP54" si="66">AD54/$E48</f>
        <v>-0.27965097473705813</v>
      </c>
      <c r="AL54" s="183">
        <f t="shared" si="66"/>
        <v>3.5761229231550042E-2</v>
      </c>
      <c r="AM54" s="183">
        <f t="shared" si="66"/>
        <v>1.8372248519321475</v>
      </c>
      <c r="AN54" s="183">
        <f t="shared" si="66"/>
        <v>2.2621849940815872</v>
      </c>
      <c r="AO54" s="183">
        <f t="shared" si="66"/>
        <v>1.3460400647435062E-4</v>
      </c>
      <c r="AP54" s="183">
        <f t="shared" si="66"/>
        <v>9.4315336446923859E-2</v>
      </c>
      <c r="AQ54" s="170"/>
      <c r="AR54" s="184">
        <f t="shared" si="65"/>
        <v>6.6401851070228854</v>
      </c>
      <c r="AS54" s="184">
        <f t="shared" si="60"/>
        <v>3.5761229231550042E-2</v>
      </c>
      <c r="AT54" s="184">
        <f t="shared" si="60"/>
        <v>203.58752791686732</v>
      </c>
      <c r="AU54" s="184">
        <f t="shared" si="60"/>
        <v>17.609466269451133</v>
      </c>
      <c r="AV54" s="184">
        <f t="shared" si="60"/>
        <v>1.0800123538279771E-3</v>
      </c>
      <c r="AW54" s="170"/>
      <c r="AX54" s="172">
        <f t="shared" si="61"/>
        <v>14316538.869672274</v>
      </c>
      <c r="AY54" s="172">
        <f t="shared" si="61"/>
        <v>77102.824705784515</v>
      </c>
      <c r="AZ54" s="172">
        <f t="shared" si="61"/>
        <v>438943901.3860724</v>
      </c>
      <c r="BA54" s="172">
        <f t="shared" si="61"/>
        <v>37966804.276908398</v>
      </c>
      <c r="BB54" s="172">
        <f t="shared" si="61"/>
        <v>2328.5553932753019</v>
      </c>
      <c r="BC54" s="170"/>
      <c r="BD54" s="325">
        <f>X54/$E48</f>
        <v>6.9198360817599438</v>
      </c>
      <c r="BE54" s="325">
        <f>Y54/$E48</f>
        <v>0</v>
      </c>
      <c r="BF54" s="325">
        <f>Z54/$E48</f>
        <v>201.75030306493517</v>
      </c>
      <c r="BG54" s="325">
        <f>AA54/$E48</f>
        <v>15.347281275369545</v>
      </c>
      <c r="BH54" s="325">
        <f>AB54/$E48</f>
        <v>9.4540834735362645E-4</v>
      </c>
      <c r="BI54" s="326"/>
      <c r="BJ54" s="320">
        <f t="shared" si="62"/>
        <v>14919478.996376039</v>
      </c>
      <c r="BK54" s="320">
        <f t="shared" si="62"/>
        <v>0</v>
      </c>
      <c r="BL54" s="320">
        <f t="shared" si="62"/>
        <v>434982761.66163975</v>
      </c>
      <c r="BM54" s="320">
        <f t="shared" si="62"/>
        <v>33089431.300678391</v>
      </c>
      <c r="BN54" s="320">
        <f t="shared" si="62"/>
        <v>2038.3430784611367</v>
      </c>
      <c r="BO54" s="83"/>
      <c r="BP54" s="83"/>
      <c r="BQ54" s="83"/>
      <c r="BR54" s="83"/>
      <c r="BS54" s="83"/>
      <c r="BT54" s="83"/>
      <c r="BU54" s="83"/>
      <c r="BV54" s="83"/>
      <c r="BW54" s="83"/>
      <c r="BX54" s="83"/>
    </row>
    <row r="55" spans="1:76" x14ac:dyDescent="0.35">
      <c r="A55" s="168">
        <v>4</v>
      </c>
      <c r="B55" s="169">
        <f t="shared" si="53"/>
        <v>1.1050493254949429</v>
      </c>
      <c r="C55" s="170"/>
      <c r="D55" s="154">
        <f t="shared" si="54"/>
        <v>-285269.72244111024</v>
      </c>
      <c r="E55" s="154">
        <f t="shared" si="54"/>
        <v>34726.136543004002</v>
      </c>
      <c r="F55" s="154">
        <f t="shared" si="54"/>
        <v>1109607.842031402</v>
      </c>
      <c r="G55" s="154">
        <f t="shared" si="63"/>
        <v>98755.097940794774</v>
      </c>
      <c r="H55" s="154">
        <f t="shared" si="55"/>
        <v>2109257.3637011307</v>
      </c>
      <c r="I55" s="154">
        <f t="shared" si="55"/>
        <v>125.32096218255623</v>
      </c>
      <c r="J55" s="154">
        <f t="shared" si="55"/>
        <v>104223.09892450183</v>
      </c>
      <c r="K55" s="170"/>
      <c r="L55" s="171">
        <f t="shared" si="56"/>
        <v>-3.5162380783499293E-2</v>
      </c>
      <c r="M55" s="171">
        <f t="shared" si="56"/>
        <v>1</v>
      </c>
      <c r="N55" s="171">
        <f t="shared" si="56"/>
        <v>4.3046759919496093E-3</v>
      </c>
      <c r="O55" s="171">
        <f t="shared" si="57"/>
        <v>0.10280646086154568</v>
      </c>
      <c r="P55" s="171">
        <f t="shared" si="57"/>
        <v>9.9520854716988599E-2</v>
      </c>
      <c r="Q55" s="170"/>
      <c r="R55" s="154">
        <v>1762173.243142714</v>
      </c>
      <c r="S55" s="154">
        <v>7542.714410262397</v>
      </c>
      <c r="T55" s="154">
        <v>55988682.115760252</v>
      </c>
      <c r="U55" s="154">
        <v>4456360.9610395618</v>
      </c>
      <c r="V55" s="154">
        <v>273.51479245682498</v>
      </c>
      <c r="W55" s="170"/>
      <c r="X55" s="154">
        <v>1824135.449724592</v>
      </c>
      <c r="Y55" s="154">
        <v>0</v>
      </c>
      <c r="Z55" s="154">
        <v>55747668.98003564</v>
      </c>
      <c r="AA55" s="154">
        <v>3998218.262313528</v>
      </c>
      <c r="AB55" s="154">
        <v>246.29436653378201</v>
      </c>
      <c r="AC55" s="170"/>
      <c r="AD55" s="154">
        <f t="shared" si="58"/>
        <v>-61962.20658187801</v>
      </c>
      <c r="AE55" s="154">
        <f t="shared" si="58"/>
        <v>7542.714410262397</v>
      </c>
      <c r="AF55" s="154">
        <f t="shared" si="58"/>
        <v>241013.13572461158</v>
      </c>
      <c r="AG55" s="154">
        <f t="shared" si="58"/>
        <v>458142.69872603379</v>
      </c>
      <c r="AH55" s="154">
        <f t="shared" si="58"/>
        <v>27.220425923042967</v>
      </c>
      <c r="AI55" s="154">
        <v>22637.850000000006</v>
      </c>
      <c r="AJ55" s="170"/>
      <c r="AK55" s="183">
        <f t="shared" ref="AK55:AP55" si="67">AD55/$E48</f>
        <v>-0.25815112127536949</v>
      </c>
      <c r="AL55" s="183">
        <f t="shared" si="67"/>
        <v>3.1424965150266423E-2</v>
      </c>
      <c r="AM55" s="183">
        <f t="shared" si="67"/>
        <v>1.004125170190405</v>
      </c>
      <c r="AN55" s="183">
        <f t="shared" si="67"/>
        <v>1.9087449899636026</v>
      </c>
      <c r="AO55" s="183">
        <f t="shared" si="67"/>
        <v>1.1340757312025501E-4</v>
      </c>
      <c r="AP55" s="183">
        <f t="shared" si="67"/>
        <v>9.4315336446923859E-2</v>
      </c>
      <c r="AQ55" s="170"/>
      <c r="AR55" s="184">
        <f t="shared" si="65"/>
        <v>7.3416849349550422</v>
      </c>
      <c r="AS55" s="184">
        <f t="shared" si="60"/>
        <v>3.1424965150266423E-2</v>
      </c>
      <c r="AT55" s="184">
        <f t="shared" si="60"/>
        <v>233.26382103281873</v>
      </c>
      <c r="AU55" s="184">
        <f t="shared" si="60"/>
        <v>18.566391391823124</v>
      </c>
      <c r="AV55" s="184">
        <f t="shared" si="60"/>
        <v>1.1395357630594775E-3</v>
      </c>
      <c r="AW55" s="170"/>
      <c r="AX55" s="172">
        <f t="shared" si="61"/>
        <v>8112923.9853684539</v>
      </c>
      <c r="AY55" s="172">
        <f t="shared" si="61"/>
        <v>34726.136543004002</v>
      </c>
      <c r="AZ55" s="172">
        <f t="shared" si="61"/>
        <v>257768028.09468943</v>
      </c>
      <c r="BA55" s="172">
        <f t="shared" si="61"/>
        <v>20516778.284409259</v>
      </c>
      <c r="BB55" s="172">
        <f t="shared" si="61"/>
        <v>1259.2432263462408</v>
      </c>
      <c r="BC55" s="170"/>
      <c r="BD55" s="325">
        <f>X55/$E48</f>
        <v>7.5998360562304113</v>
      </c>
      <c r="BE55" s="325">
        <f>Y55/$E48</f>
        <v>0</v>
      </c>
      <c r="BF55" s="325">
        <f>Z55/$E48</f>
        <v>232.25969586262832</v>
      </c>
      <c r="BG55" s="325">
        <f>AA55/$E48</f>
        <v>16.657646401859523</v>
      </c>
      <c r="BH55" s="325">
        <f>AB55/$E48</f>
        <v>1.0261281899392226E-3</v>
      </c>
      <c r="BI55" s="326"/>
      <c r="BJ55" s="320">
        <f t="shared" si="62"/>
        <v>8398193.7078095637</v>
      </c>
      <c r="BK55" s="320">
        <f t="shared" si="62"/>
        <v>0</v>
      </c>
      <c r="BL55" s="320">
        <f t="shared" si="62"/>
        <v>256658420.25265801</v>
      </c>
      <c r="BM55" s="320">
        <f t="shared" si="62"/>
        <v>18407520.920708131</v>
      </c>
      <c r="BN55" s="320">
        <f t="shared" si="62"/>
        <v>1133.9222641636848</v>
      </c>
      <c r="BO55" s="83"/>
      <c r="BP55" s="83"/>
      <c r="BQ55" s="83"/>
      <c r="BR55" s="83"/>
      <c r="BS55" s="83"/>
      <c r="BT55" s="83"/>
      <c r="BU55" s="83"/>
      <c r="BV55" s="83"/>
      <c r="BW55" s="83"/>
      <c r="BX55" s="83"/>
    </row>
    <row r="56" spans="1:76" x14ac:dyDescent="0.35">
      <c r="A56" s="168">
        <v>5</v>
      </c>
      <c r="B56" s="169">
        <f t="shared" si="53"/>
        <v>0.22367099362287696</v>
      </c>
      <c r="C56" s="170"/>
      <c r="D56" s="154">
        <f t="shared" si="54"/>
        <v>-53681.556699240275</v>
      </c>
      <c r="E56" s="154">
        <f t="shared" si="54"/>
        <v>6497.9826932474125</v>
      </c>
      <c r="F56" s="154">
        <f t="shared" si="54"/>
        <v>-83401.23788934818</v>
      </c>
      <c r="G56" s="154">
        <f t="shared" si="63"/>
        <v>-7422.7101721519875</v>
      </c>
      <c r="H56" s="154">
        <f t="shared" si="55"/>
        <v>378090.93629905162</v>
      </c>
      <c r="I56" s="154">
        <f t="shared" si="55"/>
        <v>22.427890238624713</v>
      </c>
      <c r="J56" s="154">
        <f t="shared" si="55"/>
        <v>21095.605016959402</v>
      </c>
      <c r="K56" s="170"/>
      <c r="L56" s="171">
        <f t="shared" si="56"/>
        <v>-3.5523823656906692E-2</v>
      </c>
      <c r="M56" s="171">
        <f t="shared" si="56"/>
        <v>1</v>
      </c>
      <c r="N56" s="171">
        <f t="shared" si="56"/>
        <v>-1.955331253016951E-3</v>
      </c>
      <c r="O56" s="171">
        <f t="shared" si="57"/>
        <v>9.9608026923506982E-2</v>
      </c>
      <c r="P56" s="171">
        <f t="shared" si="57"/>
        <v>9.6272930058994524E-2</v>
      </c>
      <c r="Q56" s="170"/>
      <c r="R56" s="154">
        <v>1621618.119506205</v>
      </c>
      <c r="S56" s="154">
        <v>6973.0333590372265</v>
      </c>
      <c r="T56" s="154">
        <v>45771521.320749357</v>
      </c>
      <c r="U56" s="154">
        <v>4073288.0352539006</v>
      </c>
      <c r="V56" s="154">
        <v>249.99275627043241</v>
      </c>
      <c r="W56" s="170"/>
      <c r="X56" s="154">
        <v>1679224.195622388</v>
      </c>
      <c r="Y56" s="154">
        <v>0</v>
      </c>
      <c r="Z56" s="154">
        <v>45861019.80688595</v>
      </c>
      <c r="AA56" s="154">
        <v>3667555.8509711311</v>
      </c>
      <c r="AB56" s="154">
        <v>225.92522113075381</v>
      </c>
      <c r="AC56" s="170"/>
      <c r="AD56" s="154">
        <f t="shared" si="58"/>
        <v>-57606.076116183074</v>
      </c>
      <c r="AE56" s="154">
        <f t="shared" si="58"/>
        <v>6973.0333590372265</v>
      </c>
      <c r="AF56" s="154">
        <f t="shared" si="58"/>
        <v>-89498.486136592925</v>
      </c>
      <c r="AG56" s="154">
        <f t="shared" si="58"/>
        <v>405732.18428276945</v>
      </c>
      <c r="AH56" s="154">
        <f t="shared" si="58"/>
        <v>24.067535139678597</v>
      </c>
      <c r="AI56" s="154">
        <v>22637.850000000006</v>
      </c>
      <c r="AJ56" s="170"/>
      <c r="AK56" s="183">
        <f t="shared" ref="AK56:AP56" si="68">AD56/$E48</f>
        <v>-0.24000231692872381</v>
      </c>
      <c r="AL56" s="183">
        <f t="shared" si="68"/>
        <v>2.9051521558505752E-2</v>
      </c>
      <c r="AM56" s="183">
        <f t="shared" si="68"/>
        <v>-0.3728746250842333</v>
      </c>
      <c r="AN56" s="183">
        <f t="shared" si="68"/>
        <v>1.6903887722541984</v>
      </c>
      <c r="AO56" s="183">
        <f t="shared" si="68"/>
        <v>1.0027178703573657E-4</v>
      </c>
      <c r="AP56" s="183">
        <f t="shared" si="68"/>
        <v>9.4315336446923859E-2</v>
      </c>
      <c r="AQ56" s="170"/>
      <c r="AR56" s="184">
        <f t="shared" si="65"/>
        <v>6.7560947055332408</v>
      </c>
      <c r="AS56" s="184">
        <f t="shared" si="60"/>
        <v>2.9051521558505752E-2</v>
      </c>
      <c r="AT56" s="184">
        <f t="shared" si="60"/>
        <v>190.69639709840038</v>
      </c>
      <c r="AU56" s="184">
        <f t="shared" si="60"/>
        <v>16.970407149539422</v>
      </c>
      <c r="AV56" s="184">
        <f t="shared" si="60"/>
        <v>1.0415366705292092E-3</v>
      </c>
      <c r="AW56" s="170"/>
      <c r="AX56" s="172">
        <f t="shared" si="61"/>
        <v>1511142.4157968783</v>
      </c>
      <c r="AY56" s="172">
        <f t="shared" si="61"/>
        <v>6497.9826932474125</v>
      </c>
      <c r="AZ56" s="172">
        <f t="shared" si="61"/>
        <v>42653252.619301923</v>
      </c>
      <c r="BA56" s="172">
        <f t="shared" si="61"/>
        <v>3795787.829322258</v>
      </c>
      <c r="BB56" s="172">
        <f t="shared" si="61"/>
        <v>232.96154199193126</v>
      </c>
      <c r="BC56" s="170"/>
      <c r="BD56" s="325">
        <f>X56/$E48</f>
        <v>6.9960970224619645</v>
      </c>
      <c r="BE56" s="325">
        <f>Y56/$E48</f>
        <v>0</v>
      </c>
      <c r="BF56" s="325">
        <f>Z56/$E48</f>
        <v>191.06927172348463</v>
      </c>
      <c r="BG56" s="325">
        <f>AA56/$E48</f>
        <v>15.280018377285224</v>
      </c>
      <c r="BH56" s="325">
        <f>AB56/$E48</f>
        <v>9.4126488349347275E-4</v>
      </c>
      <c r="BI56" s="326"/>
      <c r="BJ56" s="320">
        <f t="shared" si="62"/>
        <v>1564823.9724961186</v>
      </c>
      <c r="BK56" s="320">
        <f t="shared" si="62"/>
        <v>0</v>
      </c>
      <c r="BL56" s="320">
        <f t="shared" si="62"/>
        <v>42736653.85719128</v>
      </c>
      <c r="BM56" s="320">
        <f t="shared" si="62"/>
        <v>3417696.8930232059</v>
      </c>
      <c r="BN56" s="320">
        <f t="shared" si="62"/>
        <v>210.53365175330657</v>
      </c>
      <c r="BO56" s="83"/>
      <c r="BP56" s="83"/>
      <c r="BQ56" s="83"/>
      <c r="BR56" s="83"/>
      <c r="BS56" s="83"/>
      <c r="BT56" s="83"/>
      <c r="BU56" s="83"/>
      <c r="BV56" s="83"/>
      <c r="BW56" s="83"/>
      <c r="BX56" s="83"/>
    </row>
    <row r="57" spans="1:76" x14ac:dyDescent="0.35">
      <c r="A57" s="168">
        <v>6</v>
      </c>
      <c r="B57" s="169">
        <f t="shared" si="53"/>
        <v>1.5760012966886738</v>
      </c>
      <c r="C57" s="170"/>
      <c r="D57" s="154">
        <f t="shared" si="54"/>
        <v>-166087.71648556186</v>
      </c>
      <c r="E57" s="154">
        <f t="shared" si="54"/>
        <v>21904.753627911206</v>
      </c>
      <c r="F57" s="154">
        <f t="shared" si="54"/>
        <v>991367.70099384559</v>
      </c>
      <c r="G57" s="154">
        <f t="shared" si="63"/>
        <v>88231.725388452251</v>
      </c>
      <c r="H57" s="154">
        <f t="shared" si="55"/>
        <v>1265705.5561022942</v>
      </c>
      <c r="I57" s="154">
        <f t="shared" si="55"/>
        <v>76.827163565377703</v>
      </c>
      <c r="J57" s="154">
        <f t="shared" si="55"/>
        <v>148641.09253798056</v>
      </c>
      <c r="K57" s="170"/>
      <c r="L57" s="171">
        <f t="shared" si="56"/>
        <v>-1.4046282596662201E-2</v>
      </c>
      <c r="M57" s="171">
        <f t="shared" si="56"/>
        <v>1</v>
      </c>
      <c r="N57" s="171">
        <f t="shared" si="56"/>
        <v>2.8303788264830744E-3</v>
      </c>
      <c r="O57" s="171">
        <f t="shared" si="57"/>
        <v>4.7696268982967499E-2</v>
      </c>
      <c r="P57" s="171">
        <f t="shared" si="57"/>
        <v>4.7030753906516669E-2</v>
      </c>
      <c r="Q57" s="170"/>
      <c r="R57" s="154">
        <v>1800828.691905563</v>
      </c>
      <c r="S57" s="154">
        <v>3336.0662145893762</v>
      </c>
      <c r="T57" s="154">
        <v>53344111.73177503</v>
      </c>
      <c r="U57" s="154">
        <v>4041518.4688447993</v>
      </c>
      <c r="V57" s="154">
        <v>248.7878391342083</v>
      </c>
      <c r="W57" s="170"/>
      <c r="X57" s="154">
        <v>1826123.6406202461</v>
      </c>
      <c r="Y57" s="154">
        <v>0</v>
      </c>
      <c r="Z57" s="154">
        <v>53193127.687411867</v>
      </c>
      <c r="AA57" s="154">
        <v>3848753.1168551468</v>
      </c>
      <c r="AB57" s="154">
        <v>237.08715949695329</v>
      </c>
      <c r="AC57" s="170"/>
      <c r="AD57" s="154">
        <f t="shared" si="58"/>
        <v>-25294.948714683065</v>
      </c>
      <c r="AE57" s="154">
        <f t="shared" si="58"/>
        <v>3336.0662145893762</v>
      </c>
      <c r="AF57" s="154">
        <f t="shared" si="58"/>
        <v>150984.04436316341</v>
      </c>
      <c r="AG57" s="154">
        <f t="shared" si="58"/>
        <v>192765.3519896525</v>
      </c>
      <c r="AH57" s="154">
        <f t="shared" si="58"/>
        <v>11.700679637255007</v>
      </c>
      <c r="AI57" s="154">
        <v>22637.850000000006</v>
      </c>
      <c r="AJ57" s="170"/>
      <c r="AK57" s="183">
        <f t="shared" ref="AK57:AP57" si="69">AD57/$E48</f>
        <v>-0.10538552019882705</v>
      </c>
      <c r="AL57" s="183">
        <f t="shared" si="69"/>
        <v>1.38989439119975E-2</v>
      </c>
      <c r="AM57" s="183">
        <f t="shared" si="69"/>
        <v>0.62903990185591974</v>
      </c>
      <c r="AN57" s="183">
        <f t="shared" si="69"/>
        <v>0.80311200172338693</v>
      </c>
      <c r="AO57" s="183">
        <f t="shared" si="69"/>
        <v>4.8748160123217387E-5</v>
      </c>
      <c r="AP57" s="183">
        <f t="shared" si="69"/>
        <v>9.4315336446923859E-2</v>
      </c>
      <c r="AQ57" s="170"/>
      <c r="AR57" s="184">
        <f t="shared" si="65"/>
        <v>7.5027338709438807</v>
      </c>
      <c r="AS57" s="184">
        <f t="shared" si="60"/>
        <v>1.38989439119975E-2</v>
      </c>
      <c r="AT57" s="184">
        <f t="shared" si="60"/>
        <v>222.24583365667053</v>
      </c>
      <c r="AU57" s="184">
        <f t="shared" si="60"/>
        <v>16.838046640716929</v>
      </c>
      <c r="AV57" s="184">
        <f t="shared" si="60"/>
        <v>1.0365166635456114E-3</v>
      </c>
      <c r="AW57" s="170"/>
      <c r="AX57" s="172">
        <f t="shared" si="61"/>
        <v>11824318.309317589</v>
      </c>
      <c r="AY57" s="172">
        <f t="shared" si="61"/>
        <v>21904.753627911206</v>
      </c>
      <c r="AZ57" s="172">
        <f t="shared" si="61"/>
        <v>350259722.02656806</v>
      </c>
      <c r="BA57" s="172">
        <f t="shared" si="61"/>
        <v>26536783.339474246</v>
      </c>
      <c r="BB57" s="172">
        <f t="shared" si="61"/>
        <v>1633.5516057873015</v>
      </c>
      <c r="BC57" s="170"/>
      <c r="BD57" s="325">
        <f>X57/$E48</f>
        <v>7.6081193911427079</v>
      </c>
      <c r="BE57" s="325">
        <f>Y57/$E48</f>
        <v>0</v>
      </c>
      <c r="BF57" s="325">
        <f>Z57/$E48</f>
        <v>221.61679375481461</v>
      </c>
      <c r="BG57" s="325">
        <f>AA57/$E48</f>
        <v>16.034934638993541</v>
      </c>
      <c r="BH57" s="325">
        <f>AB57/$E48</f>
        <v>9.8776850342239403E-4</v>
      </c>
      <c r="BI57" s="326"/>
      <c r="BJ57" s="320">
        <f t="shared" si="62"/>
        <v>11990406.025803152</v>
      </c>
      <c r="BK57" s="320">
        <f t="shared" si="62"/>
        <v>0</v>
      </c>
      <c r="BL57" s="320">
        <f t="shared" si="62"/>
        <v>349268354.32557422</v>
      </c>
      <c r="BM57" s="320">
        <f t="shared" si="62"/>
        <v>25271077.783371951</v>
      </c>
      <c r="BN57" s="320">
        <f t="shared" si="62"/>
        <v>1556.7244422219237</v>
      </c>
      <c r="BO57" s="83"/>
      <c r="BP57" s="83"/>
      <c r="BQ57" s="83"/>
      <c r="BR57" s="83"/>
      <c r="BS57" s="83"/>
      <c r="BT57" s="83"/>
      <c r="BU57" s="83"/>
      <c r="BV57" s="83"/>
      <c r="BW57" s="83"/>
      <c r="BX57" s="83"/>
    </row>
    <row r="58" spans="1:76" x14ac:dyDescent="0.35">
      <c r="A58" s="168">
        <v>7</v>
      </c>
      <c r="B58" s="169">
        <f t="shared" si="53"/>
        <v>1.1115504717554321</v>
      </c>
      <c r="C58" s="170"/>
      <c r="D58" s="154">
        <f t="shared" si="54"/>
        <v>-90512.287489184935</v>
      </c>
      <c r="E58" s="154">
        <f t="shared" si="54"/>
        <v>12096.079035069164</v>
      </c>
      <c r="F58" s="154">
        <f t="shared" si="54"/>
        <v>757447.32620200829</v>
      </c>
      <c r="G58" s="154">
        <f t="shared" si="63"/>
        <v>67412.812031978741</v>
      </c>
      <c r="H58" s="154">
        <f t="shared" si="55"/>
        <v>718886.99758126342</v>
      </c>
      <c r="I58" s="154">
        <f t="shared" si="55"/>
        <v>43.653772410206166</v>
      </c>
      <c r="J58" s="154">
        <f t="shared" si="55"/>
        <v>104836.25672135051</v>
      </c>
      <c r="K58" s="170"/>
      <c r="L58" s="171">
        <f t="shared" si="56"/>
        <v>-1.1355755824708793E-2</v>
      </c>
      <c r="M58" s="171">
        <f t="shared" si="56"/>
        <v>1</v>
      </c>
      <c r="N58" s="171">
        <f t="shared" si="56"/>
        <v>3.2880260863657673E-3</v>
      </c>
      <c r="O58" s="171">
        <f t="shared" si="57"/>
        <v>3.9646341914031394E-2</v>
      </c>
      <c r="P58" s="171">
        <f t="shared" si="57"/>
        <v>3.9104025933956454E-2</v>
      </c>
      <c r="Q58" s="170"/>
      <c r="R58" s="154">
        <v>1721135.916419755</v>
      </c>
      <c r="S58" s="154">
        <v>2611.9706230246738</v>
      </c>
      <c r="T58" s="154">
        <v>49744017.178288601</v>
      </c>
      <c r="U58" s="154">
        <v>3915445.4601593246</v>
      </c>
      <c r="V58" s="154">
        <v>241.059349308284</v>
      </c>
      <c r="W58" s="170"/>
      <c r="X58" s="154">
        <v>1740680.7156277541</v>
      </c>
      <c r="Y58" s="154">
        <v>0</v>
      </c>
      <c r="Z58" s="154">
        <v>49580457.552165762</v>
      </c>
      <c r="AA58" s="154">
        <v>3760212.370700106</v>
      </c>
      <c r="AB58" s="154">
        <v>231.63295826131019</v>
      </c>
      <c r="AC58" s="170"/>
      <c r="AD58" s="154">
        <f t="shared" si="58"/>
        <v>-19544.799207999138</v>
      </c>
      <c r="AE58" s="154">
        <f t="shared" si="58"/>
        <v>2611.9706230246738</v>
      </c>
      <c r="AF58" s="154">
        <f t="shared" si="58"/>
        <v>163559.62612283975</v>
      </c>
      <c r="AG58" s="154">
        <f t="shared" si="58"/>
        <v>155233.08945921855</v>
      </c>
      <c r="AH58" s="154">
        <f t="shared" si="58"/>
        <v>9.426391046973805</v>
      </c>
      <c r="AI58" s="154">
        <v>22637.850000000006</v>
      </c>
      <c r="AJ58" s="170"/>
      <c r="AK58" s="183">
        <f t="shared" ref="AK58:AP58" si="70">AD58/$E48</f>
        <v>-8.1428859767602016E-2</v>
      </c>
      <c r="AL58" s="183">
        <f t="shared" si="70"/>
        <v>1.0882168054830886E-2</v>
      </c>
      <c r="AM58" s="183">
        <f t="shared" si="70"/>
        <v>0.68143313816942441</v>
      </c>
      <c r="AN58" s="183">
        <f t="shared" si="70"/>
        <v>0.64674255991808516</v>
      </c>
      <c r="AO58" s="183">
        <f t="shared" si="70"/>
        <v>3.927286571276005E-5</v>
      </c>
      <c r="AP58" s="183">
        <f t="shared" si="70"/>
        <v>9.4315336446923859E-2</v>
      </c>
      <c r="AQ58" s="170"/>
      <c r="AR58" s="184">
        <f t="shared" si="65"/>
        <v>7.1707124584717086</v>
      </c>
      <c r="AS58" s="184">
        <f t="shared" si="60"/>
        <v>1.0882168054830886E-2</v>
      </c>
      <c r="AT58" s="184">
        <f t="shared" si="60"/>
        <v>207.24687708381532</v>
      </c>
      <c r="AU58" s="184">
        <f t="shared" si="60"/>
        <v>16.312792774689612</v>
      </c>
      <c r="AV58" s="184">
        <f t="shared" si="60"/>
        <v>1.0043177083374677E-3</v>
      </c>
      <c r="AW58" s="170"/>
      <c r="AX58" s="172">
        <f t="shared" si="61"/>
        <v>7970608.8160367813</v>
      </c>
      <c r="AY58" s="172">
        <f t="shared" si="61"/>
        <v>12096.079035069164</v>
      </c>
      <c r="AZ58" s="172">
        <f t="shared" si="61"/>
        <v>230365363.99235496</v>
      </c>
      <c r="BA58" s="172">
        <f t="shared" si="61"/>
        <v>18132492.504354842</v>
      </c>
      <c r="BB58" s="172">
        <f t="shared" si="61"/>
        <v>1116.3498224948466</v>
      </c>
      <c r="BC58" s="170"/>
      <c r="BD58" s="325">
        <f>X58/$E48</f>
        <v>7.2521413182393104</v>
      </c>
      <c r="BE58" s="325">
        <f>Y58/$E48</f>
        <v>0</v>
      </c>
      <c r="BF58" s="325">
        <f>Z58/$E48</f>
        <v>206.56544394564588</v>
      </c>
      <c r="BG58" s="325">
        <f>AA58/$E48</f>
        <v>15.666050214771527</v>
      </c>
      <c r="BH58" s="325">
        <f>AB58/$E48</f>
        <v>9.6504484262470761E-4</v>
      </c>
      <c r="BI58" s="326"/>
      <c r="BJ58" s="320">
        <f t="shared" si="62"/>
        <v>8061121.1035259664</v>
      </c>
      <c r="BK58" s="320">
        <f t="shared" si="62"/>
        <v>0</v>
      </c>
      <c r="BL58" s="320">
        <f t="shared" si="62"/>
        <v>229607916.66615292</v>
      </c>
      <c r="BM58" s="320">
        <f t="shared" si="62"/>
        <v>17413605.50677358</v>
      </c>
      <c r="BN58" s="320">
        <f t="shared" si="62"/>
        <v>1072.6960500846403</v>
      </c>
      <c r="BO58" s="83"/>
      <c r="BP58" s="83"/>
      <c r="BQ58" s="83"/>
      <c r="BR58" s="83"/>
      <c r="BS58" s="83"/>
      <c r="BT58" s="83"/>
      <c r="BU58" s="83"/>
      <c r="BV58" s="83"/>
      <c r="BW58" s="83"/>
      <c r="BX58" s="83"/>
    </row>
    <row r="59" spans="1:76" x14ac:dyDescent="0.35">
      <c r="A59" s="168">
        <v>8</v>
      </c>
      <c r="B59" s="169">
        <f t="shared" si="53"/>
        <v>2.2621437132222622</v>
      </c>
      <c r="C59" s="170"/>
      <c r="D59" s="154">
        <f t="shared" si="54"/>
        <v>-255546.03878411654</v>
      </c>
      <c r="E59" s="154">
        <f t="shared" si="54"/>
        <v>33656.897436323161</v>
      </c>
      <c r="F59" s="154">
        <f t="shared" si="54"/>
        <v>1054016.3798650634</v>
      </c>
      <c r="G59" s="154">
        <f t="shared" si="63"/>
        <v>93807.457807990635</v>
      </c>
      <c r="H59" s="154">
        <f t="shared" si="55"/>
        <v>1929152.7937832335</v>
      </c>
      <c r="I59" s="154">
        <f t="shared" si="55"/>
        <v>117.08371438410329</v>
      </c>
      <c r="J59" s="154">
        <f t="shared" si="55"/>
        <v>213354.8454038513</v>
      </c>
      <c r="K59" s="170"/>
      <c r="L59" s="171">
        <f t="shared" si="56"/>
        <v>-1.4405549478805364E-2</v>
      </c>
      <c r="M59" s="171">
        <f t="shared" si="56"/>
        <v>1</v>
      </c>
      <c r="N59" s="171">
        <f t="shared" si="56"/>
        <v>1.9278674005650236E-3</v>
      </c>
      <c r="O59" s="171">
        <f t="shared" si="57"/>
        <v>4.8194259885896144E-2</v>
      </c>
      <c r="P59" s="171">
        <f t="shared" si="57"/>
        <v>4.7516697860033319E-2</v>
      </c>
      <c r="Q59" s="170"/>
      <c r="R59" s="154">
        <v>1882226.971778485</v>
      </c>
      <c r="S59" s="154">
        <v>3571.1389361074012</v>
      </c>
      <c r="T59" s="154">
        <v>58010000.331686154</v>
      </c>
      <c r="U59" s="154">
        <v>4247212.3829589309</v>
      </c>
      <c r="V59" s="154">
        <v>261.44654506960552</v>
      </c>
      <c r="W59" s="170"/>
      <c r="X59" s="154">
        <v>1909341.4855507819</v>
      </c>
      <c r="Y59" s="154">
        <v>0</v>
      </c>
      <c r="Z59" s="154">
        <v>57898164.74313993</v>
      </c>
      <c r="AA59" s="154">
        <v>4042521.1255840119</v>
      </c>
      <c r="AB59" s="154">
        <v>249.02346858098349</v>
      </c>
      <c r="AC59" s="170"/>
      <c r="AD59" s="154">
        <f t="shared" si="58"/>
        <v>-27114.513772296952</v>
      </c>
      <c r="AE59" s="154">
        <f t="shared" si="58"/>
        <v>3571.1389361074012</v>
      </c>
      <c r="AF59" s="154">
        <f t="shared" si="58"/>
        <v>111835.58854622394</v>
      </c>
      <c r="AG59" s="154">
        <f t="shared" si="58"/>
        <v>204691.25737491902</v>
      </c>
      <c r="AH59" s="154">
        <f t="shared" si="58"/>
        <v>12.42307648862203</v>
      </c>
      <c r="AI59" s="154">
        <v>22637.850000000006</v>
      </c>
      <c r="AJ59" s="170"/>
      <c r="AK59" s="183">
        <f t="shared" ref="AK59:AP59" si="71">AD59/$E48</f>
        <v>-0.11296631477940428</v>
      </c>
      <c r="AL59" s="183">
        <f t="shared" si="71"/>
        <v>1.4878319728140224E-2</v>
      </c>
      <c r="AM59" s="183">
        <f t="shared" si="71"/>
        <v>0.46593696664996248</v>
      </c>
      <c r="AN59" s="183">
        <f t="shared" si="71"/>
        <v>0.8527985125380444</v>
      </c>
      <c r="AO59" s="183">
        <f t="shared" si="71"/>
        <v>5.1757858574478405E-5</v>
      </c>
      <c r="AP59" s="183">
        <f t="shared" si="71"/>
        <v>9.4315336446923859E-2</v>
      </c>
      <c r="AQ59" s="170"/>
      <c r="AR59" s="184">
        <f t="shared" si="65"/>
        <v>7.8418608707435746</v>
      </c>
      <c r="AS59" s="184">
        <f t="shared" si="60"/>
        <v>1.4878319728140224E-2</v>
      </c>
      <c r="AT59" s="184">
        <f t="shared" si="60"/>
        <v>241.68517321959209</v>
      </c>
      <c r="AU59" s="184">
        <f t="shared" si="60"/>
        <v>17.695022489340317</v>
      </c>
      <c r="AV59" s="184">
        <f t="shared" si="60"/>
        <v>1.089256217402522E-3</v>
      </c>
      <c r="AW59" s="170"/>
      <c r="AX59" s="172">
        <f t="shared" si="61"/>
        <v>17739416.268716235</v>
      </c>
      <c r="AY59" s="172">
        <f t="shared" si="61"/>
        <v>33656.897436323161</v>
      </c>
      <c r="AZ59" s="172">
        <f t="shared" si="61"/>
        <v>546726595.17773366</v>
      </c>
      <c r="BA59" s="172">
        <f t="shared" si="61"/>
        <v>40028683.879587747</v>
      </c>
      <c r="BB59" s="172">
        <f t="shared" si="61"/>
        <v>2464.054104285377</v>
      </c>
      <c r="BC59" s="170"/>
      <c r="BD59" s="325">
        <f>X59/$E48</f>
        <v>7.9548271855229791</v>
      </c>
      <c r="BE59" s="325">
        <f>Y59/$E48</f>
        <v>0</v>
      </c>
      <c r="BF59" s="325">
        <f>Z59/$E48</f>
        <v>241.21923625294212</v>
      </c>
      <c r="BG59" s="325">
        <f>AA59/$E48</f>
        <v>16.842223976802273</v>
      </c>
      <c r="BH59" s="325">
        <f>AB59/$E48</f>
        <v>1.0374983588280434E-3</v>
      </c>
      <c r="BI59" s="326"/>
      <c r="BJ59" s="320">
        <f t="shared" si="62"/>
        <v>17994962.307500347</v>
      </c>
      <c r="BK59" s="320">
        <f t="shared" si="62"/>
        <v>0</v>
      </c>
      <c r="BL59" s="320">
        <f t="shared" si="62"/>
        <v>545672578.79786861</v>
      </c>
      <c r="BM59" s="320">
        <f t="shared" si="62"/>
        <v>38099531.085804507</v>
      </c>
      <c r="BN59" s="320">
        <f t="shared" si="62"/>
        <v>2346.9703899012729</v>
      </c>
      <c r="BO59" s="83"/>
      <c r="BP59" s="83"/>
      <c r="BQ59" s="83"/>
      <c r="BR59" s="83"/>
      <c r="BS59" s="83"/>
      <c r="BT59" s="83"/>
      <c r="BU59" s="83"/>
      <c r="BV59" s="83"/>
      <c r="BW59" s="83"/>
      <c r="BX59" s="83"/>
    </row>
    <row r="60" spans="1:76" x14ac:dyDescent="0.35">
      <c r="A60" s="168">
        <v>9</v>
      </c>
      <c r="B60" s="169">
        <f t="shared" si="53"/>
        <v>3.5368198592076339</v>
      </c>
      <c r="C60" s="170"/>
      <c r="D60" s="154">
        <f t="shared" si="54"/>
        <v>-456755.03265959403</v>
      </c>
      <c r="E60" s="154">
        <f t="shared" si="54"/>
        <v>59243.948098300709</v>
      </c>
      <c r="F60" s="154">
        <f t="shared" si="54"/>
        <v>2764539.9368568221</v>
      </c>
      <c r="G60" s="154">
        <f t="shared" si="63"/>
        <v>246044.05438025715</v>
      </c>
      <c r="H60" s="154">
        <f t="shared" si="55"/>
        <v>3487175.0239686677</v>
      </c>
      <c r="I60" s="154">
        <f t="shared" si="55"/>
        <v>211.72597724313511</v>
      </c>
      <c r="J60" s="154">
        <f t="shared" si="55"/>
        <v>333576.35497332987</v>
      </c>
      <c r="K60" s="170"/>
      <c r="L60" s="171">
        <f t="shared" si="56"/>
        <v>-1.6563078717248415E-2</v>
      </c>
      <c r="M60" s="171">
        <f t="shared" si="56"/>
        <v>1</v>
      </c>
      <c r="N60" s="171">
        <f t="shared" si="56"/>
        <v>3.1862426347456186E-3</v>
      </c>
      <c r="O60" s="171">
        <f t="shared" si="57"/>
        <v>5.4869780024097377E-2</v>
      </c>
      <c r="P60" s="171">
        <f t="shared" si="57"/>
        <v>5.4123800885364316E-2</v>
      </c>
      <c r="Q60" s="170"/>
      <c r="R60" s="154">
        <v>1871467.090444796</v>
      </c>
      <c r="S60" s="154">
        <v>4020.5355999058902</v>
      </c>
      <c r="T60" s="154">
        <v>58882188.434209608</v>
      </c>
      <c r="U60" s="154">
        <v>4313009.805925265</v>
      </c>
      <c r="V60" s="154">
        <v>265.47631308123755</v>
      </c>
      <c r="W60" s="170"/>
      <c r="X60" s="154">
        <v>1902464.347180573</v>
      </c>
      <c r="Y60" s="154">
        <v>0</v>
      </c>
      <c r="Z60" s="154">
        <v>58694575.494993404</v>
      </c>
      <c r="AA60" s="154">
        <v>4076355.9066323708</v>
      </c>
      <c r="AB60" s="154">
        <v>251.10772597224801</v>
      </c>
      <c r="AC60" s="170"/>
      <c r="AD60" s="154">
        <f t="shared" si="58"/>
        <v>-30997.256735777017</v>
      </c>
      <c r="AE60" s="154">
        <f t="shared" si="58"/>
        <v>4020.5355999058902</v>
      </c>
      <c r="AF60" s="154">
        <f t="shared" si="58"/>
        <v>187612.93921620399</v>
      </c>
      <c r="AG60" s="154">
        <f t="shared" si="58"/>
        <v>236653.89929289417</v>
      </c>
      <c r="AH60" s="154">
        <f t="shared" si="58"/>
        <v>14.368587108989544</v>
      </c>
      <c r="AI60" s="154">
        <v>22637.850000000006</v>
      </c>
      <c r="AJ60" s="170"/>
      <c r="AK60" s="183">
        <f t="shared" ref="AK60:AP60" si="72">AD60/$E48</f>
        <v>-0.12914286020830093</v>
      </c>
      <c r="AL60" s="183">
        <f t="shared" si="72"/>
        <v>1.675062639791141E-2</v>
      </c>
      <c r="AM60" s="183">
        <f t="shared" si="72"/>
        <v>0.78164567235724902</v>
      </c>
      <c r="AN60" s="183">
        <f t="shared" si="72"/>
        <v>0.98596342555877636</v>
      </c>
      <c r="AO60" s="183">
        <f t="shared" si="72"/>
        <v>5.9863376047251904E-5</v>
      </c>
      <c r="AP60" s="183">
        <f t="shared" si="72"/>
        <v>9.4315336446923859E-2</v>
      </c>
      <c r="AQ60" s="170"/>
      <c r="AR60" s="184">
        <f t="shared" si="65"/>
        <v>7.7970323279218912</v>
      </c>
      <c r="AS60" s="184">
        <f t="shared" si="60"/>
        <v>1.675062639791141E-2</v>
      </c>
      <c r="AT60" s="184">
        <f t="shared" si="60"/>
        <v>245.31894207725762</v>
      </c>
      <c r="AU60" s="184">
        <f t="shared" si="60"/>
        <v>17.96915214760779</v>
      </c>
      <c r="AV60" s="184">
        <f t="shared" si="60"/>
        <v>1.1060453084964256E-3</v>
      </c>
      <c r="AW60" s="170"/>
      <c r="AX60" s="172">
        <f t="shared" si="61"/>
        <v>27576698.780278072</v>
      </c>
      <c r="AY60" s="172">
        <f t="shared" si="61"/>
        <v>59243.948098300709</v>
      </c>
      <c r="AZ60" s="172">
        <f t="shared" si="61"/>
        <v>867648906.17865193</v>
      </c>
      <c r="BA60" s="172">
        <f t="shared" si="61"/>
        <v>63553654.168782733</v>
      </c>
      <c r="BB60" s="172">
        <f t="shared" si="61"/>
        <v>3911.8830122735926</v>
      </c>
      <c r="BC60" s="170"/>
      <c r="BD60" s="325">
        <f>X60/$E48</f>
        <v>7.9261751881301921</v>
      </c>
      <c r="BE60" s="325">
        <f>Y60/$E48</f>
        <v>0</v>
      </c>
      <c r="BF60" s="325">
        <f>Z60/$E48</f>
        <v>244.53729640490039</v>
      </c>
      <c r="BG60" s="325">
        <f>AA60/$E48</f>
        <v>16.983188722049015</v>
      </c>
      <c r="BH60" s="325">
        <f>AB60/$E48</f>
        <v>1.0461819324491736E-3</v>
      </c>
      <c r="BI60" s="326"/>
      <c r="BJ60" s="320">
        <f t="shared" si="62"/>
        <v>28033453.812937666</v>
      </c>
      <c r="BK60" s="320">
        <f t="shared" si="62"/>
        <v>0</v>
      </c>
      <c r="BL60" s="320">
        <f t="shared" si="62"/>
        <v>864884366.24179518</v>
      </c>
      <c r="BM60" s="320">
        <f t="shared" si="62"/>
        <v>60066479.144814067</v>
      </c>
      <c r="BN60" s="320">
        <f t="shared" si="62"/>
        <v>3700.1570350304569</v>
      </c>
      <c r="BO60" s="83"/>
      <c r="BP60" s="83"/>
      <c r="BQ60" s="83"/>
      <c r="BR60" s="83"/>
      <c r="BS60" s="83"/>
      <c r="BT60" s="83"/>
      <c r="BU60" s="83"/>
      <c r="BV60" s="83"/>
      <c r="BW60" s="83"/>
      <c r="BX60" s="83"/>
    </row>
    <row r="61" spans="1:76" x14ac:dyDescent="0.35">
      <c r="A61" s="168">
        <v>10</v>
      </c>
      <c r="B61" s="169">
        <f t="shared" si="53"/>
        <v>2.1175160874992249</v>
      </c>
      <c r="C61" s="170"/>
      <c r="D61" s="154">
        <f t="shared" si="54"/>
        <v>-387990.18879983266</v>
      </c>
      <c r="E61" s="154">
        <f t="shared" si="54"/>
        <v>47091.34963049565</v>
      </c>
      <c r="F61" s="154">
        <f t="shared" si="54"/>
        <v>1920417.2157308802</v>
      </c>
      <c r="G61" s="154">
        <f t="shared" si="63"/>
        <v>170917.13220004833</v>
      </c>
      <c r="H61" s="154">
        <f t="shared" si="55"/>
        <v>2647015.8380959998</v>
      </c>
      <c r="I61" s="154">
        <f t="shared" si="55"/>
        <v>160.60465862662849</v>
      </c>
      <c r="J61" s="154">
        <f t="shared" si="55"/>
        <v>199714.24222426326</v>
      </c>
      <c r="K61" s="170"/>
      <c r="L61" s="171">
        <f t="shared" si="56"/>
        <v>-2.2712422569791366E-2</v>
      </c>
      <c r="M61" s="171">
        <f t="shared" si="56"/>
        <v>1</v>
      </c>
      <c r="N61" s="171">
        <f t="shared" si="56"/>
        <v>3.6683731888043918E-3</v>
      </c>
      <c r="O61" s="171">
        <f t="shared" si="57"/>
        <v>6.602761329479119E-2</v>
      </c>
      <c r="P61" s="171">
        <f t="shared" si="57"/>
        <v>6.5098507928983446E-2</v>
      </c>
      <c r="Q61" s="170"/>
      <c r="R61" s="154">
        <v>1936348.061093383</v>
      </c>
      <c r="S61" s="154">
        <v>5337.8612229148384</v>
      </c>
      <c r="T61" s="154">
        <v>59340092.784696467</v>
      </c>
      <c r="U61" s="154">
        <v>4544196.280524591</v>
      </c>
      <c r="V61" s="154">
        <v>279.64898357312336</v>
      </c>
      <c r="W61" s="170"/>
      <c r="X61" s="154">
        <v>1980327.2164991321</v>
      </c>
      <c r="Y61" s="154">
        <v>0</v>
      </c>
      <c r="Z61" s="154">
        <v>59122411.179303922</v>
      </c>
      <c r="AA61" s="154">
        <v>4244153.8457784848</v>
      </c>
      <c r="AB61" s="154">
        <v>261.44425199865623</v>
      </c>
      <c r="AC61" s="170"/>
      <c r="AD61" s="154">
        <f t="shared" si="58"/>
        <v>-43979.155405749101</v>
      </c>
      <c r="AE61" s="154">
        <f t="shared" si="58"/>
        <v>5337.8612229148384</v>
      </c>
      <c r="AF61" s="154">
        <f t="shared" si="58"/>
        <v>217681.60539254546</v>
      </c>
      <c r="AG61" s="154">
        <f t="shared" si="58"/>
        <v>300042.43474610616</v>
      </c>
      <c r="AH61" s="154">
        <f t="shared" si="58"/>
        <v>18.204731574467132</v>
      </c>
      <c r="AI61" s="154">
        <v>22637.850000000006</v>
      </c>
      <c r="AJ61" s="170"/>
      <c r="AK61" s="183">
        <f t="shared" ref="AK61:AP61" si="73">AD61/$E48</f>
        <v>-0.18322892141898528</v>
      </c>
      <c r="AL61" s="183">
        <f t="shared" si="73"/>
        <v>2.2238957195413932E-2</v>
      </c>
      <c r="AM61" s="183">
        <f t="shared" si="73"/>
        <v>0.90691977599040696</v>
      </c>
      <c r="AN61" s="183">
        <f t="shared" si="73"/>
        <v>1.2500570143115708</v>
      </c>
      <c r="AO61" s="183">
        <f t="shared" si="73"/>
        <v>7.5845779673061047E-5</v>
      </c>
      <c r="AP61" s="183">
        <f t="shared" si="73"/>
        <v>9.4315336446923859E-2</v>
      </c>
      <c r="AQ61" s="170"/>
      <c r="AR61" s="184">
        <f t="shared" si="65"/>
        <v>8.0673438007748555</v>
      </c>
      <c r="AS61" s="184">
        <f t="shared" si="60"/>
        <v>2.2238957195413932E-2</v>
      </c>
      <c r="AT61" s="184">
        <f t="shared" si="60"/>
        <v>247.22669404472265</v>
      </c>
      <c r="AU61" s="184">
        <f t="shared" si="60"/>
        <v>18.932336819907221</v>
      </c>
      <c r="AV61" s="184">
        <f t="shared" si="60"/>
        <v>1.1650924435288425E-3</v>
      </c>
      <c r="AW61" s="170"/>
      <c r="AX61" s="172">
        <f t="shared" si="61"/>
        <v>17082730.281527899</v>
      </c>
      <c r="AY61" s="172">
        <f t="shared" si="61"/>
        <v>47091.34963049565</v>
      </c>
      <c r="AZ61" s="172">
        <f t="shared" si="61"/>
        <v>523506501.89894909</v>
      </c>
      <c r="BA61" s="172">
        <f t="shared" si="61"/>
        <v>40089527.790107451</v>
      </c>
      <c r="BB61" s="172">
        <f t="shared" si="61"/>
        <v>2467.1019925961064</v>
      </c>
      <c r="BC61" s="170"/>
      <c r="BD61" s="325">
        <f>X61/$E48</f>
        <v>8.2505727221938407</v>
      </c>
      <c r="BE61" s="325">
        <f>Y61/$E48</f>
        <v>0</v>
      </c>
      <c r="BF61" s="325">
        <f>Z61/$E48</f>
        <v>246.31977426873226</v>
      </c>
      <c r="BG61" s="325">
        <f>AA61/$E48</f>
        <v>17.682279805595652</v>
      </c>
      <c r="BH61" s="325">
        <f>AB61/$E48</f>
        <v>1.0892466638557814E-3</v>
      </c>
      <c r="BI61" s="326"/>
      <c r="BJ61" s="320">
        <f t="shared" si="62"/>
        <v>17470720.470327731</v>
      </c>
      <c r="BK61" s="320">
        <f t="shared" si="62"/>
        <v>0</v>
      </c>
      <c r="BL61" s="320">
        <f t="shared" si="62"/>
        <v>521586084.68321824</v>
      </c>
      <c r="BM61" s="320">
        <f t="shared" si="62"/>
        <v>37442511.952011459</v>
      </c>
      <c r="BN61" s="320">
        <f t="shared" si="62"/>
        <v>2306.4973339694779</v>
      </c>
      <c r="BO61" s="83"/>
      <c r="BP61" s="83"/>
      <c r="BQ61" s="83"/>
      <c r="BR61" s="83"/>
      <c r="BS61" s="83"/>
      <c r="BT61" s="83"/>
      <c r="BU61" s="83"/>
      <c r="BV61" s="83"/>
      <c r="BW61" s="83"/>
      <c r="BX61" s="83"/>
    </row>
    <row r="62" spans="1:76" x14ac:dyDescent="0.35">
      <c r="A62" s="168">
        <v>11</v>
      </c>
      <c r="B62" s="169">
        <f t="shared" si="53"/>
        <v>0.43651698146793316</v>
      </c>
      <c r="C62" s="170"/>
      <c r="D62" s="154">
        <f t="shared" si="54"/>
        <v>-228442.25474783126</v>
      </c>
      <c r="E62" s="154">
        <f t="shared" si="54"/>
        <v>26487.156122391283</v>
      </c>
      <c r="F62" s="154">
        <f t="shared" si="54"/>
        <v>918055.78564037662</v>
      </c>
      <c r="G62" s="154">
        <f t="shared" si="63"/>
        <v>81706.964921993509</v>
      </c>
      <c r="H62" s="154">
        <f t="shared" si="55"/>
        <v>1592329.8630444843</v>
      </c>
      <c r="I62" s="154">
        <f t="shared" si="55"/>
        <v>94.571792676437624</v>
      </c>
      <c r="J62" s="154">
        <f t="shared" si="55"/>
        <v>41170.245971943739</v>
      </c>
      <c r="K62" s="170"/>
      <c r="L62" s="171">
        <f t="shared" si="56"/>
        <v>-6.4596144831759253E-2</v>
      </c>
      <c r="M62" s="171">
        <f t="shared" si="56"/>
        <v>1</v>
      </c>
      <c r="N62" s="171">
        <f t="shared" si="56"/>
        <v>7.8171390312704921E-3</v>
      </c>
      <c r="O62" s="171">
        <f t="shared" si="57"/>
        <v>0.15822060472601496</v>
      </c>
      <c r="P62" s="171">
        <f t="shared" si="57"/>
        <v>0.15341742100960443</v>
      </c>
      <c r="Q62" s="170"/>
      <c r="R62" s="154">
        <v>1944560.9254541339</v>
      </c>
      <c r="S62" s="154">
        <v>14564.21386536998</v>
      </c>
      <c r="T62" s="154">
        <v>64576269.394227885</v>
      </c>
      <c r="U62" s="154">
        <v>5533777.7932851166</v>
      </c>
      <c r="V62" s="154">
        <v>338.95235825211614</v>
      </c>
      <c r="W62" s="170"/>
      <c r="X62" s="154">
        <v>2070172.0646289489</v>
      </c>
      <c r="Y62" s="154">
        <v>0</v>
      </c>
      <c r="Z62" s="154">
        <v>64071467.718252428</v>
      </c>
      <c r="AA62" s="154">
        <v>4658220.1244121529</v>
      </c>
      <c r="AB62" s="154">
        <v>286.95116160395298</v>
      </c>
      <c r="AC62" s="170"/>
      <c r="AD62" s="154">
        <f t="shared" si="58"/>
        <v>-125611.13917481503</v>
      </c>
      <c r="AE62" s="154">
        <f t="shared" si="58"/>
        <v>14564.21386536998</v>
      </c>
      <c r="AF62" s="154">
        <f t="shared" si="58"/>
        <v>504801.67597545683</v>
      </c>
      <c r="AG62" s="154">
        <f t="shared" si="58"/>
        <v>875557.66887296364</v>
      </c>
      <c r="AH62" s="154">
        <f t="shared" si="58"/>
        <v>52.001196648163159</v>
      </c>
      <c r="AI62" s="154">
        <v>22637.850000000006</v>
      </c>
      <c r="AJ62" s="170"/>
      <c r="AK62" s="183">
        <f t="shared" ref="AK62:AP62" si="74">AD62/$E48</f>
        <v>-0.52332959414229063</v>
      </c>
      <c r="AL62" s="183">
        <f t="shared" si="74"/>
        <v>6.0678409424805041E-2</v>
      </c>
      <c r="AM62" s="183">
        <f t="shared" si="74"/>
        <v>2.1031387657660177</v>
      </c>
      <c r="AN62" s="183">
        <f t="shared" si="74"/>
        <v>3.6478073720975224</v>
      </c>
      <c r="AO62" s="183">
        <f t="shared" si="74"/>
        <v>2.1665089032369049E-4</v>
      </c>
      <c r="AP62" s="183">
        <f t="shared" si="74"/>
        <v>9.4315336446923859E-2</v>
      </c>
      <c r="AQ62" s="170"/>
      <c r="AR62" s="184">
        <f t="shared" si="65"/>
        <v>8.1015607898165332</v>
      </c>
      <c r="AS62" s="184">
        <f t="shared" si="60"/>
        <v>6.0678409424805041E-2</v>
      </c>
      <c r="AT62" s="184">
        <f t="shared" si="60"/>
        <v>269.04200595037929</v>
      </c>
      <c r="AU62" s="184">
        <f t="shared" si="60"/>
        <v>23.055198015544828</v>
      </c>
      <c r="AV62" s="184">
        <f t="shared" si="60"/>
        <v>1.4121661601268051E-3</v>
      </c>
      <c r="AW62" s="170"/>
      <c r="AX62" s="172">
        <f t="shared" si="61"/>
        <v>3536468.8611496775</v>
      </c>
      <c r="AY62" s="172">
        <f t="shared" si="61"/>
        <v>26487.156122391283</v>
      </c>
      <c r="AZ62" s="172">
        <f t="shared" si="61"/>
        <v>117441404.32553728</v>
      </c>
      <c r="BA62" s="172">
        <f t="shared" si="61"/>
        <v>10063985.444891112</v>
      </c>
      <c r="BB62" s="172">
        <f t="shared" si="61"/>
        <v>616.4345095497149</v>
      </c>
      <c r="BC62" s="170"/>
      <c r="BD62" s="325">
        <f>X62/$E48</f>
        <v>8.6248903839588245</v>
      </c>
      <c r="BE62" s="325">
        <f>Y62/$E48</f>
        <v>0</v>
      </c>
      <c r="BF62" s="325">
        <f>Z62/$E48</f>
        <v>266.93886718461323</v>
      </c>
      <c r="BG62" s="325">
        <f>AA62/$E48</f>
        <v>19.407390643447307</v>
      </c>
      <c r="BH62" s="325">
        <f>AB62/$E48</f>
        <v>1.1955152698031146E-3</v>
      </c>
      <c r="BI62" s="326"/>
      <c r="BJ62" s="320">
        <f t="shared" si="62"/>
        <v>3764911.1158975093</v>
      </c>
      <c r="BK62" s="320">
        <f t="shared" si="62"/>
        <v>0</v>
      </c>
      <c r="BL62" s="320">
        <f t="shared" si="62"/>
        <v>116523348.53989689</v>
      </c>
      <c r="BM62" s="320">
        <f t="shared" si="62"/>
        <v>8471655.5818466283</v>
      </c>
      <c r="BN62" s="320">
        <f t="shared" si="62"/>
        <v>521.86271687327735</v>
      </c>
      <c r="BO62" s="83"/>
      <c r="BP62" s="83"/>
      <c r="BQ62" s="83"/>
      <c r="BR62" s="83"/>
      <c r="BS62" s="83"/>
      <c r="BT62" s="83"/>
      <c r="BU62" s="83"/>
      <c r="BV62" s="83"/>
      <c r="BW62" s="83"/>
      <c r="BX62" s="83"/>
    </row>
    <row r="63" spans="1:76" x14ac:dyDescent="0.35">
      <c r="A63" s="168">
        <v>12</v>
      </c>
      <c r="B63" s="169">
        <f t="shared" si="53"/>
        <v>2.3776347783583653</v>
      </c>
      <c r="C63" s="170"/>
      <c r="D63" s="154">
        <f t="shared" si="54"/>
        <v>-1070698.8671598784</v>
      </c>
      <c r="E63" s="154">
        <f t="shared" si="54"/>
        <v>122951.74606707359</v>
      </c>
      <c r="F63" s="154">
        <f t="shared" si="54"/>
        <v>2664229.8886147863</v>
      </c>
      <c r="G63" s="154">
        <f t="shared" si="63"/>
        <v>237116.46008671596</v>
      </c>
      <c r="H63" s="154">
        <f t="shared" si="55"/>
        <v>7333180.8806983195</v>
      </c>
      <c r="I63" s="154">
        <f t="shared" si="55"/>
        <v>435.40409463304974</v>
      </c>
      <c r="J63" s="154">
        <f t="shared" si="55"/>
        <v>224247.42406877645</v>
      </c>
      <c r="K63" s="170"/>
      <c r="L63" s="171">
        <f t="shared" si="56"/>
        <v>-5.9111567485364169E-2</v>
      </c>
      <c r="M63" s="171">
        <f t="shared" si="56"/>
        <v>1</v>
      </c>
      <c r="N63" s="171">
        <f t="shared" si="56"/>
        <v>4.5563024589236707E-3</v>
      </c>
      <c r="O63" s="171">
        <f t="shared" si="57"/>
        <v>0.14621143371652573</v>
      </c>
      <c r="P63" s="171">
        <f t="shared" si="57"/>
        <v>0.14167546862588715</v>
      </c>
      <c r="Q63" s="170"/>
      <c r="R63" s="154">
        <v>1828532.0723319501</v>
      </c>
      <c r="S63" s="154">
        <v>12412.018538285851</v>
      </c>
      <c r="T63" s="154">
        <v>59029195.606255196</v>
      </c>
      <c r="U63" s="154">
        <v>5063126.4823106304</v>
      </c>
      <c r="V63" s="154">
        <v>310.2455536261499</v>
      </c>
      <c r="W63" s="170"/>
      <c r="X63" s="154">
        <v>1936619.4693247529</v>
      </c>
      <c r="Y63" s="154">
        <v>0</v>
      </c>
      <c r="Z63" s="154">
        <v>58760240.737166129</v>
      </c>
      <c r="AA63" s="154">
        <v>4322839.5002438836</v>
      </c>
      <c r="AB63" s="154">
        <v>266.29136942706731</v>
      </c>
      <c r="AC63" s="170"/>
      <c r="AD63" s="154">
        <f t="shared" si="58"/>
        <v>-108087.39699280285</v>
      </c>
      <c r="AE63" s="154">
        <f t="shared" si="58"/>
        <v>12412.018538285851</v>
      </c>
      <c r="AF63" s="154">
        <f t="shared" si="58"/>
        <v>268954.86908906698</v>
      </c>
      <c r="AG63" s="154">
        <f t="shared" si="58"/>
        <v>740286.9820667468</v>
      </c>
      <c r="AH63" s="154">
        <f t="shared" si="58"/>
        <v>43.95418419908259</v>
      </c>
      <c r="AI63" s="154">
        <v>22637.850000000006</v>
      </c>
      <c r="AJ63" s="170"/>
      <c r="AK63" s="183">
        <f t="shared" ref="AK63:AP63" si="75">AD63/$E48</f>
        <v>-0.45032099837433437</v>
      </c>
      <c r="AL63" s="183">
        <f t="shared" si="75"/>
        <v>5.1711788196488882E-2</v>
      </c>
      <c r="AM63" s="183">
        <f t="shared" si="75"/>
        <v>1.1205379029887426</v>
      </c>
      <c r="AN63" s="183">
        <f t="shared" si="75"/>
        <v>3.0842335195658199</v>
      </c>
      <c r="AO63" s="183">
        <f t="shared" si="75"/>
        <v>1.8312488469472756E-4</v>
      </c>
      <c r="AP63" s="183">
        <f t="shared" si="75"/>
        <v>9.4315336446923859E-2</v>
      </c>
      <c r="AQ63" s="170"/>
      <c r="AR63" s="184">
        <f t="shared" si="65"/>
        <v>7.6181535616667988</v>
      </c>
      <c r="AS63" s="184">
        <f t="shared" si="60"/>
        <v>5.1711788196488882E-2</v>
      </c>
      <c r="AT63" s="184">
        <f t="shared" si="60"/>
        <v>245.93141326562537</v>
      </c>
      <c r="AU63" s="184">
        <f t="shared" si="60"/>
        <v>21.094338802159086</v>
      </c>
      <c r="AV63" s="184">
        <f t="shared" si="60"/>
        <v>1.2925659358734368E-3</v>
      </c>
      <c r="AW63" s="170"/>
      <c r="AX63" s="172">
        <f t="shared" si="61"/>
        <v>18113186.855093632</v>
      </c>
      <c r="AY63" s="172">
        <f t="shared" si="61"/>
        <v>122951.74606707359</v>
      </c>
      <c r="AZ63" s="172">
        <f t="shared" si="61"/>
        <v>584735081.27117479</v>
      </c>
      <c r="BA63" s="172">
        <f t="shared" si="61"/>
        <v>50154633.562487788</v>
      </c>
      <c r="BB63" s="172">
        <f t="shared" si="61"/>
        <v>3073.249722454012</v>
      </c>
      <c r="BC63" s="170"/>
      <c r="BD63" s="325">
        <f>X63/$E48</f>
        <v>8.0684745600411336</v>
      </c>
      <c r="BE63" s="325">
        <f>Y63/$E48</f>
        <v>0</v>
      </c>
      <c r="BF63" s="325">
        <f>Z63/$E48</f>
        <v>244.81087536263661</v>
      </c>
      <c r="BG63" s="325">
        <f>AA63/$E48</f>
        <v>18.010105282593265</v>
      </c>
      <c r="BH63" s="325">
        <f>AB63/$E48</f>
        <v>1.1094410511787091E-3</v>
      </c>
      <c r="BI63" s="326"/>
      <c r="BJ63" s="320">
        <f t="shared" si="62"/>
        <v>19183885.722253509</v>
      </c>
      <c r="BK63" s="320">
        <f t="shared" si="62"/>
        <v>0</v>
      </c>
      <c r="BL63" s="320">
        <f t="shared" si="62"/>
        <v>582070851.3825599</v>
      </c>
      <c r="BM63" s="320">
        <f t="shared" si="62"/>
        <v>42821452.681789465</v>
      </c>
      <c r="BN63" s="320">
        <f t="shared" si="62"/>
        <v>2637.8456278209619</v>
      </c>
      <c r="BO63" s="83"/>
      <c r="BP63" s="83"/>
      <c r="BQ63" s="83"/>
      <c r="BR63" s="83"/>
      <c r="BS63" s="83"/>
      <c r="BT63" s="83"/>
      <c r="BU63" s="83"/>
      <c r="BV63" s="83"/>
      <c r="BW63" s="83"/>
      <c r="BX63" s="83"/>
    </row>
    <row r="64" spans="1:76" x14ac:dyDescent="0.35">
      <c r="A64" s="168">
        <v>13</v>
      </c>
      <c r="B64" s="169">
        <f t="shared" si="53"/>
        <v>0.91384351099122352</v>
      </c>
      <c r="C64" s="170"/>
      <c r="D64" s="154">
        <f t="shared" si="54"/>
        <v>-388805.31039672415</v>
      </c>
      <c r="E64" s="154">
        <f t="shared" si="54"/>
        <v>45027.155286786037</v>
      </c>
      <c r="F64" s="154">
        <f t="shared" si="54"/>
        <v>1234016.7694895193</v>
      </c>
      <c r="G64" s="154">
        <f t="shared" si="63"/>
        <v>109827.49248456721</v>
      </c>
      <c r="H64" s="154">
        <f t="shared" si="55"/>
        <v>2712116.5740231527</v>
      </c>
      <c r="I64" s="154">
        <f t="shared" si="55"/>
        <v>161.08978470593109</v>
      </c>
      <c r="J64" s="154">
        <f t="shared" si="55"/>
        <v>86189.458198975408</v>
      </c>
      <c r="K64" s="170"/>
      <c r="L64" s="171">
        <f t="shared" si="56"/>
        <v>-5.1169764037551337E-2</v>
      </c>
      <c r="M64" s="171">
        <f t="shared" si="56"/>
        <v>1</v>
      </c>
      <c r="N64" s="171">
        <f t="shared" si="56"/>
        <v>4.9083526536016801E-3</v>
      </c>
      <c r="O64" s="171">
        <f t="shared" si="57"/>
        <v>0.13253494653432141</v>
      </c>
      <c r="P64" s="171">
        <f t="shared" si="57"/>
        <v>0.12840058899017384</v>
      </c>
      <c r="Q64" s="170"/>
      <c r="R64" s="154">
        <v>1995720.879345777</v>
      </c>
      <c r="S64" s="154">
        <v>11826.48097120869</v>
      </c>
      <c r="T64" s="154">
        <v>66033806.162780687</v>
      </c>
      <c r="U64" s="154">
        <v>5374758.71742131</v>
      </c>
      <c r="V64" s="154">
        <v>329.52017715974841</v>
      </c>
      <c r="W64" s="170"/>
      <c r="X64" s="154">
        <v>2097841.4458267149</v>
      </c>
      <c r="Y64" s="154">
        <v>0</v>
      </c>
      <c r="Z64" s="154">
        <v>65709688.955074184</v>
      </c>
      <c r="AA64" s="154">
        <v>4662415.3581729988</v>
      </c>
      <c r="AB64" s="154">
        <v>287.20959232829028</v>
      </c>
      <c r="AC64" s="170"/>
      <c r="AD64" s="154">
        <f t="shared" si="58"/>
        <v>-102120.56648093788</v>
      </c>
      <c r="AE64" s="154">
        <f t="shared" si="58"/>
        <v>11826.48097120869</v>
      </c>
      <c r="AF64" s="154">
        <f t="shared" si="58"/>
        <v>324117.20770650357</v>
      </c>
      <c r="AG64" s="154">
        <f t="shared" si="58"/>
        <v>712343.35924831126</v>
      </c>
      <c r="AH64" s="154">
        <f t="shared" si="58"/>
        <v>42.310584831458129</v>
      </c>
      <c r="AI64" s="154">
        <v>22637.850000000006</v>
      </c>
      <c r="AJ64" s="170"/>
      <c r="AK64" s="183">
        <f t="shared" ref="AK64:AP64" si="76">AD64/$E48</f>
        <v>-0.4254615869351599</v>
      </c>
      <c r="AL64" s="183">
        <f t="shared" si="76"/>
        <v>4.9272282119666409E-2</v>
      </c>
      <c r="AM64" s="183">
        <f t="shared" si="76"/>
        <v>1.3503589560438107</v>
      </c>
      <c r="AN64" s="183">
        <f t="shared" si="76"/>
        <v>2.9678129147969621</v>
      </c>
      <c r="AO64" s="183">
        <f t="shared" si="76"/>
        <v>1.7627721023176165E-4</v>
      </c>
      <c r="AP64" s="183">
        <f t="shared" si="76"/>
        <v>9.4315336446923859E-2</v>
      </c>
      <c r="AQ64" s="170"/>
      <c r="AR64" s="184">
        <f t="shared" si="65"/>
        <v>8.3147068378687745</v>
      </c>
      <c r="AS64" s="184">
        <f t="shared" si="60"/>
        <v>4.9272282119666409E-2</v>
      </c>
      <c r="AT64" s="184">
        <f t="shared" si="60"/>
        <v>275.11449387259006</v>
      </c>
      <c r="AU64" s="184">
        <f t="shared" si="60"/>
        <v>22.392682023894835</v>
      </c>
      <c r="AV64" s="184">
        <f t="shared" si="60"/>
        <v>1.3728691715366795E-3</v>
      </c>
      <c r="AW64" s="170"/>
      <c r="AX64" s="172">
        <f t="shared" si="61"/>
        <v>7598340.889580735</v>
      </c>
      <c r="AY64" s="172">
        <f t="shared" si="61"/>
        <v>45027.155286786037</v>
      </c>
      <c r="AZ64" s="172">
        <f t="shared" si="61"/>
        <v>251411595.00510117</v>
      </c>
      <c r="BA64" s="172">
        <f t="shared" si="61"/>
        <v>20463407.161226112</v>
      </c>
      <c r="BB64" s="172">
        <f t="shared" si="61"/>
        <v>1254.5875838486916</v>
      </c>
      <c r="BC64" s="170"/>
      <c r="BD64" s="325">
        <f>X64/$E48</f>
        <v>8.7401684248039349</v>
      </c>
      <c r="BE64" s="325">
        <f>Y64/$E48</f>
        <v>0</v>
      </c>
      <c r="BF64" s="325">
        <f>Z64/$E48</f>
        <v>273.76413491654625</v>
      </c>
      <c r="BG64" s="325">
        <f>AA64/$E48</f>
        <v>19.424869109097873</v>
      </c>
      <c r="BH64" s="325">
        <f>AB64/$E48</f>
        <v>1.1965919613049177E-3</v>
      </c>
      <c r="BI64" s="326"/>
      <c r="BJ64" s="320">
        <f t="shared" si="62"/>
        <v>7987146.1999774594</v>
      </c>
      <c r="BK64" s="320">
        <f t="shared" si="62"/>
        <v>0</v>
      </c>
      <c r="BL64" s="320">
        <f t="shared" si="62"/>
        <v>250177578.23561165</v>
      </c>
      <c r="BM64" s="320">
        <f t="shared" si="62"/>
        <v>17751290.587202959</v>
      </c>
      <c r="BN64" s="320">
        <f t="shared" si="62"/>
        <v>1093.4977991427604</v>
      </c>
      <c r="BO64" s="83"/>
      <c r="BP64" s="83"/>
      <c r="BQ64" s="83"/>
      <c r="BR64" s="83"/>
      <c r="BS64" s="83"/>
      <c r="BT64" s="83"/>
      <c r="BU64" s="83"/>
      <c r="BV64" s="83"/>
      <c r="BW64" s="83"/>
      <c r="BX64" s="83"/>
    </row>
    <row r="65" spans="1:76" x14ac:dyDescent="0.35">
      <c r="A65" s="168">
        <v>14</v>
      </c>
      <c r="B65" s="169">
        <f t="shared" si="53"/>
        <v>0.50112689809282374</v>
      </c>
      <c r="C65" s="170"/>
      <c r="D65" s="154">
        <f t="shared" si="54"/>
        <v>-246912.84626093027</v>
      </c>
      <c r="E65" s="154">
        <f t="shared" si="54"/>
        <v>27734.894186026508</v>
      </c>
      <c r="F65" s="154">
        <f t="shared" si="54"/>
        <v>446809.98644335242</v>
      </c>
      <c r="G65" s="154">
        <f t="shared" si="63"/>
        <v>39766.088793458366</v>
      </c>
      <c r="H65" s="154">
        <f t="shared" si="55"/>
        <v>1519592.7234665619</v>
      </c>
      <c r="I65" s="154">
        <f t="shared" si="55"/>
        <v>92.163027115997437</v>
      </c>
      <c r="J65" s="154">
        <f t="shared" si="55"/>
        <v>47263.951996227996</v>
      </c>
      <c r="K65" s="170"/>
      <c r="L65" s="171">
        <f t="shared" si="56"/>
        <v>-6.0886831512839849E-2</v>
      </c>
      <c r="M65" s="171">
        <f t="shared" si="56"/>
        <v>1</v>
      </c>
      <c r="N65" s="171">
        <f t="shared" si="56"/>
        <v>3.3450180464116336E-3</v>
      </c>
      <c r="O65" s="171">
        <f t="shared" si="57"/>
        <v>0.13726871597553675</v>
      </c>
      <c r="P65" s="171">
        <f t="shared" si="57"/>
        <v>0.1354361616224635</v>
      </c>
      <c r="Q65" s="170"/>
      <c r="R65" s="154">
        <v>1942340.906835343</v>
      </c>
      <c r="S65" s="154">
        <v>13284.08539343574</v>
      </c>
      <c r="T65" s="154">
        <v>63977836.765231073</v>
      </c>
      <c r="U65" s="154">
        <v>5302257.064334657</v>
      </c>
      <c r="V65" s="154">
        <v>325.93217833344352</v>
      </c>
      <c r="W65" s="170"/>
      <c r="X65" s="154">
        <v>2060603.8903703231</v>
      </c>
      <c r="Y65" s="154">
        <v>0</v>
      </c>
      <c r="Z65" s="154">
        <v>63763829.746680997</v>
      </c>
      <c r="AA65" s="154">
        <v>4574423.0453412198</v>
      </c>
      <c r="AB65" s="154">
        <v>281.78917515071367</v>
      </c>
      <c r="AC65" s="170"/>
      <c r="AD65" s="154">
        <f t="shared" si="58"/>
        <v>-118262.9835349801</v>
      </c>
      <c r="AE65" s="154">
        <f t="shared" si="58"/>
        <v>13284.08539343574</v>
      </c>
      <c r="AF65" s="154">
        <f t="shared" si="58"/>
        <v>214007.01855007559</v>
      </c>
      <c r="AG65" s="154">
        <f t="shared" si="58"/>
        <v>727834.01899343729</v>
      </c>
      <c r="AH65" s="154">
        <f t="shared" si="58"/>
        <v>44.143003182729842</v>
      </c>
      <c r="AI65" s="154">
        <v>22637.850000000006</v>
      </c>
      <c r="AJ65" s="170"/>
      <c r="AK65" s="183">
        <f t="shared" ref="AK65:AP65" si="77">AD65/$E48</f>
        <v>-0.49271521285451853</v>
      </c>
      <c r="AL65" s="183">
        <f t="shared" si="77"/>
        <v>5.5345051905174671E-2</v>
      </c>
      <c r="AM65" s="183">
        <f t="shared" si="77"/>
        <v>0.8916104646224553</v>
      </c>
      <c r="AN65" s="183">
        <f t="shared" si="77"/>
        <v>3.0323511454878793</v>
      </c>
      <c r="AO65" s="183">
        <f t="shared" si="77"/>
        <v>1.8391155507068007E-4</v>
      </c>
      <c r="AP65" s="183">
        <f t="shared" si="77"/>
        <v>9.4315336446923859E-2</v>
      </c>
      <c r="AQ65" s="170"/>
      <c r="AR65" s="184">
        <f t="shared" si="65"/>
        <v>8.0923115986190624</v>
      </c>
      <c r="AS65" s="184">
        <f t="shared" si="60"/>
        <v>5.5345051905174671E-2</v>
      </c>
      <c r="AT65" s="184">
        <f t="shared" si="60"/>
        <v>266.54877559746802</v>
      </c>
      <c r="AU65" s="184">
        <f t="shared" si="60"/>
        <v>22.090620750239172</v>
      </c>
      <c r="AV65" s="184">
        <f t="shared" si="60"/>
        <v>1.3579206089976523E-3</v>
      </c>
      <c r="AW65" s="170"/>
      <c r="AX65" s="172">
        <f t="shared" si="61"/>
        <v>4055275.0098165502</v>
      </c>
      <c r="AY65" s="172">
        <f t="shared" si="61"/>
        <v>27734.894186026508</v>
      </c>
      <c r="AZ65" s="172">
        <f t="shared" si="61"/>
        <v>133574761.1055993</v>
      </c>
      <c r="BA65" s="172">
        <f t="shared" si="61"/>
        <v>11070204.253512323</v>
      </c>
      <c r="BB65" s="172">
        <f t="shared" si="61"/>
        <v>680.49054264331164</v>
      </c>
      <c r="BC65" s="170"/>
      <c r="BD65" s="325">
        <f>X65/$E48</f>
        <v>8.5850268114735808</v>
      </c>
      <c r="BE65" s="325">
        <f>Y65/$E48</f>
        <v>0</v>
      </c>
      <c r="BF65" s="325">
        <f>Z65/$E48</f>
        <v>265.65716513284559</v>
      </c>
      <c r="BG65" s="325">
        <f>AA65/$E48</f>
        <v>19.058269604751295</v>
      </c>
      <c r="BH65" s="325">
        <f>AB65/$E48</f>
        <v>1.1740090539269722E-3</v>
      </c>
      <c r="BI65" s="326"/>
      <c r="BJ65" s="320">
        <f t="shared" si="62"/>
        <v>4302187.8560774811</v>
      </c>
      <c r="BK65" s="320">
        <f t="shared" si="62"/>
        <v>0</v>
      </c>
      <c r="BL65" s="320">
        <f t="shared" si="62"/>
        <v>133127951.11915597</v>
      </c>
      <c r="BM65" s="320">
        <f t="shared" si="62"/>
        <v>9550611.5300457627</v>
      </c>
      <c r="BN65" s="320">
        <f t="shared" si="62"/>
        <v>588.32751552731418</v>
      </c>
      <c r="BO65" s="83"/>
      <c r="BP65" s="83"/>
      <c r="BQ65" s="83"/>
      <c r="BR65" s="83"/>
      <c r="BS65" s="83"/>
      <c r="BT65" s="83"/>
      <c r="BU65" s="83"/>
      <c r="BV65" s="83"/>
      <c r="BW65" s="83"/>
      <c r="BX65" s="83"/>
    </row>
    <row r="66" spans="1:76" x14ac:dyDescent="0.35">
      <c r="A66" s="168">
        <v>15</v>
      </c>
      <c r="B66" s="169">
        <f t="shared" si="53"/>
        <v>0.28817896921862918</v>
      </c>
      <c r="C66" s="170"/>
      <c r="D66" s="154">
        <f t="shared" si="54"/>
        <v>-21465.952589751592</v>
      </c>
      <c r="E66" s="154">
        <f t="shared" si="54"/>
        <v>2813.3792567120722</v>
      </c>
      <c r="F66" s="154">
        <f t="shared" si="54"/>
        <v>119835.85220105674</v>
      </c>
      <c r="G66" s="154">
        <f t="shared" si="63"/>
        <v>10665.39084589405</v>
      </c>
      <c r="H66" s="154">
        <f t="shared" si="55"/>
        <v>162309.52085227304</v>
      </c>
      <c r="I66" s="154">
        <f t="shared" si="55"/>
        <v>9.8518097624513157</v>
      </c>
      <c r="J66" s="154">
        <f t="shared" si="55"/>
        <v>27179.696438782725</v>
      </c>
      <c r="K66" s="170"/>
      <c r="L66" s="171">
        <f t="shared" si="56"/>
        <v>-7.5423151582691824E-3</v>
      </c>
      <c r="M66" s="171">
        <f t="shared" si="56"/>
        <v>1</v>
      </c>
      <c r="N66" s="171">
        <f t="shared" si="56"/>
        <v>1.3707820963879407E-3</v>
      </c>
      <c r="O66" s="171">
        <f t="shared" si="57"/>
        <v>2.6656069627073217E-2</v>
      </c>
      <c r="P66" s="171">
        <f t="shared" si="57"/>
        <v>2.6275437498587267E-2</v>
      </c>
      <c r="Q66" s="170"/>
      <c r="R66" s="154">
        <v>2370478.7487287889</v>
      </c>
      <c r="S66" s="154">
        <v>2343.2512482251909</v>
      </c>
      <c r="T66" s="154">
        <v>72812999.356568217</v>
      </c>
      <c r="U66" s="154">
        <v>5071523.6790725896</v>
      </c>
      <c r="V66" s="154">
        <v>312.28896410675139</v>
      </c>
      <c r="W66" s="170"/>
      <c r="X66" s="154">
        <v>2388357.646527681</v>
      </c>
      <c r="Y66" s="154">
        <v>0</v>
      </c>
      <c r="Z66" s="154">
        <v>72713188.600665927</v>
      </c>
      <c r="AA66" s="154">
        <v>4936336.7907678802</v>
      </c>
      <c r="AB66" s="154">
        <v>304.08343494886589</v>
      </c>
      <c r="AC66" s="170"/>
      <c r="AD66" s="154">
        <f t="shared" si="58"/>
        <v>-17878.897798892111</v>
      </c>
      <c r="AE66" s="154">
        <f t="shared" si="58"/>
        <v>2343.2512482251909</v>
      </c>
      <c r="AF66" s="154">
        <f t="shared" si="58"/>
        <v>99810.755902290344</v>
      </c>
      <c r="AG66" s="154">
        <f t="shared" si="58"/>
        <v>135186.88830470946</v>
      </c>
      <c r="AH66" s="154">
        <f t="shared" si="58"/>
        <v>8.2055291578855076</v>
      </c>
      <c r="AI66" s="154">
        <v>22637.850000000006</v>
      </c>
      <c r="AJ66" s="170"/>
      <c r="AK66" s="183">
        <f t="shared" ref="AK66:AP66" si="78">AD66/$E48</f>
        <v>-7.4488269036267818E-2</v>
      </c>
      <c r="AL66" s="183">
        <f t="shared" si="78"/>
        <v>9.7626112840235764E-3</v>
      </c>
      <c r="AM66" s="183">
        <f t="shared" si="78"/>
        <v>0.41583829842261094</v>
      </c>
      <c r="AN66" s="183">
        <f t="shared" si="78"/>
        <v>0.56322472556675596</v>
      </c>
      <c r="AO66" s="183">
        <f t="shared" si="78"/>
        <v>3.4186428625113044E-5</v>
      </c>
      <c r="AP66" s="183">
        <f t="shared" si="78"/>
        <v>9.4315336446923859E-2</v>
      </c>
      <c r="AQ66" s="170"/>
      <c r="AR66" s="184">
        <f t="shared" si="65"/>
        <v>9.8760483317381631</v>
      </c>
      <c r="AS66" s="184">
        <f t="shared" si="60"/>
        <v>9.7626112840235764E-3</v>
      </c>
      <c r="AT66" s="184">
        <f t="shared" si="60"/>
        <v>303.35842546992671</v>
      </c>
      <c r="AU66" s="184">
        <f t="shared" si="60"/>
        <v>21.129323769274567</v>
      </c>
      <c r="AV66" s="184">
        <f t="shared" si="60"/>
        <v>1.3010793303423064E-3</v>
      </c>
      <c r="AW66" s="170"/>
      <c r="AX66" s="172">
        <f t="shared" si="61"/>
        <v>2846069.428193666</v>
      </c>
      <c r="AY66" s="172">
        <f t="shared" si="61"/>
        <v>2813.3792567120722</v>
      </c>
      <c r="AZ66" s="172">
        <f t="shared" si="61"/>
        <v>87421518.355709821</v>
      </c>
      <c r="BA66" s="172">
        <f t="shared" si="61"/>
        <v>6089026.7441162253</v>
      </c>
      <c r="BB66" s="172">
        <f t="shared" si="61"/>
        <v>374.94370028971014</v>
      </c>
      <c r="BC66" s="170"/>
      <c r="BD66" s="325">
        <f>X66/$E48</f>
        <v>9.9505366007744307</v>
      </c>
      <c r="BE66" s="325">
        <f>Y66/$E48</f>
        <v>0</v>
      </c>
      <c r="BF66" s="325">
        <f>Z66/$E48</f>
        <v>302.9425871715041</v>
      </c>
      <c r="BG66" s="325">
        <f>AA66/$E48</f>
        <v>20.566099043707812</v>
      </c>
      <c r="BH66" s="325">
        <f>AB66/$E48</f>
        <v>1.2668929017171932E-3</v>
      </c>
      <c r="BI66" s="326"/>
      <c r="BJ66" s="320">
        <f t="shared" si="62"/>
        <v>2867535.3807834177</v>
      </c>
      <c r="BK66" s="320">
        <f t="shared" si="62"/>
        <v>0</v>
      </c>
      <c r="BL66" s="320">
        <f t="shared" si="62"/>
        <v>87301682.503508776</v>
      </c>
      <c r="BM66" s="320">
        <f t="shared" si="62"/>
        <v>5926717.2232639519</v>
      </c>
      <c r="BN66" s="320">
        <f t="shared" si="62"/>
        <v>365.09189052725884</v>
      </c>
      <c r="BO66" s="83"/>
      <c r="BP66" s="83"/>
      <c r="BQ66" s="83"/>
      <c r="BR66" s="83"/>
      <c r="BS66" s="83"/>
      <c r="BT66" s="83"/>
      <c r="BU66" s="83"/>
      <c r="BV66" s="83"/>
      <c r="BW66" s="83"/>
      <c r="BX66" s="83"/>
    </row>
    <row r="67" spans="1:76" x14ac:dyDescent="0.35">
      <c r="A67" s="168">
        <v>16</v>
      </c>
      <c r="B67" s="169">
        <f t="shared" si="53"/>
        <v>0.15891804529909512</v>
      </c>
      <c r="C67" s="170"/>
      <c r="D67" s="154">
        <f t="shared" si="54"/>
        <v>-33042.34734702982</v>
      </c>
      <c r="E67" s="154">
        <f t="shared" si="54"/>
        <v>4349.936695023086</v>
      </c>
      <c r="F67" s="154">
        <f t="shared" si="54"/>
        <v>362698.55678519479</v>
      </c>
      <c r="G67" s="154">
        <f t="shared" si="63"/>
        <v>32280.171553882334</v>
      </c>
      <c r="H67" s="154">
        <f t="shared" si="55"/>
        <v>308396.06321740279</v>
      </c>
      <c r="I67" s="154">
        <f t="shared" si="55"/>
        <v>18.770811064709129</v>
      </c>
      <c r="J67" s="154">
        <f t="shared" si="55"/>
        <v>-31780.563422491032</v>
      </c>
      <c r="K67" s="170"/>
      <c r="L67" s="171">
        <f t="shared" si="56"/>
        <v>-3.0201428124925048E-2</v>
      </c>
      <c r="M67" s="171">
        <f t="shared" si="56"/>
        <v>0.18511388554953576</v>
      </c>
      <c r="N67" s="171">
        <f t="shared" si="56"/>
        <v>1.0335190467961365E-2</v>
      </c>
      <c r="O67" s="171">
        <f t="shared" si="57"/>
        <v>6.7601267290687467E-2</v>
      </c>
      <c r="P67" s="171">
        <f t="shared" si="57"/>
        <v>6.7086915651437998E-2</v>
      </c>
      <c r="Q67" s="170"/>
      <c r="R67" s="154">
        <v>1652429.948618988</v>
      </c>
      <c r="S67" s="154">
        <v>35491.437101784773</v>
      </c>
      <c r="T67" s="154">
        <v>53003797.712462842</v>
      </c>
      <c r="U67" s="154">
        <v>6890228.6328692883</v>
      </c>
      <c r="V67" s="154">
        <v>422.5954900605239</v>
      </c>
      <c r="W67" s="170"/>
      <c r="X67" s="154">
        <v>1702335.692943678</v>
      </c>
      <c r="Y67" s="154">
        <v>28921.479276136441</v>
      </c>
      <c r="Z67" s="154">
        <v>52455993.367579244</v>
      </c>
      <c r="AA67" s="154">
        <v>6424440.4453647435</v>
      </c>
      <c r="AB67" s="154">
        <v>394.24486206415543</v>
      </c>
      <c r="AC67" s="170"/>
      <c r="AD67" s="154">
        <f t="shared" si="58"/>
        <v>-49905.744324689964</v>
      </c>
      <c r="AE67" s="154">
        <f t="shared" si="58"/>
        <v>6569.9578256483328</v>
      </c>
      <c r="AF67" s="154">
        <f t="shared" si="58"/>
        <v>547804.34488359839</v>
      </c>
      <c r="AG67" s="154">
        <f t="shared" si="58"/>
        <v>465788.18750454485</v>
      </c>
      <c r="AH67" s="154">
        <f t="shared" si="58"/>
        <v>28.350627996368473</v>
      </c>
      <c r="AI67" s="154">
        <v>-48000</v>
      </c>
      <c r="AJ67" s="170"/>
      <c r="AK67" s="183">
        <f t="shared" ref="AK67:AP67" si="79">AD67/$E48</f>
        <v>-0.20792067562146113</v>
      </c>
      <c r="AL67" s="183">
        <f t="shared" si="79"/>
        <v>2.737220110426223E-2</v>
      </c>
      <c r="AM67" s="183">
        <f t="shared" si="79"/>
        <v>2.2822993833240912</v>
      </c>
      <c r="AN67" s="183">
        <f t="shared" si="79"/>
        <v>1.9405981406137947</v>
      </c>
      <c r="AO67" s="183">
        <f t="shared" si="79"/>
        <v>1.1811629717305622E-4</v>
      </c>
      <c r="AP67" s="183">
        <f t="shared" si="79"/>
        <v>-0.19998083516996287</v>
      </c>
      <c r="AQ67" s="170"/>
      <c r="AR67" s="184">
        <f t="shared" si="65"/>
        <v>6.8844650246809183</v>
      </c>
      <c r="AS67" s="184">
        <f t="shared" si="60"/>
        <v>0.14786681735410678</v>
      </c>
      <c r="AT67" s="184">
        <f t="shared" si="60"/>
        <v>220.82799445246016</v>
      </c>
      <c r="AU67" s="184">
        <f t="shared" si="60"/>
        <v>28.706534927358163</v>
      </c>
      <c r="AV67" s="184">
        <f t="shared" si="60"/>
        <v>1.7606458133617357E-3</v>
      </c>
      <c r="AW67" s="170"/>
      <c r="AX67" s="172">
        <f t="shared" si="61"/>
        <v>1094065.7246522782</v>
      </c>
      <c r="AY67" s="172">
        <f t="shared" si="61"/>
        <v>23498.705578512963</v>
      </c>
      <c r="AZ67" s="172">
        <f t="shared" si="61"/>
        <v>35093553.225704387</v>
      </c>
      <c r="BA67" s="172">
        <f t="shared" si="61"/>
        <v>4561986.4179659607</v>
      </c>
      <c r="BB67" s="172">
        <f t="shared" si="61"/>
        <v>279.79839112348247</v>
      </c>
      <c r="BC67" s="170"/>
      <c r="BD67" s="325">
        <f>X67/$E48</f>
        <v>7.0923857003023798</v>
      </c>
      <c r="BE67" s="325">
        <f>Y67/$E48</f>
        <v>0.12049461624984456</v>
      </c>
      <c r="BF67" s="325">
        <f>Z67/$E48</f>
        <v>218.54569506913606</v>
      </c>
      <c r="BG67" s="325">
        <f>AA67/$E48</f>
        <v>26.765936786744369</v>
      </c>
      <c r="BH67" s="325">
        <f>AB67/$E48</f>
        <v>1.6425295161886795E-3</v>
      </c>
      <c r="BI67" s="326"/>
      <c r="BJ67" s="320">
        <f t="shared" si="62"/>
        <v>1127108.071999308</v>
      </c>
      <c r="BK67" s="320">
        <f t="shared" si="62"/>
        <v>19148.768883489884</v>
      </c>
      <c r="BL67" s="320">
        <f t="shared" si="62"/>
        <v>34730854.668919191</v>
      </c>
      <c r="BM67" s="320">
        <f t="shared" si="62"/>
        <v>4253590.3547485583</v>
      </c>
      <c r="BN67" s="320">
        <f t="shared" si="62"/>
        <v>261.02758005877337</v>
      </c>
      <c r="BO67" s="83"/>
      <c r="BP67" s="83"/>
      <c r="BQ67" s="83"/>
      <c r="BR67" s="83"/>
      <c r="BS67" s="83"/>
      <c r="BT67" s="83"/>
      <c r="BU67" s="83"/>
      <c r="BV67" s="83"/>
      <c r="BW67" s="83"/>
      <c r="BX67" s="83"/>
    </row>
    <row r="68" spans="1:76" x14ac:dyDescent="0.35">
      <c r="A68" s="173" t="s">
        <v>130</v>
      </c>
      <c r="B68" s="174">
        <f>SUM(B52:B67)</f>
        <v>19.316181351750004</v>
      </c>
      <c r="C68" s="166"/>
      <c r="D68" s="175">
        <f>SUM(D52:D67)</f>
        <v>-4540108.9521877617</v>
      </c>
      <c r="E68" s="175">
        <f t="shared" ref="E68:J68" si="80">SUM(E52:E67)</f>
        <v>550962.56775515247</v>
      </c>
      <c r="F68" s="175">
        <f t="shared" si="80"/>
        <v>19032347.159198344</v>
      </c>
      <c r="G68" s="175">
        <f t="shared" si="80"/>
        <v>1693878.8971686526</v>
      </c>
      <c r="H68" s="175">
        <f t="shared" si="80"/>
        <v>32866411.823074881</v>
      </c>
      <c r="I68" s="175">
        <f t="shared" si="80"/>
        <v>1968.2926815009209</v>
      </c>
      <c r="J68" s="175">
        <f t="shared" si="80"/>
        <v>1752465.5884720962</v>
      </c>
      <c r="K68" s="166"/>
      <c r="L68" s="176">
        <f t="shared" si="56"/>
        <v>-3.0840389994356471E-2</v>
      </c>
      <c r="M68" s="176">
        <f t="shared" si="56"/>
        <v>0.9627262059795747</v>
      </c>
      <c r="N68" s="176">
        <f t="shared" si="56"/>
        <v>4.1444160514954188E-3</v>
      </c>
      <c r="O68" s="176">
        <f t="shared" si="57"/>
        <v>9.0250354850861025E-2</v>
      </c>
      <c r="P68" s="176">
        <f t="shared" si="57"/>
        <v>8.796600352359131E-2</v>
      </c>
      <c r="Q68" s="166"/>
      <c r="R68" s="185"/>
      <c r="S68" s="185"/>
      <c r="T68" s="185"/>
      <c r="U68" s="185"/>
      <c r="V68" s="186"/>
      <c r="W68" s="166"/>
      <c r="X68" s="185"/>
      <c r="Y68" s="185"/>
      <c r="Z68" s="185"/>
      <c r="AA68" s="185"/>
      <c r="AB68" s="185"/>
      <c r="AC68" s="166"/>
      <c r="AD68" s="185"/>
      <c r="AE68" s="185"/>
      <c r="AF68" s="185"/>
      <c r="AG68" s="185"/>
      <c r="AH68" s="185"/>
      <c r="AI68" s="186"/>
      <c r="AJ68" s="166"/>
      <c r="AK68" s="185"/>
      <c r="AL68" s="185"/>
      <c r="AM68" s="185"/>
      <c r="AN68" s="185"/>
      <c r="AO68" s="185"/>
      <c r="AP68" s="185"/>
      <c r="AQ68" s="166"/>
      <c r="AR68" s="187"/>
      <c r="AS68" s="187"/>
      <c r="AT68" s="187"/>
      <c r="AU68" s="187"/>
      <c r="AV68" s="187"/>
      <c r="AW68" s="166"/>
      <c r="AX68" s="188">
        <f>SUM(AX52:AX67)</f>
        <v>147213084.95186225</v>
      </c>
      <c r="AY68" s="188">
        <f t="shared" ref="AY68:BB68" si="81">SUM(AY52:AY67)</f>
        <v>572294.14171243797</v>
      </c>
      <c r="AZ68" s="188">
        <f t="shared" si="81"/>
        <v>4592286807.7713747</v>
      </c>
      <c r="BA68" s="188">
        <f t="shared" si="81"/>
        <v>364169336.25786537</v>
      </c>
      <c r="BB68" s="188">
        <f t="shared" si="81"/>
        <v>22375.606514544575</v>
      </c>
      <c r="BC68" s="166"/>
      <c r="BD68" s="327"/>
      <c r="BE68" s="327"/>
      <c r="BF68" s="327"/>
      <c r="BG68" s="327"/>
      <c r="BH68" s="327"/>
      <c r="BI68" s="324"/>
      <c r="BJ68" s="328">
        <f>SUM(BJ52:BJ67)</f>
        <v>151753193.90404996</v>
      </c>
      <c r="BK68" s="328">
        <f t="shared" ref="BK68:BN68" si="82">SUM(BK52:BK67)</f>
        <v>21331.573957285465</v>
      </c>
      <c r="BL68" s="328">
        <f t="shared" si="82"/>
        <v>4573254460.6121769</v>
      </c>
      <c r="BM68" s="328">
        <f t="shared" si="82"/>
        <v>331302924.43479049</v>
      </c>
      <c r="BN68" s="328">
        <f t="shared" si="82"/>
        <v>20407.313833043656</v>
      </c>
      <c r="BO68" s="83"/>
      <c r="BP68" s="83"/>
      <c r="BQ68" s="83"/>
      <c r="BR68" s="83"/>
      <c r="BS68" s="83"/>
      <c r="BT68" s="83"/>
      <c r="BU68" s="83"/>
      <c r="BV68" s="83"/>
      <c r="BW68" s="83"/>
      <c r="BX68" s="83"/>
    </row>
    <row r="69" spans="1:76" x14ac:dyDescent="0.3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</row>
    <row r="70" spans="1:76" x14ac:dyDescent="0.3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</row>
    <row r="71" spans="1:76" ht="15.5" x14ac:dyDescent="0.35">
      <c r="A71" s="155" t="s">
        <v>142</v>
      </c>
      <c r="B71" s="157"/>
      <c r="C71" s="157"/>
      <c r="D71" s="178"/>
      <c r="E71" s="154">
        <f>C214</f>
        <v>24566</v>
      </c>
      <c r="F71" s="190" t="s">
        <v>132</v>
      </c>
      <c r="G71" s="190"/>
      <c r="H71" s="178"/>
      <c r="I71" s="178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</row>
    <row r="72" spans="1:76" x14ac:dyDescent="0.35">
      <c r="A72" s="157"/>
      <c r="B72" s="158" t="s">
        <v>105</v>
      </c>
      <c r="C72" s="191"/>
      <c r="D72" s="158" t="s">
        <v>106</v>
      </c>
      <c r="E72" s="158"/>
      <c r="F72" s="158"/>
      <c r="G72" s="158"/>
      <c r="H72" s="158"/>
      <c r="I72" s="158"/>
      <c r="J72" s="158"/>
      <c r="K72" s="191"/>
      <c r="L72" s="158" t="s">
        <v>106</v>
      </c>
      <c r="M72" s="158"/>
      <c r="N72" s="158"/>
      <c r="O72" s="158"/>
      <c r="P72" s="158"/>
      <c r="Q72" s="191"/>
      <c r="R72" s="158" t="str">
        <f>R49</f>
        <v xml:space="preserve"> 2019 Energy Code Consumption </v>
      </c>
      <c r="S72" s="158"/>
      <c r="T72" s="158"/>
      <c r="U72" s="158"/>
      <c r="V72" s="157"/>
      <c r="W72" s="191"/>
      <c r="X72" s="157" t="str">
        <f>X49</f>
        <v>2022 Energy Code Consumption</v>
      </c>
      <c r="Y72" s="157"/>
      <c r="Z72" s="157"/>
      <c r="AA72" s="157"/>
      <c r="AB72" s="157"/>
      <c r="AC72" s="191"/>
      <c r="AD72" s="157" t="s">
        <v>133</v>
      </c>
      <c r="AE72" s="157"/>
      <c r="AF72" s="157"/>
      <c r="AG72" s="157"/>
      <c r="AH72" s="157"/>
      <c r="AI72" s="192"/>
      <c r="AJ72" s="191"/>
      <c r="AK72" s="158" t="s">
        <v>134</v>
      </c>
      <c r="AL72" s="158"/>
      <c r="AM72" s="158"/>
      <c r="AN72" s="158"/>
      <c r="AO72" s="158"/>
      <c r="AP72" s="158"/>
      <c r="AQ72" s="191"/>
      <c r="AR72" s="160" t="s">
        <v>614</v>
      </c>
      <c r="AS72" s="160"/>
      <c r="AT72" s="160"/>
      <c r="AU72" s="160"/>
      <c r="AV72" s="160"/>
      <c r="AW72" s="191"/>
      <c r="AX72" s="160" t="s">
        <v>107</v>
      </c>
      <c r="AY72" s="160"/>
      <c r="AZ72" s="160"/>
      <c r="BA72" s="160"/>
      <c r="BB72" s="160"/>
      <c r="BC72" s="159"/>
      <c r="BD72" s="316" t="s">
        <v>135</v>
      </c>
      <c r="BE72" s="316"/>
      <c r="BF72" s="316"/>
      <c r="BG72" s="316"/>
      <c r="BH72" s="316"/>
      <c r="BI72" s="322"/>
      <c r="BJ72" s="316" t="s">
        <v>108</v>
      </c>
      <c r="BK72" s="316"/>
      <c r="BL72" s="316"/>
      <c r="BM72" s="316"/>
      <c r="BN72" s="316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</row>
    <row r="73" spans="1:76" ht="16.5" x14ac:dyDescent="0.45">
      <c r="A73" s="83"/>
      <c r="B73" s="161" t="s">
        <v>109</v>
      </c>
      <c r="C73" s="162"/>
      <c r="D73" s="163" t="s">
        <v>110</v>
      </c>
      <c r="E73" s="163" t="s">
        <v>111</v>
      </c>
      <c r="F73" s="163" t="s">
        <v>8</v>
      </c>
      <c r="G73" s="163" t="s">
        <v>8</v>
      </c>
      <c r="H73" s="163" t="s">
        <v>112</v>
      </c>
      <c r="I73" s="163" t="s">
        <v>113</v>
      </c>
      <c r="J73" s="163" t="s">
        <v>114</v>
      </c>
      <c r="K73" s="162"/>
      <c r="L73" s="163" t="s">
        <v>110</v>
      </c>
      <c r="M73" s="163" t="s">
        <v>111</v>
      </c>
      <c r="N73" s="163" t="s">
        <v>8</v>
      </c>
      <c r="O73" s="163" t="s">
        <v>112</v>
      </c>
      <c r="P73" s="163" t="s">
        <v>113</v>
      </c>
      <c r="Q73" s="162"/>
      <c r="R73" s="163" t="s">
        <v>110</v>
      </c>
      <c r="S73" s="163" t="s">
        <v>111</v>
      </c>
      <c r="T73" s="163" t="s">
        <v>8</v>
      </c>
      <c r="U73" s="163" t="s">
        <v>112</v>
      </c>
      <c r="V73" s="163" t="s">
        <v>113</v>
      </c>
      <c r="W73" s="162"/>
      <c r="X73" s="163" t="s">
        <v>110</v>
      </c>
      <c r="Y73" s="163" t="s">
        <v>111</v>
      </c>
      <c r="Z73" s="163" t="s">
        <v>8</v>
      </c>
      <c r="AA73" s="163" t="s">
        <v>112</v>
      </c>
      <c r="AB73" s="163" t="s">
        <v>113</v>
      </c>
      <c r="AC73" s="162"/>
      <c r="AD73" s="163" t="s">
        <v>110</v>
      </c>
      <c r="AE73" s="163" t="s">
        <v>111</v>
      </c>
      <c r="AF73" s="163" t="s">
        <v>8</v>
      </c>
      <c r="AG73" s="163" t="s">
        <v>112</v>
      </c>
      <c r="AH73" s="163" t="s">
        <v>113</v>
      </c>
      <c r="AI73" s="181" t="s">
        <v>114</v>
      </c>
      <c r="AJ73" s="162"/>
      <c r="AK73" s="163" t="s">
        <v>110</v>
      </c>
      <c r="AL73" s="163" t="s">
        <v>111</v>
      </c>
      <c r="AM73" s="163" t="s">
        <v>8</v>
      </c>
      <c r="AN73" s="163" t="s">
        <v>112</v>
      </c>
      <c r="AO73" s="163" t="s">
        <v>113</v>
      </c>
      <c r="AP73" s="163" t="s">
        <v>114</v>
      </c>
      <c r="AQ73" s="162"/>
      <c r="AR73" s="164" t="s">
        <v>110</v>
      </c>
      <c r="AS73" s="164" t="s">
        <v>111</v>
      </c>
      <c r="AT73" s="164" t="s">
        <v>8</v>
      </c>
      <c r="AU73" s="164" t="s">
        <v>112</v>
      </c>
      <c r="AV73" s="164" t="s">
        <v>115</v>
      </c>
      <c r="AW73" s="162"/>
      <c r="AX73" s="164" t="s">
        <v>110</v>
      </c>
      <c r="AY73" s="164" t="s">
        <v>111</v>
      </c>
      <c r="AZ73" s="164" t="s">
        <v>8</v>
      </c>
      <c r="BA73" s="164" t="s">
        <v>112</v>
      </c>
      <c r="BB73" s="164" t="s">
        <v>115</v>
      </c>
      <c r="BC73" s="162"/>
      <c r="BD73" s="317" t="s">
        <v>110</v>
      </c>
      <c r="BE73" s="317" t="s">
        <v>111</v>
      </c>
      <c r="BF73" s="317" t="s">
        <v>8</v>
      </c>
      <c r="BG73" s="317" t="s">
        <v>112</v>
      </c>
      <c r="BH73" s="317" t="s">
        <v>116</v>
      </c>
      <c r="BI73" s="323"/>
      <c r="BJ73" s="317" t="s">
        <v>110</v>
      </c>
      <c r="BK73" s="317" t="s">
        <v>111</v>
      </c>
      <c r="BL73" s="317" t="s">
        <v>8</v>
      </c>
      <c r="BM73" s="317" t="s">
        <v>112</v>
      </c>
      <c r="BN73" s="317" t="s">
        <v>116</v>
      </c>
      <c r="BO73" s="83"/>
      <c r="BP73" s="83"/>
      <c r="BQ73" s="83"/>
      <c r="BR73" s="83"/>
      <c r="BS73" s="83"/>
      <c r="BT73" s="83"/>
      <c r="BU73" s="83"/>
      <c r="BV73" s="83"/>
      <c r="BW73" s="83"/>
      <c r="BX73" s="83"/>
    </row>
    <row r="74" spans="1:76" x14ac:dyDescent="0.35">
      <c r="A74" s="153" t="s">
        <v>96</v>
      </c>
      <c r="B74" s="165" t="s">
        <v>118</v>
      </c>
      <c r="C74" s="166"/>
      <c r="D74" s="165" t="s">
        <v>7</v>
      </c>
      <c r="E74" s="165" t="s">
        <v>119</v>
      </c>
      <c r="F74" s="165" t="s">
        <v>120</v>
      </c>
      <c r="G74" s="165" t="s">
        <v>121</v>
      </c>
      <c r="H74" s="165" t="s">
        <v>120</v>
      </c>
      <c r="I74" s="165" t="s">
        <v>122</v>
      </c>
      <c r="J74" s="165" t="s">
        <v>121</v>
      </c>
      <c r="K74" s="166"/>
      <c r="L74" s="165" t="s">
        <v>123</v>
      </c>
      <c r="M74" s="165" t="s">
        <v>123</v>
      </c>
      <c r="N74" s="165" t="s">
        <v>123</v>
      </c>
      <c r="O74" s="165" t="s">
        <v>123</v>
      </c>
      <c r="P74" s="165" t="s">
        <v>123</v>
      </c>
      <c r="Q74" s="166"/>
      <c r="R74" s="165" t="s">
        <v>7</v>
      </c>
      <c r="S74" s="165" t="s">
        <v>119</v>
      </c>
      <c r="T74" s="165" t="s">
        <v>120</v>
      </c>
      <c r="U74" s="165" t="s">
        <v>120</v>
      </c>
      <c r="V74" s="165" t="s">
        <v>122</v>
      </c>
      <c r="W74" s="166"/>
      <c r="X74" s="165" t="s">
        <v>7</v>
      </c>
      <c r="Y74" s="165" t="s">
        <v>119</v>
      </c>
      <c r="Z74" s="165" t="s">
        <v>120</v>
      </c>
      <c r="AA74" s="165" t="s">
        <v>120</v>
      </c>
      <c r="AB74" s="165" t="s">
        <v>122</v>
      </c>
      <c r="AC74" s="166"/>
      <c r="AD74" s="165" t="s">
        <v>7</v>
      </c>
      <c r="AE74" s="165" t="s">
        <v>119</v>
      </c>
      <c r="AF74" s="165" t="s">
        <v>120</v>
      </c>
      <c r="AG74" s="165" t="s">
        <v>120</v>
      </c>
      <c r="AH74" s="165" t="s">
        <v>122</v>
      </c>
      <c r="AI74" s="182" t="s">
        <v>121</v>
      </c>
      <c r="AJ74" s="166"/>
      <c r="AK74" s="165" t="s">
        <v>136</v>
      </c>
      <c r="AL74" s="165" t="s">
        <v>137</v>
      </c>
      <c r="AM74" s="165" t="s">
        <v>138</v>
      </c>
      <c r="AN74" s="165" t="s">
        <v>138</v>
      </c>
      <c r="AO74" s="165" t="s">
        <v>139</v>
      </c>
      <c r="AP74" s="165" t="s">
        <v>140</v>
      </c>
      <c r="AQ74" s="166"/>
      <c r="AR74" s="167" t="s">
        <v>136</v>
      </c>
      <c r="AS74" s="167" t="s">
        <v>137</v>
      </c>
      <c r="AT74" s="167" t="s">
        <v>138</v>
      </c>
      <c r="AU74" s="167" t="s">
        <v>138</v>
      </c>
      <c r="AV74" s="167" t="s">
        <v>139</v>
      </c>
      <c r="AW74" s="166"/>
      <c r="AX74" s="167" t="s">
        <v>7</v>
      </c>
      <c r="AY74" s="167" t="s">
        <v>119</v>
      </c>
      <c r="AZ74" s="167" t="s">
        <v>120</v>
      </c>
      <c r="BA74" s="167" t="s">
        <v>120</v>
      </c>
      <c r="BB74" s="167" t="s">
        <v>122</v>
      </c>
      <c r="BC74" s="166"/>
      <c r="BD74" s="319" t="s">
        <v>7</v>
      </c>
      <c r="BE74" s="319" t="s">
        <v>119</v>
      </c>
      <c r="BF74" s="319" t="s">
        <v>120</v>
      </c>
      <c r="BG74" s="319" t="s">
        <v>120</v>
      </c>
      <c r="BH74" s="319" t="s">
        <v>122</v>
      </c>
      <c r="BI74" s="324"/>
      <c r="BJ74" s="319" t="s">
        <v>7</v>
      </c>
      <c r="BK74" s="319" t="s">
        <v>119</v>
      </c>
      <c r="BL74" s="319" t="s">
        <v>120</v>
      </c>
      <c r="BM74" s="319" t="s">
        <v>120</v>
      </c>
      <c r="BN74" s="319" t="s">
        <v>122</v>
      </c>
      <c r="BO74" s="83"/>
      <c r="BP74" s="83"/>
      <c r="BQ74" s="83"/>
      <c r="BR74" s="83"/>
      <c r="BS74" s="83"/>
      <c r="BT74" s="83"/>
      <c r="BU74" s="83"/>
      <c r="BV74" s="83"/>
      <c r="BW74" s="83"/>
      <c r="BX74" s="83"/>
    </row>
    <row r="75" spans="1:76" x14ac:dyDescent="0.35">
      <c r="A75" s="168">
        <v>1</v>
      </c>
      <c r="B75" s="169">
        <f t="shared" ref="B75:B90" si="83">I222</f>
        <v>1.0588725613414667E-2</v>
      </c>
      <c r="C75" s="170"/>
      <c r="D75" s="154">
        <f t="shared" ref="D75:F90" si="84">AK75*$B75*10^6</f>
        <v>-10540.607712698293</v>
      </c>
      <c r="E75" s="154">
        <f t="shared" si="84"/>
        <v>1434.2640823075108</v>
      </c>
      <c r="F75" s="154">
        <f t="shared" si="84"/>
        <v>55789.013903171988</v>
      </c>
      <c r="G75" s="154">
        <f>F75*0.089</f>
        <v>4965.222237382307</v>
      </c>
      <c r="H75" s="154">
        <f t="shared" ref="H75:J90" si="85">AN75*$B75*10^6</f>
        <v>105867.3579110104</v>
      </c>
      <c r="I75" s="154">
        <f t="shared" si="85"/>
        <v>6.3310749330445262</v>
      </c>
      <c r="J75" s="154">
        <f t="shared" si="85"/>
        <v>-1648.6963881507409</v>
      </c>
      <c r="K75" s="170"/>
      <c r="L75" s="171">
        <f t="shared" ref="L75:N91" si="86">IF(AX75=0,0,D75/AX75)</f>
        <v>-0.14996621960591239</v>
      </c>
      <c r="M75" s="171">
        <f t="shared" si="86"/>
        <v>0.70835385680534968</v>
      </c>
      <c r="N75" s="171">
        <f t="shared" si="86"/>
        <v>2.2558404707121206E-2</v>
      </c>
      <c r="O75" s="171">
        <f t="shared" ref="O75:P91" si="87">IF(BA75=0,0,H75/BA75)</f>
        <v>0.30142253331675312</v>
      </c>
      <c r="P75" s="171">
        <f t="shared" si="87"/>
        <v>0.29630171680889122</v>
      </c>
      <c r="Q75" s="170"/>
      <c r="R75" s="154">
        <v>163065.82791160911</v>
      </c>
      <c r="S75" s="154">
        <v>4697.5305458376006</v>
      </c>
      <c r="T75" s="154">
        <v>5737610.3893545568</v>
      </c>
      <c r="U75" s="154">
        <v>814848.95347880409</v>
      </c>
      <c r="V75" s="154">
        <v>49.571725811411383</v>
      </c>
      <c r="W75" s="170"/>
      <c r="X75" s="154">
        <v>187520.1936704214</v>
      </c>
      <c r="Y75" s="154">
        <v>1370.0166662325969</v>
      </c>
      <c r="Z75" s="154">
        <v>5608179.0521397134</v>
      </c>
      <c r="AA75" s="154">
        <v>569235.11765071785</v>
      </c>
      <c r="AB75" s="154">
        <v>34.883538348310566</v>
      </c>
      <c r="AC75" s="170"/>
      <c r="AD75" s="154">
        <f t="shared" ref="AD75:AH90" si="88">R75-X75</f>
        <v>-24454.365758812288</v>
      </c>
      <c r="AE75" s="154">
        <f t="shared" si="88"/>
        <v>3327.5138796050037</v>
      </c>
      <c r="AF75" s="154">
        <f t="shared" si="88"/>
        <v>129431.33721484337</v>
      </c>
      <c r="AG75" s="154">
        <f t="shared" si="88"/>
        <v>245613.83582808624</v>
      </c>
      <c r="AH75" s="154">
        <f t="shared" si="88"/>
        <v>14.688187463100817</v>
      </c>
      <c r="AI75" s="154">
        <v>-3825</v>
      </c>
      <c r="AJ75" s="170"/>
      <c r="AK75" s="183">
        <f t="shared" ref="AK75:AP75" si="89">AD75/$E71</f>
        <v>-0.99545574203420528</v>
      </c>
      <c r="AL75" s="183">
        <f t="shared" si="89"/>
        <v>0.13545200193784107</v>
      </c>
      <c r="AM75" s="183">
        <f t="shared" si="89"/>
        <v>5.2687184407247161</v>
      </c>
      <c r="AN75" s="183">
        <f t="shared" si="89"/>
        <v>9.9981208103918515</v>
      </c>
      <c r="AO75" s="183">
        <f t="shared" si="89"/>
        <v>5.9790716694214843E-4</v>
      </c>
      <c r="AP75" s="183">
        <f t="shared" si="89"/>
        <v>-0.1557030041520801</v>
      </c>
      <c r="AQ75" s="170"/>
      <c r="AR75" s="184">
        <f>R75/$E$71</f>
        <v>6.6378664785316746</v>
      </c>
      <c r="AS75" s="184">
        <f t="shared" ref="AS75:AV90" si="90">S75/$E$71</f>
        <v>0.19122081518511766</v>
      </c>
      <c r="AT75" s="184">
        <f t="shared" si="90"/>
        <v>233.55899981089948</v>
      </c>
      <c r="AU75" s="184">
        <f t="shared" si="90"/>
        <v>33.169785617471469</v>
      </c>
      <c r="AV75" s="184">
        <f t="shared" si="90"/>
        <v>2.0178997725071798E-3</v>
      </c>
      <c r="AW75" s="170"/>
      <c r="AX75" s="172">
        <f t="shared" ref="AX75:BB90" si="91">AR75*$B75*10^6</f>
        <v>70286.546799654956</v>
      </c>
      <c r="AY75" s="172">
        <f t="shared" si="91"/>
        <v>2024.7847435686874</v>
      </c>
      <c r="AZ75" s="172">
        <f t="shared" si="91"/>
        <v>2473092.1635411829</v>
      </c>
      <c r="BA75" s="172">
        <f t="shared" si="91"/>
        <v>351225.75855919358</v>
      </c>
      <c r="BB75" s="172">
        <f t="shared" si="91"/>
        <v>21.366987006450405</v>
      </c>
      <c r="BC75" s="170"/>
      <c r="BD75" s="325">
        <f>X75/$E71</f>
        <v>7.6333222205658799</v>
      </c>
      <c r="BE75" s="325">
        <f>Y75/$E71</f>
        <v>5.5768813247276595E-2</v>
      </c>
      <c r="BF75" s="325">
        <f>Z75/$E71</f>
        <v>228.29028137017477</v>
      </c>
      <c r="BG75" s="325">
        <f>AA75/$E71</f>
        <v>23.171664807079615</v>
      </c>
      <c r="BH75" s="325">
        <f>AB75/$E71</f>
        <v>1.4199926055650316E-3</v>
      </c>
      <c r="BI75" s="326"/>
      <c r="BJ75" s="320">
        <f t="shared" ref="BJ75:BN90" si="92">BD75*$B75*10^6</f>
        <v>80827.154512353256</v>
      </c>
      <c r="BK75" s="320">
        <f t="shared" si="92"/>
        <v>590.52066126117688</v>
      </c>
      <c r="BL75" s="320">
        <f t="shared" si="92"/>
        <v>2417303.1496380102</v>
      </c>
      <c r="BM75" s="320">
        <f t="shared" si="92"/>
        <v>245358.40064818316</v>
      </c>
      <c r="BN75" s="320">
        <f t="shared" si="92"/>
        <v>15.03591207340588</v>
      </c>
      <c r="BO75" s="83"/>
      <c r="BP75" s="83"/>
      <c r="BQ75" s="83"/>
      <c r="BR75" s="83"/>
      <c r="BS75" s="83"/>
      <c r="BT75" s="83"/>
      <c r="BU75" s="83"/>
      <c r="BV75" s="83"/>
      <c r="BW75" s="83"/>
      <c r="BX75" s="83"/>
    </row>
    <row r="76" spans="1:76" x14ac:dyDescent="0.35">
      <c r="A76" s="168">
        <v>2</v>
      </c>
      <c r="B76" s="169">
        <f t="shared" si="83"/>
        <v>6.2899977674597415E-2</v>
      </c>
      <c r="C76" s="170"/>
      <c r="D76" s="154">
        <f t="shared" si="84"/>
        <v>-62764.920825223977</v>
      </c>
      <c r="E76" s="154">
        <f t="shared" si="84"/>
        <v>7098.3615674300827</v>
      </c>
      <c r="F76" s="154">
        <f t="shared" si="84"/>
        <v>168286.26572352179</v>
      </c>
      <c r="G76" s="154">
        <f t="shared" ref="G76:G90" si="93">F76*0.089</f>
        <v>14977.477649393439</v>
      </c>
      <c r="H76" s="154">
        <f t="shared" si="85"/>
        <v>434921.20448037906</v>
      </c>
      <c r="I76" s="154">
        <f t="shared" si="85"/>
        <v>25.848965883497897</v>
      </c>
      <c r="J76" s="154">
        <f t="shared" si="85"/>
        <v>13480.505269844014</v>
      </c>
      <c r="K76" s="170"/>
      <c r="L76" s="171">
        <f t="shared" si="86"/>
        <v>-0.13283251449938516</v>
      </c>
      <c r="M76" s="171">
        <f t="shared" si="86"/>
        <v>1</v>
      </c>
      <c r="N76" s="171">
        <f t="shared" si="86"/>
        <v>1.0126588732213292E-2</v>
      </c>
      <c r="O76" s="171">
        <f t="shared" si="87"/>
        <v>0.25392326002607601</v>
      </c>
      <c r="P76" s="171">
        <f t="shared" si="87"/>
        <v>0.24719774619125881</v>
      </c>
      <c r="Q76" s="170"/>
      <c r="R76" s="154">
        <v>184542.56287729819</v>
      </c>
      <c r="S76" s="154">
        <v>2772.311799021692</v>
      </c>
      <c r="T76" s="154">
        <v>6490370.0253634891</v>
      </c>
      <c r="U76" s="154">
        <v>668947.5278835583</v>
      </c>
      <c r="V76" s="154">
        <v>40.839707483967274</v>
      </c>
      <c r="W76" s="170"/>
      <c r="X76" s="154">
        <v>209055.81553645059</v>
      </c>
      <c r="Y76" s="154">
        <v>0</v>
      </c>
      <c r="Z76" s="154">
        <v>6424644.7173967483</v>
      </c>
      <c r="AA76" s="154">
        <v>499086.19081698079</v>
      </c>
      <c r="AB76" s="154">
        <v>30.744223838820279</v>
      </c>
      <c r="AC76" s="170"/>
      <c r="AD76" s="154">
        <f t="shared" si="88"/>
        <v>-24513.252659152407</v>
      </c>
      <c r="AE76" s="154">
        <f t="shared" si="88"/>
        <v>2772.311799021692</v>
      </c>
      <c r="AF76" s="154">
        <f t="shared" si="88"/>
        <v>65725.307966740802</v>
      </c>
      <c r="AG76" s="154">
        <f t="shared" si="88"/>
        <v>169861.33706657751</v>
      </c>
      <c r="AH76" s="154">
        <f t="shared" si="88"/>
        <v>10.095483645146995</v>
      </c>
      <c r="AI76" s="154">
        <v>5264.9000000000015</v>
      </c>
      <c r="AJ76" s="170"/>
      <c r="AK76" s="183">
        <f t="shared" ref="AK76:AP76" si="94">AD76/$E71</f>
        <v>-0.99785283152130622</v>
      </c>
      <c r="AL76" s="183">
        <f t="shared" si="94"/>
        <v>0.11285157530821835</v>
      </c>
      <c r="AM76" s="183">
        <f t="shared" si="94"/>
        <v>2.675458274311683</v>
      </c>
      <c r="AN76" s="183">
        <f t="shared" si="94"/>
        <v>6.9144890119098559</v>
      </c>
      <c r="AO76" s="183">
        <f t="shared" si="94"/>
        <v>4.1095349854054363E-4</v>
      </c>
      <c r="AP76" s="183">
        <f t="shared" si="94"/>
        <v>0.214316535048441</v>
      </c>
      <c r="AQ76" s="170"/>
      <c r="AR76" s="184">
        <f t="shared" ref="AR76:AR90" si="95">R76/$E$71</f>
        <v>7.5121127931815597</v>
      </c>
      <c r="AS76" s="184">
        <f t="shared" si="90"/>
        <v>0.11285157530821835</v>
      </c>
      <c r="AT76" s="184">
        <f t="shared" si="90"/>
        <v>264.20133621116537</v>
      </c>
      <c r="AU76" s="184">
        <f t="shared" si="90"/>
        <v>27.230624761196708</v>
      </c>
      <c r="AV76" s="184">
        <f t="shared" si="90"/>
        <v>1.6624484036459853E-3</v>
      </c>
      <c r="AW76" s="170"/>
      <c r="AX76" s="172">
        <f t="shared" si="91"/>
        <v>472511.72698017774</v>
      </c>
      <c r="AY76" s="172">
        <f t="shared" si="91"/>
        <v>7098.3615674300827</v>
      </c>
      <c r="AZ76" s="172">
        <f t="shared" si="91"/>
        <v>16618258.149281107</v>
      </c>
      <c r="BA76" s="172">
        <f t="shared" si="91"/>
        <v>1712805.6895446125</v>
      </c>
      <c r="BB76" s="172">
        <f t="shared" si="91"/>
        <v>104.56796747450258</v>
      </c>
      <c r="BC76" s="170"/>
      <c r="BD76" s="325">
        <f>X76/$E71</f>
        <v>8.5099656247028648</v>
      </c>
      <c r="BE76" s="325">
        <f>Y76/$E71</f>
        <v>0</v>
      </c>
      <c r="BF76" s="325">
        <f>Z76/$E71</f>
        <v>261.5258779368537</v>
      </c>
      <c r="BG76" s="325">
        <f>AA76/$E71</f>
        <v>20.31613574928685</v>
      </c>
      <c r="BH76" s="325">
        <f>AB76/$E71</f>
        <v>1.2514949051054417E-3</v>
      </c>
      <c r="BI76" s="326"/>
      <c r="BJ76" s="320">
        <f t="shared" si="92"/>
        <v>535276.64780540159</v>
      </c>
      <c r="BK76" s="320">
        <f t="shared" si="92"/>
        <v>0</v>
      </c>
      <c r="BL76" s="320">
        <f t="shared" si="92"/>
        <v>16449971.883557588</v>
      </c>
      <c r="BM76" s="320">
        <f t="shared" si="92"/>
        <v>1277884.4850642332</v>
      </c>
      <c r="BN76" s="320">
        <f t="shared" si="92"/>
        <v>78.719001591004684</v>
      </c>
      <c r="BO76" s="83"/>
      <c r="BP76" s="83"/>
      <c r="BQ76" s="83"/>
      <c r="BR76" s="83"/>
      <c r="BS76" s="83"/>
      <c r="BT76" s="83"/>
      <c r="BU76" s="83"/>
      <c r="BV76" s="83"/>
      <c r="BW76" s="83"/>
      <c r="BX76" s="83"/>
    </row>
    <row r="77" spans="1:76" x14ac:dyDescent="0.35">
      <c r="A77" s="168">
        <v>3</v>
      </c>
      <c r="B77" s="169">
        <f t="shared" si="83"/>
        <v>0.28747268615610561</v>
      </c>
      <c r="C77" s="170"/>
      <c r="D77" s="154">
        <f t="shared" si="84"/>
        <v>-205151.23318232904</v>
      </c>
      <c r="E77" s="154">
        <f t="shared" si="84"/>
        <v>26200.039427963522</v>
      </c>
      <c r="F77" s="154">
        <f t="shared" si="84"/>
        <v>1161248.3079745625</v>
      </c>
      <c r="G77" s="154">
        <f t="shared" si="93"/>
        <v>103351.09940973605</v>
      </c>
      <c r="H77" s="154">
        <f t="shared" si="85"/>
        <v>1690330.2752744758</v>
      </c>
      <c r="I77" s="154">
        <f t="shared" si="85"/>
        <v>100.64684682515382</v>
      </c>
      <c r="J77" s="154">
        <f t="shared" si="85"/>
        <v>61610.150018044485</v>
      </c>
      <c r="K77" s="170"/>
      <c r="L77" s="171">
        <f t="shared" si="86"/>
        <v>-0.10188911628789811</v>
      </c>
      <c r="M77" s="171">
        <f t="shared" si="86"/>
        <v>1</v>
      </c>
      <c r="N77" s="171">
        <f t="shared" si="86"/>
        <v>1.7392627291340359E-2</v>
      </c>
      <c r="O77" s="171">
        <f t="shared" si="87"/>
        <v>0.24108928613537006</v>
      </c>
      <c r="P77" s="171">
        <f t="shared" si="87"/>
        <v>0.23492608672740348</v>
      </c>
      <c r="Q77" s="170"/>
      <c r="R77" s="154">
        <v>172061.6949886803</v>
      </c>
      <c r="S77" s="154">
        <v>2238.9263383368639</v>
      </c>
      <c r="T77" s="154">
        <v>5705553.265035063</v>
      </c>
      <c r="U77" s="154">
        <v>599144.42082019825</v>
      </c>
      <c r="V77" s="154">
        <v>36.610595184217473</v>
      </c>
      <c r="W77" s="170"/>
      <c r="X77" s="154">
        <v>189592.90903807481</v>
      </c>
      <c r="Y77" s="154">
        <v>0</v>
      </c>
      <c r="Z77" s="154">
        <v>5606318.7036054181</v>
      </c>
      <c r="AA77" s="154">
        <v>454697.12011266692</v>
      </c>
      <c r="AB77" s="154">
        <v>28.009811324828139</v>
      </c>
      <c r="AC77" s="170"/>
      <c r="AD77" s="154">
        <f t="shared" si="88"/>
        <v>-17531.214049394504</v>
      </c>
      <c r="AE77" s="154">
        <f t="shared" si="88"/>
        <v>2238.9263383368639</v>
      </c>
      <c r="AF77" s="154">
        <f t="shared" si="88"/>
        <v>99234.561429644935</v>
      </c>
      <c r="AG77" s="154">
        <f t="shared" si="88"/>
        <v>144447.30070753134</v>
      </c>
      <c r="AH77" s="154">
        <f t="shared" si="88"/>
        <v>8.6007838593893347</v>
      </c>
      <c r="AI77" s="154">
        <v>5264.9000000000015</v>
      </c>
      <c r="AJ77" s="170"/>
      <c r="AK77" s="183">
        <f t="shared" ref="AK77:AP77" si="96">AD77/$E71</f>
        <v>-0.71363730560101379</v>
      </c>
      <c r="AL77" s="183">
        <f t="shared" si="96"/>
        <v>9.1139230576278749E-2</v>
      </c>
      <c r="AM77" s="183">
        <f t="shared" si="96"/>
        <v>4.0395083216496355</v>
      </c>
      <c r="AN77" s="183">
        <f t="shared" si="96"/>
        <v>5.8799682776003968</v>
      </c>
      <c r="AO77" s="183">
        <f t="shared" si="96"/>
        <v>3.501092509724552E-4</v>
      </c>
      <c r="AP77" s="183">
        <f t="shared" si="96"/>
        <v>0.214316535048441</v>
      </c>
      <c r="AQ77" s="170"/>
      <c r="AR77" s="184">
        <f t="shared" si="95"/>
        <v>7.0040582507807665</v>
      </c>
      <c r="AS77" s="184">
        <f t="shared" si="90"/>
        <v>9.1139230576278749E-2</v>
      </c>
      <c r="AT77" s="184">
        <f t="shared" si="90"/>
        <v>232.25406110213561</v>
      </c>
      <c r="AU77" s="184">
        <f t="shared" si="90"/>
        <v>24.389172873898815</v>
      </c>
      <c r="AV77" s="184">
        <f t="shared" si="90"/>
        <v>1.4902953343734215E-3</v>
      </c>
      <c r="AW77" s="170"/>
      <c r="AX77" s="172">
        <f t="shared" si="91"/>
        <v>2013475.4393457812</v>
      </c>
      <c r="AY77" s="172">
        <f t="shared" si="91"/>
        <v>26200.039427963522</v>
      </c>
      <c r="AZ77" s="172">
        <f t="shared" si="91"/>
        <v>66766698.815695204</v>
      </c>
      <c r="BA77" s="172">
        <f t="shared" si="91"/>
        <v>7011221.0391853182</v>
      </c>
      <c r="BB77" s="172">
        <f t="shared" si="91"/>
        <v>428.41920293823904</v>
      </c>
      <c r="BC77" s="170"/>
      <c r="BD77" s="325">
        <f>X77/$E71</f>
        <v>7.7176955563817797</v>
      </c>
      <c r="BE77" s="325">
        <f>Y77/$E71</f>
        <v>0</v>
      </c>
      <c r="BF77" s="325">
        <f>Z77/$E71</f>
        <v>228.21455278048597</v>
      </c>
      <c r="BG77" s="325">
        <f>AA77/$E71</f>
        <v>18.509204596298417</v>
      </c>
      <c r="BH77" s="325">
        <f>AB77/$E71</f>
        <v>1.1401860834009663E-3</v>
      </c>
      <c r="BI77" s="326"/>
      <c r="BJ77" s="320">
        <f t="shared" si="92"/>
        <v>2218626.67252811</v>
      </c>
      <c r="BK77" s="320">
        <f t="shared" si="92"/>
        <v>0</v>
      </c>
      <c r="BL77" s="320">
        <f t="shared" si="92"/>
        <v>65605450.507720649</v>
      </c>
      <c r="BM77" s="320">
        <f t="shared" si="92"/>
        <v>5320890.7639108421</v>
      </c>
      <c r="BN77" s="320">
        <f t="shared" si="92"/>
        <v>327.77235611308527</v>
      </c>
      <c r="BO77" s="83"/>
      <c r="BP77" s="83"/>
      <c r="BQ77" s="83"/>
      <c r="BR77" s="83"/>
      <c r="BS77" s="83"/>
      <c r="BT77" s="83"/>
      <c r="BU77" s="83"/>
      <c r="BV77" s="83"/>
      <c r="BW77" s="83"/>
      <c r="BX77" s="83"/>
    </row>
    <row r="78" spans="1:76" x14ac:dyDescent="0.35">
      <c r="A78" s="168">
        <v>4</v>
      </c>
      <c r="B78" s="169">
        <f t="shared" si="83"/>
        <v>0.1473399100659924</v>
      </c>
      <c r="C78" s="170"/>
      <c r="D78" s="154">
        <f t="shared" si="84"/>
        <v>-83907.372603230906</v>
      </c>
      <c r="E78" s="154">
        <f t="shared" si="84"/>
        <v>10255.410744468247</v>
      </c>
      <c r="F78" s="154">
        <f t="shared" si="84"/>
        <v>406171.90023122239</v>
      </c>
      <c r="G78" s="154">
        <f t="shared" si="93"/>
        <v>36149.299120578791</v>
      </c>
      <c r="H78" s="154">
        <f t="shared" si="85"/>
        <v>630896.39684005338</v>
      </c>
      <c r="I78" s="154">
        <f t="shared" si="85"/>
        <v>37.501998640473531</v>
      </c>
      <c r="J78" s="154">
        <f t="shared" si="85"/>
        <v>31577.378999692402</v>
      </c>
      <c r="K78" s="170"/>
      <c r="L78" s="171">
        <f t="shared" si="86"/>
        <v>-7.3597371470468728E-2</v>
      </c>
      <c r="M78" s="171">
        <f t="shared" si="86"/>
        <v>1</v>
      </c>
      <c r="N78" s="171">
        <f t="shared" si="86"/>
        <v>1.064461723294341E-2</v>
      </c>
      <c r="O78" s="171">
        <f t="shared" si="87"/>
        <v>0.18036366898105025</v>
      </c>
      <c r="P78" s="171">
        <f t="shared" si="87"/>
        <v>0.17515036076467852</v>
      </c>
      <c r="Q78" s="170"/>
      <c r="R78" s="154">
        <v>190086.7587916739</v>
      </c>
      <c r="S78" s="154">
        <v>1709.8858023991429</v>
      </c>
      <c r="T78" s="154">
        <v>6362003.0426179813</v>
      </c>
      <c r="U78" s="154">
        <v>583207.40952322085</v>
      </c>
      <c r="V78" s="154">
        <v>35.699112926363348</v>
      </c>
      <c r="W78" s="170"/>
      <c r="X78" s="154">
        <v>204076.64459008211</v>
      </c>
      <c r="Y78" s="154">
        <v>0</v>
      </c>
      <c r="Z78" s="154">
        <v>6294281.9553944916</v>
      </c>
      <c r="AA78" s="154">
        <v>478017.98136467882</v>
      </c>
      <c r="AB78" s="154">
        <v>29.446400418331809</v>
      </c>
      <c r="AC78" s="170"/>
      <c r="AD78" s="154">
        <f t="shared" si="88"/>
        <v>-13989.885798408213</v>
      </c>
      <c r="AE78" s="154">
        <f t="shared" si="88"/>
        <v>1709.8858023991429</v>
      </c>
      <c r="AF78" s="154">
        <f t="shared" si="88"/>
        <v>67721.087223489769</v>
      </c>
      <c r="AG78" s="154">
        <f t="shared" si="88"/>
        <v>105189.42815854202</v>
      </c>
      <c r="AH78" s="154">
        <f t="shared" si="88"/>
        <v>6.2527125080315393</v>
      </c>
      <c r="AI78" s="154">
        <v>5264.9000000000015</v>
      </c>
      <c r="AJ78" s="170"/>
      <c r="AK78" s="183">
        <f t="shared" ref="AK78:AP78" si="97">AD78/$E71</f>
        <v>-0.56948163308671385</v>
      </c>
      <c r="AL78" s="183">
        <f t="shared" si="97"/>
        <v>6.9603753252427861E-2</v>
      </c>
      <c r="AM78" s="183">
        <f t="shared" si="97"/>
        <v>2.7566997974228515</v>
      </c>
      <c r="AN78" s="183">
        <f t="shared" si="97"/>
        <v>4.281911103091347</v>
      </c>
      <c r="AO78" s="183">
        <f t="shared" si="97"/>
        <v>2.5452709061432626E-4</v>
      </c>
      <c r="AP78" s="183">
        <f t="shared" si="97"/>
        <v>0.214316535048441</v>
      </c>
      <c r="AQ78" s="170"/>
      <c r="AR78" s="184">
        <f t="shared" si="95"/>
        <v>7.7377985342210334</v>
      </c>
      <c r="AS78" s="184">
        <f t="shared" si="90"/>
        <v>6.9603753252427861E-2</v>
      </c>
      <c r="AT78" s="184">
        <f t="shared" si="90"/>
        <v>258.97594409419446</v>
      </c>
      <c r="AU78" s="184">
        <f t="shared" si="90"/>
        <v>23.740430250070052</v>
      </c>
      <c r="AV78" s="184">
        <f t="shared" si="90"/>
        <v>1.4531919289409488E-3</v>
      </c>
      <c r="AW78" s="170"/>
      <c r="AX78" s="172">
        <f t="shared" si="91"/>
        <v>1140086.5401408949</v>
      </c>
      <c r="AY78" s="172">
        <f t="shared" si="91"/>
        <v>10255.410744468247</v>
      </c>
      <c r="AZ78" s="172">
        <f t="shared" si="91"/>
        <v>38157492.312094085</v>
      </c>
      <c r="BA78" s="172">
        <f t="shared" si="91"/>
        <v>3497912.8579732869</v>
      </c>
      <c r="BB78" s="172">
        <f t="shared" si="91"/>
        <v>214.11316811878544</v>
      </c>
      <c r="BC78" s="170"/>
      <c r="BD78" s="325">
        <f>X78/$E71</f>
        <v>8.3072801673077468</v>
      </c>
      <c r="BE78" s="325">
        <f>Y78/$E71</f>
        <v>0</v>
      </c>
      <c r="BF78" s="325">
        <f>Z78/$E71</f>
        <v>256.21924429677159</v>
      </c>
      <c r="BG78" s="325">
        <f>AA78/$E71</f>
        <v>19.458519146978702</v>
      </c>
      <c r="BH78" s="325">
        <f>AB78/$E71</f>
        <v>1.1986648383266224E-3</v>
      </c>
      <c r="BI78" s="326"/>
      <c r="BJ78" s="320">
        <f t="shared" si="92"/>
        <v>1223993.9127441258</v>
      </c>
      <c r="BK78" s="320">
        <f t="shared" si="92"/>
        <v>0</v>
      </c>
      <c r="BL78" s="320">
        <f t="shared" si="92"/>
        <v>37751320.411862865</v>
      </c>
      <c r="BM78" s="320">
        <f t="shared" si="92"/>
        <v>2867016.4611332328</v>
      </c>
      <c r="BN78" s="320">
        <f t="shared" si="92"/>
        <v>176.61116947831187</v>
      </c>
      <c r="BO78" s="83"/>
      <c r="BP78" s="83"/>
      <c r="BQ78" s="83"/>
      <c r="BR78" s="83"/>
      <c r="BS78" s="83"/>
      <c r="BT78" s="83"/>
      <c r="BU78" s="83"/>
      <c r="BV78" s="83"/>
      <c r="BW78" s="83"/>
      <c r="BX78" s="83"/>
    </row>
    <row r="79" spans="1:76" x14ac:dyDescent="0.35">
      <c r="A79" s="168">
        <v>5</v>
      </c>
      <c r="B79" s="169">
        <f t="shared" si="83"/>
        <v>2.982279914971693E-2</v>
      </c>
      <c r="C79" s="170"/>
      <c r="D79" s="154">
        <f t="shared" si="84"/>
        <v>-18578.158949447858</v>
      </c>
      <c r="E79" s="154">
        <f t="shared" si="84"/>
        <v>2197.3002765742649</v>
      </c>
      <c r="F79" s="154">
        <f t="shared" si="84"/>
        <v>-20407.409120294349</v>
      </c>
      <c r="G79" s="154">
        <f t="shared" si="93"/>
        <v>-1816.2594117061969</v>
      </c>
      <c r="H79" s="154">
        <f t="shared" si="85"/>
        <v>131939.95134567897</v>
      </c>
      <c r="I79" s="154">
        <f t="shared" si="85"/>
        <v>7.8358459884655725</v>
      </c>
      <c r="J79" s="154">
        <f t="shared" si="85"/>
        <v>6391.5189792129249</v>
      </c>
      <c r="K79" s="170"/>
      <c r="L79" s="171">
        <f t="shared" si="86"/>
        <v>-8.7997822918269103E-2</v>
      </c>
      <c r="M79" s="171">
        <f t="shared" si="86"/>
        <v>1</v>
      </c>
      <c r="N79" s="171">
        <f t="shared" si="86"/>
        <v>-3.1639345702645229E-3</v>
      </c>
      <c r="O79" s="171">
        <f t="shared" si="87"/>
        <v>0.19504567944770232</v>
      </c>
      <c r="P79" s="171">
        <f t="shared" si="87"/>
        <v>0.18936935800594817</v>
      </c>
      <c r="Q79" s="170"/>
      <c r="R79" s="154">
        <v>173906.89070115599</v>
      </c>
      <c r="S79" s="154">
        <v>1809.986994290432</v>
      </c>
      <c r="T79" s="154">
        <v>5313080.8078625994</v>
      </c>
      <c r="U79" s="154">
        <v>557219.1442651602</v>
      </c>
      <c r="V79" s="154">
        <v>34.084916034240592</v>
      </c>
      <c r="W79" s="170"/>
      <c r="X79" s="154">
        <v>189210.3184733431</v>
      </c>
      <c r="Y79" s="154">
        <v>0</v>
      </c>
      <c r="Z79" s="154">
        <v>5329891.0479052048</v>
      </c>
      <c r="AA79" s="154">
        <v>448535.9576706948</v>
      </c>
      <c r="AB79" s="154">
        <v>27.630277367149802</v>
      </c>
      <c r="AC79" s="170"/>
      <c r="AD79" s="154">
        <f t="shared" si="88"/>
        <v>-15303.427772187104</v>
      </c>
      <c r="AE79" s="154">
        <f t="shared" si="88"/>
        <v>1809.986994290432</v>
      </c>
      <c r="AF79" s="154">
        <f t="shared" si="88"/>
        <v>-16810.240042605437</v>
      </c>
      <c r="AG79" s="154">
        <f t="shared" si="88"/>
        <v>108683.1865944654</v>
      </c>
      <c r="AH79" s="154">
        <f t="shared" si="88"/>
        <v>6.4546386670907907</v>
      </c>
      <c r="AI79" s="154">
        <v>5264.9000000000015</v>
      </c>
      <c r="AJ79" s="170"/>
      <c r="AK79" s="183">
        <f t="shared" ref="AK79:AP79" si="98">AD79/$E71</f>
        <v>-0.62295154979187106</v>
      </c>
      <c r="AL79" s="183">
        <f t="shared" si="98"/>
        <v>7.3678539212343561E-2</v>
      </c>
      <c r="AM79" s="183">
        <f t="shared" si="98"/>
        <v>-0.68428885624869484</v>
      </c>
      <c r="AN79" s="183">
        <f t="shared" si="98"/>
        <v>4.4241303669488481</v>
      </c>
      <c r="AO79" s="183">
        <f t="shared" si="98"/>
        <v>2.6274683168162462E-4</v>
      </c>
      <c r="AP79" s="183">
        <f t="shared" si="98"/>
        <v>0.214316535048441</v>
      </c>
      <c r="AQ79" s="170"/>
      <c r="AR79" s="184">
        <f t="shared" si="95"/>
        <v>7.0791700195862575</v>
      </c>
      <c r="AS79" s="184">
        <f t="shared" si="90"/>
        <v>7.3678539212343561E-2</v>
      </c>
      <c r="AT79" s="184">
        <f t="shared" si="90"/>
        <v>216.27781518613529</v>
      </c>
      <c r="AU79" s="184">
        <f t="shared" si="90"/>
        <v>22.682534570754708</v>
      </c>
      <c r="AV79" s="184">
        <f t="shared" si="90"/>
        <v>1.3874833523667097E-3</v>
      </c>
      <c r="AW79" s="170"/>
      <c r="AX79" s="172">
        <f t="shared" si="91"/>
        <v>211120.66564081862</v>
      </c>
      <c r="AY79" s="172">
        <f t="shared" si="91"/>
        <v>2197.3002765742649</v>
      </c>
      <c r="AZ79" s="172">
        <f t="shared" si="91"/>
        <v>6450009.8428357113</v>
      </c>
      <c r="BA79" s="172">
        <f t="shared" si="91"/>
        <v>676456.67271012836</v>
      </c>
      <c r="BB79" s="172">
        <f t="shared" si="91"/>
        <v>41.378637341208311</v>
      </c>
      <c r="BC79" s="170"/>
      <c r="BD79" s="325">
        <f>X79/$E71</f>
        <v>7.7021215693781278</v>
      </c>
      <c r="BE79" s="325">
        <f>Y79/$E71</f>
        <v>0</v>
      </c>
      <c r="BF79" s="325">
        <f>Z79/$E71</f>
        <v>216.96210404238397</v>
      </c>
      <c r="BG79" s="325">
        <f>AA79/$E71</f>
        <v>18.258404203805863</v>
      </c>
      <c r="BH79" s="325">
        <f>AB79/$E71</f>
        <v>1.1247365206850852E-3</v>
      </c>
      <c r="BI79" s="326"/>
      <c r="BJ79" s="320">
        <f t="shared" si="92"/>
        <v>229698.82459026648</v>
      </c>
      <c r="BK79" s="320">
        <f t="shared" si="92"/>
        <v>0</v>
      </c>
      <c r="BL79" s="320">
        <f t="shared" si="92"/>
        <v>6470417.2519560046</v>
      </c>
      <c r="BM79" s="320">
        <f t="shared" si="92"/>
        <v>544516.72136444948</v>
      </c>
      <c r="BN79" s="320">
        <f t="shared" si="92"/>
        <v>33.542791352742739</v>
      </c>
      <c r="BO79" s="83"/>
      <c r="BP79" s="83"/>
      <c r="BQ79" s="83"/>
      <c r="BR79" s="83"/>
      <c r="BS79" s="83"/>
      <c r="BT79" s="83"/>
      <c r="BU79" s="83"/>
      <c r="BV79" s="83"/>
      <c r="BW79" s="83"/>
      <c r="BX79" s="83"/>
    </row>
    <row r="80" spans="1:76" x14ac:dyDescent="0.35">
      <c r="A80" s="168">
        <v>6</v>
      </c>
      <c r="B80" s="169">
        <f t="shared" si="83"/>
        <v>0.2101335062251565</v>
      </c>
      <c r="C80" s="170"/>
      <c r="D80" s="154">
        <f t="shared" si="84"/>
        <v>-55398.548631328864</v>
      </c>
      <c r="E80" s="154">
        <f t="shared" si="84"/>
        <v>6627.915201621664</v>
      </c>
      <c r="F80" s="154">
        <f t="shared" si="84"/>
        <v>285294.43752876465</v>
      </c>
      <c r="G80" s="154">
        <f t="shared" si="93"/>
        <v>25391.204940060052</v>
      </c>
      <c r="H80" s="154">
        <f t="shared" si="85"/>
        <v>382500.94212078006</v>
      </c>
      <c r="I80" s="154">
        <f t="shared" si="85"/>
        <v>23.217027276716689</v>
      </c>
      <c r="J80" s="154">
        <f t="shared" si="85"/>
        <v>45035.084951755554</v>
      </c>
      <c r="K80" s="170"/>
      <c r="L80" s="171">
        <f t="shared" si="86"/>
        <v>-3.3244080433763416E-2</v>
      </c>
      <c r="M80" s="171">
        <f t="shared" si="86"/>
        <v>1</v>
      </c>
      <c r="N80" s="171">
        <f t="shared" si="86"/>
        <v>5.5445926788525645E-3</v>
      </c>
      <c r="O80" s="171">
        <f t="shared" si="87"/>
        <v>9.0209941420723846E-2</v>
      </c>
      <c r="P80" s="171">
        <f t="shared" si="87"/>
        <v>8.900517275214466E-2</v>
      </c>
      <c r="Q80" s="170"/>
      <c r="R80" s="154">
        <v>194815.36340611719</v>
      </c>
      <c r="S80" s="154">
        <v>774.84722816444082</v>
      </c>
      <c r="T80" s="154">
        <v>6015376.2585824765</v>
      </c>
      <c r="U80" s="154">
        <v>495698.09376305924</v>
      </c>
      <c r="V80" s="154">
        <v>30.4951310880707</v>
      </c>
      <c r="W80" s="170"/>
      <c r="X80" s="154">
        <v>201291.821016923</v>
      </c>
      <c r="Y80" s="154">
        <v>0</v>
      </c>
      <c r="Z80" s="154">
        <v>5982023.4474185966</v>
      </c>
      <c r="AA80" s="154">
        <v>450981.19776232919</v>
      </c>
      <c r="AB80" s="154">
        <v>27.78090667747767</v>
      </c>
      <c r="AC80" s="170"/>
      <c r="AD80" s="154">
        <f t="shared" si="88"/>
        <v>-6476.45761080581</v>
      </c>
      <c r="AE80" s="154">
        <f t="shared" si="88"/>
        <v>774.84722816444082</v>
      </c>
      <c r="AF80" s="154">
        <f t="shared" si="88"/>
        <v>33352.811163879931</v>
      </c>
      <c r="AG80" s="154">
        <f t="shared" si="88"/>
        <v>44716.896000730048</v>
      </c>
      <c r="AH80" s="154">
        <f t="shared" si="88"/>
        <v>2.7142244105930295</v>
      </c>
      <c r="AI80" s="154">
        <v>5264.9000000000015</v>
      </c>
      <c r="AJ80" s="170"/>
      <c r="AK80" s="183">
        <f t="shared" ref="AK80:AP80" si="99">AD80/$E71</f>
        <v>-0.26363500817413538</v>
      </c>
      <c r="AL80" s="183">
        <f t="shared" si="99"/>
        <v>3.1541448675585802E-2</v>
      </c>
      <c r="AM80" s="183">
        <f t="shared" si="99"/>
        <v>1.357681802649187</v>
      </c>
      <c r="AN80" s="183">
        <f t="shared" si="99"/>
        <v>1.8202758284104066</v>
      </c>
      <c r="AO80" s="183">
        <f t="shared" si="99"/>
        <v>1.104870312868611E-4</v>
      </c>
      <c r="AP80" s="183">
        <f t="shared" si="99"/>
        <v>0.214316535048441</v>
      </c>
      <c r="AQ80" s="170"/>
      <c r="AR80" s="184">
        <f t="shared" si="95"/>
        <v>7.9302842711925914</v>
      </c>
      <c r="AS80" s="184">
        <f t="shared" si="90"/>
        <v>3.1541448675585802E-2</v>
      </c>
      <c r="AT80" s="184">
        <f t="shared" si="90"/>
        <v>244.86592276245528</v>
      </c>
      <c r="AU80" s="184">
        <f t="shared" si="90"/>
        <v>20.178217608200733</v>
      </c>
      <c r="AV80" s="184">
        <f t="shared" si="90"/>
        <v>1.2413551692612025E-3</v>
      </c>
      <c r="AW80" s="170"/>
      <c r="AX80" s="172">
        <f t="shared" si="91"/>
        <v>1666418.4392679092</v>
      </c>
      <c r="AY80" s="172">
        <f t="shared" si="91"/>
        <v>6627.915201621664</v>
      </c>
      <c r="AZ80" s="172">
        <f t="shared" si="91"/>
        <v>51454534.905133091</v>
      </c>
      <c r="BA80" s="172">
        <f t="shared" si="91"/>
        <v>4240119.6153854113</v>
      </c>
      <c r="BB80" s="172">
        <f t="shared" si="91"/>
        <v>260.8503141875791</v>
      </c>
      <c r="BC80" s="170"/>
      <c r="BD80" s="325">
        <f>X80/$E71</f>
        <v>8.1939192793667264</v>
      </c>
      <c r="BE80" s="325">
        <f>Y80/$E71</f>
        <v>0</v>
      </c>
      <c r="BF80" s="325">
        <f>Z80/$E71</f>
        <v>243.5082409598061</v>
      </c>
      <c r="BG80" s="325">
        <f>AA80/$E71</f>
        <v>18.357941779790327</v>
      </c>
      <c r="BH80" s="325">
        <f>AB80/$E71</f>
        <v>1.1308681379743413E-3</v>
      </c>
      <c r="BI80" s="326"/>
      <c r="BJ80" s="320">
        <f t="shared" si="92"/>
        <v>1721816.987899238</v>
      </c>
      <c r="BK80" s="320">
        <f t="shared" si="92"/>
        <v>0</v>
      </c>
      <c r="BL80" s="320">
        <f t="shared" si="92"/>
        <v>51169240.467604324</v>
      </c>
      <c r="BM80" s="320">
        <f t="shared" si="92"/>
        <v>3857618.6732646311</v>
      </c>
      <c r="BN80" s="320">
        <f t="shared" si="92"/>
        <v>237.63328691086241</v>
      </c>
      <c r="BO80" s="83"/>
      <c r="BP80" s="83"/>
      <c r="BQ80" s="83"/>
      <c r="BR80" s="83"/>
      <c r="BS80" s="83"/>
      <c r="BT80" s="83"/>
      <c r="BU80" s="83"/>
      <c r="BV80" s="83"/>
      <c r="BW80" s="83"/>
      <c r="BX80" s="83"/>
    </row>
    <row r="81" spans="1:76" x14ac:dyDescent="0.35">
      <c r="A81" s="168">
        <v>7</v>
      </c>
      <c r="B81" s="169">
        <f t="shared" si="83"/>
        <v>0.14820672956739095</v>
      </c>
      <c r="C81" s="170"/>
      <c r="D81" s="154">
        <f t="shared" si="84"/>
        <v>-30807.794865382031</v>
      </c>
      <c r="E81" s="154">
        <f t="shared" si="84"/>
        <v>3977.7696793561877</v>
      </c>
      <c r="F81" s="154">
        <f t="shared" si="84"/>
        <v>445613.64595750294</v>
      </c>
      <c r="G81" s="154">
        <f t="shared" si="93"/>
        <v>39659.614490217762</v>
      </c>
      <c r="H81" s="154">
        <f t="shared" si="85"/>
        <v>238499.02950916483</v>
      </c>
      <c r="I81" s="154">
        <f t="shared" si="85"/>
        <v>14.484477850970478</v>
      </c>
      <c r="J81" s="154">
        <f t="shared" si="85"/>
        <v>31763.152751744557</v>
      </c>
      <c r="K81" s="170"/>
      <c r="L81" s="171">
        <f t="shared" si="86"/>
        <v>-2.744288830370633E-2</v>
      </c>
      <c r="M81" s="171">
        <f t="shared" si="86"/>
        <v>1</v>
      </c>
      <c r="N81" s="171">
        <f t="shared" si="86"/>
        <v>1.3168107061034721E-2</v>
      </c>
      <c r="O81" s="171">
        <f t="shared" si="87"/>
        <v>8.2838638769221082E-2</v>
      </c>
      <c r="P81" s="171">
        <f t="shared" si="87"/>
        <v>8.1765320354807672E-2</v>
      </c>
      <c r="Q81" s="170"/>
      <c r="R81" s="154">
        <v>186078.98114334539</v>
      </c>
      <c r="S81" s="154">
        <v>659.33503983455012</v>
      </c>
      <c r="T81" s="154">
        <v>5609209.4423064655</v>
      </c>
      <c r="U81" s="154">
        <v>477221.70268491923</v>
      </c>
      <c r="V81" s="154">
        <v>29.362986465139983</v>
      </c>
      <c r="W81" s="170"/>
      <c r="X81" s="154">
        <v>191185.52583852969</v>
      </c>
      <c r="Y81" s="154">
        <v>0</v>
      </c>
      <c r="Z81" s="154">
        <v>5535346.7718424071</v>
      </c>
      <c r="AA81" s="154">
        <v>437689.30644337059</v>
      </c>
      <c r="AB81" s="154">
        <v>26.96211247024393</v>
      </c>
      <c r="AC81" s="170"/>
      <c r="AD81" s="154">
        <f t="shared" si="88"/>
        <v>-5106.5446951843041</v>
      </c>
      <c r="AE81" s="154">
        <f t="shared" si="88"/>
        <v>659.33503983455012</v>
      </c>
      <c r="AF81" s="154">
        <f t="shared" si="88"/>
        <v>73862.670464058407</v>
      </c>
      <c r="AG81" s="154">
        <f t="shared" si="88"/>
        <v>39532.396241548646</v>
      </c>
      <c r="AH81" s="154">
        <f t="shared" si="88"/>
        <v>2.4008739948960525</v>
      </c>
      <c r="AI81" s="154">
        <v>5264.9000000000015</v>
      </c>
      <c r="AJ81" s="170"/>
      <c r="AK81" s="183">
        <f t="shared" ref="AK81:AP81" si="100">AD81/$E71</f>
        <v>-0.20787041826851357</v>
      </c>
      <c r="AL81" s="183">
        <f t="shared" si="100"/>
        <v>2.6839332403913951E-2</v>
      </c>
      <c r="AM81" s="183">
        <f t="shared" si="100"/>
        <v>3.0067031858690223</v>
      </c>
      <c r="AN81" s="183">
        <f t="shared" si="100"/>
        <v>1.6092321192521635</v>
      </c>
      <c r="AO81" s="183">
        <f t="shared" si="100"/>
        <v>9.7731580025077437E-5</v>
      </c>
      <c r="AP81" s="183">
        <f t="shared" si="100"/>
        <v>0.214316535048441</v>
      </c>
      <c r="AQ81" s="170"/>
      <c r="AR81" s="184">
        <f t="shared" si="95"/>
        <v>7.5746552610659199</v>
      </c>
      <c r="AS81" s="184">
        <f t="shared" si="90"/>
        <v>2.6839332403913951E-2</v>
      </c>
      <c r="AT81" s="184">
        <f t="shared" si="90"/>
        <v>228.33222512034786</v>
      </c>
      <c r="AU81" s="184">
        <f t="shared" si="90"/>
        <v>19.426105295323588</v>
      </c>
      <c r="AV81" s="184">
        <f t="shared" si="90"/>
        <v>1.1952693342481471E-3</v>
      </c>
      <c r="AW81" s="170"/>
      <c r="AX81" s="172">
        <f t="shared" si="91"/>
        <v>1122614.8838430119</v>
      </c>
      <c r="AY81" s="172">
        <f t="shared" si="91"/>
        <v>3977.7696793561877</v>
      </c>
      <c r="AZ81" s="172">
        <f t="shared" si="91"/>
        <v>33840372.339932024</v>
      </c>
      <c r="BA81" s="172">
        <f t="shared" si="91"/>
        <v>2879079.5340516842</v>
      </c>
      <c r="BB81" s="172">
        <f t="shared" si="91"/>
        <v>177.14695898111054</v>
      </c>
      <c r="BC81" s="170"/>
      <c r="BD81" s="325">
        <f>X81/$E71</f>
        <v>7.7825256793344337</v>
      </c>
      <c r="BE81" s="325">
        <f>Y81/$E71</f>
        <v>0</v>
      </c>
      <c r="BF81" s="325">
        <f>Z81/$E71</f>
        <v>225.32552193447884</v>
      </c>
      <c r="BG81" s="325">
        <f>AA81/$E71</f>
        <v>17.816873176071425</v>
      </c>
      <c r="BH81" s="325">
        <f>AB81/$E71</f>
        <v>1.0975377542230696E-3</v>
      </c>
      <c r="BI81" s="326"/>
      <c r="BJ81" s="320">
        <f t="shared" si="92"/>
        <v>1153422.6787083938</v>
      </c>
      <c r="BK81" s="320">
        <f t="shared" si="92"/>
        <v>0</v>
      </c>
      <c r="BL81" s="320">
        <f t="shared" si="92"/>
        <v>33394758.693974525</v>
      </c>
      <c r="BM81" s="320">
        <f t="shared" si="92"/>
        <v>2640580.5045425198</v>
      </c>
      <c r="BN81" s="320">
        <f t="shared" si="92"/>
        <v>162.66248113014007</v>
      </c>
      <c r="BO81" s="83"/>
      <c r="BP81" s="83"/>
      <c r="BQ81" s="83"/>
      <c r="BR81" s="83"/>
      <c r="BS81" s="83"/>
      <c r="BT81" s="83"/>
      <c r="BU81" s="83"/>
      <c r="BV81" s="83"/>
      <c r="BW81" s="83"/>
      <c r="BX81" s="83"/>
    </row>
    <row r="82" spans="1:76" x14ac:dyDescent="0.35">
      <c r="A82" s="168">
        <v>8</v>
      </c>
      <c r="B82" s="169">
        <f t="shared" si="83"/>
        <v>0.30161916176296832</v>
      </c>
      <c r="C82" s="170"/>
      <c r="D82" s="154">
        <f t="shared" si="84"/>
        <v>-75857.823223194704</v>
      </c>
      <c r="E82" s="154">
        <f t="shared" si="84"/>
        <v>9558.6245289805411</v>
      </c>
      <c r="F82" s="154">
        <f t="shared" si="84"/>
        <v>426310.23816116108</v>
      </c>
      <c r="G82" s="154">
        <f t="shared" si="93"/>
        <v>37941.611196343336</v>
      </c>
      <c r="H82" s="154">
        <f t="shared" si="85"/>
        <v>545902.69641853427</v>
      </c>
      <c r="I82" s="154">
        <f t="shared" si="85"/>
        <v>33.130004889391081</v>
      </c>
      <c r="J82" s="154">
        <f t="shared" si="85"/>
        <v>64641.973653254594</v>
      </c>
      <c r="K82" s="170"/>
      <c r="L82" s="171">
        <f t="shared" si="86"/>
        <v>-3.0227618012090791E-2</v>
      </c>
      <c r="M82" s="171">
        <f t="shared" si="86"/>
        <v>1</v>
      </c>
      <c r="N82" s="171">
        <f t="shared" si="86"/>
        <v>5.3360537786441564E-3</v>
      </c>
      <c r="O82" s="171">
        <f t="shared" si="87"/>
        <v>8.6013508470937666E-2</v>
      </c>
      <c r="P82" s="171">
        <f t="shared" si="87"/>
        <v>8.4847426045224023E-2</v>
      </c>
      <c r="Q82" s="170"/>
      <c r="R82" s="154">
        <v>204395.8010454968</v>
      </c>
      <c r="S82" s="154">
        <v>778.52205677658617</v>
      </c>
      <c r="T82" s="154">
        <v>6507004.1487638932</v>
      </c>
      <c r="U82" s="154">
        <v>516920.9044263995</v>
      </c>
      <c r="V82" s="154">
        <v>31.802286582594345</v>
      </c>
      <c r="W82" s="170"/>
      <c r="X82" s="154">
        <v>210574.19924277539</v>
      </c>
      <c r="Y82" s="154">
        <v>0</v>
      </c>
      <c r="Z82" s="154">
        <v>6472282.4246882284</v>
      </c>
      <c r="AA82" s="154">
        <v>472458.72383471462</v>
      </c>
      <c r="AB82" s="154">
        <v>29.103944423708651</v>
      </c>
      <c r="AC82" s="170"/>
      <c r="AD82" s="154">
        <f t="shared" si="88"/>
        <v>-6178.3981972785841</v>
      </c>
      <c r="AE82" s="154">
        <f t="shared" si="88"/>
        <v>778.52205677658617</v>
      </c>
      <c r="AF82" s="154">
        <f t="shared" si="88"/>
        <v>34721.724075664766</v>
      </c>
      <c r="AG82" s="154">
        <f t="shared" si="88"/>
        <v>44462.180591684883</v>
      </c>
      <c r="AH82" s="154">
        <f t="shared" si="88"/>
        <v>2.6983421588856942</v>
      </c>
      <c r="AI82" s="154">
        <v>5264.9000000000015</v>
      </c>
      <c r="AJ82" s="170"/>
      <c r="AK82" s="183">
        <f t="shared" ref="AK82:AP82" si="101">AD82/$E71</f>
        <v>-0.25150200265727363</v>
      </c>
      <c r="AL82" s="183">
        <f t="shared" si="101"/>
        <v>3.1691038702946601E-2</v>
      </c>
      <c r="AM82" s="183">
        <f t="shared" si="101"/>
        <v>1.4134056857308788</v>
      </c>
      <c r="AN82" s="183">
        <f t="shared" si="101"/>
        <v>1.8099072128830449</v>
      </c>
      <c r="AO82" s="183">
        <f t="shared" si="101"/>
        <v>1.0984051774345413E-4</v>
      </c>
      <c r="AP82" s="183">
        <f t="shared" si="101"/>
        <v>0.214316535048441</v>
      </c>
      <c r="AQ82" s="170"/>
      <c r="AR82" s="184">
        <f t="shared" si="95"/>
        <v>8.320271963099275</v>
      </c>
      <c r="AS82" s="184">
        <f t="shared" si="90"/>
        <v>3.1691038702946601E-2</v>
      </c>
      <c r="AT82" s="184">
        <f t="shared" si="90"/>
        <v>264.87845594577436</v>
      </c>
      <c r="AU82" s="184">
        <f t="shared" si="90"/>
        <v>21.042127510640704</v>
      </c>
      <c r="AV82" s="184">
        <f t="shared" si="90"/>
        <v>1.2945651136772101E-3</v>
      </c>
      <c r="AW82" s="170"/>
      <c r="AX82" s="172">
        <f t="shared" si="91"/>
        <v>2509553.45514993</v>
      </c>
      <c r="AY82" s="172">
        <f t="shared" si="91"/>
        <v>9558.6245289805411</v>
      </c>
      <c r="AZ82" s="172">
        <f t="shared" si="91"/>
        <v>79892417.851433784</v>
      </c>
      <c r="BA82" s="172">
        <f t="shared" si="91"/>
        <v>6346708.8614689447</v>
      </c>
      <c r="BB82" s="172">
        <f t="shared" si="91"/>
        <v>390.46564443490195</v>
      </c>
      <c r="BC82" s="170"/>
      <c r="BD82" s="325">
        <f>X82/$E71</f>
        <v>8.5717739657565488</v>
      </c>
      <c r="BE82" s="325">
        <f>Y82/$E71</f>
        <v>0</v>
      </c>
      <c r="BF82" s="325">
        <f>Z82/$E71</f>
        <v>263.46505026004348</v>
      </c>
      <c r="BG82" s="325">
        <f>AA82/$E71</f>
        <v>19.232220297757657</v>
      </c>
      <c r="BH82" s="325">
        <f>AB82/$E71</f>
        <v>1.184724595933756E-3</v>
      </c>
      <c r="BI82" s="326"/>
      <c r="BJ82" s="320">
        <f t="shared" si="92"/>
        <v>2585411.278373125</v>
      </c>
      <c r="BK82" s="320">
        <f t="shared" si="92"/>
        <v>0</v>
      </c>
      <c r="BL82" s="320">
        <f t="shared" si="92"/>
        <v>79466107.613272637</v>
      </c>
      <c r="BM82" s="320">
        <f t="shared" si="92"/>
        <v>5800806.1650504097</v>
      </c>
      <c r="BN82" s="320">
        <f t="shared" si="92"/>
        <v>357.33563954551079</v>
      </c>
      <c r="BO82" s="83"/>
      <c r="BP82" s="83"/>
      <c r="BQ82" s="83"/>
      <c r="BR82" s="83"/>
      <c r="BS82" s="83"/>
      <c r="BT82" s="83"/>
      <c r="BU82" s="83"/>
      <c r="BV82" s="83"/>
      <c r="BW82" s="83"/>
      <c r="BX82" s="83"/>
    </row>
    <row r="83" spans="1:76" x14ac:dyDescent="0.35">
      <c r="A83" s="168">
        <v>9</v>
      </c>
      <c r="B83" s="169">
        <f t="shared" si="83"/>
        <v>0.47157598122768452</v>
      </c>
      <c r="C83" s="170"/>
      <c r="D83" s="154">
        <f t="shared" si="84"/>
        <v>-135849.82429108609</v>
      </c>
      <c r="E83" s="154">
        <f t="shared" si="84"/>
        <v>17374.107501318707</v>
      </c>
      <c r="F83" s="154">
        <f t="shared" si="84"/>
        <v>728214.93146379234</v>
      </c>
      <c r="G83" s="154">
        <f t="shared" si="93"/>
        <v>64811.128900277516</v>
      </c>
      <c r="H83" s="154">
        <f t="shared" si="85"/>
        <v>1023691.6626551835</v>
      </c>
      <c r="I83" s="154">
        <f t="shared" si="85"/>
        <v>62.154980567792371</v>
      </c>
      <c r="J83" s="154">
        <f t="shared" si="85"/>
        <v>101066.53030878599</v>
      </c>
      <c r="K83" s="170"/>
      <c r="L83" s="171">
        <f t="shared" si="86"/>
        <v>-3.4842158973761778E-2</v>
      </c>
      <c r="M83" s="171">
        <f t="shared" si="86"/>
        <v>1</v>
      </c>
      <c r="N83" s="171">
        <f t="shared" si="86"/>
        <v>5.7990332855564026E-3</v>
      </c>
      <c r="O83" s="171">
        <f t="shared" si="87"/>
        <v>0.10060595381529401</v>
      </c>
      <c r="P83" s="171">
        <f t="shared" si="87"/>
        <v>9.9304814556361878E-2</v>
      </c>
      <c r="Q83" s="170"/>
      <c r="R83" s="154">
        <v>203112.56632640341</v>
      </c>
      <c r="S83" s="154">
        <v>905.07647095648736</v>
      </c>
      <c r="T83" s="154">
        <v>6541641.6287149778</v>
      </c>
      <c r="U83" s="154">
        <v>530063.93201929214</v>
      </c>
      <c r="V83" s="154">
        <v>32.605315032561663</v>
      </c>
      <c r="W83" s="170"/>
      <c r="X83" s="154">
        <v>210189.44665191669</v>
      </c>
      <c r="Y83" s="154">
        <v>0</v>
      </c>
      <c r="Z83" s="154">
        <v>6503706.4311678782</v>
      </c>
      <c r="AA83" s="154">
        <v>476736.34455540607</v>
      </c>
      <c r="AB83" s="154">
        <v>29.367450269701369</v>
      </c>
      <c r="AC83" s="170"/>
      <c r="AD83" s="154">
        <f t="shared" si="88"/>
        <v>-7076.8803255132807</v>
      </c>
      <c r="AE83" s="154">
        <f t="shared" si="88"/>
        <v>905.07647095648736</v>
      </c>
      <c r="AF83" s="154">
        <f t="shared" si="88"/>
        <v>37935.197547099553</v>
      </c>
      <c r="AG83" s="154">
        <f t="shared" si="88"/>
        <v>53327.58746388607</v>
      </c>
      <c r="AH83" s="154">
        <f t="shared" si="88"/>
        <v>3.2378647628602941</v>
      </c>
      <c r="AI83" s="154">
        <v>5264.9000000000015</v>
      </c>
      <c r="AJ83" s="170"/>
      <c r="AK83" s="183">
        <f t="shared" ref="AK83:AP83" si="102">AD83/$E71</f>
        <v>-0.28807621613259304</v>
      </c>
      <c r="AL83" s="183">
        <f t="shared" si="102"/>
        <v>3.6842647193539337E-2</v>
      </c>
      <c r="AM83" s="183">
        <f t="shared" si="102"/>
        <v>1.5442154826630121</v>
      </c>
      <c r="AN83" s="183">
        <f t="shared" si="102"/>
        <v>2.1707883849176124</v>
      </c>
      <c r="AO83" s="183">
        <f t="shared" si="102"/>
        <v>1.3180268512823798E-4</v>
      </c>
      <c r="AP83" s="183">
        <f t="shared" si="102"/>
        <v>0.214316535048441</v>
      </c>
      <c r="AQ83" s="170"/>
      <c r="AR83" s="184">
        <f t="shared" si="95"/>
        <v>8.2680357537410814</v>
      </c>
      <c r="AS83" s="184">
        <f t="shared" si="90"/>
        <v>3.6842647193539337E-2</v>
      </c>
      <c r="AT83" s="184">
        <f t="shared" si="90"/>
        <v>266.28843233391586</v>
      </c>
      <c r="AU83" s="184">
        <f t="shared" si="90"/>
        <v>21.577136368122289</v>
      </c>
      <c r="AV83" s="184">
        <f t="shared" si="90"/>
        <v>1.3272537259855762E-3</v>
      </c>
      <c r="AW83" s="170"/>
      <c r="AX83" s="172">
        <f t="shared" si="91"/>
        <v>3899007.0733960285</v>
      </c>
      <c r="AY83" s="172">
        <f t="shared" si="91"/>
        <v>17374.107501318707</v>
      </c>
      <c r="AZ83" s="172">
        <f t="shared" si="91"/>
        <v>125575228.76744825</v>
      </c>
      <c r="BA83" s="172">
        <f t="shared" si="91"/>
        <v>10175259.254880827</v>
      </c>
      <c r="BB83" s="172">
        <f t="shared" si="91"/>
        <v>625.90097816974844</v>
      </c>
      <c r="BC83" s="170"/>
      <c r="BD83" s="325">
        <f>X83/$E71</f>
        <v>8.5561119698736743</v>
      </c>
      <c r="BE83" s="325">
        <f>Y83/$E71</f>
        <v>0</v>
      </c>
      <c r="BF83" s="325">
        <f>Z83/$E71</f>
        <v>264.74421685125287</v>
      </c>
      <c r="BG83" s="325">
        <f>AA83/$E71</f>
        <v>19.406347983204675</v>
      </c>
      <c r="BH83" s="325">
        <f>AB83/$E71</f>
        <v>1.1954510408573381E-3</v>
      </c>
      <c r="BI83" s="326"/>
      <c r="BJ83" s="320">
        <f t="shared" si="92"/>
        <v>4034856.8976871143</v>
      </c>
      <c r="BK83" s="320">
        <f t="shared" si="92"/>
        <v>0</v>
      </c>
      <c r="BL83" s="320">
        <f t="shared" si="92"/>
        <v>124847013.83598447</v>
      </c>
      <c r="BM83" s="320">
        <f t="shared" si="92"/>
        <v>9151567.592225641</v>
      </c>
      <c r="BN83" s="320">
        <f t="shared" si="92"/>
        <v>563.74599760195599</v>
      </c>
      <c r="BO83" s="83"/>
      <c r="BP83" s="83"/>
      <c r="BQ83" s="83"/>
      <c r="BR83" s="83"/>
      <c r="BS83" s="83"/>
      <c r="BT83" s="83"/>
      <c r="BU83" s="83"/>
      <c r="BV83" s="83"/>
      <c r="BW83" s="83"/>
      <c r="BX83" s="83"/>
    </row>
    <row r="84" spans="1:76" x14ac:dyDescent="0.35">
      <c r="A84" s="168">
        <v>10</v>
      </c>
      <c r="B84" s="169">
        <f t="shared" si="83"/>
        <v>0.28233547833322997</v>
      </c>
      <c r="C84" s="170"/>
      <c r="D84" s="154">
        <f t="shared" si="84"/>
        <v>-104975.49764346913</v>
      </c>
      <c r="E84" s="154">
        <f t="shared" si="84"/>
        <v>13094.368356847661</v>
      </c>
      <c r="F84" s="154">
        <f t="shared" si="84"/>
        <v>587844.46212080424</v>
      </c>
      <c r="G84" s="154">
        <f t="shared" si="93"/>
        <v>52318.157128751576</v>
      </c>
      <c r="H84" s="154">
        <f t="shared" si="85"/>
        <v>749712.32343764429</v>
      </c>
      <c r="I84" s="154">
        <f t="shared" si="85"/>
        <v>45.500616715457355</v>
      </c>
      <c r="J84" s="154">
        <f t="shared" si="85"/>
        <v>60509.161437622031</v>
      </c>
      <c r="K84" s="170"/>
      <c r="L84" s="171">
        <f t="shared" si="86"/>
        <v>-4.3417246297238858E-2</v>
      </c>
      <c r="M84" s="171">
        <f t="shared" si="86"/>
        <v>1</v>
      </c>
      <c r="N84" s="171">
        <f t="shared" si="86"/>
        <v>7.6840559901744663E-3</v>
      </c>
      <c r="O84" s="171">
        <f t="shared" si="87"/>
        <v>0.11551119643557893</v>
      </c>
      <c r="P84" s="171">
        <f t="shared" si="87"/>
        <v>0.11399889917110406</v>
      </c>
      <c r="Q84" s="170"/>
      <c r="R84" s="154">
        <v>210375.25688645989</v>
      </c>
      <c r="S84" s="154">
        <v>1139.34052834358</v>
      </c>
      <c r="T84" s="154">
        <v>6656422.8522914434</v>
      </c>
      <c r="U84" s="154">
        <v>564728.31034173514</v>
      </c>
      <c r="V84" s="154">
        <v>34.728467401786233</v>
      </c>
      <c r="W84" s="170"/>
      <c r="X84" s="154">
        <v>219509.17122954421</v>
      </c>
      <c r="Y84" s="154">
        <v>0</v>
      </c>
      <c r="Z84" s="154">
        <v>6605274.5264001591</v>
      </c>
      <c r="AA84" s="154">
        <v>499495.86755311838</v>
      </c>
      <c r="AB84" s="154">
        <v>30.76946034808303</v>
      </c>
      <c r="AC84" s="170"/>
      <c r="AD84" s="154">
        <f t="shared" si="88"/>
        <v>-9133.9143430843251</v>
      </c>
      <c r="AE84" s="154">
        <f t="shared" si="88"/>
        <v>1139.34052834358</v>
      </c>
      <c r="AF84" s="154">
        <f t="shared" si="88"/>
        <v>51148.325891284272</v>
      </c>
      <c r="AG84" s="154">
        <f t="shared" si="88"/>
        <v>65232.442788616754</v>
      </c>
      <c r="AH84" s="154">
        <f t="shared" si="88"/>
        <v>3.9590070537032034</v>
      </c>
      <c r="AI84" s="154">
        <v>5264.9000000000015</v>
      </c>
      <c r="AJ84" s="170"/>
      <c r="AK84" s="183">
        <f t="shared" ref="AK84:AP84" si="103">AD84/$E71</f>
        <v>-0.37181121644078502</v>
      </c>
      <c r="AL84" s="183">
        <f t="shared" si="103"/>
        <v>4.6378756343872833E-2</v>
      </c>
      <c r="AM84" s="183">
        <f t="shared" si="103"/>
        <v>2.0820779081366227</v>
      </c>
      <c r="AN84" s="183">
        <f t="shared" si="103"/>
        <v>2.6553953752591695</v>
      </c>
      <c r="AO84" s="183">
        <f t="shared" si="103"/>
        <v>1.6115798476362466E-4</v>
      </c>
      <c r="AP84" s="183">
        <f t="shared" si="103"/>
        <v>0.214316535048441</v>
      </c>
      <c r="AQ84" s="170"/>
      <c r="AR84" s="184">
        <f t="shared" si="95"/>
        <v>8.5636756853561788</v>
      </c>
      <c r="AS84" s="184">
        <f t="shared" si="90"/>
        <v>4.6378756343872833E-2</v>
      </c>
      <c r="AT84" s="184">
        <f t="shared" si="90"/>
        <v>270.96079346623151</v>
      </c>
      <c r="AU84" s="184">
        <f t="shared" si="90"/>
        <v>22.98820769932977</v>
      </c>
      <c r="AV84" s="184">
        <f t="shared" si="90"/>
        <v>1.4136801840668499E-3</v>
      </c>
      <c r="AW84" s="170"/>
      <c r="AX84" s="172">
        <f t="shared" si="91"/>
        <v>2417829.4709156877</v>
      </c>
      <c r="AY84" s="172">
        <f t="shared" si="91"/>
        <v>13094.368356847661</v>
      </c>
      <c r="AZ84" s="172">
        <f t="shared" si="91"/>
        <v>76501845.232840016</v>
      </c>
      <c r="BA84" s="172">
        <f t="shared" si="91"/>
        <v>6490386.6168139111</v>
      </c>
      <c r="BB84" s="172">
        <f t="shared" si="91"/>
        <v>399.13207097872265</v>
      </c>
      <c r="BC84" s="170"/>
      <c r="BD84" s="325">
        <f>X84/$E71</f>
        <v>8.9354869017969634</v>
      </c>
      <c r="BE84" s="325">
        <f>Y84/$E71</f>
        <v>0</v>
      </c>
      <c r="BF84" s="325">
        <f>Z84/$E71</f>
        <v>268.87871555809488</v>
      </c>
      <c r="BG84" s="325">
        <f>AA84/$E71</f>
        <v>20.332812324070602</v>
      </c>
      <c r="BH84" s="325">
        <f>AB84/$E71</f>
        <v>1.2525221993032252E-3</v>
      </c>
      <c r="BI84" s="326"/>
      <c r="BJ84" s="320">
        <f t="shared" si="92"/>
        <v>2522804.9685591566</v>
      </c>
      <c r="BK84" s="320">
        <f t="shared" si="92"/>
        <v>0</v>
      </c>
      <c r="BL84" s="320">
        <f t="shared" si="92"/>
        <v>75914000.7707192</v>
      </c>
      <c r="BM84" s="320">
        <f t="shared" si="92"/>
        <v>5740674.293376267</v>
      </c>
      <c r="BN84" s="320">
        <f t="shared" si="92"/>
        <v>353.63145426326531</v>
      </c>
      <c r="BO84" s="83"/>
      <c r="BP84" s="83"/>
      <c r="BQ84" s="83"/>
      <c r="BR84" s="83"/>
      <c r="BS84" s="83"/>
      <c r="BT84" s="83"/>
      <c r="BU84" s="83"/>
      <c r="BV84" s="83"/>
      <c r="BW84" s="83"/>
      <c r="BX84" s="83"/>
    </row>
    <row r="85" spans="1:76" x14ac:dyDescent="0.35">
      <c r="A85" s="168">
        <v>11</v>
      </c>
      <c r="B85" s="169">
        <f t="shared" si="83"/>
        <v>5.8202264195724419E-2</v>
      </c>
      <c r="C85" s="170"/>
      <c r="D85" s="154">
        <f t="shared" si="84"/>
        <v>-57687.782068869768</v>
      </c>
      <c r="E85" s="154">
        <f t="shared" si="84"/>
        <v>6754.3518134034366</v>
      </c>
      <c r="F85" s="154">
        <f t="shared" si="84"/>
        <v>248791.54084707642</v>
      </c>
      <c r="G85" s="154">
        <f t="shared" si="93"/>
        <v>22142.447135389801</v>
      </c>
      <c r="H85" s="154">
        <f t="shared" si="85"/>
        <v>410213.26896455471</v>
      </c>
      <c r="I85" s="154">
        <f t="shared" si="85"/>
        <v>24.372614444503405</v>
      </c>
      <c r="J85" s="154">
        <f t="shared" si="85"/>
        <v>12473.707594401596</v>
      </c>
      <c r="K85" s="170"/>
      <c r="L85" s="171">
        <f t="shared" si="86"/>
        <v>-0.11432469130940504</v>
      </c>
      <c r="M85" s="171">
        <f t="shared" si="86"/>
        <v>1</v>
      </c>
      <c r="N85" s="171">
        <f t="shared" si="86"/>
        <v>1.3858478000454087E-2</v>
      </c>
      <c r="O85" s="171">
        <f t="shared" si="87"/>
        <v>0.23391382276989542</v>
      </c>
      <c r="P85" s="171">
        <f t="shared" si="87"/>
        <v>0.22749991164753922</v>
      </c>
      <c r="Q85" s="170"/>
      <c r="R85" s="154">
        <v>212979.77898031741</v>
      </c>
      <c r="S85" s="154">
        <v>2850.8754589010982</v>
      </c>
      <c r="T85" s="154">
        <v>7577302.7647972479</v>
      </c>
      <c r="U85" s="154">
        <v>740198.81446585385</v>
      </c>
      <c r="V85" s="154">
        <v>45.218427306700342</v>
      </c>
      <c r="W85" s="170"/>
      <c r="X85" s="154">
        <v>237328.62646738751</v>
      </c>
      <c r="Y85" s="154">
        <v>0</v>
      </c>
      <c r="Z85" s="154">
        <v>7472292.8811285254</v>
      </c>
      <c r="AA85" s="154">
        <v>567056.08016440144</v>
      </c>
      <c r="AB85" s="154">
        <v>34.93123908958534</v>
      </c>
      <c r="AC85" s="170"/>
      <c r="AD85" s="154">
        <f t="shared" si="88"/>
        <v>-24348.847487070103</v>
      </c>
      <c r="AE85" s="154">
        <f t="shared" si="88"/>
        <v>2850.8754589010982</v>
      </c>
      <c r="AF85" s="154">
        <f t="shared" si="88"/>
        <v>105009.88366872258</v>
      </c>
      <c r="AG85" s="154">
        <f t="shared" si="88"/>
        <v>173142.73430145241</v>
      </c>
      <c r="AH85" s="154">
        <f t="shared" si="88"/>
        <v>10.287188217115002</v>
      </c>
      <c r="AI85" s="154">
        <v>5264.9000000000015</v>
      </c>
      <c r="AJ85" s="170"/>
      <c r="AK85" s="183">
        <f t="shared" ref="AK85:AP85" si="104">AD85/$E71</f>
        <v>-0.99116044480461218</v>
      </c>
      <c r="AL85" s="183">
        <f t="shared" si="104"/>
        <v>0.11604964010832444</v>
      </c>
      <c r="AM85" s="183">
        <f t="shared" si="104"/>
        <v>4.2746024451975329</v>
      </c>
      <c r="AN85" s="183">
        <f t="shared" si="104"/>
        <v>7.0480637589128232</v>
      </c>
      <c r="AO85" s="183">
        <f t="shared" si="104"/>
        <v>4.1875715285821877E-4</v>
      </c>
      <c r="AP85" s="183">
        <f t="shared" si="104"/>
        <v>0.214316535048441</v>
      </c>
      <c r="AQ85" s="170"/>
      <c r="AR85" s="184">
        <f t="shared" si="95"/>
        <v>8.6696971008840436</v>
      </c>
      <c r="AS85" s="184">
        <f t="shared" si="90"/>
        <v>0.11604964010832444</v>
      </c>
      <c r="AT85" s="184">
        <f t="shared" si="90"/>
        <v>308.44674610425989</v>
      </c>
      <c r="AU85" s="184">
        <f t="shared" si="90"/>
        <v>30.131027211017415</v>
      </c>
      <c r="AV85" s="184">
        <f t="shared" si="90"/>
        <v>1.8406914966498551E-3</v>
      </c>
      <c r="AW85" s="170"/>
      <c r="AX85" s="172">
        <f t="shared" si="91"/>
        <v>504596.0011625592</v>
      </c>
      <c r="AY85" s="172">
        <f t="shared" si="91"/>
        <v>6754.3518134034366</v>
      </c>
      <c r="AZ85" s="172">
        <f t="shared" si="91"/>
        <v>17952299.007071666</v>
      </c>
      <c r="BA85" s="172">
        <f t="shared" si="91"/>
        <v>1753694.0062241971</v>
      </c>
      <c r="BB85" s="172">
        <f t="shared" si="91"/>
        <v>107.13241279083826</v>
      </c>
      <c r="BC85" s="170"/>
      <c r="BD85" s="325">
        <f>X85/$E71</f>
        <v>9.6608575456886552</v>
      </c>
      <c r="BE85" s="325">
        <f>Y85/$E71</f>
        <v>0</v>
      </c>
      <c r="BF85" s="325">
        <f>Z85/$E71</f>
        <v>304.17214365906233</v>
      </c>
      <c r="BG85" s="325">
        <f>AA85/$E71</f>
        <v>23.082963452104593</v>
      </c>
      <c r="BH85" s="325">
        <f>AB85/$E71</f>
        <v>1.4219343437916364E-3</v>
      </c>
      <c r="BI85" s="326"/>
      <c r="BJ85" s="320">
        <f t="shared" si="92"/>
        <v>562283.78323142894</v>
      </c>
      <c r="BK85" s="320">
        <f t="shared" si="92"/>
        <v>0</v>
      </c>
      <c r="BL85" s="320">
        <f t="shared" si="92"/>
        <v>17703507.466224585</v>
      </c>
      <c r="BM85" s="320">
        <f t="shared" si="92"/>
        <v>1343480.7372596425</v>
      </c>
      <c r="BN85" s="320">
        <f t="shared" si="92"/>
        <v>82.759798346334847</v>
      </c>
      <c r="BO85" s="83"/>
      <c r="BP85" s="83"/>
      <c r="BQ85" s="83"/>
      <c r="BR85" s="83"/>
      <c r="BS85" s="83"/>
      <c r="BT85" s="83"/>
      <c r="BU85" s="83"/>
      <c r="BV85" s="83"/>
      <c r="BW85" s="83"/>
      <c r="BX85" s="83"/>
    </row>
    <row r="86" spans="1:76" x14ac:dyDescent="0.35">
      <c r="A86" s="168">
        <v>12</v>
      </c>
      <c r="B86" s="169">
        <f t="shared" si="83"/>
        <v>0.31701797044778207</v>
      </c>
      <c r="C86" s="170"/>
      <c r="D86" s="154">
        <f t="shared" si="84"/>
        <v>-286749.30118109018</v>
      </c>
      <c r="E86" s="154">
        <f t="shared" si="84"/>
        <v>32961.570515114123</v>
      </c>
      <c r="F86" s="154">
        <f t="shared" si="84"/>
        <v>859842.7494233636</v>
      </c>
      <c r="G86" s="154">
        <f t="shared" si="93"/>
        <v>76526.00469867936</v>
      </c>
      <c r="H86" s="154">
        <f t="shared" si="85"/>
        <v>1984048.269334943</v>
      </c>
      <c r="I86" s="154">
        <f t="shared" si="85"/>
        <v>117.84227887265286</v>
      </c>
      <c r="J86" s="154">
        <f t="shared" si="85"/>
        <v>67942.192974457721</v>
      </c>
      <c r="K86" s="170"/>
      <c r="L86" s="171">
        <f t="shared" si="86"/>
        <v>-0.11175754627761832</v>
      </c>
      <c r="M86" s="171">
        <f t="shared" si="86"/>
        <v>1</v>
      </c>
      <c r="N86" s="171">
        <f t="shared" si="86"/>
        <v>9.6644639110390687E-3</v>
      </c>
      <c r="O86" s="171">
        <f t="shared" si="87"/>
        <v>0.2256374859890084</v>
      </c>
      <c r="P86" s="171">
        <f t="shared" si="87"/>
        <v>0.21932893617803756</v>
      </c>
      <c r="Q86" s="170"/>
      <c r="R86" s="154">
        <v>198827.3281400702</v>
      </c>
      <c r="S86" s="154">
        <v>2554.22094883315</v>
      </c>
      <c r="T86" s="154">
        <v>6894326.2496057954</v>
      </c>
      <c r="U86" s="154">
        <v>681383.39804337407</v>
      </c>
      <c r="V86" s="154">
        <v>41.634731332907016</v>
      </c>
      <c r="W86" s="170"/>
      <c r="X86" s="154">
        <v>221047.78246593929</v>
      </c>
      <c r="Y86" s="154">
        <v>0</v>
      </c>
      <c r="Z86" s="154">
        <v>6827696.2823755508</v>
      </c>
      <c r="AA86" s="154">
        <v>527637.76111421932</v>
      </c>
      <c r="AB86" s="154">
        <v>32.503030001602113</v>
      </c>
      <c r="AC86" s="170"/>
      <c r="AD86" s="154">
        <f t="shared" si="88"/>
        <v>-22220.454325869097</v>
      </c>
      <c r="AE86" s="154">
        <f t="shared" si="88"/>
        <v>2554.22094883315</v>
      </c>
      <c r="AF86" s="154">
        <f t="shared" si="88"/>
        <v>66629.96723024454</v>
      </c>
      <c r="AG86" s="154">
        <f t="shared" si="88"/>
        <v>153745.63692915475</v>
      </c>
      <c r="AH86" s="154">
        <f t="shared" si="88"/>
        <v>9.1317013313049031</v>
      </c>
      <c r="AI86" s="154">
        <v>5264.9000000000015</v>
      </c>
      <c r="AJ86" s="170"/>
      <c r="AK86" s="183">
        <f t="shared" ref="AK86:AP86" si="105">AD86/$E71</f>
        <v>-0.90452065154559547</v>
      </c>
      <c r="AL86" s="183">
        <f t="shared" si="105"/>
        <v>0.10397382352980339</v>
      </c>
      <c r="AM86" s="183">
        <f t="shared" si="105"/>
        <v>2.7122839383800592</v>
      </c>
      <c r="AN86" s="183">
        <f t="shared" si="105"/>
        <v>6.258472560822061</v>
      </c>
      <c r="AO86" s="183">
        <f t="shared" si="105"/>
        <v>3.7172113210554844E-4</v>
      </c>
      <c r="AP86" s="183">
        <f t="shared" si="105"/>
        <v>0.214316535048441</v>
      </c>
      <c r="AQ86" s="170"/>
      <c r="AR86" s="184">
        <f t="shared" si="95"/>
        <v>8.093597986651071</v>
      </c>
      <c r="AS86" s="184">
        <f t="shared" si="90"/>
        <v>0.10397382352980339</v>
      </c>
      <c r="AT86" s="184">
        <f t="shared" si="90"/>
        <v>280.64504801782118</v>
      </c>
      <c r="AU86" s="184">
        <f t="shared" si="90"/>
        <v>27.736847596001549</v>
      </c>
      <c r="AV86" s="184">
        <f t="shared" si="90"/>
        <v>1.6948111753198329E-3</v>
      </c>
      <c r="AW86" s="170"/>
      <c r="AX86" s="172">
        <f t="shared" si="91"/>
        <v>2565816.0073483777</v>
      </c>
      <c r="AY86" s="172">
        <f t="shared" si="91"/>
        <v>32961.570515114123</v>
      </c>
      <c r="AZ86" s="172">
        <f t="shared" si="91"/>
        <v>88969523.538830012</v>
      </c>
      <c r="BA86" s="172">
        <f t="shared" si="91"/>
        <v>8793079.1315038539</v>
      </c>
      <c r="BB86" s="172">
        <f t="shared" si="91"/>
        <v>537.28559909211356</v>
      </c>
      <c r="BC86" s="170"/>
      <c r="BD86" s="325">
        <f>X86/$E71</f>
        <v>8.9981186381966651</v>
      </c>
      <c r="BE86" s="325">
        <f>Y86/$E71</f>
        <v>0</v>
      </c>
      <c r="BF86" s="325">
        <f>Z86/$E71</f>
        <v>277.93276407944114</v>
      </c>
      <c r="BG86" s="325">
        <f>AA86/$E71</f>
        <v>21.478375035179489</v>
      </c>
      <c r="BH86" s="325">
        <f>AB86/$E71</f>
        <v>1.3230900432142844E-3</v>
      </c>
      <c r="BI86" s="326"/>
      <c r="BJ86" s="320">
        <f t="shared" si="92"/>
        <v>2852565.3085294673</v>
      </c>
      <c r="BK86" s="320">
        <f t="shared" si="92"/>
        <v>0</v>
      </c>
      <c r="BL86" s="320">
        <f t="shared" si="92"/>
        <v>88109680.789406657</v>
      </c>
      <c r="BM86" s="320">
        <f t="shared" si="92"/>
        <v>6809030.8621689109</v>
      </c>
      <c r="BN86" s="320">
        <f t="shared" si="92"/>
        <v>419.44332021946076</v>
      </c>
      <c r="BO86" s="83"/>
      <c r="BP86" s="83"/>
      <c r="BQ86" s="83"/>
      <c r="BR86" s="83"/>
      <c r="BS86" s="83"/>
      <c r="BT86" s="83"/>
      <c r="BU86" s="83"/>
      <c r="BV86" s="83"/>
      <c r="BW86" s="83"/>
      <c r="BX86" s="83"/>
    </row>
    <row r="87" spans="1:76" x14ac:dyDescent="0.35">
      <c r="A87" s="168">
        <v>13</v>
      </c>
      <c r="B87" s="169">
        <f t="shared" si="83"/>
        <v>0.12184580146549646</v>
      </c>
      <c r="C87" s="170"/>
      <c r="D87" s="154">
        <f t="shared" si="84"/>
        <v>-94954.150790811254</v>
      </c>
      <c r="E87" s="154">
        <f t="shared" si="84"/>
        <v>11138.963553954307</v>
      </c>
      <c r="F87" s="154">
        <f t="shared" si="84"/>
        <v>313697.34463298577</v>
      </c>
      <c r="G87" s="154">
        <f t="shared" si="93"/>
        <v>27919.063672335731</v>
      </c>
      <c r="H87" s="154">
        <f t="shared" si="85"/>
        <v>669980.22148669802</v>
      </c>
      <c r="I87" s="154">
        <f t="shared" si="85"/>
        <v>39.792270917963556</v>
      </c>
      <c r="J87" s="154">
        <f t="shared" si="85"/>
        <v>26113.569980285458</v>
      </c>
      <c r="K87" s="170"/>
      <c r="L87" s="171">
        <f t="shared" si="86"/>
        <v>-8.8539565450032956E-2</v>
      </c>
      <c r="M87" s="171">
        <f t="shared" si="86"/>
        <v>1</v>
      </c>
      <c r="N87" s="171">
        <f t="shared" si="86"/>
        <v>8.5336530116242246E-3</v>
      </c>
      <c r="O87" s="171">
        <f t="shared" si="87"/>
        <v>0.19565099101229799</v>
      </c>
      <c r="P87" s="171">
        <f t="shared" si="87"/>
        <v>0.18997083784429558</v>
      </c>
      <c r="Q87" s="170"/>
      <c r="R87" s="154">
        <v>216222.28196407299</v>
      </c>
      <c r="S87" s="154">
        <v>2245.7875066292631</v>
      </c>
      <c r="T87" s="154">
        <v>7411391.261676291</v>
      </c>
      <c r="U87" s="154">
        <v>690404.81026862084</v>
      </c>
      <c r="V87" s="154">
        <v>42.231418119772449</v>
      </c>
      <c r="W87" s="170"/>
      <c r="X87" s="154">
        <v>235366.50884978651</v>
      </c>
      <c r="Y87" s="154">
        <v>0</v>
      </c>
      <c r="Z87" s="154">
        <v>7348145.0203157617</v>
      </c>
      <c r="AA87" s="154">
        <v>555326.42493990762</v>
      </c>
      <c r="AB87" s="154">
        <v>34.208680236206511</v>
      </c>
      <c r="AC87" s="170"/>
      <c r="AD87" s="154">
        <f t="shared" si="88"/>
        <v>-19144.22688571352</v>
      </c>
      <c r="AE87" s="154">
        <f t="shared" si="88"/>
        <v>2245.7875066292631</v>
      </c>
      <c r="AF87" s="154">
        <f t="shared" si="88"/>
        <v>63246.241360529326</v>
      </c>
      <c r="AG87" s="154">
        <f t="shared" si="88"/>
        <v>135078.38532871322</v>
      </c>
      <c r="AH87" s="154">
        <f t="shared" si="88"/>
        <v>8.022737883565938</v>
      </c>
      <c r="AI87" s="154">
        <v>5264.9000000000015</v>
      </c>
      <c r="AJ87" s="170"/>
      <c r="AK87" s="183">
        <f t="shared" ref="AK87:AP87" si="106">AD87/$E71</f>
        <v>-0.77929768320904991</v>
      </c>
      <c r="AL87" s="183">
        <f t="shared" si="106"/>
        <v>9.1418525874349232E-2</v>
      </c>
      <c r="AM87" s="183">
        <f t="shared" si="106"/>
        <v>2.5745437336371135</v>
      </c>
      <c r="AN87" s="183">
        <f t="shared" si="106"/>
        <v>5.4985909520765786</v>
      </c>
      <c r="AO87" s="183">
        <f t="shared" si="106"/>
        <v>3.265789254891288E-4</v>
      </c>
      <c r="AP87" s="183">
        <f t="shared" si="106"/>
        <v>0.214316535048441</v>
      </c>
      <c r="AQ87" s="170"/>
      <c r="AR87" s="184">
        <f t="shared" si="95"/>
        <v>8.8016885925292261</v>
      </c>
      <c r="AS87" s="184">
        <f t="shared" si="90"/>
        <v>9.1418525874349232E-2</v>
      </c>
      <c r="AT87" s="184">
        <f t="shared" si="90"/>
        <v>301.69304167045067</v>
      </c>
      <c r="AU87" s="184">
        <f t="shared" si="90"/>
        <v>28.104079226110105</v>
      </c>
      <c r="AV87" s="184">
        <f t="shared" si="90"/>
        <v>1.7191003061048787E-3</v>
      </c>
      <c r="AW87" s="170"/>
      <c r="AX87" s="172">
        <f t="shared" si="91"/>
        <v>1072448.8008064411</v>
      </c>
      <c r="AY87" s="172">
        <f t="shared" si="91"/>
        <v>11138.963553954307</v>
      </c>
      <c r="AZ87" s="172">
        <f t="shared" si="91"/>
        <v>36760030.458899483</v>
      </c>
      <c r="BA87" s="172">
        <f t="shared" si="91"/>
        <v>3424364.0577551955</v>
      </c>
      <c r="BB87" s="172">
        <f t="shared" si="91"/>
        <v>209.46515459692927</v>
      </c>
      <c r="BC87" s="170"/>
      <c r="BD87" s="325">
        <f>X87/$E71</f>
        <v>9.580986275738276</v>
      </c>
      <c r="BE87" s="325">
        <f>Y87/$E71</f>
        <v>0</v>
      </c>
      <c r="BF87" s="325">
        <f>Z87/$E71</f>
        <v>299.11849793681353</v>
      </c>
      <c r="BG87" s="325">
        <f>AA87/$E71</f>
        <v>22.605488274033526</v>
      </c>
      <c r="BH87" s="325">
        <f>AB87/$E71</f>
        <v>1.3925213806157499E-3</v>
      </c>
      <c r="BI87" s="326"/>
      <c r="BJ87" s="320">
        <f t="shared" si="92"/>
        <v>1167402.9515972524</v>
      </c>
      <c r="BK87" s="320">
        <f t="shared" si="92"/>
        <v>0</v>
      </c>
      <c r="BL87" s="320">
        <f t="shared" si="92"/>
        <v>36446333.114266492</v>
      </c>
      <c r="BM87" s="320">
        <f t="shared" si="92"/>
        <v>2754383.8362684972</v>
      </c>
      <c r="BN87" s="320">
        <f t="shared" si="92"/>
        <v>169.67288367896569</v>
      </c>
      <c r="BO87" s="83"/>
      <c r="BP87" s="83"/>
      <c r="BQ87" s="83"/>
      <c r="BR87" s="83"/>
      <c r="BS87" s="83"/>
      <c r="BT87" s="83"/>
      <c r="BU87" s="83"/>
      <c r="BV87" s="83"/>
      <c r="BW87" s="83"/>
      <c r="BX87" s="83"/>
    </row>
    <row r="88" spans="1:76" x14ac:dyDescent="0.35">
      <c r="A88" s="168">
        <v>14</v>
      </c>
      <c r="B88" s="169">
        <f t="shared" si="83"/>
        <v>6.6816919745709843E-2</v>
      </c>
      <c r="C88" s="170"/>
      <c r="D88" s="154">
        <f t="shared" si="84"/>
        <v>-61675.385404801789</v>
      </c>
      <c r="E88" s="154">
        <f t="shared" si="84"/>
        <v>6671.4409206640994</v>
      </c>
      <c r="F88" s="154">
        <f t="shared" si="84"/>
        <v>75726.808250844231</v>
      </c>
      <c r="G88" s="154">
        <f t="shared" si="93"/>
        <v>6739.6859343251363</v>
      </c>
      <c r="H88" s="154">
        <f t="shared" si="85"/>
        <v>363730.22307766933</v>
      </c>
      <c r="I88" s="154">
        <f t="shared" si="85"/>
        <v>22.058463217019781</v>
      </c>
      <c r="J88" s="154">
        <f t="shared" si="85"/>
        <v>14319.970722510294</v>
      </c>
      <c r="K88" s="170"/>
      <c r="L88" s="171">
        <f t="shared" si="86"/>
        <v>-0.10652667118550609</v>
      </c>
      <c r="M88" s="171">
        <f t="shared" si="86"/>
        <v>1</v>
      </c>
      <c r="N88" s="171">
        <f t="shared" si="86"/>
        <v>3.7831213565827377E-3</v>
      </c>
      <c r="O88" s="171">
        <f t="shared" si="87"/>
        <v>0.19363017304037544</v>
      </c>
      <c r="P88" s="171">
        <f t="shared" si="87"/>
        <v>0.19119996547297818</v>
      </c>
      <c r="Q88" s="170"/>
      <c r="R88" s="154">
        <v>212863.65383831249</v>
      </c>
      <c r="S88" s="154">
        <v>2452.8310835154489</v>
      </c>
      <c r="T88" s="154">
        <v>7359484.1815416226</v>
      </c>
      <c r="U88" s="154">
        <v>690644.17311973101</v>
      </c>
      <c r="V88" s="154">
        <v>42.416559558028332</v>
      </c>
      <c r="W88" s="170"/>
      <c r="X88" s="154">
        <v>235539.31029809179</v>
      </c>
      <c r="Y88" s="154">
        <v>0</v>
      </c>
      <c r="Z88" s="154">
        <v>7331642.3597609997</v>
      </c>
      <c r="AA88" s="154">
        <v>556914.62236923049</v>
      </c>
      <c r="AB88" s="154">
        <v>34.306514835050791</v>
      </c>
      <c r="AC88" s="170"/>
      <c r="AD88" s="154">
        <f t="shared" si="88"/>
        <v>-22675.656459779304</v>
      </c>
      <c r="AE88" s="154">
        <f t="shared" si="88"/>
        <v>2452.8310835154489</v>
      </c>
      <c r="AF88" s="154">
        <f t="shared" si="88"/>
        <v>27841.821780622937</v>
      </c>
      <c r="AG88" s="154">
        <f t="shared" si="88"/>
        <v>133729.55075050052</v>
      </c>
      <c r="AH88" s="154">
        <f t="shared" si="88"/>
        <v>8.1100447229775412</v>
      </c>
      <c r="AI88" s="154">
        <v>5264.9000000000015</v>
      </c>
      <c r="AJ88" s="170"/>
      <c r="AK88" s="183">
        <f t="shared" ref="AK88:AP88" si="107">AD88/$E71</f>
        <v>-0.92305041357076056</v>
      </c>
      <c r="AL88" s="183">
        <f t="shared" si="107"/>
        <v>9.9846579968877677E-2</v>
      </c>
      <c r="AM88" s="183">
        <f t="shared" si="107"/>
        <v>1.1333477888391654</v>
      </c>
      <c r="AN88" s="183">
        <f t="shared" si="107"/>
        <v>5.4436843910486248</v>
      </c>
      <c r="AO88" s="183">
        <f t="shared" si="107"/>
        <v>3.3013289599354966E-4</v>
      </c>
      <c r="AP88" s="183">
        <f t="shared" si="107"/>
        <v>0.214316535048441</v>
      </c>
      <c r="AQ88" s="170"/>
      <c r="AR88" s="184">
        <f t="shared" si="95"/>
        <v>8.6649700333107749</v>
      </c>
      <c r="AS88" s="184">
        <f t="shared" si="90"/>
        <v>9.9846579968877677E-2</v>
      </c>
      <c r="AT88" s="184">
        <f t="shared" si="90"/>
        <v>299.58007740542303</v>
      </c>
      <c r="AU88" s="184">
        <f t="shared" si="90"/>
        <v>28.11382289016246</v>
      </c>
      <c r="AV88" s="184">
        <f t="shared" si="90"/>
        <v>1.7266367971191213E-3</v>
      </c>
      <c r="AW88" s="170"/>
      <c r="AX88" s="172">
        <f t="shared" si="91"/>
        <v>578966.60731470678</v>
      </c>
      <c r="AY88" s="172">
        <f t="shared" si="91"/>
        <v>6671.4409206640994</v>
      </c>
      <c r="AZ88" s="172">
        <f t="shared" si="91"/>
        <v>20017017.989411693</v>
      </c>
      <c r="BA88" s="172">
        <f t="shared" si="91"/>
        <v>1878479.0477970855</v>
      </c>
      <c r="BB88" s="172">
        <f t="shared" si="91"/>
        <v>115.36855230309781</v>
      </c>
      <c r="BC88" s="170"/>
      <c r="BD88" s="325">
        <f>X88/$E71</f>
        <v>9.5880204468815347</v>
      </c>
      <c r="BE88" s="325">
        <f>Y88/$E71</f>
        <v>0</v>
      </c>
      <c r="BF88" s="325">
        <f>Z88/$E71</f>
        <v>298.44672961658387</v>
      </c>
      <c r="BG88" s="325">
        <f>AA88/$E71</f>
        <v>22.670138499113836</v>
      </c>
      <c r="BH88" s="325">
        <f>AB88/$E71</f>
        <v>1.3965039011255716E-3</v>
      </c>
      <c r="BI88" s="326"/>
      <c r="BJ88" s="320">
        <f t="shared" si="92"/>
        <v>640641.99271950847</v>
      </c>
      <c r="BK88" s="320">
        <f t="shared" si="92"/>
        <v>0</v>
      </c>
      <c r="BL88" s="320">
        <f t="shared" si="92"/>
        <v>19941291.181160849</v>
      </c>
      <c r="BM88" s="320">
        <f t="shared" si="92"/>
        <v>1514748.8247194162</v>
      </c>
      <c r="BN88" s="320">
        <f t="shared" si="92"/>
        <v>93.310089086078037</v>
      </c>
      <c r="BO88" s="83"/>
      <c r="BP88" s="83"/>
      <c r="BQ88" s="83"/>
      <c r="BR88" s="83"/>
      <c r="BS88" s="83"/>
      <c r="BT88" s="83"/>
      <c r="BU88" s="83"/>
      <c r="BV88" s="83"/>
      <c r="BW88" s="83"/>
      <c r="BX88" s="83"/>
    </row>
    <row r="89" spans="1:76" x14ac:dyDescent="0.35">
      <c r="A89" s="168">
        <v>15</v>
      </c>
      <c r="B89" s="169">
        <f t="shared" si="83"/>
        <v>3.8423862562483896E-2</v>
      </c>
      <c r="C89" s="170"/>
      <c r="D89" s="154">
        <f t="shared" si="84"/>
        <v>-6204.2893875416348</v>
      </c>
      <c r="E89" s="154">
        <f t="shared" si="84"/>
        <v>736.63984961830477</v>
      </c>
      <c r="F89" s="154">
        <f t="shared" si="84"/>
        <v>12951.630452395304</v>
      </c>
      <c r="G89" s="154">
        <f t="shared" si="93"/>
        <v>1152.695110263182</v>
      </c>
      <c r="H89" s="154">
        <f t="shared" si="85"/>
        <v>41213.01604341287</v>
      </c>
      <c r="I89" s="154">
        <f t="shared" si="85"/>
        <v>2.5003730356762794</v>
      </c>
      <c r="J89" s="154">
        <f t="shared" si="85"/>
        <v>8234.8690875690609</v>
      </c>
      <c r="K89" s="170"/>
      <c r="L89" s="171">
        <f t="shared" si="86"/>
        <v>-1.5244903983552617E-2</v>
      </c>
      <c r="M89" s="171">
        <f t="shared" si="86"/>
        <v>1</v>
      </c>
      <c r="N89" s="171">
        <f t="shared" si="86"/>
        <v>9.9147721978542678E-4</v>
      </c>
      <c r="O89" s="171">
        <f t="shared" si="87"/>
        <v>4.4293570496075033E-2</v>
      </c>
      <c r="P89" s="171">
        <f t="shared" si="87"/>
        <v>4.3653001494054142E-2</v>
      </c>
      <c r="Q89" s="170"/>
      <c r="R89" s="154">
        <v>260196.09855887751</v>
      </c>
      <c r="S89" s="154">
        <v>470.96500296646508</v>
      </c>
      <c r="T89" s="154">
        <v>8351704.7215940552</v>
      </c>
      <c r="U89" s="154">
        <v>594876.94169001328</v>
      </c>
      <c r="V89" s="154">
        <v>36.620487697581567</v>
      </c>
      <c r="W89" s="170"/>
      <c r="X89" s="154">
        <v>264162.76309830259</v>
      </c>
      <c r="Y89" s="154">
        <v>0</v>
      </c>
      <c r="Z89" s="154">
        <v>8343424.1966162203</v>
      </c>
      <c r="AA89" s="154">
        <v>568527.71793677716</v>
      </c>
      <c r="AB89" s="154">
        <v>35.021893493406047</v>
      </c>
      <c r="AC89" s="170"/>
      <c r="AD89" s="154">
        <f t="shared" si="88"/>
        <v>-3966.6645394250809</v>
      </c>
      <c r="AE89" s="154">
        <f t="shared" si="88"/>
        <v>470.96500296646508</v>
      </c>
      <c r="AF89" s="154">
        <f t="shared" si="88"/>
        <v>8280.5249778348953</v>
      </c>
      <c r="AG89" s="154">
        <f t="shared" si="88"/>
        <v>26349.223753236118</v>
      </c>
      <c r="AH89" s="154">
        <f t="shared" si="88"/>
        <v>1.5985942041755195</v>
      </c>
      <c r="AI89" s="154">
        <v>5264.9000000000015</v>
      </c>
      <c r="AJ89" s="170"/>
      <c r="AK89" s="183">
        <f t="shared" ref="AK89:AP89" si="108">AD89/$E71</f>
        <v>-0.16146969549072218</v>
      </c>
      <c r="AL89" s="183">
        <f t="shared" si="108"/>
        <v>1.9171415898659328E-2</v>
      </c>
      <c r="AM89" s="183">
        <f t="shared" si="108"/>
        <v>0.33707257908633459</v>
      </c>
      <c r="AN89" s="183">
        <f t="shared" si="108"/>
        <v>1.0725890968507741</v>
      </c>
      <c r="AO89" s="183">
        <f t="shared" si="108"/>
        <v>6.5073443139929962E-5</v>
      </c>
      <c r="AP89" s="183">
        <f t="shared" si="108"/>
        <v>0.214316535048441</v>
      </c>
      <c r="AQ89" s="170"/>
      <c r="AR89" s="184">
        <f t="shared" si="95"/>
        <v>10.591716134449138</v>
      </c>
      <c r="AS89" s="184">
        <f t="shared" si="90"/>
        <v>1.9171415898659328E-2</v>
      </c>
      <c r="AT89" s="184">
        <f t="shared" si="90"/>
        <v>339.97006926622385</v>
      </c>
      <c r="AU89" s="184">
        <f t="shared" si="90"/>
        <v>24.21545801880702</v>
      </c>
      <c r="AV89" s="184">
        <f t="shared" si="90"/>
        <v>1.4906980256281677E-3</v>
      </c>
      <c r="AW89" s="170"/>
      <c r="AX89" s="172">
        <f t="shared" si="91"/>
        <v>406974.64505091688</v>
      </c>
      <c r="AY89" s="172">
        <f t="shared" si="91"/>
        <v>736.63984961830477</v>
      </c>
      <c r="AZ89" s="172">
        <f t="shared" si="91"/>
        <v>13062963.216843516</v>
      </c>
      <c r="BA89" s="172">
        <f t="shared" si="91"/>
        <v>930451.43080223945</v>
      </c>
      <c r="BB89" s="172">
        <f t="shared" si="91"/>
        <v>57.278376058902815</v>
      </c>
      <c r="BC89" s="170"/>
      <c r="BD89" s="325">
        <f>X89/$E71</f>
        <v>10.753185829939859</v>
      </c>
      <c r="BE89" s="325">
        <f>Y89/$E71</f>
        <v>0</v>
      </c>
      <c r="BF89" s="325">
        <f>Z89/$E71</f>
        <v>339.63299668713751</v>
      </c>
      <c r="BG89" s="325">
        <f>AA89/$E71</f>
        <v>23.142868921956246</v>
      </c>
      <c r="BH89" s="325">
        <f>AB89/$E71</f>
        <v>1.4256245824882377E-3</v>
      </c>
      <c r="BI89" s="326"/>
      <c r="BJ89" s="320">
        <f t="shared" si="92"/>
        <v>413178.93443845847</v>
      </c>
      <c r="BK89" s="320">
        <f t="shared" si="92"/>
        <v>0</v>
      </c>
      <c r="BL89" s="320">
        <f t="shared" si="92"/>
        <v>13050011.586391119</v>
      </c>
      <c r="BM89" s="320">
        <f t="shared" si="92"/>
        <v>889238.41475882672</v>
      </c>
      <c r="BN89" s="320">
        <f t="shared" si="92"/>
        <v>54.778003023226532</v>
      </c>
      <c r="BO89" s="83"/>
      <c r="BP89" s="83"/>
      <c r="BQ89" s="83"/>
      <c r="BR89" s="83"/>
      <c r="BS89" s="83"/>
      <c r="BT89" s="83"/>
      <c r="BU89" s="83"/>
      <c r="BV89" s="83"/>
      <c r="BW89" s="83"/>
      <c r="BX89" s="83"/>
    </row>
    <row r="90" spans="1:76" x14ac:dyDescent="0.35">
      <c r="A90" s="168">
        <v>16</v>
      </c>
      <c r="B90" s="169">
        <f t="shared" si="83"/>
        <v>2.1189072706546019E-2</v>
      </c>
      <c r="C90" s="170"/>
      <c r="D90" s="154">
        <f t="shared" si="84"/>
        <v>-6861.4376275995955</v>
      </c>
      <c r="E90" s="154">
        <f t="shared" si="84"/>
        <v>1002.867693813593</v>
      </c>
      <c r="F90" s="154">
        <f t="shared" si="84"/>
        <v>104377.50664214553</v>
      </c>
      <c r="G90" s="154">
        <f t="shared" si="93"/>
        <v>9289.5980911509523</v>
      </c>
      <c r="H90" s="154">
        <f t="shared" si="85"/>
        <v>72561.927106324089</v>
      </c>
      <c r="I90" s="154">
        <f t="shared" si="85"/>
        <v>4.4176233569050654</v>
      </c>
      <c r="J90" s="154">
        <f t="shared" si="85"/>
        <v>-3299.2022756060619</v>
      </c>
      <c r="K90" s="170"/>
      <c r="L90" s="171">
        <f t="shared" si="86"/>
        <v>-4.3019997056548055E-2</v>
      </c>
      <c r="M90" s="171">
        <f t="shared" si="86"/>
        <v>0.19810493295873893</v>
      </c>
      <c r="N90" s="171">
        <f t="shared" si="86"/>
        <v>1.8573206039892817E-2</v>
      </c>
      <c r="O90" s="171">
        <f t="shared" si="87"/>
        <v>8.7500929689446644E-2</v>
      </c>
      <c r="P90" s="171">
        <f t="shared" si="87"/>
        <v>8.6926732889408997E-2</v>
      </c>
      <c r="Q90" s="170"/>
      <c r="R90" s="154">
        <v>184912.91282231681</v>
      </c>
      <c r="S90" s="154">
        <v>5869.0910592515756</v>
      </c>
      <c r="T90" s="154">
        <v>6515421.8212817982</v>
      </c>
      <c r="U90" s="154">
        <v>961432.14219449786</v>
      </c>
      <c r="V90" s="154">
        <v>58.919333403480373</v>
      </c>
      <c r="W90" s="170"/>
      <c r="X90" s="154">
        <v>192867.8657876506</v>
      </c>
      <c r="Y90" s="154">
        <v>4706.3951684298081</v>
      </c>
      <c r="Z90" s="154">
        <v>6394409.5493583176</v>
      </c>
      <c r="AA90" s="154">
        <v>877305.93591916305</v>
      </c>
      <c r="AB90" s="154">
        <v>53.797668246694002</v>
      </c>
      <c r="AC90" s="170"/>
      <c r="AD90" s="154">
        <f t="shared" si="88"/>
        <v>-7954.9529653337959</v>
      </c>
      <c r="AE90" s="154">
        <f t="shared" si="88"/>
        <v>1162.6958908217675</v>
      </c>
      <c r="AF90" s="154">
        <f t="shared" si="88"/>
        <v>121012.27192348056</v>
      </c>
      <c r="AG90" s="154">
        <f t="shared" si="88"/>
        <v>84126.206275334815</v>
      </c>
      <c r="AH90" s="154">
        <f t="shared" si="88"/>
        <v>5.1216651567863707</v>
      </c>
      <c r="AI90" s="154">
        <v>-3825</v>
      </c>
      <c r="AJ90" s="170"/>
      <c r="AK90" s="183">
        <f t="shared" ref="AK90:AP90" si="109">AD90/$E71</f>
        <v>-0.32381962734404446</v>
      </c>
      <c r="AL90" s="183">
        <f t="shared" si="109"/>
        <v>4.7329475324504093E-2</v>
      </c>
      <c r="AM90" s="183">
        <f t="shared" si="109"/>
        <v>4.9260063471253179</v>
      </c>
      <c r="AN90" s="183">
        <f t="shared" si="109"/>
        <v>3.42449752810123</v>
      </c>
      <c r="AO90" s="183">
        <f t="shared" si="109"/>
        <v>2.0848592187520845E-4</v>
      </c>
      <c r="AP90" s="183">
        <f t="shared" si="109"/>
        <v>-0.1557030041520801</v>
      </c>
      <c r="AQ90" s="170"/>
      <c r="AR90" s="184">
        <f t="shared" si="95"/>
        <v>7.5271885053454692</v>
      </c>
      <c r="AS90" s="184">
        <f t="shared" si="90"/>
        <v>0.23891113975623121</v>
      </c>
      <c r="AT90" s="184">
        <f t="shared" si="90"/>
        <v>265.22111134420737</v>
      </c>
      <c r="AU90" s="184">
        <f t="shared" si="90"/>
        <v>39.13669877857599</v>
      </c>
      <c r="AV90" s="184">
        <f t="shared" si="90"/>
        <v>2.3984097290352673E-3</v>
      </c>
      <c r="AW90" s="170"/>
      <c r="AX90" s="172">
        <f t="shared" si="91"/>
        <v>159494.14451564261</v>
      </c>
      <c r="AY90" s="172">
        <f t="shared" si="91"/>
        <v>5062.3055106985603</v>
      </c>
      <c r="AZ90" s="172">
        <f t="shared" si="91"/>
        <v>5619789.4115833472</v>
      </c>
      <c r="BA90" s="172">
        <f t="shared" si="91"/>
        <v>829270.35591343744</v>
      </c>
      <c r="BB90" s="172">
        <f t="shared" si="91"/>
        <v>50.820078128615613</v>
      </c>
      <c r="BC90" s="170"/>
      <c r="BD90" s="325">
        <f>X90/$E71</f>
        <v>7.8510081326895138</v>
      </c>
      <c r="BE90" s="325">
        <f>Y90/$E71</f>
        <v>0.19158166443172711</v>
      </c>
      <c r="BF90" s="325">
        <f>Z90/$E71</f>
        <v>260.29510499708203</v>
      </c>
      <c r="BG90" s="325">
        <f>AA90/$E71</f>
        <v>35.712201250474763</v>
      </c>
      <c r="BH90" s="325">
        <f>AB90/$E71</f>
        <v>2.1899238071600587E-3</v>
      </c>
      <c r="BI90" s="326"/>
      <c r="BJ90" s="320">
        <f t="shared" si="92"/>
        <v>166355.58214324221</v>
      </c>
      <c r="BK90" s="320">
        <f t="shared" si="92"/>
        <v>4059.4378168849676</v>
      </c>
      <c r="BL90" s="320">
        <f t="shared" si="92"/>
        <v>5515411.9049412012</v>
      </c>
      <c r="BM90" s="320">
        <f t="shared" si="92"/>
        <v>756708.42880711344</v>
      </c>
      <c r="BN90" s="320">
        <f t="shared" si="92"/>
        <v>46.402454771710545</v>
      </c>
      <c r="BO90" s="83"/>
      <c r="BP90" s="83"/>
      <c r="BQ90" s="83"/>
      <c r="BR90" s="83"/>
      <c r="BS90" s="83"/>
      <c r="BT90" s="83"/>
      <c r="BU90" s="83"/>
      <c r="BV90" s="83"/>
      <c r="BW90" s="83"/>
      <c r="BX90" s="83"/>
    </row>
    <row r="91" spans="1:76" x14ac:dyDescent="0.35">
      <c r="A91" s="173" t="s">
        <v>130</v>
      </c>
      <c r="B91" s="174">
        <f>SUM(B75:B90)</f>
        <v>2.5754908469000002</v>
      </c>
      <c r="C91" s="166"/>
      <c r="D91" s="175">
        <f>SUM(D75:D90)</f>
        <v>-1297964.128388105</v>
      </c>
      <c r="E91" s="175">
        <f t="shared" ref="E91:J91" si="110">SUM(E75:E90)</f>
        <v>157083.99571343625</v>
      </c>
      <c r="F91" s="175">
        <f t="shared" si="110"/>
        <v>5859753.3741930202</v>
      </c>
      <c r="G91" s="175">
        <f t="shared" si="110"/>
        <v>521518.05030317872</v>
      </c>
      <c r="H91" s="175">
        <f t="shared" si="110"/>
        <v>9476008.7660065088</v>
      </c>
      <c r="I91" s="175">
        <f t="shared" si="110"/>
        <v>567.6354634156844</v>
      </c>
      <c r="J91" s="175">
        <f t="shared" si="110"/>
        <v>540211.8680654238</v>
      </c>
      <c r="K91" s="166"/>
      <c r="L91" s="176">
        <f t="shared" si="86"/>
        <v>-6.2368537156293223E-2</v>
      </c>
      <c r="M91" s="176">
        <f t="shared" si="86"/>
        <v>0.97124933659485013</v>
      </c>
      <c r="N91" s="176">
        <f t="shared" si="86"/>
        <v>8.6158706867827204E-3</v>
      </c>
      <c r="O91" s="176">
        <f t="shared" si="87"/>
        <v>0.15536856726267062</v>
      </c>
      <c r="P91" s="176">
        <f t="shared" si="87"/>
        <v>0.1517461068289688</v>
      </c>
      <c r="Q91" s="166"/>
      <c r="R91" s="185"/>
      <c r="S91" s="185"/>
      <c r="T91" s="185"/>
      <c r="U91" s="185"/>
      <c r="V91" s="186"/>
      <c r="W91" s="166"/>
      <c r="X91" s="185"/>
      <c r="Y91" s="185"/>
      <c r="Z91" s="185"/>
      <c r="AA91" s="185"/>
      <c r="AB91" s="185"/>
      <c r="AC91" s="166"/>
      <c r="AD91" s="185"/>
      <c r="AE91" s="185"/>
      <c r="AF91" s="185"/>
      <c r="AG91" s="185"/>
      <c r="AH91" s="185"/>
      <c r="AI91" s="186"/>
      <c r="AJ91" s="166"/>
      <c r="AK91" s="185"/>
      <c r="AL91" s="185"/>
      <c r="AM91" s="185"/>
      <c r="AN91" s="185"/>
      <c r="AO91" s="185"/>
      <c r="AP91" s="185"/>
      <c r="AQ91" s="166"/>
      <c r="AR91" s="187"/>
      <c r="AS91" s="187"/>
      <c r="AT91" s="187"/>
      <c r="AU91" s="187"/>
      <c r="AV91" s="187"/>
      <c r="AW91" s="166"/>
      <c r="AX91" s="188">
        <f>SUM(AX75:AX90)</f>
        <v>20811200.447678536</v>
      </c>
      <c r="AY91" s="188">
        <f t="shared" ref="AY91:BB91" si="111">SUM(AY75:AY90)</f>
        <v>161733.95419158236</v>
      </c>
      <c r="AZ91" s="188">
        <f t="shared" si="111"/>
        <v>680111574.00287414</v>
      </c>
      <c r="BA91" s="188">
        <f t="shared" si="111"/>
        <v>60990513.930569321</v>
      </c>
      <c r="BB91" s="188">
        <f t="shared" si="111"/>
        <v>3740.6921026017458</v>
      </c>
      <c r="BC91" s="166"/>
      <c r="BD91" s="327"/>
      <c r="BE91" s="327"/>
      <c r="BF91" s="327"/>
      <c r="BG91" s="327"/>
      <c r="BH91" s="327"/>
      <c r="BI91" s="324"/>
      <c r="BJ91" s="328">
        <f>SUM(BJ75:BJ90)</f>
        <v>22109164.576066643</v>
      </c>
      <c r="BK91" s="328">
        <f t="shared" ref="BK91:BN91" si="112">SUM(BK75:BK90)</f>
        <v>4649.9584781461444</v>
      </c>
      <c r="BL91" s="328">
        <f t="shared" si="112"/>
        <v>674251820.62868118</v>
      </c>
      <c r="BM91" s="328">
        <f t="shared" si="112"/>
        <v>51514505.164562814</v>
      </c>
      <c r="BN91" s="328">
        <f t="shared" si="112"/>
        <v>3173.0566391860611</v>
      </c>
      <c r="BO91" s="83"/>
      <c r="BP91" s="83"/>
      <c r="BQ91" s="83"/>
      <c r="BR91" s="83"/>
      <c r="BS91" s="83"/>
      <c r="BT91" s="83"/>
      <c r="BU91" s="83"/>
      <c r="BV91" s="83"/>
      <c r="BW91" s="83"/>
      <c r="BX91" s="83"/>
    </row>
    <row r="92" spans="1:76" x14ac:dyDescent="0.3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</row>
    <row r="93" spans="1:76" x14ac:dyDescent="0.3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</row>
    <row r="94" spans="1:76" ht="15.5" x14ac:dyDescent="0.35">
      <c r="A94" s="155" t="s">
        <v>143</v>
      </c>
      <c r="B94" s="83"/>
      <c r="C94" s="83"/>
      <c r="D94" s="178"/>
      <c r="E94" s="154">
        <f>D214</f>
        <v>9376</v>
      </c>
      <c r="F94" s="190" t="s">
        <v>132</v>
      </c>
      <c r="G94" s="190"/>
      <c r="H94" s="178"/>
      <c r="I94" s="178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</row>
    <row r="95" spans="1:76" x14ac:dyDescent="0.35">
      <c r="A95" s="157"/>
      <c r="B95" s="158" t="s">
        <v>105</v>
      </c>
      <c r="C95" s="191"/>
      <c r="D95" s="158" t="s">
        <v>106</v>
      </c>
      <c r="E95" s="158"/>
      <c r="F95" s="158"/>
      <c r="G95" s="158"/>
      <c r="H95" s="158"/>
      <c r="I95" s="158"/>
      <c r="J95" s="158"/>
      <c r="K95" s="191"/>
      <c r="L95" s="158" t="s">
        <v>106</v>
      </c>
      <c r="M95" s="158"/>
      <c r="N95" s="158"/>
      <c r="O95" s="158"/>
      <c r="P95" s="158"/>
      <c r="Q95" s="191"/>
      <c r="R95" s="158" t="str">
        <f>R72</f>
        <v xml:space="preserve"> 2019 Energy Code Consumption </v>
      </c>
      <c r="S95" s="158"/>
      <c r="T95" s="158"/>
      <c r="U95" s="158"/>
      <c r="V95" s="157"/>
      <c r="W95" s="191"/>
      <c r="X95" s="157" t="str">
        <f>X72</f>
        <v>2022 Energy Code Consumption</v>
      </c>
      <c r="Y95" s="157"/>
      <c r="Z95" s="157"/>
      <c r="AA95" s="157"/>
      <c r="AB95" s="157"/>
      <c r="AC95" s="191"/>
      <c r="AD95" s="157" t="s">
        <v>133</v>
      </c>
      <c r="AE95" s="157"/>
      <c r="AF95" s="157"/>
      <c r="AG95" s="157"/>
      <c r="AH95" s="157"/>
      <c r="AI95" s="192"/>
      <c r="AJ95" s="191"/>
      <c r="AK95" s="158" t="s">
        <v>134</v>
      </c>
      <c r="AL95" s="158"/>
      <c r="AM95" s="158"/>
      <c r="AN95" s="158"/>
      <c r="AO95" s="158"/>
      <c r="AP95" s="158"/>
      <c r="AQ95" s="191"/>
      <c r="AR95" s="160" t="s">
        <v>614</v>
      </c>
      <c r="AS95" s="160"/>
      <c r="AT95" s="160"/>
      <c r="AU95" s="160"/>
      <c r="AV95" s="160"/>
      <c r="AW95" s="191"/>
      <c r="AX95" s="160" t="s">
        <v>613</v>
      </c>
      <c r="AY95" s="160"/>
      <c r="AZ95" s="160"/>
      <c r="BA95" s="160"/>
      <c r="BB95" s="160"/>
      <c r="BC95" s="159"/>
      <c r="BD95" s="316" t="s">
        <v>135</v>
      </c>
      <c r="BE95" s="316"/>
      <c r="BF95" s="316"/>
      <c r="BG95" s="316"/>
      <c r="BH95" s="316"/>
      <c r="BI95" s="322"/>
      <c r="BJ95" s="316" t="s">
        <v>108</v>
      </c>
      <c r="BK95" s="316"/>
      <c r="BL95" s="316"/>
      <c r="BM95" s="316"/>
      <c r="BN95" s="316"/>
      <c r="BO95" s="83"/>
      <c r="BP95" s="83"/>
      <c r="BQ95" s="83"/>
      <c r="BR95" s="83"/>
      <c r="BS95" s="83"/>
      <c r="BT95" s="83"/>
      <c r="BU95" s="83"/>
      <c r="BV95" s="83"/>
      <c r="BW95" s="83"/>
      <c r="BX95" s="83"/>
    </row>
    <row r="96" spans="1:76" ht="16.5" x14ac:dyDescent="0.45">
      <c r="A96" s="83"/>
      <c r="B96" s="161" t="s">
        <v>109</v>
      </c>
      <c r="C96" s="162"/>
      <c r="D96" s="163" t="s">
        <v>110</v>
      </c>
      <c r="E96" s="163" t="s">
        <v>111</v>
      </c>
      <c r="F96" s="163" t="s">
        <v>8</v>
      </c>
      <c r="G96" s="163" t="s">
        <v>8</v>
      </c>
      <c r="H96" s="163" t="s">
        <v>112</v>
      </c>
      <c r="I96" s="163" t="s">
        <v>113</v>
      </c>
      <c r="J96" s="163" t="s">
        <v>114</v>
      </c>
      <c r="K96" s="162"/>
      <c r="L96" s="163" t="s">
        <v>110</v>
      </c>
      <c r="M96" s="163" t="s">
        <v>111</v>
      </c>
      <c r="N96" s="163" t="s">
        <v>8</v>
      </c>
      <c r="O96" s="163" t="s">
        <v>112</v>
      </c>
      <c r="P96" s="163" t="s">
        <v>113</v>
      </c>
      <c r="Q96" s="162"/>
      <c r="R96" s="163" t="s">
        <v>110</v>
      </c>
      <c r="S96" s="163" t="s">
        <v>111</v>
      </c>
      <c r="T96" s="163" t="s">
        <v>8</v>
      </c>
      <c r="U96" s="163" t="s">
        <v>112</v>
      </c>
      <c r="V96" s="163" t="s">
        <v>113</v>
      </c>
      <c r="W96" s="162"/>
      <c r="X96" s="163" t="s">
        <v>110</v>
      </c>
      <c r="Y96" s="163" t="s">
        <v>111</v>
      </c>
      <c r="Z96" s="163" t="s">
        <v>8</v>
      </c>
      <c r="AA96" s="163" t="s">
        <v>112</v>
      </c>
      <c r="AB96" s="163" t="s">
        <v>113</v>
      </c>
      <c r="AC96" s="162"/>
      <c r="AD96" s="163" t="s">
        <v>110</v>
      </c>
      <c r="AE96" s="163" t="s">
        <v>111</v>
      </c>
      <c r="AF96" s="163" t="s">
        <v>8</v>
      </c>
      <c r="AG96" s="163" t="s">
        <v>112</v>
      </c>
      <c r="AH96" s="163" t="s">
        <v>113</v>
      </c>
      <c r="AI96" s="181" t="s">
        <v>114</v>
      </c>
      <c r="AJ96" s="162"/>
      <c r="AK96" s="163" t="s">
        <v>110</v>
      </c>
      <c r="AL96" s="163" t="s">
        <v>111</v>
      </c>
      <c r="AM96" s="163" t="s">
        <v>8</v>
      </c>
      <c r="AN96" s="163" t="s">
        <v>112</v>
      </c>
      <c r="AO96" s="163" t="s">
        <v>113</v>
      </c>
      <c r="AP96" s="163" t="s">
        <v>114</v>
      </c>
      <c r="AQ96" s="162"/>
      <c r="AR96" s="164" t="s">
        <v>110</v>
      </c>
      <c r="AS96" s="164" t="s">
        <v>111</v>
      </c>
      <c r="AT96" s="164" t="s">
        <v>8</v>
      </c>
      <c r="AU96" s="164" t="s">
        <v>112</v>
      </c>
      <c r="AV96" s="164" t="s">
        <v>115</v>
      </c>
      <c r="AW96" s="162"/>
      <c r="AX96" s="164" t="s">
        <v>110</v>
      </c>
      <c r="AY96" s="164" t="s">
        <v>111</v>
      </c>
      <c r="AZ96" s="164" t="s">
        <v>8</v>
      </c>
      <c r="BA96" s="164" t="s">
        <v>112</v>
      </c>
      <c r="BB96" s="164" t="s">
        <v>115</v>
      </c>
      <c r="BC96" s="162"/>
      <c r="BD96" s="317" t="s">
        <v>110</v>
      </c>
      <c r="BE96" s="317" t="s">
        <v>111</v>
      </c>
      <c r="BF96" s="317" t="s">
        <v>8</v>
      </c>
      <c r="BG96" s="317" t="s">
        <v>112</v>
      </c>
      <c r="BH96" s="317" t="s">
        <v>116</v>
      </c>
      <c r="BI96" s="323"/>
      <c r="BJ96" s="317" t="s">
        <v>110</v>
      </c>
      <c r="BK96" s="317" t="s">
        <v>111</v>
      </c>
      <c r="BL96" s="317" t="s">
        <v>8</v>
      </c>
      <c r="BM96" s="317" t="s">
        <v>112</v>
      </c>
      <c r="BN96" s="317" t="s">
        <v>116</v>
      </c>
      <c r="BO96" s="83"/>
      <c r="BP96" s="83"/>
      <c r="BQ96" s="83"/>
      <c r="BR96" s="83"/>
      <c r="BS96" s="83"/>
      <c r="BT96" s="83"/>
      <c r="BU96" s="83"/>
      <c r="BV96" s="83"/>
      <c r="BW96" s="83"/>
      <c r="BX96" s="83"/>
    </row>
    <row r="97" spans="1:76" x14ac:dyDescent="0.35">
      <c r="A97" s="153" t="s">
        <v>96</v>
      </c>
      <c r="B97" s="165" t="s">
        <v>118</v>
      </c>
      <c r="C97" s="166"/>
      <c r="D97" s="165" t="s">
        <v>7</v>
      </c>
      <c r="E97" s="165" t="s">
        <v>119</v>
      </c>
      <c r="F97" s="165" t="s">
        <v>120</v>
      </c>
      <c r="G97" s="165" t="s">
        <v>121</v>
      </c>
      <c r="H97" s="165" t="s">
        <v>120</v>
      </c>
      <c r="I97" s="165" t="s">
        <v>122</v>
      </c>
      <c r="J97" s="165" t="s">
        <v>121</v>
      </c>
      <c r="K97" s="166"/>
      <c r="L97" s="165" t="s">
        <v>123</v>
      </c>
      <c r="M97" s="165" t="s">
        <v>123</v>
      </c>
      <c r="N97" s="165" t="s">
        <v>123</v>
      </c>
      <c r="O97" s="165" t="s">
        <v>123</v>
      </c>
      <c r="P97" s="165" t="s">
        <v>123</v>
      </c>
      <c r="Q97" s="166"/>
      <c r="R97" s="165" t="s">
        <v>7</v>
      </c>
      <c r="S97" s="165" t="s">
        <v>119</v>
      </c>
      <c r="T97" s="165" t="s">
        <v>120</v>
      </c>
      <c r="U97" s="165" t="s">
        <v>120</v>
      </c>
      <c r="V97" s="165" t="s">
        <v>122</v>
      </c>
      <c r="W97" s="166"/>
      <c r="X97" s="165" t="s">
        <v>7</v>
      </c>
      <c r="Y97" s="165" t="s">
        <v>119</v>
      </c>
      <c r="Z97" s="165" t="s">
        <v>120</v>
      </c>
      <c r="AA97" s="165" t="s">
        <v>120</v>
      </c>
      <c r="AB97" s="165" t="s">
        <v>122</v>
      </c>
      <c r="AC97" s="166"/>
      <c r="AD97" s="165" t="s">
        <v>7</v>
      </c>
      <c r="AE97" s="165" t="s">
        <v>119</v>
      </c>
      <c r="AF97" s="165" t="s">
        <v>120</v>
      </c>
      <c r="AG97" s="165" t="s">
        <v>120</v>
      </c>
      <c r="AH97" s="165" t="s">
        <v>122</v>
      </c>
      <c r="AI97" s="182" t="s">
        <v>121</v>
      </c>
      <c r="AJ97" s="166"/>
      <c r="AK97" s="165" t="s">
        <v>136</v>
      </c>
      <c r="AL97" s="165" t="s">
        <v>137</v>
      </c>
      <c r="AM97" s="165" t="s">
        <v>138</v>
      </c>
      <c r="AN97" s="165" t="s">
        <v>138</v>
      </c>
      <c r="AO97" s="165" t="s">
        <v>139</v>
      </c>
      <c r="AP97" s="165" t="s">
        <v>140</v>
      </c>
      <c r="AQ97" s="166"/>
      <c r="AR97" s="167" t="s">
        <v>136</v>
      </c>
      <c r="AS97" s="167" t="s">
        <v>137</v>
      </c>
      <c r="AT97" s="167" t="s">
        <v>138</v>
      </c>
      <c r="AU97" s="167" t="s">
        <v>138</v>
      </c>
      <c r="AV97" s="167" t="s">
        <v>139</v>
      </c>
      <c r="AW97" s="166"/>
      <c r="AX97" s="167" t="s">
        <v>7</v>
      </c>
      <c r="AY97" s="167" t="s">
        <v>119</v>
      </c>
      <c r="AZ97" s="167" t="s">
        <v>120</v>
      </c>
      <c r="BA97" s="167" t="s">
        <v>120</v>
      </c>
      <c r="BB97" s="167" t="s">
        <v>122</v>
      </c>
      <c r="BC97" s="166"/>
      <c r="BD97" s="319" t="s">
        <v>7</v>
      </c>
      <c r="BE97" s="319" t="s">
        <v>119</v>
      </c>
      <c r="BF97" s="319" t="s">
        <v>120</v>
      </c>
      <c r="BG97" s="319" t="s">
        <v>120</v>
      </c>
      <c r="BH97" s="319" t="s">
        <v>122</v>
      </c>
      <c r="BI97" s="324"/>
      <c r="BJ97" s="319" t="s">
        <v>7</v>
      </c>
      <c r="BK97" s="319" t="s">
        <v>119</v>
      </c>
      <c r="BL97" s="319" t="s">
        <v>120</v>
      </c>
      <c r="BM97" s="319" t="s">
        <v>120</v>
      </c>
      <c r="BN97" s="319" t="s">
        <v>122</v>
      </c>
      <c r="BO97" s="83"/>
      <c r="BP97" s="83"/>
      <c r="BQ97" s="83"/>
      <c r="BR97" s="83"/>
      <c r="BS97" s="83"/>
      <c r="BT97" s="83"/>
      <c r="BU97" s="83"/>
      <c r="BV97" s="83"/>
      <c r="BW97" s="83"/>
      <c r="BX97" s="83"/>
    </row>
    <row r="98" spans="1:76" x14ac:dyDescent="0.35">
      <c r="A98" s="168">
        <v>1</v>
      </c>
      <c r="B98" s="169">
        <f t="shared" ref="B98:B113" si="113">J222</f>
        <v>1.5883088420121996E-2</v>
      </c>
      <c r="C98" s="170"/>
      <c r="D98" s="154">
        <f t="shared" ref="D98:F113" si="114">AK98*$B98*10^6</f>
        <v>0</v>
      </c>
      <c r="E98" s="154">
        <f t="shared" si="114"/>
        <v>0</v>
      </c>
      <c r="F98" s="154">
        <f t="shared" si="114"/>
        <v>0</v>
      </c>
      <c r="G98" s="154">
        <f>F98*0.089</f>
        <v>0</v>
      </c>
      <c r="H98" s="154">
        <f t="shared" ref="H98:J113" si="115">AN98*$B98*10^6</f>
        <v>0</v>
      </c>
      <c r="I98" s="154">
        <f t="shared" si="115"/>
        <v>0</v>
      </c>
      <c r="J98" s="154">
        <f t="shared" si="115"/>
        <v>0</v>
      </c>
      <c r="K98" s="170"/>
      <c r="L98" s="171">
        <f t="shared" ref="L98:N114" si="116">IF(AX98=0,0,D98/AX98)</f>
        <v>0</v>
      </c>
      <c r="M98" s="171">
        <f t="shared" si="116"/>
        <v>0</v>
      </c>
      <c r="N98" s="171">
        <f t="shared" si="116"/>
        <v>0</v>
      </c>
      <c r="O98" s="171">
        <f t="shared" ref="O98:P114" si="117">IF(BA98=0,0,H98/BA98)</f>
        <v>0</v>
      </c>
      <c r="P98" s="171">
        <f t="shared" si="117"/>
        <v>0</v>
      </c>
      <c r="Q98" s="170"/>
      <c r="R98" s="154">
        <v>93257.237976186036</v>
      </c>
      <c r="S98" s="154">
        <v>1581.6646089010669</v>
      </c>
      <c r="T98" s="154">
        <v>2903699.7095451364</v>
      </c>
      <c r="U98" s="154">
        <v>347258.0822121625</v>
      </c>
      <c r="V98" s="154">
        <v>21.181418299535395</v>
      </c>
      <c r="W98" s="170"/>
      <c r="X98" s="154">
        <v>93257.237976186036</v>
      </c>
      <c r="Y98" s="154">
        <v>1581.6646089010669</v>
      </c>
      <c r="Z98" s="154">
        <v>2903699.7095451364</v>
      </c>
      <c r="AA98" s="154">
        <v>347258.0822121625</v>
      </c>
      <c r="AB98" s="154">
        <v>21.181418299535395</v>
      </c>
      <c r="AC98" s="170"/>
      <c r="AD98" s="154">
        <f t="shared" ref="AD98:AH113" si="118">R98-X98</f>
        <v>0</v>
      </c>
      <c r="AE98" s="154">
        <f t="shared" si="118"/>
        <v>0</v>
      </c>
      <c r="AF98" s="154">
        <f t="shared" si="118"/>
        <v>0</v>
      </c>
      <c r="AG98" s="154">
        <f t="shared" si="118"/>
        <v>0</v>
      </c>
      <c r="AH98" s="154">
        <f t="shared" si="118"/>
        <v>0</v>
      </c>
      <c r="AI98" s="154">
        <v>0</v>
      </c>
      <c r="AJ98" s="170"/>
      <c r="AK98" s="183">
        <f t="shared" ref="AK98:AP98" si="119">AD98/$E94</f>
        <v>0</v>
      </c>
      <c r="AL98" s="183">
        <f t="shared" si="119"/>
        <v>0</v>
      </c>
      <c r="AM98" s="183">
        <f t="shared" si="119"/>
        <v>0</v>
      </c>
      <c r="AN98" s="183">
        <f t="shared" si="119"/>
        <v>0</v>
      </c>
      <c r="AO98" s="183">
        <f t="shared" si="119"/>
        <v>0</v>
      </c>
      <c r="AP98" s="183">
        <f t="shared" si="119"/>
        <v>0</v>
      </c>
      <c r="AQ98" s="170"/>
      <c r="AR98" s="184">
        <f>R98/$E$94</f>
        <v>9.9463777704976568</v>
      </c>
      <c r="AS98" s="184">
        <f t="shared" ref="AS98:AV112" si="120">S98/$E$94</f>
        <v>0.16869289770702506</v>
      </c>
      <c r="AT98" s="184">
        <f t="shared" si="120"/>
        <v>309.69493489175943</v>
      </c>
      <c r="AU98" s="184">
        <f t="shared" si="120"/>
        <v>37.036911498737467</v>
      </c>
      <c r="AV98" s="184">
        <f t="shared" si="120"/>
        <v>2.2591103135170001E-3</v>
      </c>
      <c r="AW98" s="170"/>
      <c r="AX98" s="172">
        <f t="shared" ref="AX98:BB113" si="121">AR98*$B98*10^6</f>
        <v>157979.19758875016</v>
      </c>
      <c r="AY98" s="172">
        <f t="shared" si="121"/>
        <v>2679.364210127274</v>
      </c>
      <c r="AZ98" s="172">
        <f t="shared" si="121"/>
        <v>4918912.0341497399</v>
      </c>
      <c r="BA98" s="172">
        <f t="shared" si="121"/>
        <v>588260.54014268029</v>
      </c>
      <c r="BB98" s="172">
        <f t="shared" si="121"/>
        <v>35.881648860400041</v>
      </c>
      <c r="BC98" s="170"/>
      <c r="BD98" s="325">
        <f>X98/$E94</f>
        <v>9.9463777704976568</v>
      </c>
      <c r="BE98" s="325">
        <f>Y98/$E94</f>
        <v>0.16869289770702506</v>
      </c>
      <c r="BF98" s="325">
        <f>Z98/$E94</f>
        <v>309.69493489175943</v>
      </c>
      <c r="BG98" s="325">
        <f>AA98/$E94</f>
        <v>37.036911498737467</v>
      </c>
      <c r="BH98" s="325">
        <f>AB98/$E94</f>
        <v>2.2591103135170001E-3</v>
      </c>
      <c r="BI98" s="326"/>
      <c r="BJ98" s="320">
        <f t="shared" ref="BJ98:BN113" si="122">BD98*$B98*10^6</f>
        <v>157979.19758875016</v>
      </c>
      <c r="BK98" s="320">
        <f t="shared" si="122"/>
        <v>2679.364210127274</v>
      </c>
      <c r="BL98" s="320">
        <f t="shared" si="122"/>
        <v>4918912.0341497399</v>
      </c>
      <c r="BM98" s="320">
        <f t="shared" si="122"/>
        <v>588260.54014268029</v>
      </c>
      <c r="BN98" s="320">
        <f t="shared" si="122"/>
        <v>35.881648860400041</v>
      </c>
      <c r="BO98" s="83"/>
      <c r="BP98" s="83"/>
      <c r="BQ98" s="83"/>
      <c r="BR98" s="83"/>
      <c r="BS98" s="83"/>
      <c r="BT98" s="83"/>
      <c r="BU98" s="83"/>
      <c r="BV98" s="83"/>
      <c r="BW98" s="83"/>
      <c r="BX98" s="83"/>
    </row>
    <row r="99" spans="1:76" x14ac:dyDescent="0.35">
      <c r="A99" s="168">
        <v>2</v>
      </c>
      <c r="B99" s="169">
        <f t="shared" si="113"/>
        <v>9.434996651189613E-2</v>
      </c>
      <c r="C99" s="170"/>
      <c r="D99" s="154">
        <f t="shared" si="114"/>
        <v>-43353.40732456994</v>
      </c>
      <c r="E99" s="154">
        <f t="shared" si="114"/>
        <v>8820.827534816588</v>
      </c>
      <c r="F99" s="154">
        <f t="shared" si="114"/>
        <v>1104805.3424862057</v>
      </c>
      <c r="G99" s="154">
        <f t="shared" ref="G99:G113" si="123">F99*0.089</f>
        <v>98327.675481272308</v>
      </c>
      <c r="H99" s="154">
        <f t="shared" si="115"/>
        <v>597637.51451524335</v>
      </c>
      <c r="I99" s="154">
        <f t="shared" si="115"/>
        <v>35.643723030797297</v>
      </c>
      <c r="J99" s="154">
        <f t="shared" si="115"/>
        <v>42129.433638940325</v>
      </c>
      <c r="K99" s="170"/>
      <c r="L99" s="171">
        <f t="shared" si="116"/>
        <v>-4.1547351668040723E-2</v>
      </c>
      <c r="M99" s="171">
        <f t="shared" si="116"/>
        <v>1</v>
      </c>
      <c r="N99" s="171">
        <f t="shared" si="116"/>
        <v>3.3082455355139158E-2</v>
      </c>
      <c r="O99" s="171">
        <f t="shared" si="117"/>
        <v>0.19932019668001255</v>
      </c>
      <c r="P99" s="171">
        <f t="shared" si="117"/>
        <v>0.1942099812376569</v>
      </c>
      <c r="Q99" s="170"/>
      <c r="R99" s="154">
        <v>103694.5039772102</v>
      </c>
      <c r="S99" s="154">
        <v>876.56712581887962</v>
      </c>
      <c r="T99" s="154">
        <v>3318668.5441770498</v>
      </c>
      <c r="U99" s="154">
        <v>297963.03700343752</v>
      </c>
      <c r="V99" s="154">
        <v>18.238426290642597</v>
      </c>
      <c r="W99" s="170"/>
      <c r="X99" s="154">
        <v>108002.7359999944</v>
      </c>
      <c r="Y99" s="154">
        <v>0</v>
      </c>
      <c r="Z99" s="154">
        <v>3208878.8402258079</v>
      </c>
      <c r="AA99" s="154">
        <v>238572.9858645385</v>
      </c>
      <c r="AB99" s="154">
        <v>14.69634186293251</v>
      </c>
      <c r="AC99" s="170"/>
      <c r="AD99" s="154">
        <f t="shared" si="118"/>
        <v>-4308.2320227841992</v>
      </c>
      <c r="AE99" s="154">
        <f t="shared" si="118"/>
        <v>876.56712581887962</v>
      </c>
      <c r="AF99" s="154">
        <f t="shared" si="118"/>
        <v>109789.70395124191</v>
      </c>
      <c r="AG99" s="154">
        <f t="shared" si="118"/>
        <v>59390.051138899027</v>
      </c>
      <c r="AH99" s="154">
        <f t="shared" si="118"/>
        <v>3.5420844277100869</v>
      </c>
      <c r="AI99" s="154">
        <v>4186.6000000000013</v>
      </c>
      <c r="AJ99" s="170"/>
      <c r="AK99" s="183">
        <f t="shared" ref="AK99:AP99" si="124">AD99/$E94</f>
        <v>-0.4594957362184513</v>
      </c>
      <c r="AL99" s="183">
        <f t="shared" si="124"/>
        <v>9.3490521098429993E-2</v>
      </c>
      <c r="AM99" s="183">
        <f t="shared" si="124"/>
        <v>11.709652725175118</v>
      </c>
      <c r="AN99" s="183">
        <f t="shared" si="124"/>
        <v>6.334263133414999</v>
      </c>
      <c r="AO99" s="183">
        <f t="shared" si="124"/>
        <v>3.777820422045741E-4</v>
      </c>
      <c r="AP99" s="183">
        <f t="shared" si="124"/>
        <v>0.44652303754266226</v>
      </c>
      <c r="AQ99" s="170"/>
      <c r="AR99" s="184">
        <f t="shared" ref="AR99:AR112" si="125">R99/$E$94</f>
        <v>11.059567403712693</v>
      </c>
      <c r="AS99" s="184">
        <f t="shared" si="120"/>
        <v>9.3490521098429993E-2</v>
      </c>
      <c r="AT99" s="184">
        <f t="shared" si="120"/>
        <v>353.95355633287647</v>
      </c>
      <c r="AU99" s="184">
        <f t="shared" si="120"/>
        <v>31.779334151390522</v>
      </c>
      <c r="AV99" s="184">
        <f t="shared" si="120"/>
        <v>1.9452246470395261E-3</v>
      </c>
      <c r="AW99" s="170"/>
      <c r="AX99" s="172">
        <f t="shared" si="121"/>
        <v>1043469.8141763505</v>
      </c>
      <c r="AY99" s="172">
        <f t="shared" si="121"/>
        <v>8820.827534816588</v>
      </c>
      <c r="AZ99" s="172">
        <f t="shared" si="121"/>
        <v>33395506.186773438</v>
      </c>
      <c r="BA99" s="172">
        <f t="shared" si="121"/>
        <v>2998379.1129540526</v>
      </c>
      <c r="BB99" s="172">
        <f t="shared" si="121"/>
        <v>183.53188030629425</v>
      </c>
      <c r="BC99" s="170"/>
      <c r="BD99" s="325">
        <f>X99/$E94</f>
        <v>11.519063139931143</v>
      </c>
      <c r="BE99" s="325">
        <f>Y99/$E94</f>
        <v>0</v>
      </c>
      <c r="BF99" s="325">
        <f>Z99/$E94</f>
        <v>342.24390360770133</v>
      </c>
      <c r="BG99" s="325">
        <f>AA99/$E94</f>
        <v>25.445071017975522</v>
      </c>
      <c r="BH99" s="325">
        <f>AB99/$E94</f>
        <v>1.5674426048349519E-3</v>
      </c>
      <c r="BI99" s="326"/>
      <c r="BJ99" s="320">
        <f t="shared" si="122"/>
        <v>1086823.2215009204</v>
      </c>
      <c r="BK99" s="320">
        <f t="shared" si="122"/>
        <v>0</v>
      </c>
      <c r="BL99" s="320">
        <f t="shared" si="122"/>
        <v>32290700.844287228</v>
      </c>
      <c r="BM99" s="320">
        <f t="shared" si="122"/>
        <v>2400741.5984388092</v>
      </c>
      <c r="BN99" s="320">
        <f t="shared" si="122"/>
        <v>147.88815727549695</v>
      </c>
      <c r="BO99" s="83"/>
      <c r="BP99" s="83"/>
      <c r="BQ99" s="83"/>
      <c r="BR99" s="83"/>
      <c r="BS99" s="83"/>
      <c r="BT99" s="83"/>
      <c r="BU99" s="83"/>
      <c r="BV99" s="83"/>
      <c r="BW99" s="83"/>
      <c r="BX99" s="83"/>
    </row>
    <row r="100" spans="1:76" x14ac:dyDescent="0.35">
      <c r="A100" s="168">
        <v>3</v>
      </c>
      <c r="B100" s="169">
        <f t="shared" si="113"/>
        <v>0.43120902923415844</v>
      </c>
      <c r="C100" s="170"/>
      <c r="D100" s="154">
        <f t="shared" si="114"/>
        <v>-69441.485933613076</v>
      </c>
      <c r="E100" s="154">
        <f t="shared" si="114"/>
        <v>30260.421894737749</v>
      </c>
      <c r="F100" s="154">
        <f t="shared" si="114"/>
        <v>5727168.3682055175</v>
      </c>
      <c r="G100" s="154">
        <f t="shared" si="123"/>
        <v>509717.98477029102</v>
      </c>
      <c r="H100" s="154">
        <f t="shared" si="115"/>
        <v>2251650.2309225271</v>
      </c>
      <c r="I100" s="154">
        <f t="shared" si="115"/>
        <v>134.68553525332121</v>
      </c>
      <c r="J100" s="154">
        <f t="shared" si="115"/>
        <v>192544.76554945906</v>
      </c>
      <c r="K100" s="170"/>
      <c r="L100" s="171">
        <f t="shared" si="116"/>
        <v>-1.52595831554033E-2</v>
      </c>
      <c r="M100" s="171">
        <f t="shared" si="116"/>
        <v>1</v>
      </c>
      <c r="N100" s="171">
        <f t="shared" si="116"/>
        <v>4.1922796926041762E-2</v>
      </c>
      <c r="O100" s="171">
        <f t="shared" si="117"/>
        <v>0.18170270186773307</v>
      </c>
      <c r="P100" s="171">
        <f t="shared" si="117"/>
        <v>0.17737224885041333</v>
      </c>
      <c r="Q100" s="170"/>
      <c r="R100" s="154">
        <v>98947.787524845844</v>
      </c>
      <c r="S100" s="154">
        <v>657.96793770520139</v>
      </c>
      <c r="T100" s="154">
        <v>2970430.8995382236</v>
      </c>
      <c r="U100" s="154">
        <v>269444.48317042005</v>
      </c>
      <c r="V100" s="154">
        <v>16.510682908491781</v>
      </c>
      <c r="W100" s="170"/>
      <c r="X100" s="154">
        <v>100457.68951662441</v>
      </c>
      <c r="Y100" s="154">
        <v>0</v>
      </c>
      <c r="Z100" s="154">
        <v>2845902.1281540431</v>
      </c>
      <c r="AA100" s="154">
        <v>220485.69257499979</v>
      </c>
      <c r="AB100" s="154">
        <v>13.582145950956511</v>
      </c>
      <c r="AC100" s="170"/>
      <c r="AD100" s="154">
        <f t="shared" si="118"/>
        <v>-1509.9019917785627</v>
      </c>
      <c r="AE100" s="154">
        <f t="shared" si="118"/>
        <v>657.96793770520139</v>
      </c>
      <c r="AF100" s="154">
        <f t="shared" si="118"/>
        <v>124528.77138418052</v>
      </c>
      <c r="AG100" s="154">
        <f t="shared" si="118"/>
        <v>48958.790595420258</v>
      </c>
      <c r="AH100" s="154">
        <f t="shared" si="118"/>
        <v>2.92853695753527</v>
      </c>
      <c r="AI100" s="154">
        <v>4186.6000000000013</v>
      </c>
      <c r="AJ100" s="170"/>
      <c r="AK100" s="183">
        <f t="shared" ref="AK100:AP100" si="126">AD100/$E94</f>
        <v>-0.16103903495931768</v>
      </c>
      <c r="AL100" s="183">
        <f t="shared" si="126"/>
        <v>7.0175761274018922E-2</v>
      </c>
      <c r="AM100" s="183">
        <f t="shared" si="126"/>
        <v>13.28165223807386</v>
      </c>
      <c r="AN100" s="183">
        <f t="shared" si="126"/>
        <v>5.2217140140166656</v>
      </c>
      <c r="AO100" s="183">
        <f t="shared" si="126"/>
        <v>3.1234395878149211E-4</v>
      </c>
      <c r="AP100" s="183">
        <f t="shared" si="126"/>
        <v>0.44652303754266226</v>
      </c>
      <c r="AQ100" s="170"/>
      <c r="AR100" s="184">
        <f t="shared" si="125"/>
        <v>10.553304983451989</v>
      </c>
      <c r="AS100" s="184">
        <f t="shared" si="120"/>
        <v>7.0175761274018922E-2</v>
      </c>
      <c r="AT100" s="184">
        <f t="shared" si="120"/>
        <v>316.81216931934978</v>
      </c>
      <c r="AU100" s="184">
        <f t="shared" si="120"/>
        <v>28.737679519029442</v>
      </c>
      <c r="AV100" s="184">
        <f t="shared" si="120"/>
        <v>1.7609516753937478E-3</v>
      </c>
      <c r="AW100" s="170"/>
      <c r="AX100" s="172">
        <f t="shared" si="121"/>
        <v>4550680.3971263384</v>
      </c>
      <c r="AY100" s="172">
        <f t="shared" si="121"/>
        <v>30260.421894737749</v>
      </c>
      <c r="AZ100" s="172">
        <f t="shared" si="121"/>
        <v>136612267.98176467</v>
      </c>
      <c r="BA100" s="172">
        <f t="shared" si="121"/>
        <v>12391946.887843043</v>
      </c>
      <c r="BB100" s="172">
        <f t="shared" si="121"/>
        <v>759.33826247480283</v>
      </c>
      <c r="BC100" s="170"/>
      <c r="BD100" s="325">
        <f>X100/$E94</f>
        <v>10.714344018411307</v>
      </c>
      <c r="BE100" s="325">
        <f>Y100/$E94</f>
        <v>0</v>
      </c>
      <c r="BF100" s="325">
        <f>Z100/$E94</f>
        <v>303.53051708127595</v>
      </c>
      <c r="BG100" s="325">
        <f>AA100/$E94</f>
        <v>23.515965505012776</v>
      </c>
      <c r="BH100" s="325">
        <f>AB100/$E94</f>
        <v>1.4486077166122558E-3</v>
      </c>
      <c r="BI100" s="326"/>
      <c r="BJ100" s="320">
        <f t="shared" si="122"/>
        <v>4620121.8830599515</v>
      </c>
      <c r="BK100" s="320">
        <f t="shared" si="122"/>
        <v>0</v>
      </c>
      <c r="BL100" s="320">
        <f t="shared" si="122"/>
        <v>130885099.61355914</v>
      </c>
      <c r="BM100" s="320">
        <f t="shared" si="122"/>
        <v>10140296.656920515</v>
      </c>
      <c r="BN100" s="320">
        <f t="shared" si="122"/>
        <v>624.65272722148177</v>
      </c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</row>
    <row r="101" spans="1:76" x14ac:dyDescent="0.35">
      <c r="A101" s="168">
        <v>4</v>
      </c>
      <c r="B101" s="169">
        <f t="shared" si="113"/>
        <v>0.22100986509898857</v>
      </c>
      <c r="C101" s="170"/>
      <c r="D101" s="154">
        <f t="shared" si="114"/>
        <v>-12407.336202133672</v>
      </c>
      <c r="E101" s="154">
        <f t="shared" si="114"/>
        <v>11540.506530853529</v>
      </c>
      <c r="F101" s="154">
        <f t="shared" si="114"/>
        <v>2621694.5346196974</v>
      </c>
      <c r="G101" s="154">
        <f t="shared" si="123"/>
        <v>233330.81358115305</v>
      </c>
      <c r="H101" s="154">
        <f t="shared" si="115"/>
        <v>868322.4388859754</v>
      </c>
      <c r="I101" s="154">
        <f t="shared" si="115"/>
        <v>51.957032974063949</v>
      </c>
      <c r="J101" s="154">
        <f t="shared" si="115"/>
        <v>98685.996290894385</v>
      </c>
      <c r="K101" s="170"/>
      <c r="L101" s="171">
        <f t="shared" si="116"/>
        <v>-4.9223959200360842E-3</v>
      </c>
      <c r="M101" s="171">
        <f t="shared" si="116"/>
        <v>1</v>
      </c>
      <c r="N101" s="171">
        <f t="shared" si="116"/>
        <v>3.3396332092954867E-2</v>
      </c>
      <c r="O101" s="171">
        <f t="shared" si="117"/>
        <v>0.13698785212486528</v>
      </c>
      <c r="P101" s="171">
        <f t="shared" si="117"/>
        <v>0.13358733288805566</v>
      </c>
      <c r="Q101" s="170"/>
      <c r="R101" s="154">
        <v>106932.0634860135</v>
      </c>
      <c r="S101" s="154">
        <v>489.58805157778397</v>
      </c>
      <c r="T101" s="154">
        <v>3330345.2393843448</v>
      </c>
      <c r="U101" s="154">
        <v>268908.73329865903</v>
      </c>
      <c r="V101" s="154">
        <v>16.500040212079476</v>
      </c>
      <c r="W101" s="170"/>
      <c r="X101" s="154">
        <v>107458.4254390381</v>
      </c>
      <c r="Y101" s="154">
        <v>0</v>
      </c>
      <c r="Z101" s="154">
        <v>3219123.9237856739</v>
      </c>
      <c r="AA101" s="154">
        <v>232071.50350645749</v>
      </c>
      <c r="AB101" s="154">
        <v>14.295843847602111</v>
      </c>
      <c r="AC101" s="170"/>
      <c r="AD101" s="154">
        <f t="shared" si="118"/>
        <v>-526.36195302459237</v>
      </c>
      <c r="AE101" s="154">
        <f t="shared" si="118"/>
        <v>489.58805157778397</v>
      </c>
      <c r="AF101" s="154">
        <f t="shared" si="118"/>
        <v>111221.31559867086</v>
      </c>
      <c r="AG101" s="154">
        <f t="shared" si="118"/>
        <v>36837.229792201542</v>
      </c>
      <c r="AH101" s="154">
        <f t="shared" si="118"/>
        <v>2.2041963644773652</v>
      </c>
      <c r="AI101" s="154">
        <v>4186.6000000000013</v>
      </c>
      <c r="AJ101" s="170"/>
      <c r="AK101" s="183">
        <f t="shared" ref="AK101:AP101" si="127">AD101/$E94</f>
        <v>-5.6139286798697993E-2</v>
      </c>
      <c r="AL101" s="183">
        <f t="shared" si="127"/>
        <v>5.2217155671691974E-2</v>
      </c>
      <c r="AM101" s="183">
        <f t="shared" si="127"/>
        <v>11.862341680745612</v>
      </c>
      <c r="AN101" s="183">
        <f t="shared" si="127"/>
        <v>3.9288854300556251</v>
      </c>
      <c r="AO101" s="183">
        <f t="shared" si="127"/>
        <v>2.3508920269596473E-4</v>
      </c>
      <c r="AP101" s="183">
        <f t="shared" si="127"/>
        <v>0.44652303754266226</v>
      </c>
      <c r="AQ101" s="170"/>
      <c r="AR101" s="184">
        <f t="shared" si="125"/>
        <v>11.404870252347857</v>
      </c>
      <c r="AS101" s="184">
        <f t="shared" si="120"/>
        <v>5.2217155671691974E-2</v>
      </c>
      <c r="AT101" s="184">
        <f t="shared" si="120"/>
        <v>355.19893764764771</v>
      </c>
      <c r="AU101" s="184">
        <f t="shared" si="120"/>
        <v>28.680538961034454</v>
      </c>
      <c r="AV101" s="184">
        <f t="shared" si="120"/>
        <v>1.7598165755204219E-3</v>
      </c>
      <c r="AW101" s="170"/>
      <c r="AX101" s="172">
        <f t="shared" si="121"/>
        <v>2520588.8359428672</v>
      </c>
      <c r="AY101" s="172">
        <f t="shared" si="121"/>
        <v>11540.506530853529</v>
      </c>
      <c r="AZ101" s="172">
        <f t="shared" si="121"/>
        <v>78502469.292810678</v>
      </c>
      <c r="BA101" s="172">
        <f t="shared" si="121"/>
        <v>6338682.0467445105</v>
      </c>
      <c r="BB101" s="172">
        <f t="shared" si="121"/>
        <v>388.93682395473246</v>
      </c>
      <c r="BC101" s="170"/>
      <c r="BD101" s="325">
        <f>X101/$E94</f>
        <v>11.461009539146554</v>
      </c>
      <c r="BE101" s="325">
        <f>Y101/$E94</f>
        <v>0</v>
      </c>
      <c r="BF101" s="325">
        <f>Z101/$E94</f>
        <v>343.33659596690211</v>
      </c>
      <c r="BG101" s="325">
        <f>AA101/$E94</f>
        <v>24.751653530978828</v>
      </c>
      <c r="BH101" s="325">
        <f>AB101/$E94</f>
        <v>1.5247273728244573E-3</v>
      </c>
      <c r="BI101" s="326"/>
      <c r="BJ101" s="320">
        <f t="shared" si="122"/>
        <v>2532996.1721450011</v>
      </c>
      <c r="BK101" s="320">
        <f t="shared" si="122"/>
        <v>0</v>
      </c>
      <c r="BL101" s="320">
        <f t="shared" si="122"/>
        <v>75880774.758190975</v>
      </c>
      <c r="BM101" s="320">
        <f t="shared" si="122"/>
        <v>5470359.6078585349</v>
      </c>
      <c r="BN101" s="320">
        <f t="shared" si="122"/>
        <v>336.97979098066855</v>
      </c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</row>
    <row r="102" spans="1:76" x14ac:dyDescent="0.35">
      <c r="A102" s="168">
        <v>5</v>
      </c>
      <c r="B102" s="169">
        <f t="shared" si="113"/>
        <v>4.4734198724575389E-2</v>
      </c>
      <c r="C102" s="170"/>
      <c r="D102" s="154">
        <f t="shared" si="114"/>
        <v>-4167.9533956368105</v>
      </c>
      <c r="E102" s="154">
        <f t="shared" si="114"/>
        <v>2595.4056415800464</v>
      </c>
      <c r="F102" s="154">
        <f t="shared" si="114"/>
        <v>428533.84336758091</v>
      </c>
      <c r="G102" s="154">
        <f t="shared" si="123"/>
        <v>38139.512059714696</v>
      </c>
      <c r="H102" s="154">
        <f t="shared" si="115"/>
        <v>191002.67702642258</v>
      </c>
      <c r="I102" s="154">
        <f t="shared" si="115"/>
        <v>11.421304276529137</v>
      </c>
      <c r="J102" s="154">
        <f t="shared" si="115"/>
        <v>19974.850296534489</v>
      </c>
      <c r="K102" s="170"/>
      <c r="L102" s="171">
        <f t="shared" si="116"/>
        <v>-8.6401253808981778E-3</v>
      </c>
      <c r="M102" s="171">
        <f t="shared" si="116"/>
        <v>1</v>
      </c>
      <c r="N102" s="171">
        <f t="shared" si="116"/>
        <v>3.1519586448305006E-2</v>
      </c>
      <c r="O102" s="171">
        <f t="shared" si="117"/>
        <v>0.15373270488498789</v>
      </c>
      <c r="P102" s="171">
        <f t="shared" si="117"/>
        <v>0.14990450759445617</v>
      </c>
      <c r="Q102" s="170"/>
      <c r="R102" s="154">
        <v>101106.8884892494</v>
      </c>
      <c r="S102" s="154">
        <v>543.98031012648914</v>
      </c>
      <c r="T102" s="154">
        <v>2849591.1359730717</v>
      </c>
      <c r="U102" s="154">
        <v>260406.08099178941</v>
      </c>
      <c r="V102" s="154">
        <v>15.969045031776844</v>
      </c>
      <c r="W102" s="170"/>
      <c r="X102" s="154">
        <v>101980.464682669</v>
      </c>
      <c r="Y102" s="154">
        <v>0</v>
      </c>
      <c r="Z102" s="154">
        <v>2759773.2018204448</v>
      </c>
      <c r="AA102" s="154">
        <v>220373.14979242239</v>
      </c>
      <c r="AB102" s="154">
        <v>13.575213199534639</v>
      </c>
      <c r="AC102" s="170"/>
      <c r="AD102" s="154">
        <f t="shared" si="118"/>
        <v>-873.57619341960526</v>
      </c>
      <c r="AE102" s="154">
        <f t="shared" si="118"/>
        <v>543.98031012648914</v>
      </c>
      <c r="AF102" s="154">
        <f t="shared" si="118"/>
        <v>89817.934152626898</v>
      </c>
      <c r="AG102" s="154">
        <f t="shared" si="118"/>
        <v>40032.931199367013</v>
      </c>
      <c r="AH102" s="154">
        <f t="shared" si="118"/>
        <v>2.3938318322422045</v>
      </c>
      <c r="AI102" s="154">
        <v>4186.6000000000013</v>
      </c>
      <c r="AJ102" s="170"/>
      <c r="AK102" s="183">
        <f t="shared" ref="AK102:AP102" si="128">AD102/$E94</f>
        <v>-9.3171522335708759E-2</v>
      </c>
      <c r="AL102" s="183">
        <f t="shared" si="128"/>
        <v>5.8018377786528276E-2</v>
      </c>
      <c r="AM102" s="183">
        <f t="shared" si="128"/>
        <v>9.5795578234457022</v>
      </c>
      <c r="AN102" s="183">
        <f t="shared" si="128"/>
        <v>4.2697238907174713</v>
      </c>
      <c r="AO102" s="183">
        <f t="shared" si="128"/>
        <v>2.5531482852412591E-4</v>
      </c>
      <c r="AP102" s="183">
        <f t="shared" si="128"/>
        <v>0.44652303754266226</v>
      </c>
      <c r="AQ102" s="170"/>
      <c r="AR102" s="184">
        <f t="shared" si="125"/>
        <v>10.783584523170797</v>
      </c>
      <c r="AS102" s="184">
        <f t="shared" si="120"/>
        <v>5.8018377786528276E-2</v>
      </c>
      <c r="AT102" s="184">
        <f t="shared" si="120"/>
        <v>303.92396928040438</v>
      </c>
      <c r="AU102" s="184">
        <f t="shared" si="120"/>
        <v>27.773686112605525</v>
      </c>
      <c r="AV102" s="184">
        <f t="shared" si="120"/>
        <v>1.7031831305222742E-3</v>
      </c>
      <c r="AW102" s="170"/>
      <c r="AX102" s="172">
        <f t="shared" si="121"/>
        <v>482395.01302277792</v>
      </c>
      <c r="AY102" s="172">
        <f t="shared" si="121"/>
        <v>2595.4056415800464</v>
      </c>
      <c r="AZ102" s="172">
        <f t="shared" si="121"/>
        <v>13595795.238951355</v>
      </c>
      <c r="BA102" s="172">
        <f t="shared" si="121"/>
        <v>1242433.5938752752</v>
      </c>
      <c r="BB102" s="172">
        <f t="shared" si="121"/>
        <v>76.190532625127844</v>
      </c>
      <c r="BC102" s="170"/>
      <c r="BD102" s="325">
        <f>X102/$E94</f>
        <v>10.876756045506506</v>
      </c>
      <c r="BE102" s="325">
        <f>Y102/$E94</f>
        <v>0</v>
      </c>
      <c r="BF102" s="325">
        <f>Z102/$E94</f>
        <v>294.34441145695871</v>
      </c>
      <c r="BG102" s="325">
        <f>AA102/$E94</f>
        <v>23.503962221888052</v>
      </c>
      <c r="BH102" s="325">
        <f>AB102/$E94</f>
        <v>1.4478683019981484E-3</v>
      </c>
      <c r="BI102" s="326"/>
      <c r="BJ102" s="320">
        <f t="shared" si="122"/>
        <v>486562.96641841478</v>
      </c>
      <c r="BK102" s="320">
        <f t="shared" si="122"/>
        <v>0</v>
      </c>
      <c r="BL102" s="320">
        <f t="shared" si="122"/>
        <v>13167261.395583775</v>
      </c>
      <c r="BM102" s="320">
        <f t="shared" si="122"/>
        <v>1051430.9168488528</v>
      </c>
      <c r="BN102" s="320">
        <f t="shared" si="122"/>
        <v>64.769228348598702</v>
      </c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</row>
    <row r="103" spans="1:76" x14ac:dyDescent="0.35">
      <c r="A103" s="168">
        <v>6</v>
      </c>
      <c r="B103" s="169">
        <f t="shared" si="113"/>
        <v>0.31520025933773471</v>
      </c>
      <c r="C103" s="170"/>
      <c r="D103" s="154">
        <f t="shared" si="114"/>
        <v>64131.611342274547</v>
      </c>
      <c r="E103" s="154">
        <f t="shared" si="114"/>
        <v>6235.3563661504195</v>
      </c>
      <c r="F103" s="154">
        <f t="shared" si="114"/>
        <v>3054553.0484891268</v>
      </c>
      <c r="G103" s="154">
        <f t="shared" si="123"/>
        <v>271855.22131553228</v>
      </c>
      <c r="H103" s="154">
        <f t="shared" si="115"/>
        <v>611815.97175037488</v>
      </c>
      <c r="I103" s="154">
        <f t="shared" si="115"/>
        <v>37.363528362569113</v>
      </c>
      <c r="J103" s="154">
        <f t="shared" si="115"/>
        <v>140744.1772337202</v>
      </c>
      <c r="K103" s="170"/>
      <c r="L103" s="171">
        <f t="shared" si="116"/>
        <v>1.74486413637884E-2</v>
      </c>
      <c r="M103" s="171">
        <f t="shared" si="116"/>
        <v>1</v>
      </c>
      <c r="N103" s="171">
        <f t="shared" si="116"/>
        <v>2.8870825248009456E-2</v>
      </c>
      <c r="O103" s="171">
        <f t="shared" si="117"/>
        <v>7.5513743167357483E-2</v>
      </c>
      <c r="P103" s="171">
        <f t="shared" si="117"/>
        <v>7.4911407317732479E-2</v>
      </c>
      <c r="Q103" s="170"/>
      <c r="R103" s="154">
        <v>109330.5588785687</v>
      </c>
      <c r="S103" s="154">
        <v>185.47796062053359</v>
      </c>
      <c r="T103" s="154">
        <v>3147164.9544086456</v>
      </c>
      <c r="U103" s="154">
        <v>241004.88432734361</v>
      </c>
      <c r="V103" s="154">
        <v>14.836482816165287</v>
      </c>
      <c r="W103" s="170"/>
      <c r="X103" s="154">
        <v>107422.889166594</v>
      </c>
      <c r="Y103" s="154">
        <v>0</v>
      </c>
      <c r="Z103" s="154">
        <v>3056303.704983254</v>
      </c>
      <c r="AA103" s="154">
        <v>222805.70339016989</v>
      </c>
      <c r="AB103" s="154">
        <v>13.72506100876099</v>
      </c>
      <c r="AC103" s="170"/>
      <c r="AD103" s="154">
        <f t="shared" si="118"/>
        <v>1907.6697119746968</v>
      </c>
      <c r="AE103" s="154">
        <f t="shared" si="118"/>
        <v>185.47796062053359</v>
      </c>
      <c r="AF103" s="154">
        <f t="shared" si="118"/>
        <v>90861.249425391667</v>
      </c>
      <c r="AG103" s="154">
        <f t="shared" si="118"/>
        <v>18199.180937173718</v>
      </c>
      <c r="AH103" s="154">
        <f t="shared" si="118"/>
        <v>1.1114218074042963</v>
      </c>
      <c r="AI103" s="154">
        <v>4186.6000000000013</v>
      </c>
      <c r="AJ103" s="170"/>
      <c r="AK103" s="183">
        <f t="shared" ref="AK103:AP103" si="129">AD103/$E94</f>
        <v>0.2034630665502023</v>
      </c>
      <c r="AL103" s="183">
        <f t="shared" si="129"/>
        <v>1.9782205697582506E-2</v>
      </c>
      <c r="AM103" s="183">
        <f t="shared" si="129"/>
        <v>9.690832916530681</v>
      </c>
      <c r="AN103" s="183">
        <f t="shared" si="129"/>
        <v>1.9410389224801321</v>
      </c>
      <c r="AO103" s="183">
        <f t="shared" si="129"/>
        <v>1.1853901529482682E-4</v>
      </c>
      <c r="AP103" s="183">
        <f t="shared" si="129"/>
        <v>0.44652303754266226</v>
      </c>
      <c r="AQ103" s="170"/>
      <c r="AR103" s="184">
        <f t="shared" si="125"/>
        <v>11.660682474250075</v>
      </c>
      <c r="AS103" s="184">
        <f t="shared" si="120"/>
        <v>1.9782205697582506E-2</v>
      </c>
      <c r="AT103" s="184">
        <f t="shared" si="120"/>
        <v>335.66179121252623</v>
      </c>
      <c r="AU103" s="184">
        <f t="shared" si="120"/>
        <v>25.704445854025554</v>
      </c>
      <c r="AV103" s="184">
        <f t="shared" si="120"/>
        <v>1.5823893788572191E-3</v>
      </c>
      <c r="AW103" s="170"/>
      <c r="AX103" s="172">
        <f t="shared" si="121"/>
        <v>3675450.1399386018</v>
      </c>
      <c r="AY103" s="172">
        <f t="shared" si="121"/>
        <v>6235.3563661504195</v>
      </c>
      <c r="AZ103" s="172">
        <f t="shared" si="121"/>
        <v>105800683.63995683</v>
      </c>
      <c r="BA103" s="172">
        <f t="shared" si="121"/>
        <v>8102047.9993216144</v>
      </c>
      <c r="BB103" s="172">
        <f t="shared" si="121"/>
        <v>498.76954258907233</v>
      </c>
      <c r="BC103" s="170"/>
      <c r="BD103" s="325">
        <f>X103/$E94</f>
        <v>11.457219407699872</v>
      </c>
      <c r="BE103" s="325">
        <f>Y103/$E94</f>
        <v>0</v>
      </c>
      <c r="BF103" s="325">
        <f>Z103/$E94</f>
        <v>325.9709582959955</v>
      </c>
      <c r="BG103" s="325">
        <f>AA103/$E94</f>
        <v>23.763406931545422</v>
      </c>
      <c r="BH103" s="325">
        <f>AB103/$E94</f>
        <v>1.4638503635623923E-3</v>
      </c>
      <c r="BI103" s="326"/>
      <c r="BJ103" s="320">
        <f t="shared" si="122"/>
        <v>3611318.5285963272</v>
      </c>
      <c r="BK103" s="320">
        <f t="shared" si="122"/>
        <v>0</v>
      </c>
      <c r="BL103" s="320">
        <f t="shared" si="122"/>
        <v>102746130.59146769</v>
      </c>
      <c r="BM103" s="320">
        <f t="shared" si="122"/>
        <v>7490232.0275712395</v>
      </c>
      <c r="BN103" s="320">
        <f t="shared" si="122"/>
        <v>461.40601422650332</v>
      </c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</row>
    <row r="104" spans="1:76" x14ac:dyDescent="0.35">
      <c r="A104" s="168">
        <v>7</v>
      </c>
      <c r="B104" s="169">
        <f t="shared" si="113"/>
        <v>0.2223100943510864</v>
      </c>
      <c r="C104" s="170"/>
      <c r="D104" s="154">
        <f t="shared" si="114"/>
        <v>52511.062058188618</v>
      </c>
      <c r="E104" s="154">
        <f t="shared" si="114"/>
        <v>3515.9830048447948</v>
      </c>
      <c r="F104" s="154">
        <f t="shared" si="114"/>
        <v>2366985.2392198453</v>
      </c>
      <c r="G104" s="154">
        <f t="shared" si="123"/>
        <v>210661.68629056623</v>
      </c>
      <c r="H104" s="154">
        <f t="shared" si="115"/>
        <v>383436.6221442598</v>
      </c>
      <c r="I104" s="154">
        <f t="shared" si="115"/>
        <v>23.436849763666391</v>
      </c>
      <c r="J104" s="154">
        <f t="shared" si="115"/>
        <v>99266.578606042953</v>
      </c>
      <c r="K104" s="170"/>
      <c r="L104" s="171">
        <f t="shared" si="116"/>
        <v>2.0662328678079697E-2</v>
      </c>
      <c r="M104" s="171">
        <f t="shared" si="116"/>
        <v>1</v>
      </c>
      <c r="N104" s="171">
        <f t="shared" si="116"/>
        <v>3.300417833728328E-2</v>
      </c>
      <c r="O104" s="171">
        <f t="shared" si="117"/>
        <v>6.8398698054043638E-2</v>
      </c>
      <c r="P104" s="171">
        <f t="shared" si="117"/>
        <v>6.7904102136256583E-2</v>
      </c>
      <c r="Q104" s="170"/>
      <c r="R104" s="154">
        <v>107183.9979663476</v>
      </c>
      <c r="S104" s="154">
        <v>148.28771833168761</v>
      </c>
      <c r="T104" s="154">
        <v>3024719.0402088966</v>
      </c>
      <c r="U104" s="154">
        <v>236430.86473806793</v>
      </c>
      <c r="V104" s="154">
        <v>14.55665672697946</v>
      </c>
      <c r="W104" s="170"/>
      <c r="X104" s="154">
        <v>104969.3269713363</v>
      </c>
      <c r="Y104" s="154">
        <v>0</v>
      </c>
      <c r="Z104" s="154">
        <v>2924890.6735856659</v>
      </c>
      <c r="AA104" s="154">
        <v>220259.30141019239</v>
      </c>
      <c r="AB104" s="154">
        <v>13.56820002182822</v>
      </c>
      <c r="AC104" s="170"/>
      <c r="AD104" s="154">
        <f t="shared" si="118"/>
        <v>2214.6709950113</v>
      </c>
      <c r="AE104" s="154">
        <f t="shared" si="118"/>
        <v>148.28771833168761</v>
      </c>
      <c r="AF104" s="154">
        <f t="shared" si="118"/>
        <v>99828.366623230744</v>
      </c>
      <c r="AG104" s="154">
        <f t="shared" si="118"/>
        <v>16171.563327875541</v>
      </c>
      <c r="AH104" s="154">
        <f t="shared" si="118"/>
        <v>0.98845670515123985</v>
      </c>
      <c r="AI104" s="154">
        <v>4186.6000000000013</v>
      </c>
      <c r="AJ104" s="170"/>
      <c r="AK104" s="183">
        <f t="shared" ref="AK104:AP104" si="130">AD104/$E94</f>
        <v>0.23620637745427686</v>
      </c>
      <c r="AL104" s="183">
        <f t="shared" si="130"/>
        <v>1.58156696172875E-2</v>
      </c>
      <c r="AM104" s="183">
        <f t="shared" si="130"/>
        <v>10.647223402648331</v>
      </c>
      <c r="AN104" s="183">
        <f t="shared" si="130"/>
        <v>1.7247827781437224</v>
      </c>
      <c r="AO104" s="183">
        <f t="shared" si="130"/>
        <v>1.0542413664155714E-4</v>
      </c>
      <c r="AP104" s="183">
        <f t="shared" si="130"/>
        <v>0.44652303754266226</v>
      </c>
      <c r="AQ104" s="170"/>
      <c r="AR104" s="184">
        <f t="shared" si="125"/>
        <v>11.431740397434684</v>
      </c>
      <c r="AS104" s="184">
        <f t="shared" si="120"/>
        <v>1.58156696172875E-2</v>
      </c>
      <c r="AT104" s="184">
        <f t="shared" si="120"/>
        <v>322.60228671169972</v>
      </c>
      <c r="AU104" s="184">
        <f t="shared" si="120"/>
        <v>25.216602467797347</v>
      </c>
      <c r="AV104" s="184">
        <f t="shared" si="120"/>
        <v>1.5525444461368877E-3</v>
      </c>
      <c r="AW104" s="170"/>
      <c r="AX104" s="172">
        <f t="shared" si="121"/>
        <v>2541391.2863508305</v>
      </c>
      <c r="AY104" s="172">
        <f t="shared" si="121"/>
        <v>3515.9830048447948</v>
      </c>
      <c r="AZ104" s="172">
        <f t="shared" si="121"/>
        <v>71717744.796754196</v>
      </c>
      <c r="BA104" s="172">
        <f t="shared" si="121"/>
        <v>5605905.2738298662</v>
      </c>
      <c r="BB104" s="172">
        <f t="shared" si="121"/>
        <v>345.14630230494669</v>
      </c>
      <c r="BC104" s="170"/>
      <c r="BD104" s="325">
        <f>X104/$E94</f>
        <v>11.195534019980407</v>
      </c>
      <c r="BE104" s="325">
        <f>Y104/$E94</f>
        <v>0</v>
      </c>
      <c r="BF104" s="325">
        <f>Z104/$E94</f>
        <v>311.95506330905141</v>
      </c>
      <c r="BG104" s="325">
        <f>AA104/$E94</f>
        <v>23.491819689653624</v>
      </c>
      <c r="BH104" s="325">
        <f>AB104/$E94</f>
        <v>1.4471203094953307E-3</v>
      </c>
      <c r="BI104" s="326"/>
      <c r="BJ104" s="320">
        <f t="shared" si="122"/>
        <v>2488880.224292642</v>
      </c>
      <c r="BK104" s="320">
        <f t="shared" si="122"/>
        <v>0</v>
      </c>
      <c r="BL104" s="320">
        <f t="shared" si="122"/>
        <v>69350759.557534352</v>
      </c>
      <c r="BM104" s="320">
        <f t="shared" si="122"/>
        <v>5222468.6516856058</v>
      </c>
      <c r="BN104" s="320">
        <f t="shared" si="122"/>
        <v>321.70945254128031</v>
      </c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</row>
    <row r="105" spans="1:76" x14ac:dyDescent="0.35">
      <c r="A105" s="168">
        <v>8</v>
      </c>
      <c r="B105" s="169">
        <f t="shared" si="113"/>
        <v>0.45242874264445243</v>
      </c>
      <c r="C105" s="170"/>
      <c r="D105" s="154">
        <f t="shared" si="114"/>
        <v>108763.41987308378</v>
      </c>
      <c r="E105" s="154">
        <f t="shared" si="114"/>
        <v>9771.7125263141806</v>
      </c>
      <c r="F105" s="154">
        <f t="shared" si="114"/>
        <v>5137487.7275525127</v>
      </c>
      <c r="G105" s="154">
        <f t="shared" si="123"/>
        <v>457236.4077521736</v>
      </c>
      <c r="H105" s="154">
        <f t="shared" si="115"/>
        <v>963254.75996303535</v>
      </c>
      <c r="I105" s="154">
        <f t="shared" si="115"/>
        <v>58.828216789381734</v>
      </c>
      <c r="J105" s="154">
        <f t="shared" si="115"/>
        <v>202019.85643720833</v>
      </c>
      <c r="K105" s="170"/>
      <c r="L105" s="171">
        <f t="shared" si="116"/>
        <v>1.9950313014981895E-2</v>
      </c>
      <c r="M105" s="171">
        <f t="shared" si="116"/>
        <v>1</v>
      </c>
      <c r="N105" s="171">
        <f t="shared" si="116"/>
        <v>3.1429309495758381E-2</v>
      </c>
      <c r="O105" s="171">
        <f t="shared" si="117"/>
        <v>7.9761230755995463E-2</v>
      </c>
      <c r="P105" s="171">
        <f t="shared" si="117"/>
        <v>7.9130842358562603E-2</v>
      </c>
      <c r="Q105" s="170"/>
      <c r="R105" s="154">
        <v>112979.7349830725</v>
      </c>
      <c r="S105" s="154">
        <v>202.5060921443762</v>
      </c>
      <c r="T105" s="154">
        <v>3387531.7062507854</v>
      </c>
      <c r="U105" s="154">
        <v>250274.57237387905</v>
      </c>
      <c r="V105" s="154">
        <v>15.406617705516018</v>
      </c>
      <c r="W105" s="170"/>
      <c r="X105" s="154">
        <v>110725.7539058105</v>
      </c>
      <c r="Y105" s="154">
        <v>0</v>
      </c>
      <c r="Z105" s="154">
        <v>3281063.923828335</v>
      </c>
      <c r="AA105" s="154">
        <v>230312.364454408</v>
      </c>
      <c r="AB105" s="154">
        <v>14.18747906858219</v>
      </c>
      <c r="AC105" s="170"/>
      <c r="AD105" s="154">
        <f t="shared" si="118"/>
        <v>2253.9810772619967</v>
      </c>
      <c r="AE105" s="154">
        <f t="shared" si="118"/>
        <v>202.5060921443762</v>
      </c>
      <c r="AF105" s="154">
        <f t="shared" si="118"/>
        <v>106467.78242245037</v>
      </c>
      <c r="AG105" s="154">
        <f t="shared" si="118"/>
        <v>19962.207919471053</v>
      </c>
      <c r="AH105" s="154">
        <f t="shared" si="118"/>
        <v>1.2191386369338275</v>
      </c>
      <c r="AI105" s="154">
        <v>4186.6000000000013</v>
      </c>
      <c r="AJ105" s="170"/>
      <c r="AK105" s="183">
        <f t="shared" ref="AK105:AP105" si="131">AD105/$E94</f>
        <v>0.24039900568067371</v>
      </c>
      <c r="AL105" s="183">
        <f t="shared" si="131"/>
        <v>2.1598346005159579E-2</v>
      </c>
      <c r="AM105" s="183">
        <f t="shared" si="131"/>
        <v>11.355352220824486</v>
      </c>
      <c r="AN105" s="183">
        <f t="shared" si="131"/>
        <v>2.1290750767353939</v>
      </c>
      <c r="AO105" s="183">
        <f t="shared" si="131"/>
        <v>1.3002758499720856E-4</v>
      </c>
      <c r="AP105" s="183">
        <f t="shared" si="131"/>
        <v>0.44652303754266226</v>
      </c>
      <c r="AQ105" s="170"/>
      <c r="AR105" s="184">
        <f t="shared" si="125"/>
        <v>12.049886410310634</v>
      </c>
      <c r="AS105" s="184">
        <f t="shared" si="120"/>
        <v>2.1598346005159579E-2</v>
      </c>
      <c r="AT105" s="184">
        <f t="shared" si="120"/>
        <v>361.29817686121856</v>
      </c>
      <c r="AU105" s="184">
        <f t="shared" si="120"/>
        <v>26.693107121787442</v>
      </c>
      <c r="AV105" s="184">
        <f t="shared" si="120"/>
        <v>1.6431972808784148E-3</v>
      </c>
      <c r="AW105" s="170"/>
      <c r="AX105" s="172">
        <f t="shared" si="121"/>
        <v>5451714.9576253146</v>
      </c>
      <c r="AY105" s="172">
        <f t="shared" si="121"/>
        <v>9771.7125263141806</v>
      </c>
      <c r="AZ105" s="172">
        <f t="shared" si="121"/>
        <v>163461679.8770541</v>
      </c>
      <c r="BA105" s="172">
        <f t="shared" si="121"/>
        <v>12076728.89238397</v>
      </c>
      <c r="BB105" s="172">
        <f t="shared" si="121"/>
        <v>743.42967970460438</v>
      </c>
      <c r="BC105" s="170"/>
      <c r="BD105" s="325">
        <f>X105/$E94</f>
        <v>11.80948740462996</v>
      </c>
      <c r="BE105" s="325">
        <f>Y105/$E94</f>
        <v>0</v>
      </c>
      <c r="BF105" s="325">
        <f>Z105/$E94</f>
        <v>349.94282464039406</v>
      </c>
      <c r="BG105" s="325">
        <f>AA105/$E94</f>
        <v>24.564032045052048</v>
      </c>
      <c r="BH105" s="325">
        <f>AB105/$E94</f>
        <v>1.5131696958812064E-3</v>
      </c>
      <c r="BI105" s="326"/>
      <c r="BJ105" s="320">
        <f t="shared" si="122"/>
        <v>5342951.5377522307</v>
      </c>
      <c r="BK105" s="320">
        <f t="shared" si="122"/>
        <v>0</v>
      </c>
      <c r="BL105" s="320">
        <f t="shared" si="122"/>
        <v>158324192.14950159</v>
      </c>
      <c r="BM105" s="320">
        <f t="shared" si="122"/>
        <v>11113474.132420937</v>
      </c>
      <c r="BN105" s="320">
        <f t="shared" si="122"/>
        <v>684.60146291522267</v>
      </c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</row>
    <row r="106" spans="1:76" x14ac:dyDescent="0.35">
      <c r="A106" s="168">
        <v>9</v>
      </c>
      <c r="B106" s="169">
        <f t="shared" si="113"/>
        <v>0.70736397184152677</v>
      </c>
      <c r="C106" s="170"/>
      <c r="D106" s="154">
        <f t="shared" si="114"/>
        <v>142923.33631014096</v>
      </c>
      <c r="E106" s="154">
        <f t="shared" si="114"/>
        <v>18444.997701427452</v>
      </c>
      <c r="F106" s="154">
        <f t="shared" si="114"/>
        <v>8973101.1777281743</v>
      </c>
      <c r="G106" s="154">
        <f t="shared" si="123"/>
        <v>798606.00481780746</v>
      </c>
      <c r="H106" s="154">
        <f t="shared" si="115"/>
        <v>1695724.5189564356</v>
      </c>
      <c r="I106" s="154">
        <f t="shared" si="115"/>
        <v>103.49708602103651</v>
      </c>
      <c r="J106" s="154">
        <f t="shared" si="115"/>
        <v>315854.30935492076</v>
      </c>
      <c r="K106" s="170"/>
      <c r="L106" s="171">
        <f t="shared" si="116"/>
        <v>1.6815814653272924E-2</v>
      </c>
      <c r="M106" s="171">
        <f t="shared" si="116"/>
        <v>1</v>
      </c>
      <c r="N106" s="171">
        <f t="shared" si="116"/>
        <v>3.4591759510592485E-2</v>
      </c>
      <c r="O106" s="171">
        <f t="shared" si="117"/>
        <v>8.7882843261605281E-2</v>
      </c>
      <c r="P106" s="171">
        <f t="shared" si="117"/>
        <v>8.7144567980433948E-2</v>
      </c>
      <c r="Q106" s="170"/>
      <c r="R106" s="154">
        <v>112657.4446772627</v>
      </c>
      <c r="S106" s="154">
        <v>244.48559063357021</v>
      </c>
      <c r="T106" s="154">
        <v>3438306.3895015265</v>
      </c>
      <c r="U106" s="154">
        <v>255756.01896718936</v>
      </c>
      <c r="V106" s="154">
        <v>15.742092633351486</v>
      </c>
      <c r="W106" s="170"/>
      <c r="X106" s="154">
        <v>110763.0179682585</v>
      </c>
      <c r="Y106" s="154">
        <v>0</v>
      </c>
      <c r="Z106" s="154">
        <v>3319369.3217521561</v>
      </c>
      <c r="AA106" s="154">
        <v>233279.45283908371</v>
      </c>
      <c r="AB106" s="154">
        <v>14.370254771710099</v>
      </c>
      <c r="AC106" s="170"/>
      <c r="AD106" s="154">
        <f t="shared" si="118"/>
        <v>1894.4267090041976</v>
      </c>
      <c r="AE106" s="154">
        <f t="shared" si="118"/>
        <v>244.48559063357021</v>
      </c>
      <c r="AF106" s="154">
        <f t="shared" si="118"/>
        <v>118937.06774937036</v>
      </c>
      <c r="AG106" s="154">
        <f t="shared" si="118"/>
        <v>22476.566128105653</v>
      </c>
      <c r="AH106" s="154">
        <f t="shared" si="118"/>
        <v>1.3718378616413869</v>
      </c>
      <c r="AI106" s="154">
        <v>4186.6000000000013</v>
      </c>
      <c r="AJ106" s="170"/>
      <c r="AK106" s="183">
        <f t="shared" ref="AK106:AP106" si="132">AD106/$E94</f>
        <v>0.20205063022655692</v>
      </c>
      <c r="AL106" s="183">
        <f t="shared" si="132"/>
        <v>2.6075681594877369E-2</v>
      </c>
      <c r="AM106" s="183">
        <f t="shared" si="132"/>
        <v>12.685267464736599</v>
      </c>
      <c r="AN106" s="183">
        <f t="shared" si="132"/>
        <v>2.3972446808986403</v>
      </c>
      <c r="AO106" s="183">
        <f t="shared" si="132"/>
        <v>1.4631376510680321E-4</v>
      </c>
      <c r="AP106" s="183">
        <f t="shared" si="132"/>
        <v>0.44652303754266226</v>
      </c>
      <c r="AQ106" s="170"/>
      <c r="AR106" s="184">
        <f t="shared" si="125"/>
        <v>12.015512444247301</v>
      </c>
      <c r="AS106" s="184">
        <f t="shared" si="120"/>
        <v>2.6075681594877369E-2</v>
      </c>
      <c r="AT106" s="184">
        <f t="shared" si="120"/>
        <v>366.71356543318331</v>
      </c>
      <c r="AU106" s="184">
        <f t="shared" si="120"/>
        <v>27.277732398377704</v>
      </c>
      <c r="AV106" s="184">
        <f t="shared" si="120"/>
        <v>1.6789774566287848E-3</v>
      </c>
      <c r="AW106" s="170"/>
      <c r="AX106" s="172">
        <f t="shared" si="121"/>
        <v>8499340.6062740628</v>
      </c>
      <c r="AY106" s="172">
        <f t="shared" si="121"/>
        <v>18444.997701427452</v>
      </c>
      <c r="AZ106" s="172">
        <f t="shared" si="121"/>
        <v>259399964.17298415</v>
      </c>
      <c r="BA106" s="172">
        <f t="shared" si="121"/>
        <v>19295285.13214675</v>
      </c>
      <c r="BB106" s="172">
        <f t="shared" si="121"/>
        <v>1187.6481623533218</v>
      </c>
      <c r="BC106" s="170"/>
      <c r="BD106" s="325">
        <f>X106/$E94</f>
        <v>11.813461814020744</v>
      </c>
      <c r="BE106" s="325">
        <f>Y106/$E94</f>
        <v>0</v>
      </c>
      <c r="BF106" s="325">
        <f>Z106/$E94</f>
        <v>354.02829796844668</v>
      </c>
      <c r="BG106" s="325">
        <f>AA106/$E94</f>
        <v>24.880487717479063</v>
      </c>
      <c r="BH106" s="325">
        <f>AB106/$E94</f>
        <v>1.5326636915219817E-3</v>
      </c>
      <c r="BI106" s="326"/>
      <c r="BJ106" s="320">
        <f t="shared" si="122"/>
        <v>8356417.269963922</v>
      </c>
      <c r="BK106" s="320">
        <f t="shared" si="122"/>
        <v>0</v>
      </c>
      <c r="BL106" s="320">
        <f t="shared" si="122"/>
        <v>250426862.99525595</v>
      </c>
      <c r="BM106" s="320">
        <f t="shared" si="122"/>
        <v>17599560.613190312</v>
      </c>
      <c r="BN106" s="320">
        <f t="shared" si="122"/>
        <v>1084.1510763322856</v>
      </c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</row>
    <row r="107" spans="1:76" x14ac:dyDescent="0.35">
      <c r="A107" s="168">
        <v>10</v>
      </c>
      <c r="B107" s="169">
        <f t="shared" si="113"/>
        <v>0.42350321749984493</v>
      </c>
      <c r="C107" s="170"/>
      <c r="D107" s="154">
        <f t="shared" si="114"/>
        <v>44886.690618037734</v>
      </c>
      <c r="E107" s="154">
        <f t="shared" si="114"/>
        <v>15038.860154965372</v>
      </c>
      <c r="F107" s="154">
        <f t="shared" si="114"/>
        <v>5438355.2386320168</v>
      </c>
      <c r="G107" s="154">
        <f t="shared" si="123"/>
        <v>484013.61623824947</v>
      </c>
      <c r="H107" s="154">
        <f t="shared" si="115"/>
        <v>1212939.2460301612</v>
      </c>
      <c r="I107" s="154">
        <f t="shared" si="115"/>
        <v>73.934532172672249</v>
      </c>
      <c r="J107" s="154">
        <f t="shared" si="115"/>
        <v>189103.94308712153</v>
      </c>
      <c r="K107" s="170"/>
      <c r="L107" s="171">
        <f t="shared" si="116"/>
        <v>8.7046432433505495E-3</v>
      </c>
      <c r="M107" s="171">
        <f t="shared" si="116"/>
        <v>1</v>
      </c>
      <c r="N107" s="171">
        <f t="shared" si="116"/>
        <v>3.4993853605660027E-2</v>
      </c>
      <c r="O107" s="171">
        <f t="shared" si="117"/>
        <v>0.10083537869556423</v>
      </c>
      <c r="P107" s="171">
        <f t="shared" si="117"/>
        <v>9.9883291886652958E-2</v>
      </c>
      <c r="Q107" s="170"/>
      <c r="R107" s="154">
        <v>114163.55794383951</v>
      </c>
      <c r="S107" s="154">
        <v>332.94753613768461</v>
      </c>
      <c r="T107" s="154">
        <v>3440619.8181946855</v>
      </c>
      <c r="U107" s="154">
        <v>266309.70849684865</v>
      </c>
      <c r="V107" s="154">
        <v>16.387600443112689</v>
      </c>
      <c r="W107" s="170"/>
      <c r="X107" s="154">
        <v>113169.80490054681</v>
      </c>
      <c r="Y107" s="154">
        <v>0</v>
      </c>
      <c r="Z107" s="154">
        <v>3320219.271964048</v>
      </c>
      <c r="AA107" s="154">
        <v>239456.2681902636</v>
      </c>
      <c r="AB107" s="154">
        <v>14.75075296473142</v>
      </c>
      <c r="AC107" s="170"/>
      <c r="AD107" s="154">
        <f t="shared" si="118"/>
        <v>993.75304329270148</v>
      </c>
      <c r="AE107" s="154">
        <f t="shared" si="118"/>
        <v>332.94753613768461</v>
      </c>
      <c r="AF107" s="154">
        <f t="shared" si="118"/>
        <v>120400.54623063747</v>
      </c>
      <c r="AG107" s="154">
        <f t="shared" si="118"/>
        <v>26853.440306585049</v>
      </c>
      <c r="AH107" s="154">
        <f t="shared" si="118"/>
        <v>1.6368474783812683</v>
      </c>
      <c r="AI107" s="154">
        <v>4186.6000000000013</v>
      </c>
      <c r="AJ107" s="170"/>
      <c r="AK107" s="183">
        <f t="shared" ref="AK107:AP107" si="133">AD107/$E94</f>
        <v>0.10598901912251509</v>
      </c>
      <c r="AL107" s="183">
        <f t="shared" si="133"/>
        <v>3.5510616055640425E-2</v>
      </c>
      <c r="AM107" s="183">
        <f t="shared" si="133"/>
        <v>12.841355186714747</v>
      </c>
      <c r="AN107" s="183">
        <f t="shared" si="133"/>
        <v>2.8640614661460164</v>
      </c>
      <c r="AO107" s="183">
        <f t="shared" si="133"/>
        <v>1.7457844266011822E-4</v>
      </c>
      <c r="AP107" s="183">
        <f t="shared" si="133"/>
        <v>0.44652303754266226</v>
      </c>
      <c r="AQ107" s="170"/>
      <c r="AR107" s="184">
        <f t="shared" si="125"/>
        <v>12.176147391621107</v>
      </c>
      <c r="AS107" s="184">
        <f t="shared" si="120"/>
        <v>3.5510616055640425E-2</v>
      </c>
      <c r="AT107" s="184">
        <f t="shared" si="120"/>
        <v>366.96030484158337</v>
      </c>
      <c r="AU107" s="184">
        <f t="shared" si="120"/>
        <v>28.403339216814061</v>
      </c>
      <c r="AV107" s="184">
        <f t="shared" si="120"/>
        <v>1.7478242793422237E-3</v>
      </c>
      <c r="AW107" s="170"/>
      <c r="AX107" s="172">
        <f t="shared" si="121"/>
        <v>5156637.5971038835</v>
      </c>
      <c r="AY107" s="172">
        <f t="shared" si="121"/>
        <v>15038.860154965372</v>
      </c>
      <c r="AZ107" s="172">
        <f t="shared" si="121"/>
        <v>155408869.79513448</v>
      </c>
      <c r="BA107" s="172">
        <f t="shared" si="121"/>
        <v>12028905.546060279</v>
      </c>
      <c r="BB107" s="172">
        <f t="shared" si="121"/>
        <v>740.20920592577954</v>
      </c>
      <c r="BC107" s="170"/>
      <c r="BD107" s="325">
        <f>X107/$E94</f>
        <v>12.070158372498593</v>
      </c>
      <c r="BE107" s="325">
        <f>Y107/$E94</f>
        <v>0</v>
      </c>
      <c r="BF107" s="325">
        <f>Z107/$E94</f>
        <v>354.11894965486863</v>
      </c>
      <c r="BG107" s="325">
        <f>AA107/$E94</f>
        <v>25.539277750668045</v>
      </c>
      <c r="BH107" s="325">
        <f>AB107/$E94</f>
        <v>1.5732458366821054E-3</v>
      </c>
      <c r="BI107" s="326"/>
      <c r="BJ107" s="320">
        <f t="shared" si="122"/>
        <v>5111750.9064858463</v>
      </c>
      <c r="BK107" s="320">
        <f t="shared" si="122"/>
        <v>0</v>
      </c>
      <c r="BL107" s="320">
        <f t="shared" si="122"/>
        <v>149970514.55650249</v>
      </c>
      <c r="BM107" s="320">
        <f t="shared" si="122"/>
        <v>10815966.30003012</v>
      </c>
      <c r="BN107" s="320">
        <f t="shared" si="122"/>
        <v>666.27467375310709</v>
      </c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</row>
    <row r="108" spans="1:76" x14ac:dyDescent="0.35">
      <c r="A108" s="168">
        <v>11</v>
      </c>
      <c r="B108" s="169">
        <f t="shared" si="113"/>
        <v>8.7303396293586619E-2</v>
      </c>
      <c r="C108" s="170"/>
      <c r="D108" s="154">
        <f t="shared" si="114"/>
        <v>-40697.883601523943</v>
      </c>
      <c r="E108" s="154">
        <f t="shared" si="114"/>
        <v>8881.7735477451824</v>
      </c>
      <c r="F108" s="154">
        <f t="shared" si="114"/>
        <v>1240739.4844403963</v>
      </c>
      <c r="G108" s="154">
        <f t="shared" si="123"/>
        <v>110425.81411519527</v>
      </c>
      <c r="H108" s="154">
        <f t="shared" si="115"/>
        <v>596973.35866047721</v>
      </c>
      <c r="I108" s="154">
        <f t="shared" si="115"/>
        <v>35.594717004874987</v>
      </c>
      <c r="J108" s="154">
        <f t="shared" si="115"/>
        <v>38982.977700803101</v>
      </c>
      <c r="K108" s="170"/>
      <c r="L108" s="171">
        <f t="shared" si="116"/>
        <v>-3.8159816772535771E-2</v>
      </c>
      <c r="M108" s="171">
        <f t="shared" si="116"/>
        <v>1</v>
      </c>
      <c r="N108" s="171">
        <f t="shared" si="116"/>
        <v>3.6181763745073696E-2</v>
      </c>
      <c r="O108" s="171">
        <f t="shared" si="117"/>
        <v>0.19411286227557967</v>
      </c>
      <c r="P108" s="171">
        <f t="shared" si="117"/>
        <v>0.18906415610544314</v>
      </c>
      <c r="Q108" s="170"/>
      <c r="R108" s="154">
        <v>114538.63528457029</v>
      </c>
      <c r="S108" s="154">
        <v>953.86333543791704</v>
      </c>
      <c r="T108" s="154">
        <v>3682793.1718138191</v>
      </c>
      <c r="U108" s="154">
        <v>330283.66589664342</v>
      </c>
      <c r="V108" s="154">
        <v>20.219145779308445</v>
      </c>
      <c r="W108" s="170"/>
      <c r="X108" s="154">
        <v>118909.4086204058</v>
      </c>
      <c r="Y108" s="154">
        <v>0</v>
      </c>
      <c r="Z108" s="154">
        <v>3549543.2193492809</v>
      </c>
      <c r="AA108" s="154">
        <v>266171.3581465747</v>
      </c>
      <c r="AB108" s="154">
        <v>16.396430045370561</v>
      </c>
      <c r="AC108" s="170"/>
      <c r="AD108" s="154">
        <f t="shared" si="118"/>
        <v>-4370.7733358355035</v>
      </c>
      <c r="AE108" s="154">
        <f t="shared" si="118"/>
        <v>953.86333543791704</v>
      </c>
      <c r="AF108" s="154">
        <f t="shared" si="118"/>
        <v>133249.95246453816</v>
      </c>
      <c r="AG108" s="154">
        <f t="shared" si="118"/>
        <v>64112.307750068721</v>
      </c>
      <c r="AH108" s="154">
        <f t="shared" si="118"/>
        <v>3.8227157339378834</v>
      </c>
      <c r="AI108" s="154">
        <v>4186.6000000000013</v>
      </c>
      <c r="AJ108" s="170"/>
      <c r="AK108" s="183">
        <f t="shared" ref="AK108:AP108" si="134">AD108/$E94</f>
        <v>-0.4661660981053225</v>
      </c>
      <c r="AL108" s="183">
        <f t="shared" si="134"/>
        <v>0.10173457075916351</v>
      </c>
      <c r="AM108" s="183">
        <f t="shared" si="134"/>
        <v>14.211812336234873</v>
      </c>
      <c r="AN108" s="183">
        <f t="shared" si="134"/>
        <v>6.8379167822172269</v>
      </c>
      <c r="AO108" s="183">
        <f t="shared" si="134"/>
        <v>4.0771285558211212E-4</v>
      </c>
      <c r="AP108" s="183">
        <f t="shared" si="134"/>
        <v>0.44652303754266226</v>
      </c>
      <c r="AQ108" s="170"/>
      <c r="AR108" s="184">
        <f t="shared" si="125"/>
        <v>12.216151374207582</v>
      </c>
      <c r="AS108" s="184">
        <f t="shared" si="120"/>
        <v>0.10173457075916351</v>
      </c>
      <c r="AT108" s="184">
        <f t="shared" si="120"/>
        <v>392.7893741269005</v>
      </c>
      <c r="AU108" s="184">
        <f t="shared" si="120"/>
        <v>35.226500202287056</v>
      </c>
      <c r="AV108" s="184">
        <f t="shared" si="120"/>
        <v>2.1564788587146379E-3</v>
      </c>
      <c r="AW108" s="170"/>
      <c r="AX108" s="172">
        <f t="shared" si="121"/>
        <v>1066511.5046048875</v>
      </c>
      <c r="AY108" s="172">
        <f t="shared" si="121"/>
        <v>8881.7735477451824</v>
      </c>
      <c r="AZ108" s="172">
        <f t="shared" si="121"/>
        <v>34291846.389310651</v>
      </c>
      <c r="BA108" s="172">
        <f t="shared" si="121"/>
        <v>3075393.1071963762</v>
      </c>
      <c r="BB108" s="172">
        <f t="shared" si="121"/>
        <v>188.26792840110542</v>
      </c>
      <c r="BC108" s="170"/>
      <c r="BD108" s="325">
        <f>X108/$E94</f>
        <v>12.682317472312905</v>
      </c>
      <c r="BE108" s="325">
        <f>Y108/$E94</f>
        <v>0</v>
      </c>
      <c r="BF108" s="325">
        <f>Z108/$E94</f>
        <v>378.57756179066564</v>
      </c>
      <c r="BG108" s="325">
        <f>AA108/$E94</f>
        <v>28.388583420069828</v>
      </c>
      <c r="BH108" s="325">
        <f>AB108/$E94</f>
        <v>1.7487660031325256E-3</v>
      </c>
      <c r="BI108" s="326"/>
      <c r="BJ108" s="320">
        <f t="shared" si="122"/>
        <v>1107209.3882064114</v>
      </c>
      <c r="BK108" s="320">
        <f t="shared" si="122"/>
        <v>0</v>
      </c>
      <c r="BL108" s="320">
        <f t="shared" si="122"/>
        <v>33051106.904870261</v>
      </c>
      <c r="BM108" s="320">
        <f t="shared" si="122"/>
        <v>2478419.748535899</v>
      </c>
      <c r="BN108" s="320">
        <f t="shared" si="122"/>
        <v>152.67321139623041</v>
      </c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</row>
    <row r="109" spans="1:76" x14ac:dyDescent="0.35">
      <c r="A109" s="168">
        <v>12</v>
      </c>
      <c r="B109" s="169">
        <f t="shared" si="113"/>
        <v>0.47552695567167308</v>
      </c>
      <c r="C109" s="170"/>
      <c r="D109" s="154">
        <f t="shared" si="114"/>
        <v>-217718.68250357042</v>
      </c>
      <c r="E109" s="154">
        <f t="shared" si="114"/>
        <v>41587.623119117699</v>
      </c>
      <c r="F109" s="154">
        <f t="shared" si="114"/>
        <v>4138923.9002311537</v>
      </c>
      <c r="G109" s="154">
        <f t="shared" si="123"/>
        <v>368364.22712057264</v>
      </c>
      <c r="H109" s="154">
        <f t="shared" si="115"/>
        <v>2718750.8144591469</v>
      </c>
      <c r="I109" s="154">
        <f t="shared" si="115"/>
        <v>161.9552142672118</v>
      </c>
      <c r="J109" s="154">
        <f t="shared" si="115"/>
        <v>212333.74067993037</v>
      </c>
      <c r="K109" s="170"/>
      <c r="L109" s="171">
        <f t="shared" si="116"/>
        <v>-3.9458622790371406E-2</v>
      </c>
      <c r="M109" s="171">
        <f t="shared" si="116"/>
        <v>1</v>
      </c>
      <c r="N109" s="171">
        <f t="shared" si="116"/>
        <v>2.3627648294531331E-2</v>
      </c>
      <c r="O109" s="171">
        <f t="shared" si="117"/>
        <v>0.17637748055449748</v>
      </c>
      <c r="P109" s="171">
        <f t="shared" si="117"/>
        <v>0.1715591803070993</v>
      </c>
      <c r="Q109" s="170"/>
      <c r="R109" s="154">
        <v>108791.81762775109</v>
      </c>
      <c r="S109" s="154">
        <v>819.98622730878594</v>
      </c>
      <c r="T109" s="154">
        <v>3453897.1585198175</v>
      </c>
      <c r="U109" s="154">
        <v>303926.61145323556</v>
      </c>
      <c r="V109" s="154">
        <v>18.613302298510003</v>
      </c>
      <c r="W109" s="170"/>
      <c r="X109" s="154">
        <v>113084.5929222034</v>
      </c>
      <c r="Y109" s="154">
        <v>0</v>
      </c>
      <c r="Z109" s="154">
        <v>3372289.6912128301</v>
      </c>
      <c r="AA109" s="154">
        <v>250320.80145164821</v>
      </c>
      <c r="AB109" s="154">
        <v>15.42001941336938</v>
      </c>
      <c r="AC109" s="170"/>
      <c r="AD109" s="154">
        <f t="shared" si="118"/>
        <v>-4292.775294452309</v>
      </c>
      <c r="AE109" s="154">
        <f t="shared" si="118"/>
        <v>819.98622730878594</v>
      </c>
      <c r="AF109" s="154">
        <f t="shared" si="118"/>
        <v>81607.467306987382</v>
      </c>
      <c r="AG109" s="154">
        <f t="shared" si="118"/>
        <v>53605.81000158735</v>
      </c>
      <c r="AH109" s="154">
        <f t="shared" si="118"/>
        <v>3.1932828851406239</v>
      </c>
      <c r="AI109" s="154">
        <v>4186.6000000000013</v>
      </c>
      <c r="AJ109" s="170"/>
      <c r="AK109" s="183">
        <f t="shared" ref="AK109:AP109" si="135">AD109/$E94</f>
        <v>-0.4578471943741797</v>
      </c>
      <c r="AL109" s="183">
        <f t="shared" si="135"/>
        <v>8.7455868953582122E-2</v>
      </c>
      <c r="AM109" s="183">
        <f t="shared" si="135"/>
        <v>8.7038681001479716</v>
      </c>
      <c r="AN109" s="183">
        <f t="shared" si="135"/>
        <v>5.7173432168928491</v>
      </c>
      <c r="AO109" s="183">
        <f t="shared" si="135"/>
        <v>3.4058051249366724E-4</v>
      </c>
      <c r="AP109" s="183">
        <f t="shared" si="135"/>
        <v>0.44652303754266226</v>
      </c>
      <c r="AQ109" s="170"/>
      <c r="AR109" s="184">
        <f t="shared" si="125"/>
        <v>11.603222869853999</v>
      </c>
      <c r="AS109" s="184">
        <f t="shared" si="120"/>
        <v>8.7455868953582122E-2</v>
      </c>
      <c r="AT109" s="184">
        <f t="shared" si="120"/>
        <v>368.37640342574844</v>
      </c>
      <c r="AU109" s="184">
        <f t="shared" si="120"/>
        <v>32.415380914380926</v>
      </c>
      <c r="AV109" s="184">
        <f t="shared" si="120"/>
        <v>1.98520715641105E-3</v>
      </c>
      <c r="AW109" s="170"/>
      <c r="AX109" s="172">
        <f t="shared" si="121"/>
        <v>5517645.2472816054</v>
      </c>
      <c r="AY109" s="172">
        <f t="shared" si="121"/>
        <v>41587.623119117699</v>
      </c>
      <c r="AZ109" s="172">
        <f t="shared" si="121"/>
        <v>175172909.66232625</v>
      </c>
      <c r="BA109" s="172">
        <f t="shared" si="121"/>
        <v>15414387.403153215</v>
      </c>
      <c r="BB109" s="172">
        <f t="shared" si="121"/>
        <v>944.01951546576561</v>
      </c>
      <c r="BC109" s="170"/>
      <c r="BD109" s="325">
        <f>X109/$E94</f>
        <v>12.061070064228179</v>
      </c>
      <c r="BE109" s="325">
        <f>Y109/$E94</f>
        <v>0</v>
      </c>
      <c r="BF109" s="325">
        <f>Z109/$E94</f>
        <v>359.67253532560051</v>
      </c>
      <c r="BG109" s="325">
        <f>AA109/$E94</f>
        <v>26.698037697488076</v>
      </c>
      <c r="BH109" s="325">
        <f>AB109/$E94</f>
        <v>1.6446266439173827E-3</v>
      </c>
      <c r="BI109" s="326"/>
      <c r="BJ109" s="320">
        <f t="shared" si="122"/>
        <v>5735363.9297851762</v>
      </c>
      <c r="BK109" s="320">
        <f t="shared" si="122"/>
        <v>0</v>
      </c>
      <c r="BL109" s="320">
        <f t="shared" si="122"/>
        <v>171033985.76209512</v>
      </c>
      <c r="BM109" s="320">
        <f t="shared" si="122"/>
        <v>12695636.588694068</v>
      </c>
      <c r="BN109" s="320">
        <f t="shared" si="122"/>
        <v>782.06430119855372</v>
      </c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</row>
    <row r="110" spans="1:76" x14ac:dyDescent="0.35">
      <c r="A110" s="168">
        <v>13</v>
      </c>
      <c r="B110" s="169">
        <f t="shared" si="113"/>
        <v>0.18276870219824468</v>
      </c>
      <c r="C110" s="170"/>
      <c r="D110" s="154">
        <f t="shared" si="114"/>
        <v>-47104.976041818736</v>
      </c>
      <c r="E110" s="154">
        <f t="shared" si="114"/>
        <v>13969.305173537014</v>
      </c>
      <c r="F110" s="154">
        <f t="shared" si="114"/>
        <v>2269448.5130123985</v>
      </c>
      <c r="G110" s="154">
        <f t="shared" si="123"/>
        <v>201980.91765810346</v>
      </c>
      <c r="H110" s="154">
        <f t="shared" si="115"/>
        <v>967729.80785581109</v>
      </c>
      <c r="I110" s="154">
        <f t="shared" si="115"/>
        <v>57.758096469983677</v>
      </c>
      <c r="J110" s="154">
        <f t="shared" si="115"/>
        <v>81610.436073290461</v>
      </c>
      <c r="K110" s="170"/>
      <c r="L110" s="171">
        <f t="shared" si="116"/>
        <v>-2.0482349112138913E-2</v>
      </c>
      <c r="M110" s="171">
        <f t="shared" si="116"/>
        <v>1</v>
      </c>
      <c r="N110" s="171">
        <f t="shared" si="116"/>
        <v>3.0980200535371392E-2</v>
      </c>
      <c r="O110" s="171">
        <f t="shared" si="117"/>
        <v>0.15781490085970476</v>
      </c>
      <c r="P110" s="171">
        <f t="shared" si="117"/>
        <v>0.15365858228853593</v>
      </c>
      <c r="Q110" s="170"/>
      <c r="R110" s="154">
        <v>117978.4792230188</v>
      </c>
      <c r="S110" s="154">
        <v>716.62272441490779</v>
      </c>
      <c r="T110" s="154">
        <v>3757957.6399216973</v>
      </c>
      <c r="U110" s="154">
        <v>314573.31728331622</v>
      </c>
      <c r="V110" s="154">
        <v>19.282876534360405</v>
      </c>
      <c r="W110" s="170"/>
      <c r="X110" s="154">
        <v>120394.9556221839</v>
      </c>
      <c r="Y110" s="154">
        <v>0</v>
      </c>
      <c r="Z110" s="154">
        <v>3641535.3586334921</v>
      </c>
      <c r="AA110" s="154">
        <v>264928.96040314122</v>
      </c>
      <c r="AB110" s="154">
        <v>16.319897063645708</v>
      </c>
      <c r="AC110" s="170"/>
      <c r="AD110" s="154">
        <f t="shared" si="118"/>
        <v>-2416.476399165098</v>
      </c>
      <c r="AE110" s="154">
        <f t="shared" si="118"/>
        <v>716.62272441490779</v>
      </c>
      <c r="AF110" s="154">
        <f t="shared" si="118"/>
        <v>116422.28128820518</v>
      </c>
      <c r="AG110" s="154">
        <f t="shared" si="118"/>
        <v>49644.356880175008</v>
      </c>
      <c r="AH110" s="154">
        <f t="shared" si="118"/>
        <v>2.9629794707146964</v>
      </c>
      <c r="AI110" s="154">
        <v>4186.6000000000013</v>
      </c>
      <c r="AJ110" s="170"/>
      <c r="AK110" s="183">
        <f t="shared" ref="AK110:AP110" si="136">AD110/$E94</f>
        <v>-0.25772999137853009</v>
      </c>
      <c r="AL110" s="183">
        <f t="shared" si="136"/>
        <v>7.6431604566436412E-2</v>
      </c>
      <c r="AM110" s="183">
        <f t="shared" si="136"/>
        <v>12.417052185175468</v>
      </c>
      <c r="AN110" s="183">
        <f t="shared" si="136"/>
        <v>5.2948332850016007</v>
      </c>
      <c r="AO110" s="183">
        <f t="shared" si="136"/>
        <v>3.160174350164992E-4</v>
      </c>
      <c r="AP110" s="183">
        <f t="shared" si="136"/>
        <v>0.44652303754266226</v>
      </c>
      <c r="AQ110" s="170"/>
      <c r="AR110" s="184">
        <f t="shared" si="125"/>
        <v>12.583028927369753</v>
      </c>
      <c r="AS110" s="184">
        <f t="shared" si="120"/>
        <v>7.6431604566436412E-2</v>
      </c>
      <c r="AT110" s="184">
        <f t="shared" si="120"/>
        <v>400.806062278338</v>
      </c>
      <c r="AU110" s="184">
        <f t="shared" si="120"/>
        <v>33.550908413322979</v>
      </c>
      <c r="AV110" s="184">
        <f t="shared" si="120"/>
        <v>2.0566207907807598E-3</v>
      </c>
      <c r="AW110" s="170"/>
      <c r="AX110" s="172">
        <f t="shared" si="121"/>
        <v>2299783.8667783402</v>
      </c>
      <c r="AY110" s="172">
        <f t="shared" si="121"/>
        <v>13969.305173537014</v>
      </c>
      <c r="AZ110" s="172">
        <f t="shared" si="121"/>
        <v>73254803.835800678</v>
      </c>
      <c r="BA110" s="172">
        <f t="shared" si="121"/>
        <v>6132055.9882752094</v>
      </c>
      <c r="BB110" s="172">
        <f t="shared" si="121"/>
        <v>375.88591284492713</v>
      </c>
      <c r="BC110" s="170"/>
      <c r="BD110" s="325">
        <f>X110/$E94</f>
        <v>12.840758918748284</v>
      </c>
      <c r="BE110" s="325">
        <f>Y110/$E94</f>
        <v>0</v>
      </c>
      <c r="BF110" s="325">
        <f>Z110/$E94</f>
        <v>388.38901009316254</v>
      </c>
      <c r="BG110" s="325">
        <f>AA110/$E94</f>
        <v>28.256075128321374</v>
      </c>
      <c r="BH110" s="325">
        <f>AB110/$E94</f>
        <v>1.7406033557642608E-3</v>
      </c>
      <c r="BI110" s="326"/>
      <c r="BJ110" s="320">
        <f t="shared" si="122"/>
        <v>2346888.8428201592</v>
      </c>
      <c r="BK110" s="320">
        <f t="shared" si="122"/>
        <v>0</v>
      </c>
      <c r="BL110" s="320">
        <f t="shared" si="122"/>
        <v>70985355.322788268</v>
      </c>
      <c r="BM110" s="320">
        <f t="shared" si="122"/>
        <v>5164326.1804193975</v>
      </c>
      <c r="BN110" s="320">
        <f t="shared" si="122"/>
        <v>318.12781637494351</v>
      </c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</row>
    <row r="111" spans="1:76" x14ac:dyDescent="0.35">
      <c r="A111" s="168">
        <v>14</v>
      </c>
      <c r="B111" s="169">
        <f t="shared" si="113"/>
        <v>0.10022537961856474</v>
      </c>
      <c r="C111" s="170"/>
      <c r="D111" s="154">
        <f t="shared" si="114"/>
        <v>-42259.547704250232</v>
      </c>
      <c r="E111" s="154">
        <f t="shared" si="114"/>
        <v>8356.0398530527655</v>
      </c>
      <c r="F111" s="154">
        <f t="shared" si="114"/>
        <v>861976.89712033665</v>
      </c>
      <c r="G111" s="154">
        <f t="shared" si="123"/>
        <v>76715.94384370996</v>
      </c>
      <c r="H111" s="154">
        <f t="shared" si="115"/>
        <v>510041.63184985216</v>
      </c>
      <c r="I111" s="154">
        <f t="shared" si="115"/>
        <v>30.983601087798601</v>
      </c>
      <c r="J111" s="154">
        <f t="shared" si="115"/>
        <v>44752.940946147966</v>
      </c>
      <c r="K111" s="170"/>
      <c r="L111" s="171">
        <f t="shared" si="116"/>
        <v>-3.4101892116214116E-2</v>
      </c>
      <c r="M111" s="171">
        <f t="shared" si="116"/>
        <v>1</v>
      </c>
      <c r="N111" s="171">
        <f t="shared" si="116"/>
        <v>2.1718619761888942E-2</v>
      </c>
      <c r="O111" s="171">
        <f t="shared" si="117"/>
        <v>0.15309864336951606</v>
      </c>
      <c r="P111" s="171">
        <f t="shared" si="117"/>
        <v>0.1512976565333797</v>
      </c>
      <c r="Q111" s="170"/>
      <c r="R111" s="154">
        <v>115927.4431177981</v>
      </c>
      <c r="S111" s="154">
        <v>781.700503010224</v>
      </c>
      <c r="T111" s="154">
        <v>3712814.8525397158</v>
      </c>
      <c r="U111" s="154">
        <v>311655.053225065</v>
      </c>
      <c r="V111" s="154">
        <v>19.157532899549771</v>
      </c>
      <c r="W111" s="170"/>
      <c r="X111" s="154">
        <v>119880.7882763098</v>
      </c>
      <c r="Y111" s="154">
        <v>0</v>
      </c>
      <c r="Z111" s="154">
        <v>3632177.638511112</v>
      </c>
      <c r="AA111" s="154">
        <v>263941.08737705322</v>
      </c>
      <c r="AB111" s="154">
        <v>16.259043066886768</v>
      </c>
      <c r="AC111" s="170"/>
      <c r="AD111" s="154">
        <f t="shared" si="118"/>
        <v>-3953.3451585117</v>
      </c>
      <c r="AE111" s="154">
        <f t="shared" si="118"/>
        <v>781.700503010224</v>
      </c>
      <c r="AF111" s="154">
        <f t="shared" si="118"/>
        <v>80637.214028603863</v>
      </c>
      <c r="AG111" s="154">
        <f t="shared" si="118"/>
        <v>47713.96584801178</v>
      </c>
      <c r="AH111" s="154">
        <f t="shared" si="118"/>
        <v>2.8984898326630031</v>
      </c>
      <c r="AI111" s="154">
        <v>4186.6000000000013</v>
      </c>
      <c r="AJ111" s="170"/>
      <c r="AK111" s="183">
        <f t="shared" ref="AK111:AP111" si="137">AD111/$E94</f>
        <v>-0.42164517475594071</v>
      </c>
      <c r="AL111" s="183">
        <f t="shared" si="137"/>
        <v>8.3372493921738913E-2</v>
      </c>
      <c r="AM111" s="183">
        <f t="shared" si="137"/>
        <v>8.6003854552691834</v>
      </c>
      <c r="AN111" s="183">
        <f t="shared" si="137"/>
        <v>5.0889468694551816</v>
      </c>
      <c r="AO111" s="183">
        <f t="shared" si="137"/>
        <v>3.0913927396149774E-4</v>
      </c>
      <c r="AP111" s="183">
        <f t="shared" si="137"/>
        <v>0.44652303754266226</v>
      </c>
      <c r="AQ111" s="170"/>
      <c r="AR111" s="184">
        <f t="shared" si="125"/>
        <v>12.364275076556964</v>
      </c>
      <c r="AS111" s="184">
        <f t="shared" si="120"/>
        <v>8.3372493921738913E-2</v>
      </c>
      <c r="AT111" s="184">
        <f t="shared" si="120"/>
        <v>395.99134519408233</v>
      </c>
      <c r="AU111" s="184">
        <f t="shared" si="120"/>
        <v>33.239660113594816</v>
      </c>
      <c r="AV111" s="184">
        <f t="shared" si="120"/>
        <v>2.0432522290475437E-3</v>
      </c>
      <c r="AW111" s="170"/>
      <c r="AX111" s="172">
        <f t="shared" si="121"/>
        <v>1239214.1632562806</v>
      </c>
      <c r="AY111" s="172">
        <f t="shared" si="121"/>
        <v>8356.0398530527655</v>
      </c>
      <c r="AZ111" s="172">
        <f t="shared" si="121"/>
        <v>39688382.897743016</v>
      </c>
      <c r="BA111" s="172">
        <f t="shared" si="121"/>
        <v>3331457.5532771056</v>
      </c>
      <c r="BB111" s="172">
        <f t="shared" si="121"/>
        <v>204.78573031276866</v>
      </c>
      <c r="BC111" s="170"/>
      <c r="BD111" s="325">
        <f>X111/$E94</f>
        <v>12.785920251312906</v>
      </c>
      <c r="BE111" s="325">
        <f>Y111/$E94</f>
        <v>0</v>
      </c>
      <c r="BF111" s="325">
        <f>Z111/$E94</f>
        <v>387.39095973881314</v>
      </c>
      <c r="BG111" s="325">
        <f>AA111/$E94</f>
        <v>28.150713244139634</v>
      </c>
      <c r="BH111" s="325">
        <f>AB111/$E94</f>
        <v>1.7341129550860462E-3</v>
      </c>
      <c r="BI111" s="326"/>
      <c r="BJ111" s="320">
        <f t="shared" si="122"/>
        <v>1281473.7109605307</v>
      </c>
      <c r="BK111" s="320">
        <f t="shared" si="122"/>
        <v>0</v>
      </c>
      <c r="BL111" s="320">
        <f t="shared" si="122"/>
        <v>38826406.000622675</v>
      </c>
      <c r="BM111" s="320">
        <f t="shared" si="122"/>
        <v>2821415.9214272532</v>
      </c>
      <c r="BN111" s="320">
        <f t="shared" si="122"/>
        <v>173.80212922497009</v>
      </c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</row>
    <row r="112" spans="1:76" x14ac:dyDescent="0.35">
      <c r="A112" s="168">
        <v>15</v>
      </c>
      <c r="B112" s="169">
        <f t="shared" si="113"/>
        <v>5.763579384372583E-2</v>
      </c>
      <c r="C112" s="170"/>
      <c r="D112" s="154">
        <f t="shared" si="114"/>
        <v>21001.705776447234</v>
      </c>
      <c r="E112" s="154">
        <f t="shared" si="114"/>
        <v>728.78297649788658</v>
      </c>
      <c r="F112" s="154">
        <f t="shared" si="114"/>
        <v>793094.33673418919</v>
      </c>
      <c r="G112" s="154">
        <f t="shared" si="123"/>
        <v>70585.395969342833</v>
      </c>
      <c r="H112" s="154">
        <f t="shared" si="115"/>
        <v>98972.695320221857</v>
      </c>
      <c r="I112" s="154">
        <f t="shared" si="115"/>
        <v>6.0588382951563293</v>
      </c>
      <c r="J112" s="154">
        <f t="shared" si="115"/>
        <v>25735.709738283131</v>
      </c>
      <c r="K112" s="170"/>
      <c r="L112" s="171">
        <f t="shared" si="116"/>
        <v>2.4794268931499434E-2</v>
      </c>
      <c r="M112" s="171">
        <f t="shared" si="116"/>
        <v>1</v>
      </c>
      <c r="N112" s="171">
        <f t="shared" si="116"/>
        <v>3.1343810709290633E-2</v>
      </c>
      <c r="O112" s="171">
        <f t="shared" si="117"/>
        <v>5.5242265586382656E-2</v>
      </c>
      <c r="P112" s="171">
        <f t="shared" si="117"/>
        <v>5.4917018687264008E-2</v>
      </c>
      <c r="Q112" s="170"/>
      <c r="R112" s="154">
        <v>137793.4525224815</v>
      </c>
      <c r="S112" s="154">
        <v>118.556000220478</v>
      </c>
      <c r="T112" s="154">
        <v>4116218.0451592249</v>
      </c>
      <c r="U112" s="154">
        <v>291453.47345269087</v>
      </c>
      <c r="V112" s="154">
        <v>17.947655663018509</v>
      </c>
      <c r="W112" s="170"/>
      <c r="X112" s="154">
        <v>134376.9646036393</v>
      </c>
      <c r="Y112" s="154">
        <v>0</v>
      </c>
      <c r="Z112" s="154">
        <v>3987200.0859135878</v>
      </c>
      <c r="AA112" s="154">
        <v>275352.9232661436</v>
      </c>
      <c r="AB112" s="154">
        <v>16.962023921579942</v>
      </c>
      <c r="AC112" s="170"/>
      <c r="AD112" s="154">
        <f t="shared" si="118"/>
        <v>3416.4879188422055</v>
      </c>
      <c r="AE112" s="154">
        <f t="shared" si="118"/>
        <v>118.556000220478</v>
      </c>
      <c r="AF112" s="154">
        <f t="shared" si="118"/>
        <v>129017.95924563706</v>
      </c>
      <c r="AG112" s="154">
        <f t="shared" si="118"/>
        <v>16100.550186547276</v>
      </c>
      <c r="AH112" s="154">
        <f t="shared" si="118"/>
        <v>0.98563174143856713</v>
      </c>
      <c r="AI112" s="154">
        <v>4186.6000000000013</v>
      </c>
      <c r="AJ112" s="170"/>
      <c r="AK112" s="183">
        <f t="shared" ref="AK112:AP112" si="138">AD112/$E94</f>
        <v>0.36438651011542295</v>
      </c>
      <c r="AL112" s="183">
        <f t="shared" si="138"/>
        <v>1.2644624596893984E-2</v>
      </c>
      <c r="AM112" s="183">
        <f t="shared" si="138"/>
        <v>13.760447871761631</v>
      </c>
      <c r="AN112" s="183">
        <f t="shared" si="138"/>
        <v>1.7172088509542742</v>
      </c>
      <c r="AO112" s="183">
        <f t="shared" si="138"/>
        <v>1.0512283931725333E-4</v>
      </c>
      <c r="AP112" s="183">
        <f t="shared" si="138"/>
        <v>0.44652303754266226</v>
      </c>
      <c r="AQ112" s="170"/>
      <c r="AR112" s="184">
        <f t="shared" si="125"/>
        <v>14.69640065299504</v>
      </c>
      <c r="AS112" s="184">
        <f t="shared" si="120"/>
        <v>1.2644624596893984E-2</v>
      </c>
      <c r="AT112" s="184">
        <f t="shared" si="120"/>
        <v>439.01642973114599</v>
      </c>
      <c r="AU112" s="184">
        <f t="shared" si="120"/>
        <v>31.085054762445697</v>
      </c>
      <c r="AV112" s="184">
        <f t="shared" si="120"/>
        <v>1.9142124213970253E-3</v>
      </c>
      <c r="AW112" s="170"/>
      <c r="AX112" s="172">
        <f t="shared" si="121"/>
        <v>847038.71828081983</v>
      </c>
      <c r="AY112" s="172">
        <f t="shared" si="121"/>
        <v>728.78297649788658</v>
      </c>
      <c r="AZ112" s="172">
        <f t="shared" si="121"/>
        <v>25303060.437992875</v>
      </c>
      <c r="BA112" s="172">
        <f t="shared" si="121"/>
        <v>1791611.8079092479</v>
      </c>
      <c r="BB112" s="172">
        <f t="shared" si="121"/>
        <v>110.32715249273819</v>
      </c>
      <c r="BC112" s="170"/>
      <c r="BD112" s="325">
        <f>X112/$E94</f>
        <v>14.332014142879618</v>
      </c>
      <c r="BE112" s="325">
        <f>Y112/$E94</f>
        <v>0</v>
      </c>
      <c r="BF112" s="325">
        <f>Z112/$E94</f>
        <v>425.25598185938435</v>
      </c>
      <c r="BG112" s="325">
        <f>AA112/$E94</f>
        <v>29.367845911491425</v>
      </c>
      <c r="BH112" s="325">
        <f>AB112/$E94</f>
        <v>1.809089582079772E-3</v>
      </c>
      <c r="BI112" s="326"/>
      <c r="BJ112" s="320">
        <f t="shared" si="122"/>
        <v>826037.01250437263</v>
      </c>
      <c r="BK112" s="320">
        <f t="shared" si="122"/>
        <v>0</v>
      </c>
      <c r="BL112" s="320">
        <f t="shared" si="122"/>
        <v>24509966.101258688</v>
      </c>
      <c r="BM112" s="320">
        <f t="shared" si="122"/>
        <v>1692639.1125890263</v>
      </c>
      <c r="BN112" s="320">
        <f t="shared" si="122"/>
        <v>104.26831419758186</v>
      </c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</row>
    <row r="113" spans="1:76" x14ac:dyDescent="0.35">
      <c r="A113" s="168">
        <v>16</v>
      </c>
      <c r="B113" s="169">
        <f t="shared" si="113"/>
        <v>3.1783609059819022E-2</v>
      </c>
      <c r="C113" s="170"/>
      <c r="D113" s="154">
        <f t="shared" si="114"/>
        <v>0</v>
      </c>
      <c r="E113" s="154">
        <f t="shared" si="114"/>
        <v>0</v>
      </c>
      <c r="F113" s="154">
        <f t="shared" si="114"/>
        <v>0</v>
      </c>
      <c r="G113" s="154">
        <f t="shared" si="123"/>
        <v>0</v>
      </c>
      <c r="H113" s="154">
        <f t="shared" si="115"/>
        <v>0</v>
      </c>
      <c r="I113" s="154">
        <f t="shared" si="115"/>
        <v>0</v>
      </c>
      <c r="J113" s="154">
        <f t="shared" si="115"/>
        <v>0</v>
      </c>
      <c r="K113" s="170"/>
      <c r="L113" s="171">
        <f t="shared" si="116"/>
        <v>0</v>
      </c>
      <c r="M113" s="171">
        <f t="shared" si="116"/>
        <v>0</v>
      </c>
      <c r="N113" s="171">
        <f t="shared" si="116"/>
        <v>0</v>
      </c>
      <c r="O113" s="171">
        <f t="shared" si="117"/>
        <v>0</v>
      </c>
      <c r="P113" s="171">
        <f t="shared" si="117"/>
        <v>0</v>
      </c>
      <c r="Q113" s="170"/>
      <c r="R113" s="154">
        <v>103752.092699377</v>
      </c>
      <c r="S113" s="154">
        <v>2075.8095844926411</v>
      </c>
      <c r="T113" s="154">
        <v>3253356.8219132326</v>
      </c>
      <c r="U113" s="154">
        <v>413024.17477341671</v>
      </c>
      <c r="V113" s="154">
        <v>25.334530590390422</v>
      </c>
      <c r="W113" s="170"/>
      <c r="X113" s="154">
        <v>103752.092699377</v>
      </c>
      <c r="Y113" s="154">
        <v>2075.8095844926411</v>
      </c>
      <c r="Z113" s="154">
        <v>3253356.8219132326</v>
      </c>
      <c r="AA113" s="154">
        <v>413024.17477341671</v>
      </c>
      <c r="AB113" s="154">
        <v>25.334530590390422</v>
      </c>
      <c r="AC113" s="170"/>
      <c r="AD113" s="154">
        <f t="shared" si="118"/>
        <v>0</v>
      </c>
      <c r="AE113" s="154">
        <f t="shared" si="118"/>
        <v>0</v>
      </c>
      <c r="AF113" s="154">
        <f t="shared" si="118"/>
        <v>0</v>
      </c>
      <c r="AG113" s="154">
        <f t="shared" si="118"/>
        <v>0</v>
      </c>
      <c r="AH113" s="154">
        <f t="shared" si="118"/>
        <v>0</v>
      </c>
      <c r="AI113" s="154">
        <v>0</v>
      </c>
      <c r="AJ113" s="170"/>
      <c r="AK113" s="183">
        <f t="shared" ref="AK113:AP113" si="139">AD113/$E94</f>
        <v>0</v>
      </c>
      <c r="AL113" s="183">
        <f t="shared" si="139"/>
        <v>0</v>
      </c>
      <c r="AM113" s="183">
        <f t="shared" si="139"/>
        <v>0</v>
      </c>
      <c r="AN113" s="183">
        <f t="shared" si="139"/>
        <v>0</v>
      </c>
      <c r="AO113" s="183">
        <f t="shared" si="139"/>
        <v>0</v>
      </c>
      <c r="AP113" s="183">
        <f t="shared" si="139"/>
        <v>0</v>
      </c>
      <c r="AQ113" s="170"/>
      <c r="AR113" s="184">
        <f t="shared" ref="AR113:AV113" si="140">R113/$E$25</f>
        <v>18.853733000068509</v>
      </c>
      <c r="AS113" s="184">
        <f t="shared" si="140"/>
        <v>0.37721417126887902</v>
      </c>
      <c r="AT113" s="184">
        <f t="shared" si="140"/>
        <v>591.19695110180498</v>
      </c>
      <c r="AU113" s="184">
        <f t="shared" si="140"/>
        <v>75.054365759297966</v>
      </c>
      <c r="AV113" s="184">
        <f t="shared" si="140"/>
        <v>4.603767143447287E-3</v>
      </c>
      <c r="AW113" s="170"/>
      <c r="AX113" s="172">
        <f t="shared" si="121"/>
        <v>599239.67899238633</v>
      </c>
      <c r="AY113" s="172">
        <f t="shared" si="121"/>
        <v>11989.227751433667</v>
      </c>
      <c r="AZ113" s="172">
        <f t="shared" si="121"/>
        <v>18790372.771176714</v>
      </c>
      <c r="BA113" s="172">
        <f t="shared" si="121"/>
        <v>2385498.6195261935</v>
      </c>
      <c r="BB113" s="172">
        <f t="shared" si="121"/>
        <v>146.32433508976834</v>
      </c>
      <c r="BC113" s="170"/>
      <c r="BD113" s="325">
        <f>X113/$E94</f>
        <v>11.065709545582017</v>
      </c>
      <c r="BE113" s="325">
        <f>Y113/$E94</f>
        <v>0.22139607343138237</v>
      </c>
      <c r="BF113" s="325">
        <f>Z113/$E94</f>
        <v>346.98771564774239</v>
      </c>
      <c r="BG113" s="325">
        <f>AA113/$E94</f>
        <v>44.051213179758612</v>
      </c>
      <c r="BH113" s="325">
        <f>AB113/$E94</f>
        <v>2.7020617097259407E-3</v>
      </c>
      <c r="BI113" s="326"/>
      <c r="BJ113" s="320">
        <f t="shared" si="122"/>
        <v>351708.18616628641</v>
      </c>
      <c r="BK113" s="320">
        <f t="shared" si="122"/>
        <v>7036.7662453220419</v>
      </c>
      <c r="BL113" s="320">
        <f t="shared" si="122"/>
        <v>11028521.902707493</v>
      </c>
      <c r="BM113" s="320">
        <f t="shared" si="122"/>
        <v>1400106.5383161951</v>
      </c>
      <c r="BN113" s="320">
        <f t="shared" si="122"/>
        <v>85.881273037435491</v>
      </c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</row>
    <row r="114" spans="1:76" x14ac:dyDescent="0.35">
      <c r="A114" s="173" t="s">
        <v>130</v>
      </c>
      <c r="B114" s="174">
        <f>SUM(B98:B113)</f>
        <v>3.8632362703499998</v>
      </c>
      <c r="C114" s="166"/>
      <c r="D114" s="175">
        <f>SUM(D98:D113)</f>
        <v>-42933.446728943927</v>
      </c>
      <c r="E114" s="175">
        <f t="shared" ref="E114:J114" si="141">SUM(E98:E113)</f>
        <v>179747.59602564067</v>
      </c>
      <c r="F114" s="175">
        <f t="shared" si="141"/>
        <v>44156867.651839152</v>
      </c>
      <c r="G114" s="175">
        <f t="shared" si="141"/>
        <v>3929961.2210136843</v>
      </c>
      <c r="H114" s="175">
        <f t="shared" si="141"/>
        <v>13668252.288339945</v>
      </c>
      <c r="I114" s="175">
        <f t="shared" si="141"/>
        <v>823.11827576906285</v>
      </c>
      <c r="J114" s="175">
        <f t="shared" si="141"/>
        <v>1703739.7156332973</v>
      </c>
      <c r="K114" s="166"/>
      <c r="L114" s="176">
        <f t="shared" si="116"/>
        <v>-9.4051064699523829E-4</v>
      </c>
      <c r="M114" s="176">
        <f t="shared" si="116"/>
        <v>0.92455056282388082</v>
      </c>
      <c r="N114" s="176">
        <f t="shared" si="116"/>
        <v>3.1783187471395732E-2</v>
      </c>
      <c r="O114" s="176">
        <f t="shared" si="117"/>
        <v>0.12117354561508044</v>
      </c>
      <c r="P114" s="176">
        <f t="shared" si="117"/>
        <v>0.1187984979883788</v>
      </c>
      <c r="Q114" s="166"/>
      <c r="R114" s="185"/>
      <c r="S114" s="185"/>
      <c r="T114" s="185"/>
      <c r="U114" s="185"/>
      <c r="V114" s="186"/>
      <c r="W114" s="166"/>
      <c r="X114" s="185"/>
      <c r="Y114" s="185"/>
      <c r="Z114" s="185"/>
      <c r="AA114" s="185"/>
      <c r="AB114" s="185"/>
      <c r="AC114" s="166"/>
      <c r="AD114" s="185"/>
      <c r="AE114" s="185"/>
      <c r="AF114" s="185"/>
      <c r="AG114" s="185"/>
      <c r="AH114" s="185"/>
      <c r="AI114" s="186"/>
      <c r="AJ114" s="166"/>
      <c r="AK114" s="185"/>
      <c r="AL114" s="185"/>
      <c r="AM114" s="185"/>
      <c r="AN114" s="185"/>
      <c r="AO114" s="185"/>
      <c r="AP114" s="185"/>
      <c r="AQ114" s="166"/>
      <c r="AR114" s="187"/>
      <c r="AS114" s="187"/>
      <c r="AT114" s="187"/>
      <c r="AU114" s="187"/>
      <c r="AV114" s="187"/>
      <c r="AW114" s="166"/>
      <c r="AX114" s="188">
        <f>SUM(AX98:AX113)</f>
        <v>45649081.024344102</v>
      </c>
      <c r="AY114" s="188">
        <f t="shared" ref="AY114:BB114" si="142">SUM(AY98:AY113)</f>
        <v>194416.18798720161</v>
      </c>
      <c r="AZ114" s="188">
        <f t="shared" si="142"/>
        <v>1389315269.0106838</v>
      </c>
      <c r="BA114" s="188">
        <f t="shared" si="142"/>
        <v>112798979.50463939</v>
      </c>
      <c r="BB114" s="188">
        <f t="shared" si="142"/>
        <v>6928.6926157061562</v>
      </c>
      <c r="BC114" s="166"/>
      <c r="BD114" s="327"/>
      <c r="BE114" s="327"/>
      <c r="BF114" s="327"/>
      <c r="BG114" s="327"/>
      <c r="BH114" s="327"/>
      <c r="BI114" s="324"/>
      <c r="BJ114" s="328">
        <f>SUM(BJ98:BJ113)</f>
        <v>45444482.978246942</v>
      </c>
      <c r="BK114" s="328">
        <f t="shared" ref="BK114:BN114" si="143">SUM(BK98:BK113)</f>
        <v>9716.1304554493163</v>
      </c>
      <c r="BL114" s="328">
        <f t="shared" si="143"/>
        <v>1337396550.4903758</v>
      </c>
      <c r="BM114" s="328">
        <f t="shared" si="143"/>
        <v>98145335.135089442</v>
      </c>
      <c r="BN114" s="328">
        <f t="shared" si="143"/>
        <v>6045.1312778847623</v>
      </c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</row>
    <row r="115" spans="1:76" x14ac:dyDescent="0.3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</row>
    <row r="116" spans="1:76" x14ac:dyDescent="0.3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</row>
    <row r="117" spans="1:76" ht="15.5" x14ac:dyDescent="0.35">
      <c r="A117" s="155" t="s">
        <v>144</v>
      </c>
      <c r="B117" s="83"/>
      <c r="C117" s="83"/>
      <c r="D117" s="178"/>
      <c r="E117" s="154">
        <f>G214</f>
        <v>24415</v>
      </c>
      <c r="F117" s="190" t="s">
        <v>132</v>
      </c>
      <c r="G117" s="190"/>
      <c r="H117" s="178"/>
      <c r="I117" s="178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</row>
    <row r="118" spans="1:76" x14ac:dyDescent="0.35">
      <c r="A118" s="157"/>
      <c r="B118" s="158" t="s">
        <v>105</v>
      </c>
      <c r="C118" s="191"/>
      <c r="D118" s="158" t="s">
        <v>106</v>
      </c>
      <c r="E118" s="158"/>
      <c r="F118" s="158"/>
      <c r="G118" s="158"/>
      <c r="H118" s="158"/>
      <c r="I118" s="158"/>
      <c r="J118" s="158"/>
      <c r="K118" s="191"/>
      <c r="L118" s="158" t="s">
        <v>106</v>
      </c>
      <c r="M118" s="158"/>
      <c r="N118" s="158"/>
      <c r="O118" s="158"/>
      <c r="P118" s="158"/>
      <c r="Q118" s="191"/>
      <c r="R118" s="158" t="str">
        <f>R95</f>
        <v xml:space="preserve"> 2019 Energy Code Consumption </v>
      </c>
      <c r="S118" s="158"/>
      <c r="T118" s="158"/>
      <c r="U118" s="158"/>
      <c r="V118" s="157"/>
      <c r="W118" s="191"/>
      <c r="X118" s="157" t="str">
        <f>X95</f>
        <v>2022 Energy Code Consumption</v>
      </c>
      <c r="Y118" s="157"/>
      <c r="Z118" s="157"/>
      <c r="AA118" s="157"/>
      <c r="AB118" s="157"/>
      <c r="AC118" s="191"/>
      <c r="AD118" s="157" t="s">
        <v>133</v>
      </c>
      <c r="AE118" s="157"/>
      <c r="AF118" s="157"/>
      <c r="AG118" s="157"/>
      <c r="AH118" s="157"/>
      <c r="AI118" s="192"/>
      <c r="AJ118" s="191"/>
      <c r="AK118" s="158" t="s">
        <v>134</v>
      </c>
      <c r="AL118" s="158"/>
      <c r="AM118" s="158"/>
      <c r="AN118" s="158"/>
      <c r="AO118" s="158"/>
      <c r="AP118" s="158"/>
      <c r="AQ118" s="191"/>
      <c r="AR118" s="160" t="s">
        <v>614</v>
      </c>
      <c r="AS118" s="160"/>
      <c r="AT118" s="160"/>
      <c r="AU118" s="160"/>
      <c r="AV118" s="160"/>
      <c r="AW118" s="191"/>
      <c r="AX118" s="160" t="s">
        <v>613</v>
      </c>
      <c r="AY118" s="160"/>
      <c r="AZ118" s="160"/>
      <c r="BA118" s="160"/>
      <c r="BB118" s="160"/>
      <c r="BC118" s="159"/>
      <c r="BD118" s="316" t="s">
        <v>135</v>
      </c>
      <c r="BE118" s="316"/>
      <c r="BF118" s="316"/>
      <c r="BG118" s="316"/>
      <c r="BH118" s="316"/>
      <c r="BI118" s="322"/>
      <c r="BJ118" s="316" t="s">
        <v>108</v>
      </c>
      <c r="BK118" s="316"/>
      <c r="BL118" s="316"/>
      <c r="BM118" s="316"/>
      <c r="BN118" s="316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</row>
    <row r="119" spans="1:76" ht="16.5" x14ac:dyDescent="0.45">
      <c r="A119" s="83"/>
      <c r="B119" s="161" t="s">
        <v>109</v>
      </c>
      <c r="C119" s="162"/>
      <c r="D119" s="163" t="s">
        <v>110</v>
      </c>
      <c r="E119" s="163" t="s">
        <v>111</v>
      </c>
      <c r="F119" s="163" t="s">
        <v>8</v>
      </c>
      <c r="G119" s="163" t="s">
        <v>8</v>
      </c>
      <c r="H119" s="163" t="s">
        <v>112</v>
      </c>
      <c r="I119" s="163" t="s">
        <v>113</v>
      </c>
      <c r="J119" s="163" t="s">
        <v>114</v>
      </c>
      <c r="K119" s="162"/>
      <c r="L119" s="163" t="s">
        <v>110</v>
      </c>
      <c r="M119" s="163" t="s">
        <v>111</v>
      </c>
      <c r="N119" s="163" t="s">
        <v>8</v>
      </c>
      <c r="O119" s="163" t="s">
        <v>112</v>
      </c>
      <c r="P119" s="163" t="s">
        <v>113</v>
      </c>
      <c r="Q119" s="162"/>
      <c r="R119" s="163" t="s">
        <v>110</v>
      </c>
      <c r="S119" s="163" t="s">
        <v>111</v>
      </c>
      <c r="T119" s="163" t="s">
        <v>8</v>
      </c>
      <c r="U119" s="163" t="s">
        <v>112</v>
      </c>
      <c r="V119" s="163" t="s">
        <v>113</v>
      </c>
      <c r="W119" s="162"/>
      <c r="X119" s="163" t="s">
        <v>110</v>
      </c>
      <c r="Y119" s="163" t="s">
        <v>111</v>
      </c>
      <c r="Z119" s="163" t="s">
        <v>8</v>
      </c>
      <c r="AA119" s="163" t="s">
        <v>112</v>
      </c>
      <c r="AB119" s="163" t="s">
        <v>113</v>
      </c>
      <c r="AC119" s="162"/>
      <c r="AD119" s="163" t="s">
        <v>110</v>
      </c>
      <c r="AE119" s="163" t="s">
        <v>111</v>
      </c>
      <c r="AF119" s="163" t="s">
        <v>8</v>
      </c>
      <c r="AG119" s="163" t="s">
        <v>112</v>
      </c>
      <c r="AH119" s="163" t="s">
        <v>113</v>
      </c>
      <c r="AI119" s="181" t="s">
        <v>114</v>
      </c>
      <c r="AJ119" s="162"/>
      <c r="AK119" s="163" t="s">
        <v>110</v>
      </c>
      <c r="AL119" s="163" t="s">
        <v>111</v>
      </c>
      <c r="AM119" s="163" t="s">
        <v>8</v>
      </c>
      <c r="AN119" s="163" t="s">
        <v>112</v>
      </c>
      <c r="AO119" s="163" t="s">
        <v>113</v>
      </c>
      <c r="AP119" s="163" t="s">
        <v>114</v>
      </c>
      <c r="AQ119" s="162"/>
      <c r="AR119" s="164" t="s">
        <v>110</v>
      </c>
      <c r="AS119" s="164" t="s">
        <v>111</v>
      </c>
      <c r="AT119" s="164" t="s">
        <v>8</v>
      </c>
      <c r="AU119" s="164" t="s">
        <v>112</v>
      </c>
      <c r="AV119" s="164" t="s">
        <v>115</v>
      </c>
      <c r="AW119" s="162"/>
      <c r="AX119" s="164" t="s">
        <v>110</v>
      </c>
      <c r="AY119" s="164" t="s">
        <v>111</v>
      </c>
      <c r="AZ119" s="164" t="s">
        <v>8</v>
      </c>
      <c r="BA119" s="164" t="s">
        <v>112</v>
      </c>
      <c r="BB119" s="164" t="s">
        <v>115</v>
      </c>
      <c r="BC119" s="162"/>
      <c r="BD119" s="317" t="s">
        <v>110</v>
      </c>
      <c r="BE119" s="317" t="s">
        <v>111</v>
      </c>
      <c r="BF119" s="317" t="s">
        <v>8</v>
      </c>
      <c r="BG119" s="317" t="s">
        <v>112</v>
      </c>
      <c r="BH119" s="317" t="s">
        <v>116</v>
      </c>
      <c r="BI119" s="323"/>
      <c r="BJ119" s="317" t="s">
        <v>110</v>
      </c>
      <c r="BK119" s="317" t="s">
        <v>111</v>
      </c>
      <c r="BL119" s="317" t="s">
        <v>8</v>
      </c>
      <c r="BM119" s="317" t="s">
        <v>112</v>
      </c>
      <c r="BN119" s="317" t="s">
        <v>116</v>
      </c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</row>
    <row r="120" spans="1:76" x14ac:dyDescent="0.35">
      <c r="A120" s="153" t="s">
        <v>96</v>
      </c>
      <c r="B120" s="165" t="s">
        <v>118</v>
      </c>
      <c r="C120" s="166"/>
      <c r="D120" s="165" t="s">
        <v>7</v>
      </c>
      <c r="E120" s="165" t="s">
        <v>119</v>
      </c>
      <c r="F120" s="165" t="s">
        <v>120</v>
      </c>
      <c r="G120" s="165" t="s">
        <v>121</v>
      </c>
      <c r="H120" s="165" t="s">
        <v>120</v>
      </c>
      <c r="I120" s="165" t="s">
        <v>122</v>
      </c>
      <c r="J120" s="165" t="s">
        <v>121</v>
      </c>
      <c r="K120" s="166"/>
      <c r="L120" s="165" t="s">
        <v>123</v>
      </c>
      <c r="M120" s="165" t="s">
        <v>123</v>
      </c>
      <c r="N120" s="165" t="s">
        <v>123</v>
      </c>
      <c r="O120" s="165" t="s">
        <v>123</v>
      </c>
      <c r="P120" s="165" t="s">
        <v>123</v>
      </c>
      <c r="Q120" s="166"/>
      <c r="R120" s="165" t="s">
        <v>7</v>
      </c>
      <c r="S120" s="165" t="s">
        <v>119</v>
      </c>
      <c r="T120" s="165" t="s">
        <v>120</v>
      </c>
      <c r="U120" s="165" t="s">
        <v>120</v>
      </c>
      <c r="V120" s="165" t="s">
        <v>122</v>
      </c>
      <c r="W120" s="166"/>
      <c r="X120" s="165" t="s">
        <v>7</v>
      </c>
      <c r="Y120" s="165" t="s">
        <v>119</v>
      </c>
      <c r="Z120" s="165" t="s">
        <v>120</v>
      </c>
      <c r="AA120" s="165" t="s">
        <v>120</v>
      </c>
      <c r="AB120" s="165" t="s">
        <v>122</v>
      </c>
      <c r="AC120" s="166"/>
      <c r="AD120" s="165" t="s">
        <v>7</v>
      </c>
      <c r="AE120" s="165" t="s">
        <v>119</v>
      </c>
      <c r="AF120" s="165" t="s">
        <v>120</v>
      </c>
      <c r="AG120" s="165" t="s">
        <v>120</v>
      </c>
      <c r="AH120" s="165" t="s">
        <v>122</v>
      </c>
      <c r="AI120" s="182" t="s">
        <v>121</v>
      </c>
      <c r="AJ120" s="166"/>
      <c r="AK120" s="165" t="s">
        <v>136</v>
      </c>
      <c r="AL120" s="165" t="s">
        <v>137</v>
      </c>
      <c r="AM120" s="165" t="s">
        <v>138</v>
      </c>
      <c r="AN120" s="165" t="s">
        <v>138</v>
      </c>
      <c r="AO120" s="165" t="s">
        <v>139</v>
      </c>
      <c r="AP120" s="165" t="s">
        <v>140</v>
      </c>
      <c r="AQ120" s="166"/>
      <c r="AR120" s="167" t="s">
        <v>136</v>
      </c>
      <c r="AS120" s="167" t="s">
        <v>137</v>
      </c>
      <c r="AT120" s="167" t="s">
        <v>138</v>
      </c>
      <c r="AU120" s="167" t="s">
        <v>138</v>
      </c>
      <c r="AV120" s="167" t="s">
        <v>139</v>
      </c>
      <c r="AW120" s="166"/>
      <c r="AX120" s="167" t="s">
        <v>7</v>
      </c>
      <c r="AY120" s="167" t="s">
        <v>119</v>
      </c>
      <c r="AZ120" s="167" t="s">
        <v>120</v>
      </c>
      <c r="BA120" s="167" t="s">
        <v>120</v>
      </c>
      <c r="BB120" s="167" t="s">
        <v>122</v>
      </c>
      <c r="BC120" s="166"/>
      <c r="BD120" s="319" t="s">
        <v>7</v>
      </c>
      <c r="BE120" s="319" t="s">
        <v>119</v>
      </c>
      <c r="BF120" s="319" t="s">
        <v>120</v>
      </c>
      <c r="BG120" s="319" t="s">
        <v>120</v>
      </c>
      <c r="BH120" s="319" t="s">
        <v>122</v>
      </c>
      <c r="BI120" s="324"/>
      <c r="BJ120" s="319" t="s">
        <v>7</v>
      </c>
      <c r="BK120" s="319" t="s">
        <v>119</v>
      </c>
      <c r="BL120" s="319" t="s">
        <v>120</v>
      </c>
      <c r="BM120" s="319" t="s">
        <v>120</v>
      </c>
      <c r="BN120" s="319" t="s">
        <v>122</v>
      </c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</row>
    <row r="121" spans="1:76" x14ac:dyDescent="0.35">
      <c r="A121" s="168">
        <v>1</v>
      </c>
      <c r="B121" s="169">
        <f t="shared" ref="B121:B136" si="144">M222</f>
        <v>2.9220041988018898E-2</v>
      </c>
      <c r="C121" s="170"/>
      <c r="D121" s="154">
        <f t="shared" ref="D121:F136" si="145">AK121*$B121*10^6</f>
        <v>-7735.750379305915</v>
      </c>
      <c r="E121" s="154">
        <f t="shared" si="145"/>
        <v>571.0891369324313</v>
      </c>
      <c r="F121" s="154">
        <f t="shared" si="145"/>
        <v>-102402.98912949185</v>
      </c>
      <c r="G121" s="154">
        <f>F121*0.089</f>
        <v>-9113.8660325247747</v>
      </c>
      <c r="H121" s="154">
        <f t="shared" ref="H121:J136" si="146">AN121*$B121*10^6</f>
        <v>32086.049422913482</v>
      </c>
      <c r="I121" s="154">
        <f t="shared" si="146"/>
        <v>1.9006957994908031</v>
      </c>
      <c r="J121" s="154">
        <f t="shared" si="146"/>
        <v>21057.495366285308</v>
      </c>
      <c r="K121" s="170"/>
      <c r="L121" s="171">
        <f t="shared" ref="L121:N137" si="147">IF(AX121=0,0,D121/AX121)</f>
        <v>-4.9422382394737771E-2</v>
      </c>
      <c r="M121" s="171">
        <f t="shared" si="147"/>
        <v>6.9397070447114004E-2</v>
      </c>
      <c r="N121" s="171">
        <f t="shared" si="147"/>
        <v>-1.585040370013853E-2</v>
      </c>
      <c r="O121" s="171">
        <f t="shared" ref="O121:P137" si="148">IF(BA121=0,0,H121/BA121)</f>
        <v>2.8727949192581405E-2</v>
      </c>
      <c r="P121" s="171">
        <f t="shared" si="148"/>
        <v>2.8071556187950313E-2</v>
      </c>
      <c r="Q121" s="170"/>
      <c r="R121" s="154">
        <v>130784.0143279339</v>
      </c>
      <c r="S121" s="154">
        <v>6876.0441224028964</v>
      </c>
      <c r="T121" s="154">
        <v>5398190.4042725032</v>
      </c>
      <c r="U121" s="154">
        <v>933227.47657955345</v>
      </c>
      <c r="V121" s="154">
        <v>56.574668624551371</v>
      </c>
      <c r="W121" s="170"/>
      <c r="X121" s="154">
        <v>137247.67189516791</v>
      </c>
      <c r="Y121" s="154">
        <v>6398.8668040430384</v>
      </c>
      <c r="Z121" s="154">
        <v>5483753.9014304364</v>
      </c>
      <c r="AA121" s="154">
        <v>906417.76504725509</v>
      </c>
      <c r="AB121" s="154">
        <v>54.986529635442608</v>
      </c>
      <c r="AC121" s="170"/>
      <c r="AD121" s="154">
        <f t="shared" ref="AD121:AH136" si="149">R121-X121</f>
        <v>-6463.6575672340114</v>
      </c>
      <c r="AE121" s="154">
        <f t="shared" si="149"/>
        <v>477.17731835985796</v>
      </c>
      <c r="AF121" s="154">
        <f t="shared" si="149"/>
        <v>-85563.49715793319</v>
      </c>
      <c r="AG121" s="154">
        <f t="shared" si="149"/>
        <v>26809.711532298359</v>
      </c>
      <c r="AH121" s="154">
        <f t="shared" si="149"/>
        <v>1.5881389891087636</v>
      </c>
      <c r="AI121" s="154">
        <v>17594.73</v>
      </c>
      <c r="AJ121" s="170"/>
      <c r="AK121" s="183">
        <f t="shared" ref="AK121:AP121" si="150">AD121/$E117</f>
        <v>-0.26474124788998615</v>
      </c>
      <c r="AL121" s="183">
        <f t="shared" si="150"/>
        <v>1.9544432453813557E-2</v>
      </c>
      <c r="AM121" s="183">
        <f t="shared" si="150"/>
        <v>-3.5045462690122133</v>
      </c>
      <c r="AN121" s="183">
        <f t="shared" si="150"/>
        <v>1.0980836179520115</v>
      </c>
      <c r="AO121" s="183">
        <f t="shared" si="150"/>
        <v>6.5047675163168689E-5</v>
      </c>
      <c r="AP121" s="183">
        <f t="shared" si="150"/>
        <v>0.72065246774523861</v>
      </c>
      <c r="AQ121" s="170"/>
      <c r="AR121" s="184">
        <f>R121/$E$117</f>
        <v>5.3567075293030468</v>
      </c>
      <c r="AS121" s="184">
        <f t="shared" ref="AS121:AV136" si="151">S121/$E$117</f>
        <v>0.28163195258664331</v>
      </c>
      <c r="AT121" s="184">
        <f t="shared" si="151"/>
        <v>221.10138866567698</v>
      </c>
      <c r="AU121" s="184">
        <f t="shared" si="151"/>
        <v>38.223529657159673</v>
      </c>
      <c r="AV121" s="184">
        <f t="shared" si="151"/>
        <v>2.3172094460188969E-3</v>
      </c>
      <c r="AW121" s="170"/>
      <c r="AX121" s="172">
        <f t="shared" ref="AX121:BB136" si="152">AR121*$B121*10^6</f>
        <v>156523.21892377199</v>
      </c>
      <c r="AY121" s="172">
        <f t="shared" si="152"/>
        <v>8229.2974797494644</v>
      </c>
      <c r="AZ121" s="172">
        <f t="shared" si="152"/>
        <v>6460591.8604203667</v>
      </c>
      <c r="BA121" s="172">
        <f t="shared" si="152"/>
        <v>1116893.1415124913</v>
      </c>
      <c r="BB121" s="172">
        <f t="shared" si="152"/>
        <v>67.708957307706186</v>
      </c>
      <c r="BC121" s="170"/>
      <c r="BD121" s="325">
        <f>X121/$E117</f>
        <v>5.6214487771930335</v>
      </c>
      <c r="BE121" s="325">
        <f>Y121/$E117</f>
        <v>0.26208752013282977</v>
      </c>
      <c r="BF121" s="325">
        <f>Z121/$E117</f>
        <v>224.60593493468917</v>
      </c>
      <c r="BG121" s="325">
        <f>AA121/$E117</f>
        <v>37.12544603920766</v>
      </c>
      <c r="BH121" s="325">
        <f>AB121/$E117</f>
        <v>2.2521617708557286E-3</v>
      </c>
      <c r="BI121" s="326"/>
      <c r="BJ121" s="320">
        <f t="shared" ref="BJ121:BN136" si="153">BD121*$B121*10^6</f>
        <v>164258.96930307793</v>
      </c>
      <c r="BK121" s="320">
        <f t="shared" si="153"/>
        <v>7658.2083428170336</v>
      </c>
      <c r="BL121" s="320">
        <f t="shared" si="153"/>
        <v>6562994.8495498588</v>
      </c>
      <c r="BM121" s="320">
        <f t="shared" si="153"/>
        <v>1084807.0920895776</v>
      </c>
      <c r="BN121" s="320">
        <f t="shared" si="153"/>
        <v>65.808261508215381</v>
      </c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</row>
    <row r="122" spans="1:76" x14ac:dyDescent="0.35">
      <c r="A122" s="168">
        <v>2</v>
      </c>
      <c r="B122" s="169">
        <f t="shared" si="144"/>
        <v>0.17361407564034848</v>
      </c>
      <c r="C122" s="170"/>
      <c r="D122" s="154">
        <f t="shared" si="145"/>
        <v>-165206.93045437289</v>
      </c>
      <c r="E122" s="154">
        <f t="shared" si="145"/>
        <v>19351.790335809386</v>
      </c>
      <c r="F122" s="154">
        <f t="shared" si="145"/>
        <v>279015.73485445196</v>
      </c>
      <c r="G122" s="154">
        <f t="shared" ref="G122:G136" si="154">F122*0.089</f>
        <v>24832.400402046223</v>
      </c>
      <c r="H122" s="154">
        <f t="shared" si="146"/>
        <v>1118434.4697403891</v>
      </c>
      <c r="I122" s="154">
        <f t="shared" si="146"/>
        <v>66.326890569031008</v>
      </c>
      <c r="J122" s="154">
        <f t="shared" si="146"/>
        <v>-102616.26514948558</v>
      </c>
      <c r="K122" s="170"/>
      <c r="L122" s="171">
        <f t="shared" si="147"/>
        <v>-0.15071723058498762</v>
      </c>
      <c r="M122" s="171">
        <f t="shared" si="147"/>
        <v>0.6040389629400581</v>
      </c>
      <c r="N122" s="171">
        <f t="shared" si="147"/>
        <v>6.5066363911779864E-3</v>
      </c>
      <c r="O122" s="171">
        <f t="shared" si="148"/>
        <v>0.21087617480518808</v>
      </c>
      <c r="P122" s="171">
        <f t="shared" si="148"/>
        <v>0.2056889805723674</v>
      </c>
      <c r="Q122" s="170"/>
      <c r="R122" s="154">
        <v>154147.73684275241</v>
      </c>
      <c r="S122" s="154">
        <v>4505.3443780448461</v>
      </c>
      <c r="T122" s="154">
        <v>6030369.9229363259</v>
      </c>
      <c r="U122" s="154">
        <v>745855.71973574604</v>
      </c>
      <c r="V122" s="154">
        <v>45.347192899894061</v>
      </c>
      <c r="W122" s="170"/>
      <c r="X122" s="154">
        <v>177380.45684063551</v>
      </c>
      <c r="Y122" s="154">
        <v>1783.940832242816</v>
      </c>
      <c r="Z122" s="154">
        <v>5991132.4985434832</v>
      </c>
      <c r="AA122" s="154">
        <v>588572.51860130148</v>
      </c>
      <c r="AB122" s="154">
        <v>36.019775020496354</v>
      </c>
      <c r="AC122" s="170"/>
      <c r="AD122" s="154">
        <f t="shared" si="149"/>
        <v>-23232.719997883105</v>
      </c>
      <c r="AE122" s="154">
        <f t="shared" si="149"/>
        <v>2721.4035458020298</v>
      </c>
      <c r="AF122" s="154">
        <f t="shared" si="149"/>
        <v>39237.424392842688</v>
      </c>
      <c r="AG122" s="154">
        <f t="shared" si="149"/>
        <v>157283.20113444456</v>
      </c>
      <c r="AH122" s="154">
        <f t="shared" si="149"/>
        <v>9.3274178793977072</v>
      </c>
      <c r="AI122" s="154">
        <v>-14430.720000000005</v>
      </c>
      <c r="AJ122" s="170"/>
      <c r="AK122" s="183">
        <f t="shared" ref="AK122:AP122" si="155">AD122/$E117</f>
        <v>-0.95157567060754067</v>
      </c>
      <c r="AL122" s="183">
        <f t="shared" si="155"/>
        <v>0.11146440900274544</v>
      </c>
      <c r="AM122" s="183">
        <f t="shared" si="155"/>
        <v>1.6071031903683264</v>
      </c>
      <c r="AN122" s="183">
        <f t="shared" si="155"/>
        <v>6.4420725428812027</v>
      </c>
      <c r="AO122" s="183">
        <f t="shared" si="155"/>
        <v>3.8203636614367016E-4</v>
      </c>
      <c r="AP122" s="183">
        <f t="shared" si="155"/>
        <v>-0.59105959451157097</v>
      </c>
      <c r="AQ122" s="170"/>
      <c r="AR122" s="184">
        <f t="shared" ref="AR122:AR136" si="156">R122/$E$117</f>
        <v>6.3136488569630309</v>
      </c>
      <c r="AS122" s="184">
        <f t="shared" si="151"/>
        <v>0.1845318197028403</v>
      </c>
      <c r="AT122" s="184">
        <f t="shared" si="151"/>
        <v>246.99446745592161</v>
      </c>
      <c r="AU122" s="184">
        <f t="shared" si="151"/>
        <v>30.54907719581184</v>
      </c>
      <c r="AV122" s="184">
        <f t="shared" si="151"/>
        <v>1.857349698951221E-3</v>
      </c>
      <c r="AW122" s="170"/>
      <c r="AX122" s="172">
        <f t="shared" si="152"/>
        <v>1096138.3102193794</v>
      </c>
      <c r="AY122" s="172">
        <f t="shared" si="152"/>
        <v>32037.321303940062</v>
      </c>
      <c r="AZ122" s="172">
        <f t="shared" si="152"/>
        <v>42881716.155639961</v>
      </c>
      <c r="BA122" s="172">
        <f t="shared" si="152"/>
        <v>5303749.7990165213</v>
      </c>
      <c r="BB122" s="172">
        <f t="shared" si="152"/>
        <v>322.46205112429573</v>
      </c>
      <c r="BC122" s="170"/>
      <c r="BD122" s="325">
        <f>X122/$E117</f>
        <v>7.265224527570572</v>
      </c>
      <c r="BE122" s="325">
        <f>Y122/$E117</f>
        <v>7.3067410700094856E-2</v>
      </c>
      <c r="BF122" s="325">
        <f>Z122/$E117</f>
        <v>245.38736426555329</v>
      </c>
      <c r="BG122" s="325">
        <f>AA122/$E117</f>
        <v>24.107004652930637</v>
      </c>
      <c r="BH122" s="325">
        <f>AB122/$E117</f>
        <v>1.4753133328075508E-3</v>
      </c>
      <c r="BI122" s="326"/>
      <c r="BJ122" s="320">
        <f t="shared" si="153"/>
        <v>1261345.2406737523</v>
      </c>
      <c r="BK122" s="320">
        <f t="shared" si="153"/>
        <v>12685.530968130677</v>
      </c>
      <c r="BL122" s="320">
        <f t="shared" si="153"/>
        <v>42602700.420785509</v>
      </c>
      <c r="BM122" s="320">
        <f t="shared" si="153"/>
        <v>4185315.3292761329</v>
      </c>
      <c r="BN122" s="320">
        <f t="shared" si="153"/>
        <v>256.13516055526475</v>
      </c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</row>
    <row r="123" spans="1:76" x14ac:dyDescent="0.35">
      <c r="A123" s="168">
        <v>3</v>
      </c>
      <c r="B123" s="169">
        <f t="shared" si="144"/>
        <v>0.7084061938429751</v>
      </c>
      <c r="C123" s="170"/>
      <c r="D123" s="154">
        <f t="shared" si="145"/>
        <v>-448927.57149359264</v>
      </c>
      <c r="E123" s="154">
        <f t="shared" si="145"/>
        <v>58650.43576777853</v>
      </c>
      <c r="F123" s="154">
        <f t="shared" si="145"/>
        <v>2156841.5490760603</v>
      </c>
      <c r="G123" s="154">
        <f t="shared" si="154"/>
        <v>191958.89786776935</v>
      </c>
      <c r="H123" s="154">
        <f t="shared" si="146"/>
        <v>3558827.2138183224</v>
      </c>
      <c r="I123" s="154">
        <f t="shared" si="146"/>
        <v>211.43892610368957</v>
      </c>
      <c r="J123" s="154">
        <f t="shared" si="146"/>
        <v>-418710.27768231422</v>
      </c>
      <c r="K123" s="170"/>
      <c r="L123" s="171">
        <f t="shared" si="147"/>
        <v>-0.10763898445882497</v>
      </c>
      <c r="M123" s="171">
        <f t="shared" si="147"/>
        <v>0.53268260086952224</v>
      </c>
      <c r="N123" s="171">
        <f t="shared" si="147"/>
        <v>1.4276326131634617E-2</v>
      </c>
      <c r="O123" s="171">
        <f t="shared" si="148"/>
        <v>0.18534015390041281</v>
      </c>
      <c r="P123" s="171">
        <f t="shared" si="148"/>
        <v>0.18099285406557969</v>
      </c>
      <c r="Q123" s="170"/>
      <c r="R123" s="154">
        <v>143741.1338224475</v>
      </c>
      <c r="S123" s="154">
        <v>3794.6970578518162</v>
      </c>
      <c r="T123" s="154">
        <v>5206863.102875378</v>
      </c>
      <c r="U123" s="154">
        <v>661777.14211098698</v>
      </c>
      <c r="V123" s="154">
        <v>40.262236429435006</v>
      </c>
      <c r="W123" s="170"/>
      <c r="X123" s="154">
        <v>159213.28349205581</v>
      </c>
      <c r="Y123" s="154">
        <v>1773.3279595633869</v>
      </c>
      <c r="Z123" s="154">
        <v>5132528.2270959541</v>
      </c>
      <c r="AA123" s="154">
        <v>539123.26474436128</v>
      </c>
      <c r="AB123" s="154">
        <v>32.975059347008411</v>
      </c>
      <c r="AC123" s="170"/>
      <c r="AD123" s="154">
        <f t="shared" si="149"/>
        <v>-15472.149669608305</v>
      </c>
      <c r="AE123" s="154">
        <f t="shared" si="149"/>
        <v>2021.3690982884293</v>
      </c>
      <c r="AF123" s="154">
        <f t="shared" si="149"/>
        <v>74334.875779423863</v>
      </c>
      <c r="AG123" s="154">
        <f t="shared" si="149"/>
        <v>122653.8773666257</v>
      </c>
      <c r="AH123" s="154">
        <f t="shared" si="149"/>
        <v>7.2871770824265951</v>
      </c>
      <c r="AI123" s="154">
        <v>-14430.720000000005</v>
      </c>
      <c r="AJ123" s="170"/>
      <c r="AK123" s="183">
        <f t="shared" ref="AK123:AP123" si="157">AD123/$E117</f>
        <v>-0.63371491581438888</v>
      </c>
      <c r="AL123" s="183">
        <f t="shared" si="157"/>
        <v>8.2792099049290566E-2</v>
      </c>
      <c r="AM123" s="183">
        <f t="shared" si="157"/>
        <v>3.0446395977646472</v>
      </c>
      <c r="AN123" s="183">
        <f t="shared" si="157"/>
        <v>5.0237099064765802</v>
      </c>
      <c r="AO123" s="183">
        <f t="shared" si="157"/>
        <v>2.9847131199781265E-4</v>
      </c>
      <c r="AP123" s="183">
        <f t="shared" si="157"/>
        <v>-0.59105959451157097</v>
      </c>
      <c r="AQ123" s="170"/>
      <c r="AR123" s="184">
        <f t="shared" si="156"/>
        <v>5.8874107647940814</v>
      </c>
      <c r="AS123" s="184">
        <f t="shared" si="151"/>
        <v>0.15542482317640041</v>
      </c>
      <c r="AT123" s="184">
        <f t="shared" si="151"/>
        <v>213.26492332071996</v>
      </c>
      <c r="AU123" s="184">
        <f t="shared" si="151"/>
        <v>27.105350895391645</v>
      </c>
      <c r="AV123" s="184">
        <f t="shared" si="151"/>
        <v>1.6490778795590828E-3</v>
      </c>
      <c r="AW123" s="170"/>
      <c r="AX123" s="172">
        <f t="shared" si="152"/>
        <v>4170678.251477934</v>
      </c>
      <c r="AY123" s="172">
        <f t="shared" si="152"/>
        <v>110103.90741511124</v>
      </c>
      <c r="AZ123" s="172">
        <f t="shared" si="152"/>
        <v>151078192.60984516</v>
      </c>
      <c r="BA123" s="172">
        <f t="shared" si="152"/>
        <v>19201598.460582674</v>
      </c>
      <c r="BB123" s="172">
        <f t="shared" si="152"/>
        <v>1168.2169840090939</v>
      </c>
      <c r="BC123" s="170"/>
      <c r="BD123" s="325">
        <f>X123/$E117</f>
        <v>6.5211256806084705</v>
      </c>
      <c r="BE123" s="325">
        <f>Y123/$E117</f>
        <v>7.2632724127109846E-2</v>
      </c>
      <c r="BF123" s="325">
        <f>Z123/$E117</f>
        <v>210.22028372295532</v>
      </c>
      <c r="BG123" s="325">
        <f>AA123/$E117</f>
        <v>22.081640988915062</v>
      </c>
      <c r="BH123" s="325">
        <f>AB123/$E117</f>
        <v>1.3506065675612702E-3</v>
      </c>
      <c r="BI123" s="326"/>
      <c r="BJ123" s="320">
        <f t="shared" si="153"/>
        <v>4619605.8229715275</v>
      </c>
      <c r="BK123" s="320">
        <f t="shared" si="153"/>
        <v>51453.471647332706</v>
      </c>
      <c r="BL123" s="320">
        <f t="shared" si="153"/>
        <v>148921351.06076911</v>
      </c>
      <c r="BM123" s="320">
        <f t="shared" si="153"/>
        <v>15642771.246764347</v>
      </c>
      <c r="BN123" s="320">
        <f t="shared" si="153"/>
        <v>956.77805790540447</v>
      </c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</row>
    <row r="124" spans="1:76" x14ac:dyDescent="0.35">
      <c r="A124" s="168">
        <v>4</v>
      </c>
      <c r="B124" s="169">
        <f t="shared" si="144"/>
        <v>0.35946700425053696</v>
      </c>
      <c r="C124" s="170"/>
      <c r="D124" s="154">
        <f t="shared" si="145"/>
        <v>-187540.17768032275</v>
      </c>
      <c r="E124" s="154">
        <f t="shared" si="145"/>
        <v>23405.471002351816</v>
      </c>
      <c r="F124" s="154">
        <f t="shared" si="145"/>
        <v>415667.30005617853</v>
      </c>
      <c r="G124" s="154">
        <f t="shared" si="154"/>
        <v>36994.389704999885</v>
      </c>
      <c r="H124" s="154">
        <f t="shared" si="146"/>
        <v>1354616.345734936</v>
      </c>
      <c r="I124" s="154">
        <f t="shared" si="146"/>
        <v>80.337628088174441</v>
      </c>
      <c r="J124" s="154">
        <f t="shared" si="146"/>
        <v>-212466.42177261156</v>
      </c>
      <c r="K124" s="170"/>
      <c r="L124" s="171">
        <f t="shared" si="147"/>
        <v>-7.8909968070719386E-2</v>
      </c>
      <c r="M124" s="171">
        <f t="shared" si="147"/>
        <v>0.47750695758293749</v>
      </c>
      <c r="N124" s="171">
        <f t="shared" si="147"/>
        <v>5.0000747206310524E-3</v>
      </c>
      <c r="O124" s="171">
        <f t="shared" si="148"/>
        <v>0.14170874101431488</v>
      </c>
      <c r="P124" s="171">
        <f t="shared" si="148"/>
        <v>0.13795539780626986</v>
      </c>
      <c r="Q124" s="170"/>
      <c r="R124" s="154">
        <v>161421.04398711171</v>
      </c>
      <c r="S124" s="154">
        <v>3329.1654393494518</v>
      </c>
      <c r="T124" s="154">
        <v>5646340.4720974416</v>
      </c>
      <c r="U124" s="154">
        <v>649258.08796879835</v>
      </c>
      <c r="V124" s="154">
        <v>39.552870173576338</v>
      </c>
      <c r="W124" s="170"/>
      <c r="X124" s="154">
        <v>174158.77341407689</v>
      </c>
      <c r="Y124" s="154">
        <v>1739.465779115432</v>
      </c>
      <c r="Z124" s="154">
        <v>5618108.3478388311</v>
      </c>
      <c r="AA124" s="154">
        <v>557252.54172937863</v>
      </c>
      <c r="AB124" s="154">
        <v>34.096338234400868</v>
      </c>
      <c r="AC124" s="170"/>
      <c r="AD124" s="154">
        <f t="shared" si="149"/>
        <v>-12737.729426965176</v>
      </c>
      <c r="AE124" s="154">
        <f t="shared" si="149"/>
        <v>1589.6996602340198</v>
      </c>
      <c r="AF124" s="154">
        <f t="shared" si="149"/>
        <v>28232.12425861042</v>
      </c>
      <c r="AG124" s="154">
        <f t="shared" si="149"/>
        <v>92005.546239419724</v>
      </c>
      <c r="AH124" s="154">
        <f t="shared" si="149"/>
        <v>5.4565319391754699</v>
      </c>
      <c r="AI124" s="154">
        <v>-14430.720000000005</v>
      </c>
      <c r="AJ124" s="170"/>
      <c r="AK124" s="183">
        <f t="shared" ref="AK124:AP124" si="158">AD124/$E117</f>
        <v>-0.52171736338173968</v>
      </c>
      <c r="AL124" s="183">
        <f t="shared" si="158"/>
        <v>6.5111597797830018E-2</v>
      </c>
      <c r="AM124" s="183">
        <f t="shared" si="158"/>
        <v>1.1563434060458906</v>
      </c>
      <c r="AN124" s="183">
        <f t="shared" si="158"/>
        <v>3.768402467311887</v>
      </c>
      <c r="AO124" s="183">
        <f t="shared" si="158"/>
        <v>2.234909661755261E-4</v>
      </c>
      <c r="AP124" s="183">
        <f t="shared" si="158"/>
        <v>-0.59105959451157097</v>
      </c>
      <c r="AQ124" s="170"/>
      <c r="AR124" s="184">
        <f t="shared" si="156"/>
        <v>6.6115520781122958</v>
      </c>
      <c r="AS124" s="184">
        <f t="shared" si="151"/>
        <v>0.13635738027235109</v>
      </c>
      <c r="AT124" s="184">
        <f t="shared" si="151"/>
        <v>231.26522515246535</v>
      </c>
      <c r="AU124" s="184">
        <f t="shared" si="151"/>
        <v>26.592590127741076</v>
      </c>
      <c r="AV124" s="184">
        <f t="shared" si="151"/>
        <v>1.6200233534129156E-3</v>
      </c>
      <c r="AW124" s="170"/>
      <c r="AX124" s="172">
        <f t="shared" si="152"/>
        <v>2376634.8189654392</v>
      </c>
      <c r="AY124" s="172">
        <f t="shared" si="152"/>
        <v>49015.978993953308</v>
      </c>
      <c r="AZ124" s="172">
        <f t="shared" si="152"/>
        <v>83132217.672882646</v>
      </c>
      <c r="BA124" s="172">
        <f t="shared" si="152"/>
        <v>9559158.7084814887</v>
      </c>
      <c r="BB124" s="172">
        <f t="shared" si="152"/>
        <v>582.3449416672496</v>
      </c>
      <c r="BC124" s="170"/>
      <c r="BD124" s="325">
        <f>X124/$E117</f>
        <v>7.1332694414940363</v>
      </c>
      <c r="BE124" s="325">
        <f>Y124/$E117</f>
        <v>7.1245782474521069E-2</v>
      </c>
      <c r="BF124" s="325">
        <f>Z124/$E117</f>
        <v>230.10888174641946</v>
      </c>
      <c r="BG124" s="325">
        <f>AA124/$E117</f>
        <v>22.824187660429189</v>
      </c>
      <c r="BH124" s="325">
        <f>AB124/$E117</f>
        <v>1.3965323872373895E-3</v>
      </c>
      <c r="BI124" s="326"/>
      <c r="BJ124" s="320">
        <f t="shared" si="153"/>
        <v>2564174.9966457621</v>
      </c>
      <c r="BK124" s="320">
        <f t="shared" si="153"/>
        <v>25610.507991601495</v>
      </c>
      <c r="BL124" s="320">
        <f t="shared" si="153"/>
        <v>82716550.372826472</v>
      </c>
      <c r="BM124" s="320">
        <f t="shared" si="153"/>
        <v>8204542.3627465526</v>
      </c>
      <c r="BN124" s="320">
        <f t="shared" si="153"/>
        <v>502.00731357907523</v>
      </c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</row>
    <row r="125" spans="1:76" x14ac:dyDescent="0.35">
      <c r="A125" s="168">
        <v>5</v>
      </c>
      <c r="B125" s="169">
        <f t="shared" si="144"/>
        <v>7.429373253157398E-2</v>
      </c>
      <c r="C125" s="170"/>
      <c r="D125" s="154">
        <f t="shared" si="145"/>
        <v>-44820.619640465673</v>
      </c>
      <c r="E125" s="154">
        <f t="shared" si="145"/>
        <v>5559.6035689008922</v>
      </c>
      <c r="F125" s="154">
        <f t="shared" si="145"/>
        <v>-134008.10250278018</v>
      </c>
      <c r="G125" s="154">
        <f t="shared" si="154"/>
        <v>-11926.721122747436</v>
      </c>
      <c r="H125" s="154">
        <f t="shared" si="146"/>
        <v>323004.04814943636</v>
      </c>
      <c r="I125" s="154">
        <f t="shared" si="146"/>
        <v>19.159093426374653</v>
      </c>
      <c r="J125" s="154">
        <f t="shared" si="146"/>
        <v>-43912.023424863226</v>
      </c>
      <c r="K125" s="170"/>
      <c r="L125" s="171">
        <f t="shared" si="147"/>
        <v>-0.10158366791297216</v>
      </c>
      <c r="M125" s="171">
        <f t="shared" si="147"/>
        <v>0.50494288311341828</v>
      </c>
      <c r="N125" s="171">
        <f t="shared" si="147"/>
        <v>-9.0710238273165721E-3</v>
      </c>
      <c r="O125" s="171">
        <f t="shared" si="148"/>
        <v>0.16567619891988117</v>
      </c>
      <c r="P125" s="171">
        <f t="shared" si="148"/>
        <v>0.16149491929805582</v>
      </c>
      <c r="Q125" s="170"/>
      <c r="R125" s="154">
        <v>144996.83316001529</v>
      </c>
      <c r="S125" s="154">
        <v>3618.3128979248449</v>
      </c>
      <c r="T125" s="154">
        <v>4854888.9544318104</v>
      </c>
      <c r="U125" s="154">
        <v>640696.56253836572</v>
      </c>
      <c r="V125" s="154">
        <v>38.987073974238214</v>
      </c>
      <c r="W125" s="170"/>
      <c r="X125" s="154">
        <v>159726.14330817491</v>
      </c>
      <c r="Y125" s="154">
        <v>1791.271551240206</v>
      </c>
      <c r="Z125" s="154">
        <v>4898927.7678164374</v>
      </c>
      <c r="AA125" s="154">
        <v>534548.39139597537</v>
      </c>
      <c r="AB125" s="154">
        <v>32.690859609101281</v>
      </c>
      <c r="AC125" s="170"/>
      <c r="AD125" s="154">
        <f t="shared" si="149"/>
        <v>-14729.310148159624</v>
      </c>
      <c r="AE125" s="154">
        <f t="shared" si="149"/>
        <v>1827.0413466846389</v>
      </c>
      <c r="AF125" s="154">
        <f t="shared" si="149"/>
        <v>-44038.813384626992</v>
      </c>
      <c r="AG125" s="154">
        <f t="shared" si="149"/>
        <v>106148.17114239035</v>
      </c>
      <c r="AH125" s="154">
        <f t="shared" si="149"/>
        <v>6.2962143651369331</v>
      </c>
      <c r="AI125" s="154">
        <v>-14430.720000000005</v>
      </c>
      <c r="AJ125" s="170"/>
      <c r="AK125" s="183">
        <f t="shared" ref="AK125:AP125" si="159">AD125/$E117</f>
        <v>-0.60328937735652766</v>
      </c>
      <c r="AL125" s="183">
        <f t="shared" si="159"/>
        <v>7.4832739982987465E-2</v>
      </c>
      <c r="AM125" s="183">
        <f t="shared" si="159"/>
        <v>-1.8037605318298993</v>
      </c>
      <c r="AN125" s="183">
        <f t="shared" si="159"/>
        <v>4.3476621397661415</v>
      </c>
      <c r="AO125" s="183">
        <f t="shared" si="159"/>
        <v>2.5788303768736157E-4</v>
      </c>
      <c r="AP125" s="183">
        <f t="shared" si="159"/>
        <v>-0.59105959451157097</v>
      </c>
      <c r="AQ125" s="170"/>
      <c r="AR125" s="184">
        <f t="shared" si="156"/>
        <v>5.9388422346924141</v>
      </c>
      <c r="AS125" s="184">
        <f t="shared" si="151"/>
        <v>0.14820040540343415</v>
      </c>
      <c r="AT125" s="184">
        <f t="shared" si="151"/>
        <v>198.84861578668074</v>
      </c>
      <c r="AU125" s="184">
        <f t="shared" si="151"/>
        <v>26.24192351170861</v>
      </c>
      <c r="AV125" s="184">
        <f t="shared" si="151"/>
        <v>1.5968492309743278E-3</v>
      </c>
      <c r="AW125" s="170"/>
      <c r="AX125" s="172">
        <f t="shared" si="152"/>
        <v>441218.75653145334</v>
      </c>
      <c r="AY125" s="172">
        <f t="shared" si="152"/>
        <v>11010.361280113568</v>
      </c>
      <c r="AZ125" s="172">
        <f t="shared" si="152"/>
        <v>14773205.875529379</v>
      </c>
      <c r="BA125" s="172">
        <f t="shared" si="152"/>
        <v>1949610.446492902</v>
      </c>
      <c r="BB125" s="172">
        <f t="shared" si="152"/>
        <v>118.63588965925631</v>
      </c>
      <c r="BC125" s="170"/>
      <c r="BD125" s="325">
        <f>X125/$E117</f>
        <v>6.5421316120489417</v>
      </c>
      <c r="BE125" s="325">
        <f>Y125/$E117</f>
        <v>7.336766542044669E-2</v>
      </c>
      <c r="BF125" s="325">
        <f>Z125/$E117</f>
        <v>200.65237631851065</v>
      </c>
      <c r="BG125" s="325">
        <f>AA125/$E117</f>
        <v>21.89426137194247</v>
      </c>
      <c r="BH125" s="325">
        <f>AB125/$E117</f>
        <v>1.3389661932869663E-3</v>
      </c>
      <c r="BI125" s="326"/>
      <c r="BJ125" s="320">
        <f t="shared" si="153"/>
        <v>486039.37617191899</v>
      </c>
      <c r="BK125" s="320">
        <f t="shared" si="153"/>
        <v>5450.7577112126764</v>
      </c>
      <c r="BL125" s="320">
        <f t="shared" si="153"/>
        <v>14907213.978032159</v>
      </c>
      <c r="BM125" s="320">
        <f t="shared" si="153"/>
        <v>1626606.3983434658</v>
      </c>
      <c r="BN125" s="320">
        <f t="shared" si="153"/>
        <v>99.476796232881668</v>
      </c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</row>
    <row r="126" spans="1:76" x14ac:dyDescent="0.35">
      <c r="A126" s="168">
        <v>6</v>
      </c>
      <c r="B126" s="169">
        <f t="shared" si="144"/>
        <v>0.3987701105970608</v>
      </c>
      <c r="C126" s="170"/>
      <c r="D126" s="154">
        <f t="shared" si="145"/>
        <v>-76309.865172448888</v>
      </c>
      <c r="E126" s="154">
        <f t="shared" si="145"/>
        <v>10248.343125303107</v>
      </c>
      <c r="F126" s="154">
        <f t="shared" si="145"/>
        <v>310286.19108710223</v>
      </c>
      <c r="G126" s="154">
        <f t="shared" si="154"/>
        <v>27615.471006752097</v>
      </c>
      <c r="H126" s="154">
        <f t="shared" si="146"/>
        <v>582309.60286043561</v>
      </c>
      <c r="I126" s="154">
        <f t="shared" si="146"/>
        <v>35.336762000046292</v>
      </c>
      <c r="J126" s="154">
        <f t="shared" si="146"/>
        <v>-235696.89987283308</v>
      </c>
      <c r="K126" s="170"/>
      <c r="L126" s="171">
        <f t="shared" si="147"/>
        <v>-2.7978466484410106E-2</v>
      </c>
      <c r="M126" s="171">
        <f t="shared" si="147"/>
        <v>0.27247415766584321</v>
      </c>
      <c r="N126" s="171">
        <f t="shared" si="147"/>
        <v>3.5045262727451607E-3</v>
      </c>
      <c r="O126" s="171">
        <f t="shared" si="148"/>
        <v>6.4862385776669168E-2</v>
      </c>
      <c r="P126" s="171">
        <f t="shared" si="148"/>
        <v>6.4123886124264312E-2</v>
      </c>
      <c r="Q126" s="170"/>
      <c r="R126" s="154">
        <v>166990.1709096517</v>
      </c>
      <c r="S126" s="154">
        <v>2302.833129709139</v>
      </c>
      <c r="T126" s="154">
        <v>5420848.3505625026</v>
      </c>
      <c r="U126" s="154">
        <v>549661.30302314158</v>
      </c>
      <c r="V126" s="154">
        <v>33.739686825641968</v>
      </c>
      <c r="W126" s="170"/>
      <c r="X126" s="154">
        <v>171662.29980967331</v>
      </c>
      <c r="Y126" s="154">
        <v>1675.3706124466439</v>
      </c>
      <c r="Z126" s="154">
        <v>5401850.8450973891</v>
      </c>
      <c r="AA126" s="154">
        <v>514008.95953994791</v>
      </c>
      <c r="AB126" s="154">
        <v>31.576166989766161</v>
      </c>
      <c r="AC126" s="170"/>
      <c r="AD126" s="154">
        <f t="shared" si="149"/>
        <v>-4672.1289000216057</v>
      </c>
      <c r="AE126" s="154">
        <f t="shared" si="149"/>
        <v>627.46251726249511</v>
      </c>
      <c r="AF126" s="154">
        <f t="shared" si="149"/>
        <v>18997.505465113558</v>
      </c>
      <c r="AG126" s="154">
        <f t="shared" si="149"/>
        <v>35652.343483193661</v>
      </c>
      <c r="AH126" s="154">
        <f t="shared" si="149"/>
        <v>2.1635198358758068</v>
      </c>
      <c r="AI126" s="154">
        <v>-14430.720000000005</v>
      </c>
      <c r="AJ126" s="170"/>
      <c r="AK126" s="183">
        <f t="shared" ref="AK126:AP126" si="160">AD126/$E117</f>
        <v>-0.19136305140371107</v>
      </c>
      <c r="AL126" s="183">
        <f t="shared" si="160"/>
        <v>2.5699877831763061E-2</v>
      </c>
      <c r="AM126" s="183">
        <f t="shared" si="160"/>
        <v>0.77810794450598231</v>
      </c>
      <c r="AN126" s="183">
        <f t="shared" si="160"/>
        <v>1.4602639149372787</v>
      </c>
      <c r="AO126" s="183">
        <f t="shared" si="160"/>
        <v>8.861436968567712E-5</v>
      </c>
      <c r="AP126" s="183">
        <f t="shared" si="160"/>
        <v>-0.59105959451157097</v>
      </c>
      <c r="AQ126" s="170"/>
      <c r="AR126" s="184">
        <f t="shared" si="156"/>
        <v>6.8396547577166373</v>
      </c>
      <c r="AS126" s="184">
        <f t="shared" si="151"/>
        <v>9.4320423088639735E-2</v>
      </c>
      <c r="AT126" s="184">
        <f t="shared" si="151"/>
        <v>222.02942250921575</v>
      </c>
      <c r="AU126" s="184">
        <f t="shared" si="151"/>
        <v>22.513262462549317</v>
      </c>
      <c r="AV126" s="184">
        <f t="shared" si="151"/>
        <v>1.3819245064772463E-3</v>
      </c>
      <c r="AW126" s="170"/>
      <c r="AX126" s="172">
        <f t="shared" si="152"/>
        <v>2727449.8841803763</v>
      </c>
      <c r="AY126" s="172">
        <f t="shared" si="152"/>
        <v>37612.165546618431</v>
      </c>
      <c r="AZ126" s="172">
        <f t="shared" si="152"/>
        <v>88538697.369801506</v>
      </c>
      <c r="BA126" s="172">
        <f t="shared" si="152"/>
        <v>8977616.1620914489</v>
      </c>
      <c r="BB126" s="172">
        <f t="shared" si="152"/>
        <v>551.07018828472019</v>
      </c>
      <c r="BC126" s="170"/>
      <c r="BD126" s="325">
        <f>X126/$E117</f>
        <v>7.0310178091203488</v>
      </c>
      <c r="BE126" s="325">
        <f>Y126/$E117</f>
        <v>6.8620545256876678E-2</v>
      </c>
      <c r="BF126" s="325">
        <f>Z126/$E117</f>
        <v>221.25131456470976</v>
      </c>
      <c r="BG126" s="325">
        <f>AA126/$E117</f>
        <v>21.052998547612038</v>
      </c>
      <c r="BH126" s="325">
        <f>AB126/$E117</f>
        <v>1.2933101367915692E-3</v>
      </c>
      <c r="BI126" s="326"/>
      <c r="BJ126" s="320">
        <f t="shared" si="153"/>
        <v>2803759.7493528253</v>
      </c>
      <c r="BK126" s="320">
        <f t="shared" si="153"/>
        <v>27363.82242131533</v>
      </c>
      <c r="BL126" s="320">
        <f t="shared" si="153"/>
        <v>88228411.178714395</v>
      </c>
      <c r="BM126" s="320">
        <f t="shared" si="153"/>
        <v>8395306.5592310131</v>
      </c>
      <c r="BN126" s="320">
        <f t="shared" si="153"/>
        <v>515.7334262846739</v>
      </c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</row>
    <row r="127" spans="1:76" x14ac:dyDescent="0.35">
      <c r="A127" s="168">
        <v>7</v>
      </c>
      <c r="B127" s="169">
        <f t="shared" si="144"/>
        <v>0.42750436552391036</v>
      </c>
      <c r="C127" s="170"/>
      <c r="D127" s="154">
        <f t="shared" si="145"/>
        <v>-63659.101436334364</v>
      </c>
      <c r="E127" s="154">
        <f t="shared" si="145"/>
        <v>8710.9820497010496</v>
      </c>
      <c r="F127" s="154">
        <f t="shared" si="145"/>
        <v>411014.13214361499</v>
      </c>
      <c r="G127" s="154">
        <f t="shared" si="154"/>
        <v>36580.257760781729</v>
      </c>
      <c r="H127" s="154">
        <f t="shared" si="146"/>
        <v>498837.12709121482</v>
      </c>
      <c r="I127" s="154">
        <f t="shared" si="146"/>
        <v>30.274893628919934</v>
      </c>
      <c r="J127" s="154">
        <f t="shared" si="146"/>
        <v>-252680.55693848891</v>
      </c>
      <c r="K127" s="170"/>
      <c r="L127" s="171">
        <f t="shared" si="147"/>
        <v>-2.2614341149814126E-2</v>
      </c>
      <c r="M127" s="171">
        <f t="shared" si="147"/>
        <v>0.23163295405997067</v>
      </c>
      <c r="N127" s="171">
        <f t="shared" si="147"/>
        <v>4.6473700909616814E-3</v>
      </c>
      <c r="O127" s="171">
        <f t="shared" si="148"/>
        <v>5.3743024169945863E-2</v>
      </c>
      <c r="P127" s="171">
        <f t="shared" si="148"/>
        <v>5.3131150688539887E-2</v>
      </c>
      <c r="Q127" s="170"/>
      <c r="R127" s="154">
        <v>160765.45698962171</v>
      </c>
      <c r="S127" s="154">
        <v>2147.7461422288402</v>
      </c>
      <c r="T127" s="154">
        <v>5050863.9524752116</v>
      </c>
      <c r="U127" s="154">
        <v>530093.94448074163</v>
      </c>
      <c r="V127" s="154">
        <v>32.542399990172683</v>
      </c>
      <c r="W127" s="170"/>
      <c r="X127" s="154">
        <v>164401.06187909079</v>
      </c>
      <c r="Y127" s="154">
        <v>1650.257358733468</v>
      </c>
      <c r="Z127" s="154">
        <v>5027390.7184089618</v>
      </c>
      <c r="AA127" s="154">
        <v>501605.09281017119</v>
      </c>
      <c r="AB127" s="154">
        <v>30.813384832528079</v>
      </c>
      <c r="AC127" s="170"/>
      <c r="AD127" s="154">
        <f t="shared" si="149"/>
        <v>-3635.6048894690757</v>
      </c>
      <c r="AE127" s="154">
        <f t="shared" si="149"/>
        <v>497.48878349537222</v>
      </c>
      <c r="AF127" s="154">
        <f t="shared" si="149"/>
        <v>23473.234066249803</v>
      </c>
      <c r="AG127" s="154">
        <f t="shared" si="149"/>
        <v>28488.851670570439</v>
      </c>
      <c r="AH127" s="154">
        <f t="shared" si="149"/>
        <v>1.7290151576446036</v>
      </c>
      <c r="AI127" s="154">
        <v>-14430.720000000005</v>
      </c>
      <c r="AJ127" s="170"/>
      <c r="AK127" s="183">
        <f t="shared" ref="AK127:AP127" si="161">AD127/$E117</f>
        <v>-0.14890865818017923</v>
      </c>
      <c r="AL127" s="183">
        <f t="shared" si="161"/>
        <v>2.0376358119818645E-2</v>
      </c>
      <c r="AM127" s="183">
        <f t="shared" si="161"/>
        <v>0.96142674856644694</v>
      </c>
      <c r="AN127" s="183">
        <f t="shared" si="161"/>
        <v>1.1668585570579741</v>
      </c>
      <c r="AO127" s="183">
        <f t="shared" si="161"/>
        <v>7.0817741455851059E-5</v>
      </c>
      <c r="AP127" s="183">
        <f t="shared" si="161"/>
        <v>-0.59105959451157097</v>
      </c>
      <c r="AQ127" s="170"/>
      <c r="AR127" s="184">
        <f t="shared" si="156"/>
        <v>6.5847002658046989</v>
      </c>
      <c r="AS127" s="184">
        <f t="shared" si="151"/>
        <v>8.7968304002819589E-2</v>
      </c>
      <c r="AT127" s="184">
        <f t="shared" si="151"/>
        <v>206.87544347635517</v>
      </c>
      <c r="AU127" s="184">
        <f t="shared" si="151"/>
        <v>21.711814232264658</v>
      </c>
      <c r="AV127" s="184">
        <f t="shared" si="151"/>
        <v>1.3328855207934746E-3</v>
      </c>
      <c r="AW127" s="170"/>
      <c r="AX127" s="172">
        <f t="shared" si="152"/>
        <v>2814988.1092979619</v>
      </c>
      <c r="AY127" s="172">
        <f t="shared" si="152"/>
        <v>37606.833988939856</v>
      </c>
      <c r="AZ127" s="172">
        <f t="shared" si="152"/>
        <v>88440155.205836803</v>
      </c>
      <c r="BA127" s="172">
        <f t="shared" si="152"/>
        <v>9281895.36773731</v>
      </c>
      <c r="BB127" s="172">
        <f t="shared" si="152"/>
        <v>569.81437888282119</v>
      </c>
      <c r="BC127" s="170"/>
      <c r="BD127" s="325">
        <f>X127/$E117</f>
        <v>6.7336089239848773</v>
      </c>
      <c r="BE127" s="325">
        <f>Y127/$E117</f>
        <v>6.7591945883000937E-2</v>
      </c>
      <c r="BF127" s="325">
        <f>Z127/$E117</f>
        <v>205.91401672778872</v>
      </c>
      <c r="BG127" s="325">
        <f>AA127/$E117</f>
        <v>20.544955675206683</v>
      </c>
      <c r="BH127" s="325">
        <f>AB127/$E117</f>
        <v>1.2620677793376235E-3</v>
      </c>
      <c r="BI127" s="326"/>
      <c r="BJ127" s="320">
        <f t="shared" si="153"/>
        <v>2878647.2107342957</v>
      </c>
      <c r="BK127" s="320">
        <f t="shared" si="153"/>
        <v>28895.851939238801</v>
      </c>
      <c r="BL127" s="320">
        <f t="shared" si="153"/>
        <v>88029141.073693186</v>
      </c>
      <c r="BM127" s="320">
        <f t="shared" si="153"/>
        <v>8783058.2406460941</v>
      </c>
      <c r="BN127" s="320">
        <f t="shared" si="153"/>
        <v>539.53948525390115</v>
      </c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</row>
    <row r="128" spans="1:76" x14ac:dyDescent="0.35">
      <c r="A128" s="168">
        <v>8</v>
      </c>
      <c r="B128" s="169">
        <f t="shared" si="144"/>
        <v>0.54737871842884245</v>
      </c>
      <c r="C128" s="170"/>
      <c r="D128" s="154">
        <f t="shared" si="145"/>
        <v>-109598.16517974483</v>
      </c>
      <c r="E128" s="154">
        <f t="shared" si="145"/>
        <v>14673.444282760292</v>
      </c>
      <c r="F128" s="154">
        <f t="shared" si="145"/>
        <v>232325.70672634803</v>
      </c>
      <c r="G128" s="154">
        <f t="shared" si="154"/>
        <v>20676.987898644973</v>
      </c>
      <c r="H128" s="154">
        <f t="shared" si="146"/>
        <v>824457.75849874411</v>
      </c>
      <c r="I128" s="154">
        <f t="shared" si="146"/>
        <v>50.022716342379482</v>
      </c>
      <c r="J128" s="154">
        <f t="shared" si="146"/>
        <v>-323533.44335881498</v>
      </c>
      <c r="K128" s="170"/>
      <c r="L128" s="171">
        <f t="shared" si="147"/>
        <v>-2.7452321413594643E-2</v>
      </c>
      <c r="M128" s="171">
        <f t="shared" si="147"/>
        <v>0.28569025870026954</v>
      </c>
      <c r="N128" s="171">
        <f t="shared" si="147"/>
        <v>1.8218081044930668E-3</v>
      </c>
      <c r="O128" s="171">
        <f t="shared" si="148"/>
        <v>6.4374507116655461E-2</v>
      </c>
      <c r="P128" s="171">
        <f t="shared" si="148"/>
        <v>6.3621048490600185E-2</v>
      </c>
      <c r="Q128" s="170"/>
      <c r="R128" s="154">
        <v>178070.93075905001</v>
      </c>
      <c r="S128" s="154">
        <v>2290.8964285699772</v>
      </c>
      <c r="T128" s="154">
        <v>5688050.6813689861</v>
      </c>
      <c r="U128" s="154">
        <v>571246.18479967304</v>
      </c>
      <c r="V128" s="154">
        <v>35.069959895374119</v>
      </c>
      <c r="W128" s="170"/>
      <c r="X128" s="154">
        <v>182959.39118466541</v>
      </c>
      <c r="Y128" s="154">
        <v>1636.4096352362969</v>
      </c>
      <c r="Z128" s="154">
        <v>5677688.1445389008</v>
      </c>
      <c r="AA128" s="154">
        <v>534472.49321092421</v>
      </c>
      <c r="AB128" s="154">
        <v>32.838772276307118</v>
      </c>
      <c r="AC128" s="170"/>
      <c r="AD128" s="154">
        <f t="shared" si="149"/>
        <v>-4888.460425615398</v>
      </c>
      <c r="AE128" s="154">
        <f t="shared" si="149"/>
        <v>654.48679333368023</v>
      </c>
      <c r="AF128" s="154">
        <f t="shared" si="149"/>
        <v>10362.53683008533</v>
      </c>
      <c r="AG128" s="154">
        <f t="shared" si="149"/>
        <v>36773.691588748829</v>
      </c>
      <c r="AH128" s="154">
        <f t="shared" si="149"/>
        <v>2.2311876190670006</v>
      </c>
      <c r="AI128" s="154">
        <v>-14430.720000000005</v>
      </c>
      <c r="AJ128" s="170"/>
      <c r="AK128" s="183">
        <f t="shared" ref="AK128:AP128" si="162">AD128/$E117</f>
        <v>-0.2002236504450296</v>
      </c>
      <c r="AL128" s="183">
        <f t="shared" si="162"/>
        <v>2.6806749675759994E-2</v>
      </c>
      <c r="AM128" s="183">
        <f t="shared" si="162"/>
        <v>0.42443321032501863</v>
      </c>
      <c r="AN128" s="183">
        <f t="shared" si="162"/>
        <v>1.5061925696804763</v>
      </c>
      <c r="AO128" s="183">
        <f t="shared" si="162"/>
        <v>9.138593565705511E-5</v>
      </c>
      <c r="AP128" s="183">
        <f t="shared" si="162"/>
        <v>-0.59105959451157097</v>
      </c>
      <c r="AQ128" s="170"/>
      <c r="AR128" s="184">
        <f t="shared" si="156"/>
        <v>7.2935052532889619</v>
      </c>
      <c r="AS128" s="184">
        <f t="shared" si="151"/>
        <v>9.3831514584066231E-2</v>
      </c>
      <c r="AT128" s="184">
        <f t="shared" si="151"/>
        <v>232.97360972226033</v>
      </c>
      <c r="AU128" s="184">
        <f t="shared" si="151"/>
        <v>23.397345271336189</v>
      </c>
      <c r="AV128" s="184">
        <f t="shared" si="151"/>
        <v>1.4364103991551963E-3</v>
      </c>
      <c r="AW128" s="170"/>
      <c r="AX128" s="172">
        <f t="shared" si="152"/>
        <v>3992309.558399342</v>
      </c>
      <c r="AY128" s="172">
        <f t="shared" si="152"/>
        <v>51361.37420126341</v>
      </c>
      <c r="AZ128" s="172">
        <f t="shared" si="152"/>
        <v>127524795.91751216</v>
      </c>
      <c r="BA128" s="172">
        <f t="shared" si="152"/>
        <v>12807208.86926114</v>
      </c>
      <c r="BB128" s="172">
        <f t="shared" si="152"/>
        <v>786.26048342743343</v>
      </c>
      <c r="BC128" s="170"/>
      <c r="BD128" s="325">
        <f>X128/$E117</f>
        <v>7.4937289037339916</v>
      </c>
      <c r="BE128" s="325">
        <f>Y128/$E117</f>
        <v>6.702476490830625E-2</v>
      </c>
      <c r="BF128" s="325">
        <f>Z128/$E117</f>
        <v>232.54917651193531</v>
      </c>
      <c r="BG128" s="325">
        <f>AA128/$E117</f>
        <v>21.891152701655713</v>
      </c>
      <c r="BH128" s="325">
        <f>AB128/$E117</f>
        <v>1.3450244634981411E-3</v>
      </c>
      <c r="BI128" s="326"/>
      <c r="BJ128" s="320">
        <f t="shared" si="153"/>
        <v>4101907.7235790873</v>
      </c>
      <c r="BK128" s="320">
        <f t="shared" si="153"/>
        <v>36687.929918503127</v>
      </c>
      <c r="BL128" s="320">
        <f t="shared" si="153"/>
        <v>127292470.21078582</v>
      </c>
      <c r="BM128" s="320">
        <f t="shared" si="153"/>
        <v>11982751.110762397</v>
      </c>
      <c r="BN128" s="320">
        <f t="shared" si="153"/>
        <v>736.23776708505386</v>
      </c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</row>
    <row r="129" spans="1:76" x14ac:dyDescent="0.35">
      <c r="A129" s="168">
        <v>9</v>
      </c>
      <c r="B129" s="169">
        <f t="shared" si="144"/>
        <v>0.73743647948442825</v>
      </c>
      <c r="C129" s="170"/>
      <c r="D129" s="154">
        <f t="shared" si="145"/>
        <v>-179024.53716422996</v>
      </c>
      <c r="E129" s="154">
        <f t="shared" si="145"/>
        <v>23648.518879443036</v>
      </c>
      <c r="F129" s="154">
        <f t="shared" si="145"/>
        <v>677285.93265339837</v>
      </c>
      <c r="G129" s="154">
        <f t="shared" si="154"/>
        <v>60278.448006152452</v>
      </c>
      <c r="H129" s="154">
        <f t="shared" si="146"/>
        <v>1347102.8412174443</v>
      </c>
      <c r="I129" s="154">
        <f t="shared" si="146"/>
        <v>81.75044094873347</v>
      </c>
      <c r="J129" s="154">
        <f t="shared" si="146"/>
        <v>-435868.90654210659</v>
      </c>
      <c r="K129" s="170"/>
      <c r="L129" s="171">
        <f t="shared" si="147"/>
        <v>-3.3415222845614233E-2</v>
      </c>
      <c r="M129" s="171">
        <f t="shared" si="147"/>
        <v>0.3224948609784723</v>
      </c>
      <c r="N129" s="171">
        <f t="shared" si="147"/>
        <v>3.7120617801508259E-3</v>
      </c>
      <c r="O129" s="171">
        <f t="shared" si="148"/>
        <v>7.5772171445870895E-2</v>
      </c>
      <c r="P129" s="171">
        <f t="shared" si="148"/>
        <v>7.4908186223842516E-2</v>
      </c>
      <c r="Q129" s="170"/>
      <c r="R129" s="154">
        <v>177378.22676963671</v>
      </c>
      <c r="S129" s="154">
        <v>2427.801964524625</v>
      </c>
      <c r="T129" s="154">
        <v>6040723.6878540404</v>
      </c>
      <c r="U129" s="154">
        <v>588603.89279243175</v>
      </c>
      <c r="V129" s="154">
        <v>36.132077536393425</v>
      </c>
      <c r="W129" s="170"/>
      <c r="X129" s="154">
        <v>183305.35974510401</v>
      </c>
      <c r="Y129" s="154">
        <v>1644.8483074919941</v>
      </c>
      <c r="Z129" s="154">
        <v>6018300.1483279057</v>
      </c>
      <c r="AA129" s="154">
        <v>544004.09771405661</v>
      </c>
      <c r="AB129" s="154">
        <v>33.425489143642949</v>
      </c>
      <c r="AC129" s="170"/>
      <c r="AD129" s="154">
        <f t="shared" si="149"/>
        <v>-5927.1329754673061</v>
      </c>
      <c r="AE129" s="154">
        <f t="shared" si="149"/>
        <v>782.95365703263087</v>
      </c>
      <c r="AF129" s="154">
        <f t="shared" si="149"/>
        <v>22423.539526134729</v>
      </c>
      <c r="AG129" s="154">
        <f t="shared" si="149"/>
        <v>44599.795078375144</v>
      </c>
      <c r="AH129" s="154">
        <f t="shared" si="149"/>
        <v>2.7065883927504757</v>
      </c>
      <c r="AI129" s="154">
        <v>-14430.720000000005</v>
      </c>
      <c r="AJ129" s="170"/>
      <c r="AK129" s="183">
        <f t="shared" ref="AK129:AP129" si="163">AD129/$E117</f>
        <v>-0.24276604445903363</v>
      </c>
      <c r="AL129" s="183">
        <f t="shared" si="163"/>
        <v>3.2068550359722746E-2</v>
      </c>
      <c r="AM129" s="183">
        <f t="shared" si="163"/>
        <v>0.91843291116668968</v>
      </c>
      <c r="AN129" s="183">
        <f t="shared" si="163"/>
        <v>1.8267374596917938</v>
      </c>
      <c r="AO129" s="183">
        <f t="shared" si="163"/>
        <v>1.108576036350799E-4</v>
      </c>
      <c r="AP129" s="183">
        <f t="shared" si="163"/>
        <v>-0.59105959451157097</v>
      </c>
      <c r="AQ129" s="170"/>
      <c r="AR129" s="184">
        <f t="shared" si="156"/>
        <v>7.2651331873699245</v>
      </c>
      <c r="AS129" s="184">
        <f t="shared" si="151"/>
        <v>9.9438950011248209E-2</v>
      </c>
      <c r="AT129" s="184">
        <f t="shared" si="151"/>
        <v>247.41854138251242</v>
      </c>
      <c r="AU129" s="184">
        <f t="shared" si="151"/>
        <v>24.108289690453891</v>
      </c>
      <c r="AV129" s="184">
        <f t="shared" si="151"/>
        <v>1.479913067228893E-3</v>
      </c>
      <c r="AW129" s="170"/>
      <c r="AX129" s="172">
        <f t="shared" si="152"/>
        <v>5357574.2406795602</v>
      </c>
      <c r="AY129" s="172">
        <f t="shared" si="152"/>
        <v>73329.90921992292</v>
      </c>
      <c r="AZ129" s="172">
        <f t="shared" si="152"/>
        <v>182455458.11629227</v>
      </c>
      <c r="BA129" s="172">
        <f t="shared" si="152"/>
        <v>17778332.275719054</v>
      </c>
      <c r="BB129" s="172">
        <f t="shared" si="152"/>
        <v>1091.3418822402768</v>
      </c>
      <c r="BC129" s="170"/>
      <c r="BD129" s="325">
        <f>X129/$E117</f>
        <v>7.5078992318289579</v>
      </c>
      <c r="BE129" s="325">
        <f>Y129/$E117</f>
        <v>6.7370399651525456E-2</v>
      </c>
      <c r="BF129" s="325">
        <f>Z129/$E117</f>
        <v>246.50010847134573</v>
      </c>
      <c r="BG129" s="325">
        <f>AA129/$E117</f>
        <v>22.281552230762099</v>
      </c>
      <c r="BH129" s="325">
        <f>AB129/$E117</f>
        <v>1.3690554635938132E-3</v>
      </c>
      <c r="BI129" s="326"/>
      <c r="BJ129" s="320">
        <f t="shared" si="153"/>
        <v>5536598.7778437901</v>
      </c>
      <c r="BK129" s="320">
        <f t="shared" si="153"/>
        <v>49681.390340479884</v>
      </c>
      <c r="BL129" s="320">
        <f t="shared" si="153"/>
        <v>181778172.18363887</v>
      </c>
      <c r="BM129" s="320">
        <f t="shared" si="153"/>
        <v>16431229.434501611</v>
      </c>
      <c r="BN129" s="320">
        <f t="shared" si="153"/>
        <v>1009.5914412915434</v>
      </c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</row>
    <row r="130" spans="1:76" x14ac:dyDescent="0.35">
      <c r="A130" s="168">
        <v>10</v>
      </c>
      <c r="B130" s="169">
        <f t="shared" si="144"/>
        <v>0.74949231587741649</v>
      </c>
      <c r="C130" s="170"/>
      <c r="D130" s="154">
        <f t="shared" si="145"/>
        <v>-251518.67088644486</v>
      </c>
      <c r="E130" s="154">
        <f t="shared" si="145"/>
        <v>30972.512821932149</v>
      </c>
      <c r="F130" s="154">
        <f t="shared" si="145"/>
        <v>792243.87865572295</v>
      </c>
      <c r="G130" s="154">
        <f t="shared" si="154"/>
        <v>70509.705200359342</v>
      </c>
      <c r="H130" s="154">
        <f t="shared" si="146"/>
        <v>1675975.4033697357</v>
      </c>
      <c r="I130" s="154">
        <f t="shared" si="146"/>
        <v>101.62762741034221</v>
      </c>
      <c r="J130" s="154">
        <f t="shared" si="146"/>
        <v>-442994.62431204406</v>
      </c>
      <c r="K130" s="170"/>
      <c r="L130" s="171">
        <f t="shared" si="147"/>
        <v>-4.4063568781323871E-2</v>
      </c>
      <c r="M130" s="171">
        <f t="shared" si="147"/>
        <v>0.37976988076666529</v>
      </c>
      <c r="N130" s="171">
        <f t="shared" si="147"/>
        <v>4.1197549886237955E-3</v>
      </c>
      <c r="O130" s="171">
        <f t="shared" si="148"/>
        <v>8.7072982372293314E-2</v>
      </c>
      <c r="P130" s="171">
        <f t="shared" si="148"/>
        <v>8.6019958099366023E-2</v>
      </c>
      <c r="Q130" s="170"/>
      <c r="R130" s="154">
        <v>185943.11617646419</v>
      </c>
      <c r="S130" s="154">
        <v>2656.7180546262662</v>
      </c>
      <c r="T130" s="154">
        <v>6264364.9065702334</v>
      </c>
      <c r="U130" s="154">
        <v>627008.98560725572</v>
      </c>
      <c r="V130" s="154">
        <v>38.485940492875748</v>
      </c>
      <c r="W130" s="170"/>
      <c r="X130" s="154">
        <v>194136.43346551951</v>
      </c>
      <c r="Y130" s="154">
        <v>1647.7765557902021</v>
      </c>
      <c r="Z130" s="154">
        <v>6238557.2579958308</v>
      </c>
      <c r="AA130" s="154">
        <v>572413.44325620565</v>
      </c>
      <c r="AB130" s="154">
        <v>35.175381504263882</v>
      </c>
      <c r="AC130" s="170"/>
      <c r="AD130" s="154">
        <f t="shared" si="149"/>
        <v>-8193.3172890553251</v>
      </c>
      <c r="AE130" s="154">
        <f t="shared" si="149"/>
        <v>1008.9414988360641</v>
      </c>
      <c r="AF130" s="154">
        <f t="shared" si="149"/>
        <v>25807.648574402556</v>
      </c>
      <c r="AG130" s="154">
        <f t="shared" si="149"/>
        <v>54595.54235105007</v>
      </c>
      <c r="AH130" s="154">
        <f t="shared" si="149"/>
        <v>3.3105589886118665</v>
      </c>
      <c r="AI130" s="154">
        <v>-14430.720000000005</v>
      </c>
      <c r="AJ130" s="170"/>
      <c r="AK130" s="183">
        <f t="shared" ref="AK130:AP130" si="164">AD130/$E117</f>
        <v>-0.33558538968074236</v>
      </c>
      <c r="AL130" s="183">
        <f t="shared" si="164"/>
        <v>4.1324656925499248E-2</v>
      </c>
      <c r="AM130" s="183">
        <f t="shared" si="164"/>
        <v>1.0570406952448312</v>
      </c>
      <c r="AN130" s="183">
        <f t="shared" si="164"/>
        <v>2.2361475466332204</v>
      </c>
      <c r="AO130" s="183">
        <f t="shared" si="164"/>
        <v>1.3559528931443237E-4</v>
      </c>
      <c r="AP130" s="183">
        <f t="shared" si="164"/>
        <v>-0.59105959451157097</v>
      </c>
      <c r="AQ130" s="170"/>
      <c r="AR130" s="184">
        <f t="shared" si="156"/>
        <v>7.6159375865846481</v>
      </c>
      <c r="AS130" s="184">
        <f t="shared" si="151"/>
        <v>0.10881499302175983</v>
      </c>
      <c r="AT130" s="184">
        <f t="shared" si="151"/>
        <v>256.57853395741279</v>
      </c>
      <c r="AU130" s="184">
        <f t="shared" si="151"/>
        <v>25.681301888480675</v>
      </c>
      <c r="AV130" s="184">
        <f t="shared" si="151"/>
        <v>1.5763235917622669E-3</v>
      </c>
      <c r="AW130" s="170"/>
      <c r="AX130" s="172">
        <f t="shared" si="152"/>
        <v>5708086.6993471896</v>
      </c>
      <c r="AY130" s="172">
        <f t="shared" si="152"/>
        <v>81556.001122063695</v>
      </c>
      <c r="AZ130" s="172">
        <f t="shared" si="152"/>
        <v>192303639.62017366</v>
      </c>
      <c r="BA130" s="172">
        <f t="shared" si="152"/>
        <v>19247938.427144449</v>
      </c>
      <c r="BB130" s="172">
        <f t="shared" si="152"/>
        <v>1181.4424193621087</v>
      </c>
      <c r="BC130" s="170"/>
      <c r="BD130" s="325">
        <f>X130/$E117</f>
        <v>7.951522976265391</v>
      </c>
      <c r="BE130" s="325">
        <f>Y130/$E117</f>
        <v>6.7490336096260581E-2</v>
      </c>
      <c r="BF130" s="325">
        <f>Z130/$E117</f>
        <v>255.52149326216795</v>
      </c>
      <c r="BG130" s="325">
        <f>AA130/$E117</f>
        <v>23.445154341847456</v>
      </c>
      <c r="BH130" s="325">
        <f>AB130/$E117</f>
        <v>1.4407283024478346E-3</v>
      </c>
      <c r="BI130" s="326"/>
      <c r="BJ130" s="320">
        <f t="shared" si="153"/>
        <v>5959605.3702336354</v>
      </c>
      <c r="BK130" s="320">
        <f t="shared" si="153"/>
        <v>50583.488300131539</v>
      </c>
      <c r="BL130" s="320">
        <f t="shared" si="153"/>
        <v>191511395.74151793</v>
      </c>
      <c r="BM130" s="320">
        <f t="shared" si="153"/>
        <v>17571963.023774717</v>
      </c>
      <c r="BN130" s="320">
        <f t="shared" si="153"/>
        <v>1079.8147919517664</v>
      </c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</row>
    <row r="131" spans="1:76" x14ac:dyDescent="0.35">
      <c r="A131" s="168">
        <v>11</v>
      </c>
      <c r="B131" s="169">
        <f t="shared" si="144"/>
        <v>0.19974315397940476</v>
      </c>
      <c r="C131" s="170"/>
      <c r="D131" s="154">
        <f t="shared" si="145"/>
        <v>-186077.77746354716</v>
      </c>
      <c r="E131" s="154">
        <f t="shared" si="145"/>
        <v>22061.357400635869</v>
      </c>
      <c r="F131" s="154">
        <f t="shared" si="145"/>
        <v>485368.44484640897</v>
      </c>
      <c r="G131" s="154">
        <f t="shared" si="154"/>
        <v>43197.791591330395</v>
      </c>
      <c r="H131" s="154">
        <f t="shared" si="146"/>
        <v>1258870.519908146</v>
      </c>
      <c r="I131" s="154">
        <f t="shared" si="146"/>
        <v>74.618078410313828</v>
      </c>
      <c r="J131" s="154">
        <f t="shared" si="146"/>
        <v>-118060.10759752926</v>
      </c>
      <c r="K131" s="170"/>
      <c r="L131" s="171">
        <f t="shared" si="147"/>
        <v>-0.12069271503768707</v>
      </c>
      <c r="M131" s="171">
        <f t="shared" si="147"/>
        <v>0.61031449634268942</v>
      </c>
      <c r="N131" s="171">
        <f t="shared" si="147"/>
        <v>8.445249336998006E-3</v>
      </c>
      <c r="O131" s="171">
        <f t="shared" si="148"/>
        <v>0.18829231658075868</v>
      </c>
      <c r="P131" s="171">
        <f t="shared" si="148"/>
        <v>0.18331550187136259</v>
      </c>
      <c r="Q131" s="170"/>
      <c r="R131" s="154">
        <v>188450.92718460559</v>
      </c>
      <c r="S131" s="154">
        <v>4418.3831121973026</v>
      </c>
      <c r="T131" s="154">
        <v>7024960.5137799801</v>
      </c>
      <c r="U131" s="154">
        <v>817209.28091229126</v>
      </c>
      <c r="V131" s="154">
        <v>49.754193865868629</v>
      </c>
      <c r="W131" s="170"/>
      <c r="X131" s="154">
        <v>211195.58123788511</v>
      </c>
      <c r="Y131" s="154">
        <v>1721.779848427562</v>
      </c>
      <c r="Z131" s="154">
        <v>6965632.9706585426</v>
      </c>
      <c r="AA131" s="154">
        <v>663335.05227801995</v>
      </c>
      <c r="AB131" s="154">
        <v>40.633478847141852</v>
      </c>
      <c r="AC131" s="170"/>
      <c r="AD131" s="154">
        <f t="shared" si="149"/>
        <v>-22744.654053279519</v>
      </c>
      <c r="AE131" s="154">
        <f t="shared" si="149"/>
        <v>2696.6032637697408</v>
      </c>
      <c r="AF131" s="154">
        <f t="shared" si="149"/>
        <v>59327.543121437542</v>
      </c>
      <c r="AG131" s="154">
        <f t="shared" si="149"/>
        <v>153874.22863427131</v>
      </c>
      <c r="AH131" s="154">
        <f t="shared" si="149"/>
        <v>9.1207150187267771</v>
      </c>
      <c r="AI131" s="154">
        <v>-14430.720000000005</v>
      </c>
      <c r="AJ131" s="170"/>
      <c r="AK131" s="183">
        <f t="shared" ref="AK131:AP131" si="165">AD131/$E117</f>
        <v>-0.93158525714845464</v>
      </c>
      <c r="AL131" s="183">
        <f t="shared" si="165"/>
        <v>0.11044862845667584</v>
      </c>
      <c r="AM131" s="183">
        <f t="shared" si="165"/>
        <v>2.4299628556804236</v>
      </c>
      <c r="AN131" s="183">
        <f t="shared" si="165"/>
        <v>6.302446390918341</v>
      </c>
      <c r="AO131" s="183">
        <f t="shared" si="165"/>
        <v>3.7357014207359317E-4</v>
      </c>
      <c r="AP131" s="183">
        <f t="shared" si="165"/>
        <v>-0.59105959451157097</v>
      </c>
      <c r="AQ131" s="170"/>
      <c r="AR131" s="184">
        <f t="shared" si="156"/>
        <v>7.7186535811839274</v>
      </c>
      <c r="AS131" s="184">
        <f t="shared" si="151"/>
        <v>0.18097002302671727</v>
      </c>
      <c r="AT131" s="184">
        <f t="shared" si="151"/>
        <v>287.73133376121154</v>
      </c>
      <c r="AU131" s="184">
        <f t="shared" si="151"/>
        <v>33.471606836464929</v>
      </c>
      <c r="AV131" s="184">
        <f t="shared" si="151"/>
        <v>2.0378535271705356E-3</v>
      </c>
      <c r="AW131" s="170"/>
      <c r="AX131" s="172">
        <f t="shared" si="152"/>
        <v>1541748.2107801053</v>
      </c>
      <c r="AY131" s="172">
        <f t="shared" si="152"/>
        <v>36147.523175082009</v>
      </c>
      <c r="AZ131" s="172">
        <f t="shared" si="152"/>
        <v>57472364.104165182</v>
      </c>
      <c r="BA131" s="172">
        <f t="shared" si="152"/>
        <v>6685724.3182741115</v>
      </c>
      <c r="BB131" s="172">
        <f t="shared" si="152"/>
        <v>407.04729086509735</v>
      </c>
      <c r="BC131" s="170"/>
      <c r="BD131" s="325">
        <f>X131/$E117</f>
        <v>8.6502388383323829</v>
      </c>
      <c r="BE131" s="325">
        <f>Y131/$E117</f>
        <v>7.0521394570041446E-2</v>
      </c>
      <c r="BF131" s="325">
        <f>Z131/$E117</f>
        <v>285.30137090553114</v>
      </c>
      <c r="BG131" s="325">
        <f>AA131/$E117</f>
        <v>27.169160445546588</v>
      </c>
      <c r="BH131" s="325">
        <f>AB131/$E117</f>
        <v>1.6642833850969425E-3</v>
      </c>
      <c r="BI131" s="326"/>
      <c r="BJ131" s="320">
        <f t="shared" si="153"/>
        <v>1727825.9882436525</v>
      </c>
      <c r="BK131" s="320">
        <f t="shared" si="153"/>
        <v>14086.165774446148</v>
      </c>
      <c r="BL131" s="320">
        <f t="shared" si="153"/>
        <v>56986995.659318782</v>
      </c>
      <c r="BM131" s="320">
        <f t="shared" si="153"/>
        <v>5426853.7983659655</v>
      </c>
      <c r="BN131" s="320">
        <f t="shared" si="153"/>
        <v>332.42921245478357</v>
      </c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</row>
    <row r="132" spans="1:76" x14ac:dyDescent="0.35">
      <c r="A132" s="168">
        <v>12</v>
      </c>
      <c r="B132" s="169">
        <f t="shared" si="144"/>
        <v>0.83993546597666213</v>
      </c>
      <c r="C132" s="170"/>
      <c r="D132" s="154">
        <f t="shared" si="145"/>
        <v>-725192.94786737487</v>
      </c>
      <c r="E132" s="154">
        <f t="shared" si="145"/>
        <v>85804.208916318472</v>
      </c>
      <c r="F132" s="154">
        <f t="shared" si="145"/>
        <v>735960.39803186874</v>
      </c>
      <c r="G132" s="154">
        <f t="shared" si="154"/>
        <v>65500.475424836317</v>
      </c>
      <c r="H132" s="154">
        <f t="shared" si="146"/>
        <v>4864915.1257378152</v>
      </c>
      <c r="I132" s="154">
        <f t="shared" si="146"/>
        <v>288.28939594718582</v>
      </c>
      <c r="J132" s="154">
        <f t="shared" si="146"/>
        <v>-496451.91593605332</v>
      </c>
      <c r="K132" s="170"/>
      <c r="L132" s="171">
        <f t="shared" si="147"/>
        <v>-0.12427003796708638</v>
      </c>
      <c r="M132" s="171">
        <f t="shared" si="147"/>
        <v>0.58966891567868274</v>
      </c>
      <c r="N132" s="171">
        <f t="shared" si="147"/>
        <v>3.3837772474523409E-3</v>
      </c>
      <c r="O132" s="171">
        <f t="shared" si="148"/>
        <v>0.18765357498210963</v>
      </c>
      <c r="P132" s="171">
        <f t="shared" si="148"/>
        <v>0.18272971150697076</v>
      </c>
      <c r="Q132" s="170"/>
      <c r="R132" s="154">
        <v>169628.15959539721</v>
      </c>
      <c r="S132" s="154">
        <v>4229.7155907290125</v>
      </c>
      <c r="T132" s="154">
        <v>6322130.9739476461</v>
      </c>
      <c r="U132" s="154">
        <v>753579.77546542464</v>
      </c>
      <c r="V132" s="154">
        <v>45.859604887116639</v>
      </c>
      <c r="W132" s="170"/>
      <c r="X132" s="154">
        <v>190707.85742860421</v>
      </c>
      <c r="Y132" s="154">
        <v>1735.583784714617</v>
      </c>
      <c r="Z132" s="154">
        <v>6300738.2910025883</v>
      </c>
      <c r="AA132" s="154">
        <v>612167.83656512224</v>
      </c>
      <c r="AB132" s="154">
        <v>37.479692516270148</v>
      </c>
      <c r="AC132" s="170"/>
      <c r="AD132" s="154">
        <f t="shared" si="149"/>
        <v>-21079.697833206999</v>
      </c>
      <c r="AE132" s="154">
        <f t="shared" si="149"/>
        <v>2494.1318060143958</v>
      </c>
      <c r="AF132" s="154">
        <f t="shared" si="149"/>
        <v>21392.68294505775</v>
      </c>
      <c r="AG132" s="154">
        <f t="shared" si="149"/>
        <v>141411.9389003024</v>
      </c>
      <c r="AH132" s="154">
        <f t="shared" si="149"/>
        <v>8.3799123708464904</v>
      </c>
      <c r="AI132" s="154">
        <v>-14430.720000000005</v>
      </c>
      <c r="AJ132" s="170"/>
      <c r="AK132" s="183">
        <f t="shared" ref="AK132:AP132" si="166">AD132/$E117</f>
        <v>-0.86339126902342822</v>
      </c>
      <c r="AL132" s="183">
        <f t="shared" si="166"/>
        <v>0.10215571599485546</v>
      </c>
      <c r="AM132" s="183">
        <f t="shared" si="166"/>
        <v>0.87621064694072293</v>
      </c>
      <c r="AN132" s="183">
        <f t="shared" si="166"/>
        <v>5.792010604149187</v>
      </c>
      <c r="AO132" s="183">
        <f t="shared" si="166"/>
        <v>3.4322803075349133E-4</v>
      </c>
      <c r="AP132" s="183">
        <f t="shared" si="166"/>
        <v>-0.59105959451157097</v>
      </c>
      <c r="AQ132" s="170"/>
      <c r="AR132" s="184">
        <f t="shared" si="156"/>
        <v>6.9477026252466603</v>
      </c>
      <c r="AS132" s="184">
        <f t="shared" si="151"/>
        <v>0.17324249808433392</v>
      </c>
      <c r="AT132" s="184">
        <f t="shared" si="151"/>
        <v>258.94454122251261</v>
      </c>
      <c r="AU132" s="184">
        <f t="shared" si="151"/>
        <v>30.865442370076781</v>
      </c>
      <c r="AV132" s="184">
        <f t="shared" si="151"/>
        <v>1.8783372880244373E-3</v>
      </c>
      <c r="AW132" s="170"/>
      <c r="AX132" s="172">
        <f t="shared" si="152"/>
        <v>5835621.8420038326</v>
      </c>
      <c r="AY132" s="172">
        <f t="shared" si="152"/>
        <v>145512.518355426</v>
      </c>
      <c r="AZ132" s="172">
        <f t="shared" si="152"/>
        <v>217496703.89384413</v>
      </c>
      <c r="BA132" s="172">
        <f t="shared" si="152"/>
        <v>25924979.719686251</v>
      </c>
      <c r="BB132" s="172">
        <f t="shared" si="152"/>
        <v>1577.6821052781456</v>
      </c>
      <c r="BC132" s="170"/>
      <c r="BD132" s="325">
        <f>X132/$E117</f>
        <v>7.8110938942700887</v>
      </c>
      <c r="BE132" s="325">
        <f>Y132/$E117</f>
        <v>7.1086782089478481E-2</v>
      </c>
      <c r="BF132" s="325">
        <f>Z132/$E117</f>
        <v>258.06833057557191</v>
      </c>
      <c r="BG132" s="325">
        <f>AA132/$E117</f>
        <v>25.073431765927594</v>
      </c>
      <c r="BH132" s="325">
        <f>AB132/$E117</f>
        <v>1.5351092572709461E-3</v>
      </c>
      <c r="BI132" s="326"/>
      <c r="BJ132" s="320">
        <f t="shared" si="153"/>
        <v>6560814.7898712074</v>
      </c>
      <c r="BK132" s="320">
        <f t="shared" si="153"/>
        <v>59708.30943910755</v>
      </c>
      <c r="BL132" s="320">
        <f t="shared" si="153"/>
        <v>216760743.49581227</v>
      </c>
      <c r="BM132" s="320">
        <f t="shared" si="153"/>
        <v>21060064.593948435</v>
      </c>
      <c r="BN132" s="320">
        <f t="shared" si="153"/>
        <v>1289.3927093309596</v>
      </c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</row>
    <row r="133" spans="1:76" x14ac:dyDescent="0.35">
      <c r="A133" s="168">
        <v>13</v>
      </c>
      <c r="B133" s="169">
        <f t="shared" si="144"/>
        <v>0.43525728016291126</v>
      </c>
      <c r="C133" s="170"/>
      <c r="D133" s="154">
        <f t="shared" si="145"/>
        <v>-325223.42126703728</v>
      </c>
      <c r="E133" s="154">
        <f t="shared" si="145"/>
        <v>38656.624729429182</v>
      </c>
      <c r="F133" s="154">
        <f t="shared" si="145"/>
        <v>403194.03068660357</v>
      </c>
      <c r="G133" s="154">
        <f t="shared" si="154"/>
        <v>35884.268731107717</v>
      </c>
      <c r="H133" s="154">
        <f t="shared" si="146"/>
        <v>2194574.8595126257</v>
      </c>
      <c r="I133" s="154">
        <f t="shared" si="146"/>
        <v>130.0546577388136</v>
      </c>
      <c r="J133" s="154">
        <f t="shared" si="146"/>
        <v>-257262.99152129955</v>
      </c>
      <c r="K133" s="170"/>
      <c r="L133" s="171">
        <f t="shared" si="147"/>
        <v>-9.4436795204110802E-2</v>
      </c>
      <c r="M133" s="171">
        <f t="shared" si="147"/>
        <v>0.56088961455648423</v>
      </c>
      <c r="N133" s="171">
        <f t="shared" si="147"/>
        <v>3.231293041269272E-3</v>
      </c>
      <c r="O133" s="171">
        <f t="shared" si="148"/>
        <v>0.15943628071814675</v>
      </c>
      <c r="P133" s="171">
        <f t="shared" si="148"/>
        <v>0.1550557563152396</v>
      </c>
      <c r="Q133" s="170"/>
      <c r="R133" s="154">
        <v>193175.15010840041</v>
      </c>
      <c r="S133" s="154">
        <v>3865.958763831075</v>
      </c>
      <c r="T133" s="154">
        <v>6999200.4766663425</v>
      </c>
      <c r="U133" s="154">
        <v>772100.67070922186</v>
      </c>
      <c r="V133" s="154">
        <v>47.048816302833046</v>
      </c>
      <c r="W133" s="170"/>
      <c r="X133" s="154">
        <v>211417.99219771079</v>
      </c>
      <c r="Y133" s="154">
        <v>1697.5826428946009</v>
      </c>
      <c r="Z133" s="154">
        <v>6976584.0088716419</v>
      </c>
      <c r="AA133" s="154">
        <v>648999.81143135694</v>
      </c>
      <c r="AB133" s="154">
        <v>39.753626507260492</v>
      </c>
      <c r="AC133" s="170"/>
      <c r="AD133" s="154">
        <f t="shared" si="149"/>
        <v>-18242.842089310376</v>
      </c>
      <c r="AE133" s="154">
        <f t="shared" si="149"/>
        <v>2168.3761209364739</v>
      </c>
      <c r="AF133" s="154">
        <f t="shared" si="149"/>
        <v>22616.467794700526</v>
      </c>
      <c r="AG133" s="154">
        <f t="shared" si="149"/>
        <v>123100.85927786492</v>
      </c>
      <c r="AH133" s="154">
        <f t="shared" si="149"/>
        <v>7.2951897955725542</v>
      </c>
      <c r="AI133" s="154">
        <v>-14430.720000000005</v>
      </c>
      <c r="AJ133" s="170"/>
      <c r="AK133" s="183">
        <f t="shared" ref="AK133:AP133" si="167">AD133/$E117</f>
        <v>-0.74719811957036153</v>
      </c>
      <c r="AL133" s="183">
        <f t="shared" si="167"/>
        <v>8.8813275483779389E-2</v>
      </c>
      <c r="AM133" s="183">
        <f t="shared" si="167"/>
        <v>0.92633494960886853</v>
      </c>
      <c r="AN133" s="183">
        <f t="shared" si="167"/>
        <v>5.042017582546177</v>
      </c>
      <c r="AO133" s="183">
        <f t="shared" si="167"/>
        <v>2.9879950012584697E-4</v>
      </c>
      <c r="AP133" s="183">
        <f t="shared" si="167"/>
        <v>-0.59105959451157097</v>
      </c>
      <c r="AQ133" s="170"/>
      <c r="AR133" s="184">
        <f t="shared" si="156"/>
        <v>7.9121503218677214</v>
      </c>
      <c r="AS133" s="184">
        <f t="shared" si="151"/>
        <v>0.15834359057264283</v>
      </c>
      <c r="AT133" s="184">
        <f t="shared" si="151"/>
        <v>286.67624315651619</v>
      </c>
      <c r="AU133" s="184">
        <f t="shared" si="151"/>
        <v>31.624029109531921</v>
      </c>
      <c r="AV133" s="184">
        <f t="shared" si="151"/>
        <v>1.9270455172161805E-3</v>
      </c>
      <c r="AW133" s="170"/>
      <c r="AX133" s="172">
        <f t="shared" si="152"/>
        <v>3443821.0293362476</v>
      </c>
      <c r="AY133" s="172">
        <f t="shared" si="152"/>
        <v>68920.200563878112</v>
      </c>
      <c r="AZ133" s="172">
        <f t="shared" si="152"/>
        <v>124777921.88362664</v>
      </c>
      <c r="BA133" s="172">
        <f t="shared" si="152"/>
        <v>13764588.898007598</v>
      </c>
      <c r="BB133" s="172">
        <f t="shared" si="152"/>
        <v>838.76059057364535</v>
      </c>
      <c r="BC133" s="170"/>
      <c r="BD133" s="325">
        <f>X133/$E117</f>
        <v>8.6593484414380821</v>
      </c>
      <c r="BE133" s="325">
        <f>Y133/$E117</f>
        <v>6.953031508886344E-2</v>
      </c>
      <c r="BF133" s="325">
        <f>Z133/$E117</f>
        <v>285.74990820690732</v>
      </c>
      <c r="BG133" s="325">
        <f>AA133/$E117</f>
        <v>26.582011526985745</v>
      </c>
      <c r="BH133" s="325">
        <f>AB133/$E117</f>
        <v>1.6282460170903336E-3</v>
      </c>
      <c r="BI133" s="326"/>
      <c r="BJ133" s="320">
        <f t="shared" si="153"/>
        <v>3769044.4506032844</v>
      </c>
      <c r="BK133" s="320">
        <f t="shared" si="153"/>
        <v>30263.57583444893</v>
      </c>
      <c r="BL133" s="320">
        <f t="shared" si="153"/>
        <v>124374727.85294004</v>
      </c>
      <c r="BM133" s="320">
        <f t="shared" si="153"/>
        <v>11570014.038494971</v>
      </c>
      <c r="BN133" s="320">
        <f t="shared" si="153"/>
        <v>708.70593283483174</v>
      </c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</row>
    <row r="134" spans="1:76" x14ac:dyDescent="0.35">
      <c r="A134" s="168">
        <v>14</v>
      </c>
      <c r="B134" s="169">
        <f t="shared" si="144"/>
        <v>0.15499841557347382</v>
      </c>
      <c r="C134" s="170"/>
      <c r="D134" s="154">
        <f t="shared" si="145"/>
        <v>-129614.88816418179</v>
      </c>
      <c r="E134" s="154">
        <f t="shared" si="145"/>
        <v>14457.930573249485</v>
      </c>
      <c r="F134" s="154">
        <f t="shared" si="145"/>
        <v>-132772.39158289286</v>
      </c>
      <c r="G134" s="154">
        <f t="shared" si="154"/>
        <v>-11816.742850877465</v>
      </c>
      <c r="H134" s="154">
        <f t="shared" si="146"/>
        <v>736017.27300235711</v>
      </c>
      <c r="I134" s="154">
        <f t="shared" si="146"/>
        <v>44.585923129748629</v>
      </c>
      <c r="J134" s="154">
        <f t="shared" si="146"/>
        <v>-91613.300658793407</v>
      </c>
      <c r="K134" s="170"/>
      <c r="L134" s="171">
        <f t="shared" si="147"/>
        <v>-0.106829959317462</v>
      </c>
      <c r="M134" s="171">
        <f t="shared" si="147"/>
        <v>0.56767837811360311</v>
      </c>
      <c r="N134" s="171">
        <f t="shared" si="147"/>
        <v>-2.9595825386642153E-3</v>
      </c>
      <c r="O134" s="171">
        <f t="shared" si="148"/>
        <v>0.15061179168317113</v>
      </c>
      <c r="P134" s="171">
        <f t="shared" si="148"/>
        <v>0.14876470103785105</v>
      </c>
      <c r="Q134" s="170"/>
      <c r="R134" s="154">
        <v>191113.4692938806</v>
      </c>
      <c r="S134" s="154">
        <v>4011.7443699543478</v>
      </c>
      <c r="T134" s="154">
        <v>7066539.512407288</v>
      </c>
      <c r="U134" s="154">
        <v>769765.60438219912</v>
      </c>
      <c r="V134" s="154">
        <v>47.209275872172171</v>
      </c>
      <c r="W134" s="170"/>
      <c r="X134" s="154">
        <v>211530.11344356489</v>
      </c>
      <c r="Y134" s="154">
        <v>1734.363832612285</v>
      </c>
      <c r="Z134" s="154">
        <v>7087453.5193569893</v>
      </c>
      <c r="AA134" s="154">
        <v>653829.82753011701</v>
      </c>
      <c r="AB134" s="154">
        <v>40.186202060835043</v>
      </c>
      <c r="AC134" s="170"/>
      <c r="AD134" s="154">
        <f t="shared" si="149"/>
        <v>-20416.644149684289</v>
      </c>
      <c r="AE134" s="154">
        <f t="shared" si="149"/>
        <v>2277.3805373420628</v>
      </c>
      <c r="AF134" s="154">
        <f t="shared" si="149"/>
        <v>-20914.006949701346</v>
      </c>
      <c r="AG134" s="154">
        <f t="shared" si="149"/>
        <v>115935.77685208211</v>
      </c>
      <c r="AH134" s="154">
        <f t="shared" si="149"/>
        <v>7.0230738113371274</v>
      </c>
      <c r="AI134" s="154">
        <v>-14430.720000000005</v>
      </c>
      <c r="AJ134" s="170"/>
      <c r="AK134" s="183">
        <f t="shared" ref="AK134:AP134" si="168">AD134/$E117</f>
        <v>-0.83623363299956133</v>
      </c>
      <c r="AL134" s="183">
        <f t="shared" si="168"/>
        <v>9.3277924937213305E-2</v>
      </c>
      <c r="AM134" s="183">
        <f t="shared" si="168"/>
        <v>-0.85660483103425544</v>
      </c>
      <c r="AN134" s="183">
        <f t="shared" si="168"/>
        <v>4.7485470756535779</v>
      </c>
      <c r="AO134" s="183">
        <f t="shared" si="168"/>
        <v>2.876540573965647E-4</v>
      </c>
      <c r="AP134" s="183">
        <f t="shared" si="168"/>
        <v>-0.59105959451157097</v>
      </c>
      <c r="AQ134" s="170"/>
      <c r="AR134" s="184">
        <f t="shared" si="156"/>
        <v>7.8277071183240059</v>
      </c>
      <c r="AS134" s="184">
        <f t="shared" si="151"/>
        <v>0.16431473970732532</v>
      </c>
      <c r="AT134" s="184">
        <f t="shared" si="151"/>
        <v>289.43434414938719</v>
      </c>
      <c r="AU134" s="184">
        <f t="shared" si="151"/>
        <v>31.528388465377805</v>
      </c>
      <c r="AV134" s="184">
        <f t="shared" si="151"/>
        <v>1.9336176888049221E-3</v>
      </c>
      <c r="AW134" s="170"/>
      <c r="AX134" s="172">
        <f t="shared" si="152"/>
        <v>1213282.2009134234</v>
      </c>
      <c r="AY134" s="172">
        <f t="shared" si="152"/>
        <v>25468.524310003191</v>
      </c>
      <c r="AZ134" s="172">
        <f t="shared" si="152"/>
        <v>44861864.755702555</v>
      </c>
      <c r="BA134" s="172">
        <f t="shared" si="152"/>
        <v>4886850.2577185482</v>
      </c>
      <c r="BB134" s="172">
        <f t="shared" si="152"/>
        <v>299.70767808960528</v>
      </c>
      <c r="BC134" s="170"/>
      <c r="BD134" s="325">
        <f>X134/$E117</f>
        <v>8.6639407513235671</v>
      </c>
      <c r="BE134" s="325">
        <f>Y134/$E117</f>
        <v>7.103681477011202E-2</v>
      </c>
      <c r="BF134" s="325">
        <f>Z134/$E117</f>
        <v>290.29094898042143</v>
      </c>
      <c r="BG134" s="325">
        <f>AA134/$E117</f>
        <v>26.779841389724226</v>
      </c>
      <c r="BH134" s="325">
        <f>AB134/$E117</f>
        <v>1.6459636314083573E-3</v>
      </c>
      <c r="BI134" s="326"/>
      <c r="BJ134" s="320">
        <f t="shared" si="153"/>
        <v>1342897.0890776054</v>
      </c>
      <c r="BK134" s="320">
        <f t="shared" si="153"/>
        <v>11010.593736753706</v>
      </c>
      <c r="BL134" s="320">
        <f t="shared" si="153"/>
        <v>44994637.147285454</v>
      </c>
      <c r="BM134" s="320">
        <f t="shared" si="153"/>
        <v>4150832.9847161905</v>
      </c>
      <c r="BN134" s="320">
        <f t="shared" si="153"/>
        <v>255.12175495985664</v>
      </c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</row>
    <row r="135" spans="1:76" x14ac:dyDescent="0.35">
      <c r="A135" s="168">
        <v>15</v>
      </c>
      <c r="B135" s="169">
        <f t="shared" si="144"/>
        <v>0.10858136496139391</v>
      </c>
      <c r="C135" s="170"/>
      <c r="D135" s="154">
        <f t="shared" si="145"/>
        <v>-12633.934312026015</v>
      </c>
      <c r="E135" s="154">
        <f t="shared" si="145"/>
        <v>1696.7619606437684</v>
      </c>
      <c r="F135" s="154">
        <f t="shared" si="145"/>
        <v>26812.450396554173</v>
      </c>
      <c r="G135" s="154">
        <f t="shared" si="154"/>
        <v>2386.3080852933213</v>
      </c>
      <c r="H135" s="154">
        <f t="shared" si="146"/>
        <v>94020.22529369987</v>
      </c>
      <c r="I135" s="154">
        <f t="shared" si="146"/>
        <v>5.7033131671021033</v>
      </c>
      <c r="J135" s="154">
        <f t="shared" si="146"/>
        <v>-64178.057545594384</v>
      </c>
      <c r="K135" s="170"/>
      <c r="L135" s="171">
        <f t="shared" si="147"/>
        <v>-1.1355418107641239E-2</v>
      </c>
      <c r="M135" s="171">
        <f t="shared" si="147"/>
        <v>0.2076489783676545</v>
      </c>
      <c r="N135" s="171">
        <f t="shared" si="147"/>
        <v>7.4548123875854688E-4</v>
      </c>
      <c r="O135" s="171">
        <f t="shared" si="148"/>
        <v>3.096323824273298E-2</v>
      </c>
      <c r="P135" s="171">
        <f t="shared" si="148"/>
        <v>3.056006053612147E-2</v>
      </c>
      <c r="Q135" s="170"/>
      <c r="R135" s="154">
        <v>250170.97244652719</v>
      </c>
      <c r="S135" s="154">
        <v>1837.352786511557</v>
      </c>
      <c r="T135" s="154">
        <v>8087256.5377345057</v>
      </c>
      <c r="U135" s="154">
        <v>682773.00967214233</v>
      </c>
      <c r="V135" s="154">
        <v>41.963764472660728</v>
      </c>
      <c r="W135" s="170"/>
      <c r="X135" s="154">
        <v>253011.7684370527</v>
      </c>
      <c r="Y135" s="154">
        <v>1455.828357491469</v>
      </c>
      <c r="Z135" s="154">
        <v>8081227.6397125972</v>
      </c>
      <c r="AA135" s="154">
        <v>661632.14630795596</v>
      </c>
      <c r="AB135" s="154">
        <v>40.681349290052673</v>
      </c>
      <c r="AC135" s="170"/>
      <c r="AD135" s="154">
        <f t="shared" si="149"/>
        <v>-2840.795990525512</v>
      </c>
      <c r="AE135" s="154">
        <f t="shared" si="149"/>
        <v>381.52442902008806</v>
      </c>
      <c r="AF135" s="154">
        <f t="shared" si="149"/>
        <v>6028.8980219084769</v>
      </c>
      <c r="AG135" s="154">
        <f t="shared" si="149"/>
        <v>21140.863364186371</v>
      </c>
      <c r="AH135" s="154">
        <f t="shared" si="149"/>
        <v>1.2824151826080552</v>
      </c>
      <c r="AI135" s="154">
        <v>-14430.720000000005</v>
      </c>
      <c r="AJ135" s="170"/>
      <c r="AK135" s="183">
        <f t="shared" ref="AK135:AP135" si="169">AD135/$E117</f>
        <v>-0.11635453575775187</v>
      </c>
      <c r="AL135" s="183">
        <f t="shared" si="169"/>
        <v>1.5626640549665699E-2</v>
      </c>
      <c r="AM135" s="183">
        <f t="shared" si="169"/>
        <v>0.24693418070483214</v>
      </c>
      <c r="AN135" s="183">
        <f t="shared" si="169"/>
        <v>0.8658965129709757</v>
      </c>
      <c r="AO135" s="183">
        <f t="shared" si="169"/>
        <v>5.252570889240447E-5</v>
      </c>
      <c r="AP135" s="183">
        <f t="shared" si="169"/>
        <v>-0.59105959451157097</v>
      </c>
      <c r="AQ135" s="170"/>
      <c r="AR135" s="184">
        <f t="shared" si="156"/>
        <v>10.246609561602588</v>
      </c>
      <c r="AS135" s="184">
        <f t="shared" si="151"/>
        <v>7.5255080340428299E-2</v>
      </c>
      <c r="AT135" s="184">
        <f t="shared" si="151"/>
        <v>331.24130811937357</v>
      </c>
      <c r="AU135" s="184">
        <f t="shared" si="151"/>
        <v>27.965308608320392</v>
      </c>
      <c r="AV135" s="184">
        <f t="shared" si="151"/>
        <v>1.7187697920401691E-3</v>
      </c>
      <c r="AW135" s="170"/>
      <c r="AX135" s="172">
        <f t="shared" si="152"/>
        <v>1112590.8524252791</v>
      </c>
      <c r="AY135" s="172">
        <f t="shared" si="152"/>
        <v>8171.2993436430652</v>
      </c>
      <c r="AZ135" s="172">
        <f t="shared" si="152"/>
        <v>35966633.367199235</v>
      </c>
      <c r="BA135" s="172">
        <f t="shared" si="152"/>
        <v>3036511.380258047</v>
      </c>
      <c r="BB135" s="172">
        <f t="shared" si="152"/>
        <v>186.62637007413269</v>
      </c>
      <c r="BC135" s="170"/>
      <c r="BD135" s="325">
        <f>X135/$E117</f>
        <v>10.36296409736034</v>
      </c>
      <c r="BE135" s="325">
        <f>Y135/$E117</f>
        <v>5.9628439790762607E-2</v>
      </c>
      <c r="BF135" s="325">
        <f>Z135/$E117</f>
        <v>330.99437393866873</v>
      </c>
      <c r="BG135" s="325">
        <f>AA135/$E117</f>
        <v>27.099412095349415</v>
      </c>
      <c r="BH135" s="325">
        <f>AB135/$E117</f>
        <v>1.6662440831477646E-3</v>
      </c>
      <c r="BI135" s="326"/>
      <c r="BJ135" s="320">
        <f t="shared" si="153"/>
        <v>1125224.7867373051</v>
      </c>
      <c r="BK135" s="320">
        <f t="shared" si="153"/>
        <v>6474.5373829992968</v>
      </c>
      <c r="BL135" s="320">
        <f t="shared" si="153"/>
        <v>35939820.916802682</v>
      </c>
      <c r="BM135" s="320">
        <f t="shared" si="153"/>
        <v>2942491.1549643469</v>
      </c>
      <c r="BN135" s="320">
        <f t="shared" si="153"/>
        <v>180.92305690703063</v>
      </c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</row>
    <row r="136" spans="1:76" x14ac:dyDescent="0.35">
      <c r="A136" s="168">
        <v>16</v>
      </c>
      <c r="B136" s="169">
        <f t="shared" si="144"/>
        <v>5.9644756181042355E-2</v>
      </c>
      <c r="C136" s="170"/>
      <c r="D136" s="154">
        <f t="shared" si="145"/>
        <v>-15846.479330283717</v>
      </c>
      <c r="E136" s="154">
        <f t="shared" si="145"/>
        <v>1032.232418444838</v>
      </c>
      <c r="F136" s="154">
        <f t="shared" si="145"/>
        <v>-189260.14893486022</v>
      </c>
      <c r="G136" s="154">
        <f t="shared" si="154"/>
        <v>-16844.15325520256</v>
      </c>
      <c r="H136" s="154">
        <f t="shared" si="146"/>
        <v>51762.917498991803</v>
      </c>
      <c r="I136" s="154">
        <f t="shared" si="146"/>
        <v>3.1348525318631069</v>
      </c>
      <c r="J136" s="154">
        <f t="shared" si="146"/>
        <v>42983.140729931249</v>
      </c>
      <c r="K136" s="170"/>
      <c r="L136" s="171">
        <f t="shared" si="147"/>
        <v>-3.9598742250994953E-2</v>
      </c>
      <c r="M136" s="171">
        <f t="shared" si="147"/>
        <v>5.5398645676635348E-2</v>
      </c>
      <c r="N136" s="171">
        <f t="shared" si="147"/>
        <v>-1.2094386668221399E-2</v>
      </c>
      <c r="O136" s="171">
        <f t="shared" si="148"/>
        <v>1.9825976060008993E-2</v>
      </c>
      <c r="P136" s="171">
        <f t="shared" si="148"/>
        <v>1.9609888526057231E-2</v>
      </c>
      <c r="Q136" s="170"/>
      <c r="R136" s="154">
        <v>163808.28278050161</v>
      </c>
      <c r="S136" s="154">
        <v>7627.1591360699167</v>
      </c>
      <c r="T136" s="154">
        <v>6405599.6131957555</v>
      </c>
      <c r="U136" s="154">
        <v>1068731.5489964187</v>
      </c>
      <c r="V136" s="154">
        <v>65.437462767982311</v>
      </c>
      <c r="W136" s="170"/>
      <c r="X136" s="154">
        <v>170294.88474890479</v>
      </c>
      <c r="Y136" s="154">
        <v>7204.6248495714672</v>
      </c>
      <c r="Z136" s="154">
        <v>6483071.4117595544</v>
      </c>
      <c r="AA136" s="154">
        <v>1047542.9028914394</v>
      </c>
      <c r="AB136" s="154">
        <v>64.154241417674157</v>
      </c>
      <c r="AC136" s="170"/>
      <c r="AD136" s="154">
        <f t="shared" si="149"/>
        <v>-6486.601968403178</v>
      </c>
      <c r="AE136" s="154">
        <f t="shared" si="149"/>
        <v>422.53428649844955</v>
      </c>
      <c r="AF136" s="154">
        <f t="shared" si="149"/>
        <v>-77471.79856379889</v>
      </c>
      <c r="AG136" s="154">
        <f t="shared" si="149"/>
        <v>21188.646104979329</v>
      </c>
      <c r="AH136" s="154">
        <f t="shared" si="149"/>
        <v>1.2832213503081533</v>
      </c>
      <c r="AI136" s="154">
        <v>17594.73</v>
      </c>
      <c r="AJ136" s="170"/>
      <c r="AK136" s="183">
        <f t="shared" ref="AK136:AP136" si="170">AD136/$E117</f>
        <v>-0.26568101447483833</v>
      </c>
      <c r="AL136" s="183">
        <f t="shared" si="170"/>
        <v>1.7306339811527731E-2</v>
      </c>
      <c r="AM136" s="183">
        <f t="shared" si="170"/>
        <v>-3.1731230212491863</v>
      </c>
      <c r="AN136" s="183">
        <f t="shared" si="170"/>
        <v>0.86785361888098833</v>
      </c>
      <c r="AO136" s="183">
        <f t="shared" si="170"/>
        <v>5.2558728253457031E-5</v>
      </c>
      <c r="AP136" s="183">
        <f t="shared" si="170"/>
        <v>0.72065246774523861</v>
      </c>
      <c r="AQ136" s="170"/>
      <c r="AR136" s="184">
        <f t="shared" si="156"/>
        <v>6.7093296244317679</v>
      </c>
      <c r="AS136" s="184">
        <f t="shared" si="151"/>
        <v>0.3123964421900437</v>
      </c>
      <c r="AT136" s="184">
        <f t="shared" si="151"/>
        <v>262.36328540633855</v>
      </c>
      <c r="AU136" s="184">
        <f t="shared" si="151"/>
        <v>43.773563342060974</v>
      </c>
      <c r="AV136" s="184">
        <f t="shared" si="151"/>
        <v>2.680215554699255E-3</v>
      </c>
      <c r="AW136" s="170"/>
      <c r="AX136" s="172">
        <f t="shared" si="152"/>
        <v>400176.32958747726</v>
      </c>
      <c r="AY136" s="172">
        <f t="shared" si="152"/>
        <v>18632.809626250251</v>
      </c>
      <c r="AZ136" s="172">
        <f t="shared" si="152"/>
        <v>15648594.188918291</v>
      </c>
      <c r="BA136" s="172">
        <f t="shared" si="152"/>
        <v>2610863.5127126407</v>
      </c>
      <c r="BB136" s="172">
        <f t="shared" si="152"/>
        <v>159.86080327267425</v>
      </c>
      <c r="BC136" s="170"/>
      <c r="BD136" s="325">
        <f>X136/$E117</f>
        <v>6.975010638906606</v>
      </c>
      <c r="BE136" s="325">
        <f>Y136/$E117</f>
        <v>0.29509010237851596</v>
      </c>
      <c r="BF136" s="325">
        <f>Z136/$E117</f>
        <v>265.53640842758773</v>
      </c>
      <c r="BG136" s="325">
        <f>AA136/$E117</f>
        <v>42.905709723179989</v>
      </c>
      <c r="BH136" s="325">
        <f>AB136/$E117</f>
        <v>2.627656826445798E-3</v>
      </c>
      <c r="BI136" s="326"/>
      <c r="BJ136" s="320">
        <f t="shared" si="153"/>
        <v>416022.80891776102</v>
      </c>
      <c r="BK136" s="320">
        <f t="shared" si="153"/>
        <v>17600.577207805411</v>
      </c>
      <c r="BL136" s="320">
        <f t="shared" si="153"/>
        <v>15837854.33785315</v>
      </c>
      <c r="BM136" s="320">
        <f t="shared" si="153"/>
        <v>2559100.5952136484</v>
      </c>
      <c r="BN136" s="320">
        <f t="shared" si="153"/>
        <v>156.72595074081113</v>
      </c>
      <c r="BO136" s="83"/>
      <c r="BP136" s="83"/>
      <c r="BQ136" s="83"/>
      <c r="BR136" s="83"/>
      <c r="BS136" s="83"/>
      <c r="BT136" s="83"/>
      <c r="BU136" s="83"/>
      <c r="BV136" s="83"/>
      <c r="BW136" s="83"/>
      <c r="BX136" s="83"/>
    </row>
    <row r="137" spans="1:76" x14ac:dyDescent="0.35">
      <c r="A137" s="173" t="s">
        <v>130</v>
      </c>
      <c r="B137" s="174">
        <f>SUM(B121:B136)</f>
        <v>6.0037434750000012</v>
      </c>
      <c r="C137" s="166"/>
      <c r="D137" s="175">
        <f>SUM(D121:D136)</f>
        <v>-2928930.8378917133</v>
      </c>
      <c r="E137" s="175">
        <f t="shared" ref="E137:J137" si="171">SUM(E121:E136)</f>
        <v>359501.30696963426</v>
      </c>
      <c r="F137" s="175">
        <f t="shared" si="171"/>
        <v>6367572.1170642897</v>
      </c>
      <c r="G137" s="175">
        <f t="shared" si="171"/>
        <v>566713.91841872153</v>
      </c>
      <c r="H137" s="175">
        <f t="shared" si="171"/>
        <v>20515811.780857209</v>
      </c>
      <c r="I137" s="175">
        <f t="shared" si="171"/>
        <v>1224.5618952422089</v>
      </c>
      <c r="J137" s="175">
        <f t="shared" si="171"/>
        <v>-3432005.1562166153</v>
      </c>
      <c r="K137" s="166"/>
      <c r="L137" s="176">
        <f t="shared" si="147"/>
        <v>-6.9096740511563906E-2</v>
      </c>
      <c r="M137" s="176">
        <f t="shared" si="147"/>
        <v>0.45236448648529953</v>
      </c>
      <c r="N137" s="176">
        <f t="shared" si="147"/>
        <v>4.3204756546191703E-3</v>
      </c>
      <c r="O137" s="176">
        <f t="shared" si="148"/>
        <v>0.12653652257202833</v>
      </c>
      <c r="P137" s="176">
        <f t="shared" si="148"/>
        <v>0.12358098641378838</v>
      </c>
      <c r="Q137" s="166"/>
      <c r="R137" s="185"/>
      <c r="S137" s="185"/>
      <c r="T137" s="185"/>
      <c r="U137" s="185"/>
      <c r="V137" s="186"/>
      <c r="W137" s="166"/>
      <c r="X137" s="185"/>
      <c r="Y137" s="185"/>
      <c r="Z137" s="185"/>
      <c r="AA137" s="185"/>
      <c r="AB137" s="185"/>
      <c r="AC137" s="166"/>
      <c r="AD137" s="185"/>
      <c r="AE137" s="185"/>
      <c r="AF137" s="185"/>
      <c r="AG137" s="185"/>
      <c r="AH137" s="185"/>
      <c r="AI137" s="186"/>
      <c r="AJ137" s="166"/>
      <c r="AK137" s="185"/>
      <c r="AL137" s="185"/>
      <c r="AM137" s="185"/>
      <c r="AN137" s="185"/>
      <c r="AO137" s="185"/>
      <c r="AP137" s="185"/>
      <c r="AQ137" s="166"/>
      <c r="AR137" s="187"/>
      <c r="AS137" s="187"/>
      <c r="AT137" s="187"/>
      <c r="AU137" s="187"/>
      <c r="AV137" s="187"/>
      <c r="AW137" s="166"/>
      <c r="AX137" s="188">
        <f>SUM(AX121:AX136)</f>
        <v>42388842.31306877</v>
      </c>
      <c r="AY137" s="188">
        <f t="shared" ref="AY137:BB137" si="172">SUM(AY121:AY136)</f>
        <v>794716.02592595865</v>
      </c>
      <c r="AZ137" s="188">
        <f t="shared" si="172"/>
        <v>1473812752.5973899</v>
      </c>
      <c r="BA137" s="188">
        <f t="shared" si="172"/>
        <v>162133519.74469668</v>
      </c>
      <c r="BB137" s="188">
        <f t="shared" si="172"/>
        <v>9908.9830141182629</v>
      </c>
      <c r="BC137" s="166"/>
      <c r="BD137" s="327"/>
      <c r="BE137" s="327"/>
      <c r="BF137" s="327"/>
      <c r="BG137" s="327"/>
      <c r="BH137" s="327"/>
      <c r="BI137" s="324"/>
      <c r="BJ137" s="328">
        <f>SUM(BJ121:BJ136)</f>
        <v>45317773.15096049</v>
      </c>
      <c r="BK137" s="328">
        <f t="shared" ref="BK137:BN137" si="173">SUM(BK121:BK136)</f>
        <v>435214.71895632427</v>
      </c>
      <c r="BL137" s="328">
        <f t="shared" si="173"/>
        <v>1467445180.4803257</v>
      </c>
      <c r="BM137" s="328">
        <f t="shared" si="173"/>
        <v>141617707.96383947</v>
      </c>
      <c r="BN137" s="328">
        <f t="shared" si="173"/>
        <v>8684.4211188760528</v>
      </c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</row>
    <row r="138" spans="1:76" x14ac:dyDescent="0.3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</row>
    <row r="139" spans="1:76" x14ac:dyDescent="0.3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</row>
    <row r="140" spans="1:76" ht="15.5" x14ac:dyDescent="0.35">
      <c r="A140" s="155" t="s">
        <v>145</v>
      </c>
      <c r="B140" s="83"/>
      <c r="C140" s="83"/>
      <c r="D140" s="83"/>
      <c r="E140" s="154">
        <f>G214</f>
        <v>24415</v>
      </c>
      <c r="F140" s="190" t="s">
        <v>132</v>
      </c>
      <c r="G140" s="190"/>
      <c r="H140" s="178"/>
      <c r="I140" s="178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3"/>
    </row>
    <row r="141" spans="1:76" x14ac:dyDescent="0.35">
      <c r="A141" s="157"/>
      <c r="B141" s="158" t="s">
        <v>105</v>
      </c>
      <c r="C141" s="159"/>
      <c r="D141" s="158" t="s">
        <v>106</v>
      </c>
      <c r="E141" s="158"/>
      <c r="F141" s="158"/>
      <c r="G141" s="158"/>
      <c r="H141" s="158"/>
      <c r="I141" s="158"/>
      <c r="J141" s="158"/>
      <c r="K141" s="191"/>
      <c r="L141" s="158" t="s">
        <v>106</v>
      </c>
      <c r="M141" s="158"/>
      <c r="N141" s="158"/>
      <c r="O141" s="158"/>
      <c r="P141" s="158"/>
      <c r="Q141" s="159"/>
      <c r="R141" s="158" t="str">
        <f>R118</f>
        <v xml:space="preserve"> 2019 Energy Code Consumption </v>
      </c>
      <c r="S141" s="158"/>
      <c r="T141" s="158"/>
      <c r="U141" s="158"/>
      <c r="V141" s="157"/>
      <c r="W141" s="191"/>
      <c r="X141" s="157" t="str">
        <f>X118</f>
        <v>2022 Energy Code Consumption</v>
      </c>
      <c r="Y141" s="157"/>
      <c r="Z141" s="157"/>
      <c r="AA141" s="157"/>
      <c r="AB141" s="157"/>
      <c r="AC141" s="191"/>
      <c r="AD141" s="157" t="s">
        <v>133</v>
      </c>
      <c r="AE141" s="157"/>
      <c r="AF141" s="157"/>
      <c r="AG141" s="157"/>
      <c r="AH141" s="157"/>
      <c r="AI141" s="192"/>
      <c r="AJ141" s="191"/>
      <c r="AK141" s="158" t="s">
        <v>134</v>
      </c>
      <c r="AL141" s="158"/>
      <c r="AM141" s="158"/>
      <c r="AN141" s="158"/>
      <c r="AO141" s="158"/>
      <c r="AP141" s="158"/>
      <c r="AQ141" s="191"/>
      <c r="AR141" s="160" t="s">
        <v>614</v>
      </c>
      <c r="AS141" s="160"/>
      <c r="AT141" s="160"/>
      <c r="AU141" s="160"/>
      <c r="AV141" s="160"/>
      <c r="AW141" s="191"/>
      <c r="AX141" s="160" t="s">
        <v>613</v>
      </c>
      <c r="AY141" s="160"/>
      <c r="AZ141" s="160"/>
      <c r="BA141" s="160"/>
      <c r="BB141" s="160"/>
      <c r="BC141" s="159"/>
      <c r="BD141" s="316" t="s">
        <v>135</v>
      </c>
      <c r="BE141" s="316"/>
      <c r="BF141" s="316"/>
      <c r="BG141" s="316"/>
      <c r="BH141" s="316"/>
      <c r="BI141" s="322"/>
      <c r="BJ141" s="316" t="s">
        <v>108</v>
      </c>
      <c r="BK141" s="316"/>
      <c r="BL141" s="316"/>
      <c r="BM141" s="316"/>
      <c r="BN141" s="316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</row>
    <row r="142" spans="1:76" ht="16.5" x14ac:dyDescent="0.45">
      <c r="A142" s="83"/>
      <c r="B142" s="161" t="s">
        <v>109</v>
      </c>
      <c r="C142" s="162"/>
      <c r="D142" s="163" t="s">
        <v>110</v>
      </c>
      <c r="E142" s="163" t="s">
        <v>111</v>
      </c>
      <c r="F142" s="163" t="s">
        <v>8</v>
      </c>
      <c r="G142" s="163" t="s">
        <v>8</v>
      </c>
      <c r="H142" s="163" t="s">
        <v>112</v>
      </c>
      <c r="I142" s="163" t="s">
        <v>113</v>
      </c>
      <c r="J142" s="163" t="s">
        <v>114</v>
      </c>
      <c r="K142" s="162"/>
      <c r="L142" s="163" t="s">
        <v>110</v>
      </c>
      <c r="M142" s="163" t="s">
        <v>111</v>
      </c>
      <c r="N142" s="163" t="s">
        <v>8</v>
      </c>
      <c r="O142" s="163" t="s">
        <v>112</v>
      </c>
      <c r="P142" s="163" t="s">
        <v>113</v>
      </c>
      <c r="Q142" s="162"/>
      <c r="R142" s="163" t="s">
        <v>110</v>
      </c>
      <c r="S142" s="163" t="s">
        <v>111</v>
      </c>
      <c r="T142" s="163" t="s">
        <v>8</v>
      </c>
      <c r="U142" s="163" t="s">
        <v>112</v>
      </c>
      <c r="V142" s="163" t="s">
        <v>113</v>
      </c>
      <c r="W142" s="162"/>
      <c r="X142" s="163" t="s">
        <v>110</v>
      </c>
      <c r="Y142" s="163" t="s">
        <v>111</v>
      </c>
      <c r="Z142" s="163" t="s">
        <v>8</v>
      </c>
      <c r="AA142" s="163" t="s">
        <v>112</v>
      </c>
      <c r="AB142" s="163" t="s">
        <v>113</v>
      </c>
      <c r="AC142" s="162"/>
      <c r="AD142" s="163" t="s">
        <v>110</v>
      </c>
      <c r="AE142" s="163" t="s">
        <v>111</v>
      </c>
      <c r="AF142" s="163" t="s">
        <v>8</v>
      </c>
      <c r="AG142" s="163" t="s">
        <v>112</v>
      </c>
      <c r="AH142" s="163" t="s">
        <v>113</v>
      </c>
      <c r="AI142" s="181" t="s">
        <v>114</v>
      </c>
      <c r="AJ142" s="162"/>
      <c r="AK142" s="163" t="s">
        <v>110</v>
      </c>
      <c r="AL142" s="163" t="s">
        <v>111</v>
      </c>
      <c r="AM142" s="163" t="s">
        <v>8</v>
      </c>
      <c r="AN142" s="163" t="s">
        <v>112</v>
      </c>
      <c r="AO142" s="163" t="s">
        <v>113</v>
      </c>
      <c r="AP142" s="163" t="s">
        <v>114</v>
      </c>
      <c r="AQ142" s="162"/>
      <c r="AR142" s="164" t="s">
        <v>110</v>
      </c>
      <c r="AS142" s="164" t="s">
        <v>111</v>
      </c>
      <c r="AT142" s="164" t="s">
        <v>8</v>
      </c>
      <c r="AU142" s="164" t="s">
        <v>112</v>
      </c>
      <c r="AV142" s="164" t="s">
        <v>115</v>
      </c>
      <c r="AW142" s="162"/>
      <c r="AX142" s="164" t="s">
        <v>110</v>
      </c>
      <c r="AY142" s="164" t="s">
        <v>111</v>
      </c>
      <c r="AZ142" s="164" t="s">
        <v>8</v>
      </c>
      <c r="BA142" s="164" t="s">
        <v>112</v>
      </c>
      <c r="BB142" s="164" t="s">
        <v>115</v>
      </c>
      <c r="BC142" s="162"/>
      <c r="BD142" s="317" t="s">
        <v>110</v>
      </c>
      <c r="BE142" s="317" t="s">
        <v>111</v>
      </c>
      <c r="BF142" s="317" t="s">
        <v>8</v>
      </c>
      <c r="BG142" s="317" t="s">
        <v>112</v>
      </c>
      <c r="BH142" s="317" t="s">
        <v>116</v>
      </c>
      <c r="BI142" s="323"/>
      <c r="BJ142" s="317" t="s">
        <v>110</v>
      </c>
      <c r="BK142" s="317" t="s">
        <v>111</v>
      </c>
      <c r="BL142" s="317" t="s">
        <v>8</v>
      </c>
      <c r="BM142" s="317" t="s">
        <v>112</v>
      </c>
      <c r="BN142" s="317" t="s">
        <v>116</v>
      </c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</row>
    <row r="143" spans="1:76" x14ac:dyDescent="0.35">
      <c r="A143" s="153" t="s">
        <v>96</v>
      </c>
      <c r="B143" s="165" t="s">
        <v>118</v>
      </c>
      <c r="C143" s="166"/>
      <c r="D143" s="165" t="s">
        <v>7</v>
      </c>
      <c r="E143" s="165" t="s">
        <v>119</v>
      </c>
      <c r="F143" s="165" t="s">
        <v>120</v>
      </c>
      <c r="G143" s="165" t="s">
        <v>121</v>
      </c>
      <c r="H143" s="165" t="s">
        <v>120</v>
      </c>
      <c r="I143" s="165" t="s">
        <v>122</v>
      </c>
      <c r="J143" s="165" t="s">
        <v>121</v>
      </c>
      <c r="K143" s="166"/>
      <c r="L143" s="165" t="s">
        <v>123</v>
      </c>
      <c r="M143" s="165" t="s">
        <v>123</v>
      </c>
      <c r="N143" s="165" t="s">
        <v>123</v>
      </c>
      <c r="O143" s="165" t="s">
        <v>123</v>
      </c>
      <c r="P143" s="165" t="s">
        <v>123</v>
      </c>
      <c r="Q143" s="166"/>
      <c r="R143" s="165" t="s">
        <v>7</v>
      </c>
      <c r="S143" s="165" t="s">
        <v>119</v>
      </c>
      <c r="T143" s="165" t="s">
        <v>120</v>
      </c>
      <c r="U143" s="165" t="s">
        <v>120</v>
      </c>
      <c r="V143" s="165" t="s">
        <v>122</v>
      </c>
      <c r="W143" s="166"/>
      <c r="X143" s="165" t="s">
        <v>7</v>
      </c>
      <c r="Y143" s="165" t="s">
        <v>119</v>
      </c>
      <c r="Z143" s="165" t="s">
        <v>120</v>
      </c>
      <c r="AA143" s="165" t="s">
        <v>120</v>
      </c>
      <c r="AB143" s="165" t="s">
        <v>122</v>
      </c>
      <c r="AC143" s="166"/>
      <c r="AD143" s="165" t="s">
        <v>7</v>
      </c>
      <c r="AE143" s="165" t="s">
        <v>119</v>
      </c>
      <c r="AF143" s="165" t="s">
        <v>120</v>
      </c>
      <c r="AG143" s="165" t="s">
        <v>120</v>
      </c>
      <c r="AH143" s="165" t="s">
        <v>122</v>
      </c>
      <c r="AI143" s="182" t="s">
        <v>121</v>
      </c>
      <c r="AJ143" s="166"/>
      <c r="AK143" s="165" t="s">
        <v>136</v>
      </c>
      <c r="AL143" s="165" t="s">
        <v>137</v>
      </c>
      <c r="AM143" s="165" t="s">
        <v>138</v>
      </c>
      <c r="AN143" s="165" t="s">
        <v>138</v>
      </c>
      <c r="AO143" s="165" t="s">
        <v>139</v>
      </c>
      <c r="AP143" s="165" t="s">
        <v>140</v>
      </c>
      <c r="AQ143" s="166"/>
      <c r="AR143" s="167" t="s">
        <v>136</v>
      </c>
      <c r="AS143" s="167" t="s">
        <v>137</v>
      </c>
      <c r="AT143" s="167" t="s">
        <v>138</v>
      </c>
      <c r="AU143" s="167" t="s">
        <v>138</v>
      </c>
      <c r="AV143" s="167" t="s">
        <v>139</v>
      </c>
      <c r="AW143" s="166"/>
      <c r="AX143" s="167" t="s">
        <v>7</v>
      </c>
      <c r="AY143" s="167" t="s">
        <v>119</v>
      </c>
      <c r="AZ143" s="167" t="s">
        <v>120</v>
      </c>
      <c r="BA143" s="167" t="s">
        <v>120</v>
      </c>
      <c r="BB143" s="167" t="s">
        <v>122</v>
      </c>
      <c r="BC143" s="166"/>
      <c r="BD143" s="319" t="s">
        <v>7</v>
      </c>
      <c r="BE143" s="319" t="s">
        <v>119</v>
      </c>
      <c r="BF143" s="319" t="s">
        <v>120</v>
      </c>
      <c r="BG143" s="319" t="s">
        <v>120</v>
      </c>
      <c r="BH143" s="319" t="s">
        <v>122</v>
      </c>
      <c r="BI143" s="324"/>
      <c r="BJ143" s="319" t="s">
        <v>7</v>
      </c>
      <c r="BK143" s="319" t="s">
        <v>119</v>
      </c>
      <c r="BL143" s="319" t="s">
        <v>120</v>
      </c>
      <c r="BM143" s="319" t="s">
        <v>120</v>
      </c>
      <c r="BN143" s="319" t="s">
        <v>122</v>
      </c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</row>
    <row r="144" spans="1:76" x14ac:dyDescent="0.35">
      <c r="A144" s="168">
        <v>1</v>
      </c>
      <c r="B144" s="169">
        <f t="shared" ref="B144:B159" si="174">M222</f>
        <v>2.9220041988018898E-2</v>
      </c>
      <c r="C144" s="170"/>
      <c r="D144" s="154">
        <f t="shared" ref="D144:F159" si="175">AK144*$B144*10^6</f>
        <v>-22792.398368115366</v>
      </c>
      <c r="E144" s="154">
        <f t="shared" si="175"/>
        <v>2262.0138112496402</v>
      </c>
      <c r="F144" s="154">
        <f t="shared" si="175"/>
        <v>-10638.046831239579</v>
      </c>
      <c r="G144" s="154">
        <f>F144*0.089</f>
        <v>-946.78616798032249</v>
      </c>
      <c r="H144" s="154">
        <f t="shared" ref="H144:J159" si="176">AN144*$B144*10^6</f>
        <v>165785.7737343481</v>
      </c>
      <c r="I144" s="154">
        <f t="shared" si="176"/>
        <v>9.9121898880843968</v>
      </c>
      <c r="J144" s="154">
        <f t="shared" si="176"/>
        <v>-2034.8949740310829</v>
      </c>
      <c r="K144" s="170"/>
      <c r="L144" s="171">
        <f t="shared" ref="L144:N160" si="177">IF(AX144=0,0,D144/AX144)</f>
        <v>-0.14561672399042241</v>
      </c>
      <c r="M144" s="171">
        <f t="shared" si="177"/>
        <v>0.27487325823570857</v>
      </c>
      <c r="N144" s="171">
        <f t="shared" si="177"/>
        <v>-1.6466056146359632E-3</v>
      </c>
      <c r="O144" s="171">
        <f t="shared" ref="O144:P160" si="178">IF(BA144=0,0,H144/BA144)</f>
        <v>0.1484347674566627</v>
      </c>
      <c r="P144" s="171">
        <f t="shared" si="178"/>
        <v>0.1463940707732071</v>
      </c>
      <c r="Q144" s="170"/>
      <c r="R144" s="154">
        <v>130784.0143279339</v>
      </c>
      <c r="S144" s="154">
        <v>6876.0441224028964</v>
      </c>
      <c r="T144" s="154">
        <v>5398190.4042725032</v>
      </c>
      <c r="U144" s="154">
        <v>933227.47657955345</v>
      </c>
      <c r="V144" s="154">
        <v>56.574668624551371</v>
      </c>
      <c r="W144" s="170"/>
      <c r="X144" s="154">
        <v>149828.35404468409</v>
      </c>
      <c r="Y144" s="154">
        <v>4986.0034707055192</v>
      </c>
      <c r="Z144" s="154">
        <v>5407079.0949010523</v>
      </c>
      <c r="AA144" s="154">
        <v>794704.07310929929</v>
      </c>
      <c r="AB144" s="154">
        <v>48.292472581958059</v>
      </c>
      <c r="AC144" s="170"/>
      <c r="AD144" s="154">
        <f t="shared" ref="AD144:AH159" si="179">R144-X144</f>
        <v>-19044.339716750197</v>
      </c>
      <c r="AE144" s="154">
        <f t="shared" si="179"/>
        <v>1890.0406516973771</v>
      </c>
      <c r="AF144" s="154">
        <f t="shared" si="179"/>
        <v>-8888.6906285490841</v>
      </c>
      <c r="AG144" s="154">
        <f t="shared" si="179"/>
        <v>138523.40347025415</v>
      </c>
      <c r="AH144" s="154">
        <f t="shared" si="179"/>
        <v>8.2821960425933128</v>
      </c>
      <c r="AI144" s="154">
        <v>-1700.27</v>
      </c>
      <c r="AJ144" s="170"/>
      <c r="AK144" s="183">
        <f t="shared" ref="AK144:AP144" si="180">AD144/$E140</f>
        <v>-0.78002620179193927</v>
      </c>
      <c r="AL144" s="183">
        <f t="shared" si="180"/>
        <v>7.7413092430775224E-2</v>
      </c>
      <c r="AM144" s="183">
        <f t="shared" si="180"/>
        <v>-0.36406678798071201</v>
      </c>
      <c r="AN144" s="183">
        <f t="shared" si="180"/>
        <v>5.6737007360333465</v>
      </c>
      <c r="AO144" s="183">
        <f t="shared" si="180"/>
        <v>3.3922572363683445E-4</v>
      </c>
      <c r="AP144" s="183">
        <f t="shared" si="180"/>
        <v>-6.9640385009215641E-2</v>
      </c>
      <c r="AQ144" s="170"/>
      <c r="AR144" s="184">
        <f>R144/$E$140</f>
        <v>5.3567075293030468</v>
      </c>
      <c r="AS144" s="184">
        <f t="shared" ref="AS144:AV159" si="181">S144/$E$140</f>
        <v>0.28163195258664331</v>
      </c>
      <c r="AT144" s="184">
        <f t="shared" si="181"/>
        <v>221.10138866567698</v>
      </c>
      <c r="AU144" s="184">
        <f t="shared" si="181"/>
        <v>38.223529657159673</v>
      </c>
      <c r="AV144" s="184">
        <f t="shared" si="181"/>
        <v>2.3172094460188969E-3</v>
      </c>
      <c r="AW144" s="170"/>
      <c r="AX144" s="172">
        <f t="shared" ref="AX144:BB159" si="182">AR144*$B144*10^6</f>
        <v>156523.21892377199</v>
      </c>
      <c r="AY144" s="172">
        <f t="shared" si="182"/>
        <v>8229.2974797494644</v>
      </c>
      <c r="AZ144" s="172">
        <f t="shared" si="182"/>
        <v>6460591.8604203667</v>
      </c>
      <c r="BA144" s="172">
        <f t="shared" si="182"/>
        <v>1116893.1415124913</v>
      </c>
      <c r="BB144" s="172">
        <f t="shared" si="182"/>
        <v>67.708957307706186</v>
      </c>
      <c r="BC144" s="170"/>
      <c r="BD144" s="325">
        <f>X144/$E140</f>
        <v>6.1367337310949868</v>
      </c>
      <c r="BE144" s="325">
        <f>Y144/$E140</f>
        <v>0.20421886015586807</v>
      </c>
      <c r="BF144" s="325">
        <f>Z144/$E140</f>
        <v>221.46545545365768</v>
      </c>
      <c r="BG144" s="325">
        <f>AA144/$E140</f>
        <v>32.549828921126327</v>
      </c>
      <c r="BH144" s="325">
        <f>AB144/$E140</f>
        <v>1.9779837223820626E-3</v>
      </c>
      <c r="BI144" s="326"/>
      <c r="BJ144" s="320">
        <f t="shared" ref="BJ144:BN159" si="183">BD144*$B144*10^6</f>
        <v>179315.61729188738</v>
      </c>
      <c r="BK144" s="320">
        <f t="shared" si="183"/>
        <v>5967.2836684998247</v>
      </c>
      <c r="BL144" s="320">
        <f t="shared" si="183"/>
        <v>6471229.9072516067</v>
      </c>
      <c r="BM144" s="320">
        <f t="shared" si="183"/>
        <v>951107.36777814303</v>
      </c>
      <c r="BN144" s="320">
        <f t="shared" si="183"/>
        <v>57.796767419621787</v>
      </c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</row>
    <row r="145" spans="1:76" x14ac:dyDescent="0.35">
      <c r="A145" s="168">
        <v>2</v>
      </c>
      <c r="B145" s="169">
        <f t="shared" si="174"/>
        <v>0.17361407564034848</v>
      </c>
      <c r="C145" s="170"/>
      <c r="D145" s="154">
        <f t="shared" si="175"/>
        <v>-118687.91183138275</v>
      </c>
      <c r="E145" s="154">
        <f t="shared" si="175"/>
        <v>12701.947091853081</v>
      </c>
      <c r="F145" s="154">
        <f t="shared" si="175"/>
        <v>363444.89116738515</v>
      </c>
      <c r="G145" s="154">
        <f t="shared" ref="G145:G159" si="184">F145*0.089</f>
        <v>32346.595313897276</v>
      </c>
      <c r="H145" s="154">
        <f t="shared" si="176"/>
        <v>943494.1217302212</v>
      </c>
      <c r="I145" s="154">
        <f t="shared" si="176"/>
        <v>56.433452346192581</v>
      </c>
      <c r="J145" s="154">
        <f t="shared" si="176"/>
        <v>-12090.551070612955</v>
      </c>
      <c r="K145" s="170"/>
      <c r="L145" s="171">
        <f t="shared" si="177"/>
        <v>-0.108278226137018</v>
      </c>
      <c r="M145" s="171">
        <f t="shared" si="177"/>
        <v>0.39647344331159645</v>
      </c>
      <c r="N145" s="171">
        <f t="shared" si="177"/>
        <v>8.4755211253265926E-3</v>
      </c>
      <c r="O145" s="171">
        <f t="shared" si="178"/>
        <v>0.17789189865351004</v>
      </c>
      <c r="P145" s="171">
        <f t="shared" si="178"/>
        <v>0.17500804249502161</v>
      </c>
      <c r="Q145" s="170"/>
      <c r="R145" s="154">
        <v>154147.73684275241</v>
      </c>
      <c r="S145" s="154">
        <v>4505.3443780448461</v>
      </c>
      <c r="T145" s="154">
        <v>6030369.9229363259</v>
      </c>
      <c r="U145" s="154">
        <v>745855.71973574604</v>
      </c>
      <c r="V145" s="154">
        <v>45.347192899894061</v>
      </c>
      <c r="W145" s="170"/>
      <c r="X145" s="154">
        <v>170838.58035112149</v>
      </c>
      <c r="Y145" s="154">
        <v>2719.094979176863</v>
      </c>
      <c r="Z145" s="154">
        <v>5979259.395260945</v>
      </c>
      <c r="AA145" s="154">
        <v>613174.02963037393</v>
      </c>
      <c r="AB145" s="154">
        <v>37.411069437839458</v>
      </c>
      <c r="AC145" s="170"/>
      <c r="AD145" s="154">
        <f t="shared" si="179"/>
        <v>-16690.843508369086</v>
      </c>
      <c r="AE145" s="154">
        <f t="shared" si="179"/>
        <v>1786.249398867983</v>
      </c>
      <c r="AF145" s="154">
        <f t="shared" si="179"/>
        <v>51110.52767538093</v>
      </c>
      <c r="AG145" s="154">
        <f t="shared" si="179"/>
        <v>132681.69010537211</v>
      </c>
      <c r="AH145" s="154">
        <f t="shared" si="179"/>
        <v>7.9361234620546028</v>
      </c>
      <c r="AI145" s="154">
        <v>-1700.27</v>
      </c>
      <c r="AJ145" s="170"/>
      <c r="AK145" s="183">
        <f t="shared" ref="AK145:AP145" si="185">AD145/$E140</f>
        <v>-0.68363069868396831</v>
      </c>
      <c r="AL145" s="183">
        <f t="shared" si="185"/>
        <v>7.3161965958139785E-2</v>
      </c>
      <c r="AM145" s="183">
        <f t="shared" si="185"/>
        <v>2.0934068267614552</v>
      </c>
      <c r="AN145" s="183">
        <f t="shared" si="185"/>
        <v>5.4344333444756137</v>
      </c>
      <c r="AO145" s="183">
        <f t="shared" si="185"/>
        <v>3.2505113504217089E-4</v>
      </c>
      <c r="AP145" s="183">
        <f t="shared" si="185"/>
        <v>-6.9640385009215641E-2</v>
      </c>
      <c r="AQ145" s="170"/>
      <c r="AR145" s="184">
        <f t="shared" ref="AR145:AR159" si="186">R145/$E$140</f>
        <v>6.3136488569630309</v>
      </c>
      <c r="AS145" s="184">
        <f t="shared" si="181"/>
        <v>0.1845318197028403</v>
      </c>
      <c r="AT145" s="184">
        <f t="shared" si="181"/>
        <v>246.99446745592161</v>
      </c>
      <c r="AU145" s="184">
        <f t="shared" si="181"/>
        <v>30.54907719581184</v>
      </c>
      <c r="AV145" s="184">
        <f t="shared" si="181"/>
        <v>1.857349698951221E-3</v>
      </c>
      <c r="AW145" s="170"/>
      <c r="AX145" s="172">
        <f t="shared" si="182"/>
        <v>1096138.3102193794</v>
      </c>
      <c r="AY145" s="172">
        <f t="shared" si="182"/>
        <v>32037.321303940062</v>
      </c>
      <c r="AZ145" s="172">
        <f t="shared" si="182"/>
        <v>42881716.155639961</v>
      </c>
      <c r="BA145" s="172">
        <f t="shared" si="182"/>
        <v>5303749.7990165213</v>
      </c>
      <c r="BB145" s="172">
        <f t="shared" si="182"/>
        <v>322.46205112429573</v>
      </c>
      <c r="BC145" s="170"/>
      <c r="BD145" s="325">
        <f>X145/$E140</f>
        <v>6.9972795556469993</v>
      </c>
      <c r="BE145" s="325">
        <f>Y145/$E140</f>
        <v>0.11136985374470051</v>
      </c>
      <c r="BF145" s="325">
        <f>Z145/$E140</f>
        <v>244.90106062916016</v>
      </c>
      <c r="BG145" s="325">
        <f>AA145/$E140</f>
        <v>25.114643851336226</v>
      </c>
      <c r="BH145" s="325">
        <f>AB145/$E140</f>
        <v>1.5322985639090502E-3</v>
      </c>
      <c r="BI145" s="326"/>
      <c r="BJ145" s="320">
        <f t="shared" si="183"/>
        <v>1214826.2220507623</v>
      </c>
      <c r="BK145" s="320">
        <f t="shared" si="183"/>
        <v>19335.374212086983</v>
      </c>
      <c r="BL145" s="320">
        <f t="shared" si="183"/>
        <v>42518271.264472581</v>
      </c>
      <c r="BM145" s="320">
        <f t="shared" si="183"/>
        <v>4360255.6772863008</v>
      </c>
      <c r="BN145" s="320">
        <f t="shared" si="183"/>
        <v>266.02859877810317</v>
      </c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</row>
    <row r="146" spans="1:76" x14ac:dyDescent="0.35">
      <c r="A146" s="168">
        <v>3</v>
      </c>
      <c r="B146" s="169">
        <f t="shared" si="174"/>
        <v>0.7084061938429751</v>
      </c>
      <c r="C146" s="170"/>
      <c r="D146" s="154">
        <f t="shared" si="175"/>
        <v>-474044.34637761145</v>
      </c>
      <c r="E146" s="154">
        <f t="shared" si="175"/>
        <v>51546.173482091523</v>
      </c>
      <c r="F146" s="154">
        <f t="shared" si="175"/>
        <v>1639723.7095554736</v>
      </c>
      <c r="G146" s="154">
        <f t="shared" si="184"/>
        <v>145935.41015043715</v>
      </c>
      <c r="H146" s="154">
        <f t="shared" si="176"/>
        <v>3881926.3021418722</v>
      </c>
      <c r="I146" s="154">
        <f t="shared" si="176"/>
        <v>232.28557525171544</v>
      </c>
      <c r="J146" s="154">
        <f t="shared" si="176"/>
        <v>-49333.680082137835</v>
      </c>
      <c r="K146" s="170"/>
      <c r="L146" s="171">
        <f t="shared" si="177"/>
        <v>-0.11366121234828597</v>
      </c>
      <c r="M146" s="171">
        <f t="shared" si="177"/>
        <v>0.46815934776731688</v>
      </c>
      <c r="N146" s="171">
        <f t="shared" si="177"/>
        <v>1.0853477138093717E-2</v>
      </c>
      <c r="O146" s="171">
        <f t="shared" si="178"/>
        <v>0.20216683054333984</v>
      </c>
      <c r="P146" s="171">
        <f t="shared" si="178"/>
        <v>0.19883769747513552</v>
      </c>
      <c r="Q146" s="170"/>
      <c r="R146" s="154">
        <v>143741.1338224475</v>
      </c>
      <c r="S146" s="154">
        <v>3794.6970578518162</v>
      </c>
      <c r="T146" s="154">
        <v>5206863.102875378</v>
      </c>
      <c r="U146" s="154">
        <v>661777.14211098698</v>
      </c>
      <c r="V146" s="154">
        <v>40.262236429435006</v>
      </c>
      <c r="W146" s="170"/>
      <c r="X146" s="154">
        <v>160078.9253570241</v>
      </c>
      <c r="Y146" s="154">
        <v>2018.1741582733539</v>
      </c>
      <c r="Z146" s="154">
        <v>5150350.5332271364</v>
      </c>
      <c r="AA146" s="154">
        <v>527987.75476437935</v>
      </c>
      <c r="AB146" s="154">
        <v>32.256586042606628</v>
      </c>
      <c r="AC146" s="170"/>
      <c r="AD146" s="154">
        <f t="shared" si="179"/>
        <v>-16337.791534576594</v>
      </c>
      <c r="AE146" s="154">
        <f t="shared" si="179"/>
        <v>1776.5228995784623</v>
      </c>
      <c r="AF146" s="154">
        <f t="shared" si="179"/>
        <v>56512.569648241624</v>
      </c>
      <c r="AG146" s="154">
        <f t="shared" si="179"/>
        <v>133789.38734660763</v>
      </c>
      <c r="AH146" s="154">
        <f t="shared" si="179"/>
        <v>8.0056503868283784</v>
      </c>
      <c r="AI146" s="154">
        <v>-1700.27</v>
      </c>
      <c r="AJ146" s="170"/>
      <c r="AK146" s="183">
        <f t="shared" ref="AK146:AP146" si="187">AD146/$E140</f>
        <v>-0.66917024511884471</v>
      </c>
      <c r="AL146" s="183">
        <f t="shared" si="187"/>
        <v>7.2763583845114166E-2</v>
      </c>
      <c r="AM146" s="183">
        <f t="shared" si="187"/>
        <v>2.3146659696187437</v>
      </c>
      <c r="AN146" s="183">
        <f t="shared" si="187"/>
        <v>5.4798028812864077</v>
      </c>
      <c r="AO146" s="183">
        <f t="shared" si="187"/>
        <v>3.2789884852870685E-4</v>
      </c>
      <c r="AP146" s="183">
        <f t="shared" si="187"/>
        <v>-6.9640385009215641E-2</v>
      </c>
      <c r="AQ146" s="170"/>
      <c r="AR146" s="184">
        <f t="shared" si="186"/>
        <v>5.8874107647940814</v>
      </c>
      <c r="AS146" s="184">
        <f t="shared" si="181"/>
        <v>0.15542482317640041</v>
      </c>
      <c r="AT146" s="184">
        <f t="shared" si="181"/>
        <v>213.26492332071996</v>
      </c>
      <c r="AU146" s="184">
        <f t="shared" si="181"/>
        <v>27.105350895391645</v>
      </c>
      <c r="AV146" s="184">
        <f t="shared" si="181"/>
        <v>1.6490778795590828E-3</v>
      </c>
      <c r="AW146" s="170"/>
      <c r="AX146" s="172">
        <f t="shared" si="182"/>
        <v>4170678.251477934</v>
      </c>
      <c r="AY146" s="172">
        <f t="shared" si="182"/>
        <v>110103.90741511124</v>
      </c>
      <c r="AZ146" s="172">
        <f t="shared" si="182"/>
        <v>151078192.60984516</v>
      </c>
      <c r="BA146" s="172">
        <f t="shared" si="182"/>
        <v>19201598.460582674</v>
      </c>
      <c r="BB146" s="172">
        <f t="shared" si="182"/>
        <v>1168.2169840090939</v>
      </c>
      <c r="BC146" s="170"/>
      <c r="BD146" s="325">
        <f>X146/$E140</f>
        <v>6.556581009912926</v>
      </c>
      <c r="BE146" s="325">
        <f>Y146/$E140</f>
        <v>8.266123933128626E-2</v>
      </c>
      <c r="BF146" s="325">
        <f>Z146/$E140</f>
        <v>210.95025735110121</v>
      </c>
      <c r="BG146" s="325">
        <f>AA146/$E140</f>
        <v>21.625548014105238</v>
      </c>
      <c r="BH146" s="325">
        <f>AB146/$E140</f>
        <v>1.321179031030376E-3</v>
      </c>
      <c r="BI146" s="326"/>
      <c r="BJ146" s="320">
        <f t="shared" si="183"/>
        <v>4644722.5978555456</v>
      </c>
      <c r="BK146" s="320">
        <f t="shared" si="183"/>
        <v>58557.733933019728</v>
      </c>
      <c r="BL146" s="320">
        <f t="shared" si="183"/>
        <v>149438468.90028968</v>
      </c>
      <c r="BM146" s="320">
        <f t="shared" si="183"/>
        <v>15319672.1584408</v>
      </c>
      <c r="BN146" s="320">
        <f t="shared" si="183"/>
        <v>935.93140875737856</v>
      </c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</row>
    <row r="147" spans="1:76" x14ac:dyDescent="0.35">
      <c r="A147" s="168">
        <v>4</v>
      </c>
      <c r="B147" s="169">
        <f t="shared" si="174"/>
        <v>0.35946700425053696</v>
      </c>
      <c r="C147" s="170"/>
      <c r="D147" s="154">
        <f t="shared" si="175"/>
        <v>-227575.12787903214</v>
      </c>
      <c r="E147" s="154">
        <f t="shared" si="175"/>
        <v>25638.684652889915</v>
      </c>
      <c r="F147" s="154">
        <f t="shared" si="175"/>
        <v>943840.26011747378</v>
      </c>
      <c r="G147" s="154">
        <f t="shared" si="184"/>
        <v>84001.783150455158</v>
      </c>
      <c r="H147" s="154">
        <f t="shared" si="176"/>
        <v>1939224.1151157471</v>
      </c>
      <c r="I147" s="154">
        <f t="shared" si="176"/>
        <v>116.05350917634428</v>
      </c>
      <c r="J147" s="154">
        <f t="shared" si="176"/>
        <v>-25033.420574116746</v>
      </c>
      <c r="K147" s="170"/>
      <c r="L147" s="171">
        <f t="shared" si="177"/>
        <v>-9.5755193882961248E-2</v>
      </c>
      <c r="M147" s="171">
        <f t="shared" si="177"/>
        <v>0.52306788886237987</v>
      </c>
      <c r="N147" s="171">
        <f t="shared" si="177"/>
        <v>1.135348348135491E-2</v>
      </c>
      <c r="O147" s="171">
        <f t="shared" si="178"/>
        <v>0.20286556320015328</v>
      </c>
      <c r="P147" s="171">
        <f t="shared" si="178"/>
        <v>0.19928654114189415</v>
      </c>
      <c r="Q147" s="170"/>
      <c r="R147" s="154">
        <v>161421.04398711171</v>
      </c>
      <c r="S147" s="154">
        <v>3329.1654393494518</v>
      </c>
      <c r="T147" s="154">
        <v>5646340.4720974416</v>
      </c>
      <c r="U147" s="154">
        <v>649258.08796879835</v>
      </c>
      <c r="V147" s="154">
        <v>39.552870173576338</v>
      </c>
      <c r="W147" s="170"/>
      <c r="X147" s="154">
        <v>176877.94735088761</v>
      </c>
      <c r="Y147" s="154">
        <v>1587.785901315337</v>
      </c>
      <c r="Z147" s="154">
        <v>5582234.8388173776</v>
      </c>
      <c r="AA147" s="154">
        <v>517545.98029075342</v>
      </c>
      <c r="AB147" s="154">
        <v>31.670515484449922</v>
      </c>
      <c r="AC147" s="170"/>
      <c r="AD147" s="154">
        <f t="shared" si="179"/>
        <v>-15456.903363775898</v>
      </c>
      <c r="AE147" s="154">
        <f t="shared" si="179"/>
        <v>1741.3795380341148</v>
      </c>
      <c r="AF147" s="154">
        <f t="shared" si="179"/>
        <v>64105.633280063979</v>
      </c>
      <c r="AG147" s="154">
        <f t="shared" si="179"/>
        <v>131712.10767804494</v>
      </c>
      <c r="AH147" s="154">
        <f t="shared" si="179"/>
        <v>7.8823546891264158</v>
      </c>
      <c r="AI147" s="154">
        <v>-1700.27</v>
      </c>
      <c r="AJ147" s="170"/>
      <c r="AK147" s="183">
        <f t="shared" ref="AK147:AP147" si="188">AD147/$E140</f>
        <v>-0.63309045110693829</v>
      </c>
      <c r="AL147" s="183">
        <f t="shared" si="188"/>
        <v>7.1324167029863397E-2</v>
      </c>
      <c r="AM147" s="183">
        <f t="shared" si="188"/>
        <v>2.6256659135803391</v>
      </c>
      <c r="AN147" s="183">
        <f t="shared" si="188"/>
        <v>5.3947207732150293</v>
      </c>
      <c r="AO147" s="183">
        <f t="shared" si="188"/>
        <v>3.2284885067075225E-4</v>
      </c>
      <c r="AP147" s="183">
        <f t="shared" si="188"/>
        <v>-6.9640385009215641E-2</v>
      </c>
      <c r="AQ147" s="170"/>
      <c r="AR147" s="184">
        <f t="shared" si="186"/>
        <v>6.6115520781122958</v>
      </c>
      <c r="AS147" s="184">
        <f t="shared" si="181"/>
        <v>0.13635738027235109</v>
      </c>
      <c r="AT147" s="184">
        <f t="shared" si="181"/>
        <v>231.26522515246535</v>
      </c>
      <c r="AU147" s="184">
        <f t="shared" si="181"/>
        <v>26.592590127741076</v>
      </c>
      <c r="AV147" s="184">
        <f t="shared" si="181"/>
        <v>1.6200233534129156E-3</v>
      </c>
      <c r="AW147" s="170"/>
      <c r="AX147" s="172">
        <f t="shared" si="182"/>
        <v>2376634.8189654392</v>
      </c>
      <c r="AY147" s="172">
        <f t="shared" si="182"/>
        <v>49015.978993953308</v>
      </c>
      <c r="AZ147" s="172">
        <f t="shared" si="182"/>
        <v>83132217.672882646</v>
      </c>
      <c r="BA147" s="172">
        <f t="shared" si="182"/>
        <v>9559158.7084814887</v>
      </c>
      <c r="BB147" s="172">
        <f t="shared" si="182"/>
        <v>582.3449416672496</v>
      </c>
      <c r="BC147" s="170"/>
      <c r="BD147" s="325">
        <f>X147/$E140</f>
        <v>7.2446425292192345</v>
      </c>
      <c r="BE147" s="325">
        <f>Y147/$E140</f>
        <v>6.5033213242487689E-2</v>
      </c>
      <c r="BF147" s="325">
        <f>Z147/$E140</f>
        <v>228.639559238885</v>
      </c>
      <c r="BG147" s="325">
        <f>AA147/$E140</f>
        <v>21.197869354526045</v>
      </c>
      <c r="BH147" s="325">
        <f>AB147/$E140</f>
        <v>1.2971745027421636E-3</v>
      </c>
      <c r="BI147" s="326"/>
      <c r="BJ147" s="320">
        <f t="shared" si="183"/>
        <v>2604209.9468444712</v>
      </c>
      <c r="BK147" s="320">
        <f t="shared" si="183"/>
        <v>23377.2943410634</v>
      </c>
      <c r="BL147" s="320">
        <f t="shared" si="183"/>
        <v>82188377.412765175</v>
      </c>
      <c r="BM147" s="320">
        <f t="shared" si="183"/>
        <v>7619934.593365741</v>
      </c>
      <c r="BN147" s="320">
        <f t="shared" si="183"/>
        <v>466.29143249090549</v>
      </c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</row>
    <row r="148" spans="1:76" x14ac:dyDescent="0.35">
      <c r="A148" s="168">
        <v>5</v>
      </c>
      <c r="B148" s="169">
        <f t="shared" si="174"/>
        <v>7.429373253157398E-2</v>
      </c>
      <c r="C148" s="170"/>
      <c r="D148" s="154">
        <f t="shared" si="175"/>
        <v>-49846.544191410976</v>
      </c>
      <c r="E148" s="154">
        <f t="shared" si="175"/>
        <v>5456.8338694059612</v>
      </c>
      <c r="F148" s="154">
        <f t="shared" si="175"/>
        <v>142327.35228659186</v>
      </c>
      <c r="G148" s="154">
        <f t="shared" si="184"/>
        <v>12667.134353506675</v>
      </c>
      <c r="H148" s="154">
        <f t="shared" si="176"/>
        <v>408551.26390494726</v>
      </c>
      <c r="I148" s="154">
        <f t="shared" si="176"/>
        <v>24.442537430780231</v>
      </c>
      <c r="J148" s="154">
        <f t="shared" si="176"/>
        <v>-5173.8441372705011</v>
      </c>
      <c r="K148" s="170"/>
      <c r="L148" s="171">
        <f t="shared" si="177"/>
        <v>-0.11297467175527373</v>
      </c>
      <c r="M148" s="171">
        <f t="shared" si="177"/>
        <v>0.49560897508984153</v>
      </c>
      <c r="N148" s="171">
        <f t="shared" si="177"/>
        <v>9.6341547992873783E-3</v>
      </c>
      <c r="O148" s="171">
        <f t="shared" si="178"/>
        <v>0.20955533175351945</v>
      </c>
      <c r="P148" s="171">
        <f t="shared" si="178"/>
        <v>0.206029874273153</v>
      </c>
      <c r="Q148" s="170"/>
      <c r="R148" s="154">
        <v>144996.83316001529</v>
      </c>
      <c r="S148" s="154">
        <v>3618.3128979248449</v>
      </c>
      <c r="T148" s="154">
        <v>4854888.9544318104</v>
      </c>
      <c r="U148" s="154">
        <v>640696.56253836572</v>
      </c>
      <c r="V148" s="154">
        <v>38.987073974238214</v>
      </c>
      <c r="W148" s="170"/>
      <c r="X148" s="154">
        <v>161377.80279182221</v>
      </c>
      <c r="Y148" s="154">
        <v>1825.044551029958</v>
      </c>
      <c r="Z148" s="154">
        <v>4808116.2027114639</v>
      </c>
      <c r="AA148" s="154">
        <v>506435.18182229897</v>
      </c>
      <c r="AB148" s="154">
        <v>30.954572025047799</v>
      </c>
      <c r="AC148" s="170"/>
      <c r="AD148" s="154">
        <f t="shared" si="179"/>
        <v>-16380.969631806918</v>
      </c>
      <c r="AE148" s="154">
        <f t="shared" si="179"/>
        <v>1793.2683468948869</v>
      </c>
      <c r="AF148" s="154">
        <f t="shared" si="179"/>
        <v>46772.75172034651</v>
      </c>
      <c r="AG148" s="154">
        <f t="shared" si="179"/>
        <v>134261.38071606675</v>
      </c>
      <c r="AH148" s="154">
        <f t="shared" si="179"/>
        <v>8.032501949190415</v>
      </c>
      <c r="AI148" s="154">
        <v>-1700.27</v>
      </c>
      <c r="AJ148" s="170"/>
      <c r="AK148" s="183">
        <f t="shared" ref="AK148:AP148" si="189">AD148/$E140</f>
        <v>-0.67093875207073184</v>
      </c>
      <c r="AL148" s="183">
        <f t="shared" si="189"/>
        <v>7.3449451029895016E-2</v>
      </c>
      <c r="AM148" s="183">
        <f t="shared" si="189"/>
        <v>1.9157383461129023</v>
      </c>
      <c r="AN148" s="183">
        <f t="shared" si="189"/>
        <v>5.4991349873465802</v>
      </c>
      <c r="AO148" s="183">
        <f t="shared" si="189"/>
        <v>3.2899864629082185E-4</v>
      </c>
      <c r="AP148" s="183">
        <f t="shared" si="189"/>
        <v>-6.9640385009215641E-2</v>
      </c>
      <c r="AQ148" s="170"/>
      <c r="AR148" s="184">
        <f t="shared" si="186"/>
        <v>5.9388422346924141</v>
      </c>
      <c r="AS148" s="184">
        <f t="shared" si="181"/>
        <v>0.14820040540343415</v>
      </c>
      <c r="AT148" s="184">
        <f t="shared" si="181"/>
        <v>198.84861578668074</v>
      </c>
      <c r="AU148" s="184">
        <f t="shared" si="181"/>
        <v>26.24192351170861</v>
      </c>
      <c r="AV148" s="184">
        <f t="shared" si="181"/>
        <v>1.5968492309743278E-3</v>
      </c>
      <c r="AW148" s="170"/>
      <c r="AX148" s="172">
        <f t="shared" si="182"/>
        <v>441218.75653145334</v>
      </c>
      <c r="AY148" s="172">
        <f t="shared" si="182"/>
        <v>11010.361280113568</v>
      </c>
      <c r="AZ148" s="172">
        <f t="shared" si="182"/>
        <v>14773205.875529379</v>
      </c>
      <c r="BA148" s="172">
        <f t="shared" si="182"/>
        <v>1949610.446492902</v>
      </c>
      <c r="BB148" s="172">
        <f t="shared" si="182"/>
        <v>118.63588965925631</v>
      </c>
      <c r="BC148" s="170"/>
      <c r="BD148" s="325">
        <f>X148/$E140</f>
        <v>6.6097809867631456</v>
      </c>
      <c r="BE148" s="325">
        <f>Y148/$E140</f>
        <v>7.4750954373539139E-2</v>
      </c>
      <c r="BF148" s="325">
        <f>Z148/$E140</f>
        <v>196.93287744056784</v>
      </c>
      <c r="BG148" s="325">
        <f>AA148/$E140</f>
        <v>20.74278852436203</v>
      </c>
      <c r="BH148" s="325">
        <f>AB148/$E140</f>
        <v>1.2678505846835061E-3</v>
      </c>
      <c r="BI148" s="326"/>
      <c r="BJ148" s="320">
        <f t="shared" si="183"/>
        <v>491065.30072286422</v>
      </c>
      <c r="BK148" s="320">
        <f t="shared" si="183"/>
        <v>5553.5274107076066</v>
      </c>
      <c r="BL148" s="320">
        <f t="shared" si="183"/>
        <v>14630878.523242787</v>
      </c>
      <c r="BM148" s="320">
        <f t="shared" si="183"/>
        <v>1541059.1825879547</v>
      </c>
      <c r="BN148" s="320">
        <f t="shared" si="183"/>
        <v>94.193352228476087</v>
      </c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</row>
    <row r="149" spans="1:76" x14ac:dyDescent="0.35">
      <c r="A149" s="168">
        <v>6</v>
      </c>
      <c r="B149" s="169">
        <f t="shared" si="174"/>
        <v>0.3987701105970608</v>
      </c>
      <c r="C149" s="170"/>
      <c r="D149" s="154">
        <f t="shared" si="175"/>
        <v>-235310.28162874517</v>
      </c>
      <c r="E149" s="154">
        <f t="shared" si="175"/>
        <v>27424.329284618561</v>
      </c>
      <c r="F149" s="154">
        <f t="shared" si="175"/>
        <v>1135811.0401879181</v>
      </c>
      <c r="G149" s="154">
        <f t="shared" si="184"/>
        <v>101087.18257672471</v>
      </c>
      <c r="H149" s="154">
        <f t="shared" si="176"/>
        <v>2061960.2169062819</v>
      </c>
      <c r="I149" s="154">
        <f t="shared" si="176"/>
        <v>125.58960943045861</v>
      </c>
      <c r="J149" s="154">
        <f t="shared" si="176"/>
        <v>-27770.504032146819</v>
      </c>
      <c r="K149" s="170"/>
      <c r="L149" s="171">
        <f t="shared" si="177"/>
        <v>-8.6274832396950926E-2</v>
      </c>
      <c r="M149" s="171">
        <f t="shared" si="177"/>
        <v>0.7291345469227889</v>
      </c>
      <c r="N149" s="171">
        <f t="shared" si="177"/>
        <v>1.2828413721109442E-2</v>
      </c>
      <c r="O149" s="171">
        <f t="shared" si="178"/>
        <v>0.2296779211404737</v>
      </c>
      <c r="P149" s="171">
        <f t="shared" si="178"/>
        <v>0.22790129479036617</v>
      </c>
      <c r="Q149" s="170"/>
      <c r="R149" s="154">
        <v>166990.1709096517</v>
      </c>
      <c r="S149" s="154">
        <v>2302.833129709139</v>
      </c>
      <c r="T149" s="154">
        <v>5420848.3505625026</v>
      </c>
      <c r="U149" s="154">
        <v>549661.30302314158</v>
      </c>
      <c r="V149" s="154">
        <v>33.739686825641968</v>
      </c>
      <c r="W149" s="170"/>
      <c r="X149" s="154">
        <v>181397.21991682009</v>
      </c>
      <c r="Y149" s="154">
        <v>623.75793903987801</v>
      </c>
      <c r="Z149" s="154">
        <v>5351307.4652020931</v>
      </c>
      <c r="AA149" s="154">
        <v>423416.23761342245</v>
      </c>
      <c r="AB149" s="154">
        <v>26.050368512256703</v>
      </c>
      <c r="AC149" s="170"/>
      <c r="AD149" s="154">
        <f t="shared" si="179"/>
        <v>-14407.049007168389</v>
      </c>
      <c r="AE149" s="154">
        <f t="shared" si="179"/>
        <v>1679.075190669261</v>
      </c>
      <c r="AF149" s="154">
        <f t="shared" si="179"/>
        <v>69540.885360409506</v>
      </c>
      <c r="AG149" s="154">
        <f t="shared" si="179"/>
        <v>126245.06540971913</v>
      </c>
      <c r="AH149" s="154">
        <f t="shared" si="179"/>
        <v>7.6893183133852645</v>
      </c>
      <c r="AI149" s="154">
        <v>-1700.27</v>
      </c>
      <c r="AJ149" s="170"/>
      <c r="AK149" s="183">
        <f t="shared" ref="AK149:AP149" si="190">AD149/$E140</f>
        <v>-0.59009006787501084</v>
      </c>
      <c r="AL149" s="183">
        <f t="shared" si="190"/>
        <v>6.8772278954301089E-2</v>
      </c>
      <c r="AM149" s="183">
        <f t="shared" si="190"/>
        <v>2.8482852902072295</v>
      </c>
      <c r="AN149" s="183">
        <f t="shared" si="190"/>
        <v>5.1707993204881886</v>
      </c>
      <c r="AO149" s="183">
        <f t="shared" si="190"/>
        <v>3.1494238432870219E-4</v>
      </c>
      <c r="AP149" s="183">
        <f t="shared" si="190"/>
        <v>-6.9640385009215641E-2</v>
      </c>
      <c r="AQ149" s="170"/>
      <c r="AR149" s="184">
        <f t="shared" si="186"/>
        <v>6.8396547577166373</v>
      </c>
      <c r="AS149" s="184">
        <f t="shared" si="181"/>
        <v>9.4320423088639735E-2</v>
      </c>
      <c r="AT149" s="184">
        <f t="shared" si="181"/>
        <v>222.02942250921575</v>
      </c>
      <c r="AU149" s="184">
        <f t="shared" si="181"/>
        <v>22.513262462549317</v>
      </c>
      <c r="AV149" s="184">
        <f t="shared" si="181"/>
        <v>1.3819245064772463E-3</v>
      </c>
      <c r="AW149" s="170"/>
      <c r="AX149" s="172">
        <f t="shared" si="182"/>
        <v>2727449.8841803763</v>
      </c>
      <c r="AY149" s="172">
        <f t="shared" si="182"/>
        <v>37612.165546618431</v>
      </c>
      <c r="AZ149" s="172">
        <f t="shared" si="182"/>
        <v>88538697.369801506</v>
      </c>
      <c r="BA149" s="172">
        <f t="shared" si="182"/>
        <v>8977616.1620914489</v>
      </c>
      <c r="BB149" s="172">
        <f t="shared" si="182"/>
        <v>551.07018828472019</v>
      </c>
      <c r="BC149" s="170"/>
      <c r="BD149" s="325">
        <f>X149/$E140</f>
        <v>7.4297448255916478</v>
      </c>
      <c r="BE149" s="325">
        <f>Y149/$E140</f>
        <v>2.5548144134338646E-2</v>
      </c>
      <c r="BF149" s="325">
        <f>Z149/$E140</f>
        <v>219.18113721900852</v>
      </c>
      <c r="BG149" s="325">
        <f>AA149/$E140</f>
        <v>17.342463142061128</v>
      </c>
      <c r="BH149" s="325">
        <f>AB149/$E140</f>
        <v>1.0669821221485441E-3</v>
      </c>
      <c r="BI149" s="326"/>
      <c r="BJ149" s="320">
        <f t="shared" si="183"/>
        <v>2962760.1658091219</v>
      </c>
      <c r="BK149" s="320">
        <f t="shared" si="183"/>
        <v>10187.836261999872</v>
      </c>
      <c r="BL149" s="320">
        <f t="shared" si="183"/>
        <v>87402886.329613581</v>
      </c>
      <c r="BM149" s="320">
        <f t="shared" si="183"/>
        <v>6915655.9451851668</v>
      </c>
      <c r="BN149" s="320">
        <f t="shared" si="183"/>
        <v>425.48057885426158</v>
      </c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</row>
    <row r="150" spans="1:76" x14ac:dyDescent="0.35">
      <c r="A150" s="168">
        <v>7</v>
      </c>
      <c r="B150" s="169">
        <f t="shared" si="174"/>
        <v>0.42750436552391036</v>
      </c>
      <c r="C150" s="170"/>
      <c r="D150" s="154">
        <f t="shared" si="175"/>
        <v>-250164.89203389254</v>
      </c>
      <c r="E150" s="154">
        <f t="shared" si="175"/>
        <v>28909.701567928856</v>
      </c>
      <c r="F150" s="154">
        <f t="shared" si="175"/>
        <v>1276344.2466878998</v>
      </c>
      <c r="G150" s="154">
        <f t="shared" si="184"/>
        <v>113594.63795522308</v>
      </c>
      <c r="H150" s="154">
        <f t="shared" si="176"/>
        <v>2179953.8655695505</v>
      </c>
      <c r="I150" s="154">
        <f t="shared" si="176"/>
        <v>132.78072712234075</v>
      </c>
      <c r="J150" s="154">
        <f t="shared" si="176"/>
        <v>-29771.568608205573</v>
      </c>
      <c r="K150" s="170"/>
      <c r="L150" s="171">
        <f t="shared" si="177"/>
        <v>-8.8868898311716807E-2</v>
      </c>
      <c r="M150" s="171">
        <f t="shared" si="177"/>
        <v>0.76873532019289847</v>
      </c>
      <c r="N150" s="171">
        <f t="shared" si="177"/>
        <v>1.443172780189405E-2</v>
      </c>
      <c r="O150" s="171">
        <f t="shared" si="178"/>
        <v>0.23486085322043099</v>
      </c>
      <c r="P150" s="171">
        <f t="shared" si="178"/>
        <v>0.23302452876438606</v>
      </c>
      <c r="Q150" s="170"/>
      <c r="R150" s="154">
        <v>160765.45698962171</v>
      </c>
      <c r="S150" s="154">
        <v>2147.7461422288402</v>
      </c>
      <c r="T150" s="154">
        <v>5050863.9524752116</v>
      </c>
      <c r="U150" s="154">
        <v>530093.94448074163</v>
      </c>
      <c r="V150" s="154">
        <v>32.542399990172683</v>
      </c>
      <c r="W150" s="170"/>
      <c r="X150" s="154">
        <v>175052.50603886909</v>
      </c>
      <c r="Y150" s="154">
        <v>496.69782388949028</v>
      </c>
      <c r="Z150" s="154">
        <v>4977971.2587486906</v>
      </c>
      <c r="AA150" s="154">
        <v>405595.62839301088</v>
      </c>
      <c r="AB150" s="154">
        <v>24.959222567600531</v>
      </c>
      <c r="AC150" s="170"/>
      <c r="AD150" s="154">
        <f t="shared" si="179"/>
        <v>-14287.049049247376</v>
      </c>
      <c r="AE150" s="154">
        <f t="shared" si="179"/>
        <v>1651.0483183393499</v>
      </c>
      <c r="AF150" s="154">
        <f t="shared" si="179"/>
        <v>72892.693726520985</v>
      </c>
      <c r="AG150" s="154">
        <f t="shared" si="179"/>
        <v>124498.31608773075</v>
      </c>
      <c r="AH150" s="154">
        <f t="shared" si="179"/>
        <v>7.5831774225721524</v>
      </c>
      <c r="AI150" s="154">
        <v>-1700.27</v>
      </c>
      <c r="AJ150" s="170"/>
      <c r="AK150" s="183">
        <f t="shared" ref="AK150:AP150" si="191">AD150/$E140</f>
        <v>-0.58517505833493244</v>
      </c>
      <c r="AL150" s="183">
        <f t="shared" si="191"/>
        <v>6.7624342344433749E-2</v>
      </c>
      <c r="AM150" s="183">
        <f t="shared" si="191"/>
        <v>2.9855700891468762</v>
      </c>
      <c r="AN150" s="183">
        <f t="shared" si="191"/>
        <v>5.0992552155531747</v>
      </c>
      <c r="AO150" s="183">
        <f t="shared" si="191"/>
        <v>3.1059502037977278E-4</v>
      </c>
      <c r="AP150" s="183">
        <f t="shared" si="191"/>
        <v>-6.9640385009215641E-2</v>
      </c>
      <c r="AQ150" s="170"/>
      <c r="AR150" s="184">
        <f t="shared" si="186"/>
        <v>6.5847002658046989</v>
      </c>
      <c r="AS150" s="184">
        <f t="shared" si="181"/>
        <v>8.7968304002819589E-2</v>
      </c>
      <c r="AT150" s="184">
        <f t="shared" si="181"/>
        <v>206.87544347635517</v>
      </c>
      <c r="AU150" s="184">
        <f t="shared" si="181"/>
        <v>21.711814232264658</v>
      </c>
      <c r="AV150" s="184">
        <f t="shared" si="181"/>
        <v>1.3328855207934746E-3</v>
      </c>
      <c r="AW150" s="170"/>
      <c r="AX150" s="172">
        <f t="shared" si="182"/>
        <v>2814988.1092979619</v>
      </c>
      <c r="AY150" s="172">
        <f t="shared" si="182"/>
        <v>37606.833988939856</v>
      </c>
      <c r="AZ150" s="172">
        <f t="shared" si="182"/>
        <v>88440155.205836803</v>
      </c>
      <c r="BA150" s="172">
        <f t="shared" si="182"/>
        <v>9281895.36773731</v>
      </c>
      <c r="BB150" s="172">
        <f t="shared" si="182"/>
        <v>569.81437888282119</v>
      </c>
      <c r="BC150" s="170"/>
      <c r="BD150" s="325">
        <f>X150/$E140</f>
        <v>7.1698753241396309</v>
      </c>
      <c r="BE150" s="325">
        <f>Y150/$E140</f>
        <v>2.034396165838584E-2</v>
      </c>
      <c r="BF150" s="325">
        <f>Z150/$E140</f>
        <v>203.8898733872083</v>
      </c>
      <c r="BG150" s="325">
        <f>AA150/$E140</f>
        <v>16.612559016711483</v>
      </c>
      <c r="BH150" s="325">
        <f>AB150/$E140</f>
        <v>1.0222905004137019E-3</v>
      </c>
      <c r="BI150" s="326"/>
      <c r="BJ150" s="320">
        <f t="shared" si="183"/>
        <v>3065153.0013318541</v>
      </c>
      <c r="BK150" s="320">
        <f t="shared" si="183"/>
        <v>8697.132421010996</v>
      </c>
      <c r="BL150" s="320">
        <f t="shared" si="183"/>
        <v>87163810.959148899</v>
      </c>
      <c r="BM150" s="320">
        <f t="shared" si="183"/>
        <v>7101941.5021677585</v>
      </c>
      <c r="BN150" s="320">
        <f t="shared" si="183"/>
        <v>437.03365176048044</v>
      </c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</row>
    <row r="151" spans="1:76" x14ac:dyDescent="0.35">
      <c r="A151" s="168">
        <v>8</v>
      </c>
      <c r="B151" s="169">
        <f t="shared" si="174"/>
        <v>0.54737871842884245</v>
      </c>
      <c r="C151" s="170"/>
      <c r="D151" s="154">
        <f t="shared" si="175"/>
        <v>-310298.12628565502</v>
      </c>
      <c r="E151" s="154">
        <f t="shared" si="175"/>
        <v>36702.255540001795</v>
      </c>
      <c r="F151" s="154">
        <f t="shared" si="175"/>
        <v>1575634.9128992523</v>
      </c>
      <c r="G151" s="154">
        <f t="shared" si="184"/>
        <v>140231.50724803345</v>
      </c>
      <c r="H151" s="154">
        <f t="shared" si="176"/>
        <v>2763515.7813450489</v>
      </c>
      <c r="I151" s="154">
        <f t="shared" si="176"/>
        <v>168.32262051249674</v>
      </c>
      <c r="J151" s="154">
        <f t="shared" si="176"/>
        <v>-38119.664697235625</v>
      </c>
      <c r="K151" s="170"/>
      <c r="L151" s="171">
        <f t="shared" si="177"/>
        <v>-7.7723964473853199E-2</v>
      </c>
      <c r="M151" s="171">
        <f t="shared" si="177"/>
        <v>0.71458865948915706</v>
      </c>
      <c r="N151" s="171">
        <f t="shared" si="177"/>
        <v>1.2355518011716186E-2</v>
      </c>
      <c r="O151" s="171">
        <f t="shared" si="178"/>
        <v>0.21577814569557174</v>
      </c>
      <c r="P151" s="171">
        <f t="shared" si="178"/>
        <v>0.21407996975601762</v>
      </c>
      <c r="Q151" s="170"/>
      <c r="R151" s="154">
        <v>178070.93075905001</v>
      </c>
      <c r="S151" s="154">
        <v>2290.8964285699772</v>
      </c>
      <c r="T151" s="154">
        <v>5688050.6813689861</v>
      </c>
      <c r="U151" s="154">
        <v>571246.18479967304</v>
      </c>
      <c r="V151" s="154">
        <v>35.069959895374119</v>
      </c>
      <c r="W151" s="170"/>
      <c r="X151" s="154">
        <v>191911.30945519239</v>
      </c>
      <c r="Y151" s="154">
        <v>653.84782064965998</v>
      </c>
      <c r="Z151" s="154">
        <v>5617771.8687237771</v>
      </c>
      <c r="AA151" s="154">
        <v>447983.74230792967</v>
      </c>
      <c r="AB151" s="154">
        <v>27.562183941627676</v>
      </c>
      <c r="AC151" s="170"/>
      <c r="AD151" s="154">
        <f t="shared" si="179"/>
        <v>-13840.378696142376</v>
      </c>
      <c r="AE151" s="154">
        <f t="shared" si="179"/>
        <v>1637.0486079203172</v>
      </c>
      <c r="AF151" s="154">
        <f t="shared" si="179"/>
        <v>70278.812645209022</v>
      </c>
      <c r="AG151" s="154">
        <f t="shared" si="179"/>
        <v>123262.44249174336</v>
      </c>
      <c r="AH151" s="154">
        <f t="shared" si="179"/>
        <v>7.5077759537464424</v>
      </c>
      <c r="AI151" s="154">
        <v>-1700.27</v>
      </c>
      <c r="AJ151" s="170"/>
      <c r="AK151" s="183">
        <f t="shared" ref="AK151:AP151" si="192">AD151/$E140</f>
        <v>-0.56688014319649294</v>
      </c>
      <c r="AL151" s="183">
        <f t="shared" si="192"/>
        <v>6.7050936224465174E-2</v>
      </c>
      <c r="AM151" s="183">
        <f t="shared" si="192"/>
        <v>2.8785096311779244</v>
      </c>
      <c r="AN151" s="183">
        <f t="shared" si="192"/>
        <v>5.048635776847977</v>
      </c>
      <c r="AO151" s="183">
        <f t="shared" si="192"/>
        <v>3.0750669480837363E-4</v>
      </c>
      <c r="AP151" s="183">
        <f t="shared" si="192"/>
        <v>-6.9640385009215641E-2</v>
      </c>
      <c r="AQ151" s="170"/>
      <c r="AR151" s="184">
        <f t="shared" si="186"/>
        <v>7.2935052532889619</v>
      </c>
      <c r="AS151" s="184">
        <f t="shared" si="181"/>
        <v>9.3831514584066231E-2</v>
      </c>
      <c r="AT151" s="184">
        <f t="shared" si="181"/>
        <v>232.97360972226033</v>
      </c>
      <c r="AU151" s="184">
        <f t="shared" si="181"/>
        <v>23.397345271336189</v>
      </c>
      <c r="AV151" s="184">
        <f t="shared" si="181"/>
        <v>1.4364103991551963E-3</v>
      </c>
      <c r="AW151" s="170"/>
      <c r="AX151" s="172">
        <f t="shared" si="182"/>
        <v>3992309.558399342</v>
      </c>
      <c r="AY151" s="172">
        <f t="shared" si="182"/>
        <v>51361.37420126341</v>
      </c>
      <c r="AZ151" s="172">
        <f t="shared" si="182"/>
        <v>127524795.91751216</v>
      </c>
      <c r="BA151" s="172">
        <f t="shared" si="182"/>
        <v>12807208.86926114</v>
      </c>
      <c r="BB151" s="172">
        <f t="shared" si="182"/>
        <v>786.26048342743343</v>
      </c>
      <c r="BC151" s="170"/>
      <c r="BD151" s="325">
        <f>X151/$E140</f>
        <v>7.8603853964854551</v>
      </c>
      <c r="BE151" s="325">
        <f>Y151/$E140</f>
        <v>2.6780578359601064E-2</v>
      </c>
      <c r="BF151" s="325">
        <f>Z151/$E140</f>
        <v>230.0951000910824</v>
      </c>
      <c r="BG151" s="325">
        <f>AA151/$E140</f>
        <v>18.348709494488212</v>
      </c>
      <c r="BH151" s="325">
        <f>AB151/$E140</f>
        <v>1.1289037043468227E-3</v>
      </c>
      <c r="BI151" s="326"/>
      <c r="BJ151" s="320">
        <f t="shared" si="183"/>
        <v>4302607.6846849965</v>
      </c>
      <c r="BK151" s="320">
        <f t="shared" si="183"/>
        <v>14659.118661261622</v>
      </c>
      <c r="BL151" s="320">
        <f t="shared" si="183"/>
        <v>125949161.00461292</v>
      </c>
      <c r="BM151" s="320">
        <f t="shared" si="183"/>
        <v>10043693.087916091</v>
      </c>
      <c r="BN151" s="320">
        <f t="shared" si="183"/>
        <v>617.93786291493666</v>
      </c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</row>
    <row r="152" spans="1:76" x14ac:dyDescent="0.35">
      <c r="A152" s="168">
        <v>9</v>
      </c>
      <c r="B152" s="169">
        <f t="shared" si="174"/>
        <v>0.73743647948442825</v>
      </c>
      <c r="C152" s="170"/>
      <c r="D152" s="154">
        <f t="shared" si="175"/>
        <v>-422926.98102347832</v>
      </c>
      <c r="E152" s="154">
        <f t="shared" si="175"/>
        <v>49716.678653395735</v>
      </c>
      <c r="F152" s="154">
        <f t="shared" si="175"/>
        <v>2079461.5636241892</v>
      </c>
      <c r="G152" s="154">
        <f t="shared" si="184"/>
        <v>185072.07916255284</v>
      </c>
      <c r="H152" s="154">
        <f t="shared" si="176"/>
        <v>3733849.1101646265</v>
      </c>
      <c r="I152" s="154">
        <f t="shared" si="176"/>
        <v>227.41788506948106</v>
      </c>
      <c r="J152" s="154">
        <f t="shared" si="176"/>
        <v>-51355.360351136136</v>
      </c>
      <c r="K152" s="170"/>
      <c r="L152" s="171">
        <f t="shared" si="177"/>
        <v>-7.8940013152264565E-2</v>
      </c>
      <c r="M152" s="171">
        <f t="shared" si="177"/>
        <v>0.67798636575822002</v>
      </c>
      <c r="N152" s="171">
        <f t="shared" si="177"/>
        <v>1.1397091570145276E-2</v>
      </c>
      <c r="O152" s="171">
        <f t="shared" si="178"/>
        <v>0.21002246173923583</v>
      </c>
      <c r="P152" s="171">
        <f t="shared" si="178"/>
        <v>0.20838372353367748</v>
      </c>
      <c r="Q152" s="170"/>
      <c r="R152" s="154">
        <v>177378.22676963671</v>
      </c>
      <c r="S152" s="154">
        <v>2427.801964524625</v>
      </c>
      <c r="T152" s="154">
        <v>6040723.6878540404</v>
      </c>
      <c r="U152" s="154">
        <v>588603.89279243175</v>
      </c>
      <c r="V152" s="154">
        <v>36.132077536393425</v>
      </c>
      <c r="W152" s="170"/>
      <c r="X152" s="154">
        <v>191380.46632375719</v>
      </c>
      <c r="Y152" s="154">
        <v>781.78533381590773</v>
      </c>
      <c r="Z152" s="154">
        <v>5971877.0068336222</v>
      </c>
      <c r="AA152" s="154">
        <v>464983.85423886799</v>
      </c>
      <c r="AB152" s="154">
        <v>28.60274068035222</v>
      </c>
      <c r="AC152" s="170"/>
      <c r="AD152" s="154">
        <f t="shared" si="179"/>
        <v>-14002.23955412049</v>
      </c>
      <c r="AE152" s="154">
        <f t="shared" si="179"/>
        <v>1646.0166307087172</v>
      </c>
      <c r="AF152" s="154">
        <f t="shared" si="179"/>
        <v>68846.681020418182</v>
      </c>
      <c r="AG152" s="154">
        <f t="shared" si="179"/>
        <v>123620.03855356376</v>
      </c>
      <c r="AH152" s="154">
        <f t="shared" si="179"/>
        <v>7.5293368560412048</v>
      </c>
      <c r="AI152" s="154">
        <v>-1700.27</v>
      </c>
      <c r="AJ152" s="170"/>
      <c r="AK152" s="183">
        <f t="shared" ref="AK152:AP152" si="193">AD152/$E140</f>
        <v>-0.57350970936393564</v>
      </c>
      <c r="AL152" s="183">
        <f t="shared" si="193"/>
        <v>6.7418252332939479E-2</v>
      </c>
      <c r="AM152" s="183">
        <f t="shared" si="193"/>
        <v>2.8198517722882728</v>
      </c>
      <c r="AN152" s="183">
        <f t="shared" si="193"/>
        <v>5.0632823491117662</v>
      </c>
      <c r="AO152" s="183">
        <f t="shared" si="193"/>
        <v>3.0838979545530227E-4</v>
      </c>
      <c r="AP152" s="183">
        <f t="shared" si="193"/>
        <v>-6.9640385009215641E-2</v>
      </c>
      <c r="AQ152" s="170"/>
      <c r="AR152" s="184">
        <f t="shared" si="186"/>
        <v>7.2651331873699245</v>
      </c>
      <c r="AS152" s="184">
        <f t="shared" si="181"/>
        <v>9.9438950011248209E-2</v>
      </c>
      <c r="AT152" s="184">
        <f t="shared" si="181"/>
        <v>247.41854138251242</v>
      </c>
      <c r="AU152" s="184">
        <f t="shared" si="181"/>
        <v>24.108289690453891</v>
      </c>
      <c r="AV152" s="184">
        <f t="shared" si="181"/>
        <v>1.479913067228893E-3</v>
      </c>
      <c r="AW152" s="170"/>
      <c r="AX152" s="172">
        <f t="shared" si="182"/>
        <v>5357574.2406795602</v>
      </c>
      <c r="AY152" s="172">
        <f t="shared" si="182"/>
        <v>73329.90921992292</v>
      </c>
      <c r="AZ152" s="172">
        <f t="shared" si="182"/>
        <v>182455458.11629227</v>
      </c>
      <c r="BA152" s="172">
        <f t="shared" si="182"/>
        <v>17778332.275719054</v>
      </c>
      <c r="BB152" s="172">
        <f t="shared" si="182"/>
        <v>1091.3418822402768</v>
      </c>
      <c r="BC152" s="170"/>
      <c r="BD152" s="325">
        <f>X152/$E140</f>
        <v>7.8386428967338597</v>
      </c>
      <c r="BE152" s="325">
        <f>Y152/$E140</f>
        <v>3.2020697678308736E-2</v>
      </c>
      <c r="BF152" s="325">
        <f>Z152/$E140</f>
        <v>244.59868961022414</v>
      </c>
      <c r="BG152" s="325">
        <f>AA152/$E140</f>
        <v>19.045007341342124</v>
      </c>
      <c r="BH152" s="325">
        <f>AB152/$E140</f>
        <v>1.1715232717735909E-3</v>
      </c>
      <c r="BI152" s="326"/>
      <c r="BJ152" s="320">
        <f t="shared" si="183"/>
        <v>5780501.2217030386</v>
      </c>
      <c r="BK152" s="320">
        <f t="shared" si="183"/>
        <v>23613.2305665272</v>
      </c>
      <c r="BL152" s="320">
        <f t="shared" si="183"/>
        <v>180375996.55266809</v>
      </c>
      <c r="BM152" s="320">
        <f t="shared" si="183"/>
        <v>14044483.165554427</v>
      </c>
      <c r="BN152" s="320">
        <f t="shared" si="183"/>
        <v>863.92399717079593</v>
      </c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</row>
    <row r="153" spans="1:76" x14ac:dyDescent="0.35">
      <c r="A153" s="168">
        <v>10</v>
      </c>
      <c r="B153" s="169">
        <f t="shared" si="174"/>
        <v>0.74949231587741649</v>
      </c>
      <c r="C153" s="170"/>
      <c r="D153" s="154">
        <f t="shared" si="175"/>
        <v>-431839.35354202817</v>
      </c>
      <c r="E153" s="154">
        <f t="shared" si="175"/>
        <v>50617.301742568183</v>
      </c>
      <c r="F153" s="154">
        <f t="shared" si="175"/>
        <v>2181037.3226828421</v>
      </c>
      <c r="G153" s="154">
        <f t="shared" si="184"/>
        <v>194112.32171877293</v>
      </c>
      <c r="H153" s="154">
        <f t="shared" si="176"/>
        <v>3776707.6479565473</v>
      </c>
      <c r="I153" s="154">
        <f t="shared" si="176"/>
        <v>230.01107767605913</v>
      </c>
      <c r="J153" s="154">
        <f t="shared" si="176"/>
        <v>-52194.933439151951</v>
      </c>
      <c r="K153" s="170"/>
      <c r="L153" s="171">
        <f t="shared" si="177"/>
        <v>-7.5653958373024688E-2</v>
      </c>
      <c r="M153" s="171">
        <f t="shared" si="177"/>
        <v>0.62064472321061936</v>
      </c>
      <c r="N153" s="171">
        <f t="shared" si="177"/>
        <v>1.1341633091244103E-2</v>
      </c>
      <c r="O153" s="171">
        <f t="shared" si="178"/>
        <v>0.19621361852604624</v>
      </c>
      <c r="P153" s="171">
        <f t="shared" si="178"/>
        <v>0.19468665921124456</v>
      </c>
      <c r="Q153" s="170"/>
      <c r="R153" s="154">
        <v>185943.11617646419</v>
      </c>
      <c r="S153" s="154">
        <v>2656.7180546262662</v>
      </c>
      <c r="T153" s="154">
        <v>6264364.9065702334</v>
      </c>
      <c r="U153" s="154">
        <v>627008.98560725572</v>
      </c>
      <c r="V153" s="154">
        <v>38.485940492875748</v>
      </c>
      <c r="W153" s="170"/>
      <c r="X153" s="154">
        <v>200010.4489474289</v>
      </c>
      <c r="Y153" s="154">
        <v>1007.840012964092</v>
      </c>
      <c r="Z153" s="154">
        <v>6193316.7782502482</v>
      </c>
      <c r="AA153" s="154">
        <v>503981.28369291045</v>
      </c>
      <c r="AB153" s="154">
        <v>30.993241311715011</v>
      </c>
      <c r="AC153" s="170"/>
      <c r="AD153" s="154">
        <f t="shared" si="179"/>
        <v>-14067.332770964713</v>
      </c>
      <c r="AE153" s="154">
        <f t="shared" si="179"/>
        <v>1648.8780416621742</v>
      </c>
      <c r="AF153" s="154">
        <f t="shared" si="179"/>
        <v>71048.128319985233</v>
      </c>
      <c r="AG153" s="154">
        <f t="shared" si="179"/>
        <v>123027.70191434526</v>
      </c>
      <c r="AH153" s="154">
        <f t="shared" si="179"/>
        <v>7.492699181160738</v>
      </c>
      <c r="AI153" s="154">
        <v>-1700.27</v>
      </c>
      <c r="AJ153" s="170"/>
      <c r="AK153" s="183">
        <f t="shared" ref="AK153:AP153" si="194">AD153/$E140</f>
        <v>-0.57617582514702903</v>
      </c>
      <c r="AL153" s="183">
        <f t="shared" si="194"/>
        <v>6.7535451225155613E-2</v>
      </c>
      <c r="AM153" s="183">
        <f t="shared" si="194"/>
        <v>2.9100195912342919</v>
      </c>
      <c r="AN153" s="183">
        <f t="shared" si="194"/>
        <v>5.0390211719985771</v>
      </c>
      <c r="AO153" s="183">
        <f t="shared" si="194"/>
        <v>3.0688917391606544E-4</v>
      </c>
      <c r="AP153" s="183">
        <f t="shared" si="194"/>
        <v>-6.9640385009215641E-2</v>
      </c>
      <c r="AQ153" s="170"/>
      <c r="AR153" s="184">
        <f t="shared" si="186"/>
        <v>7.6159375865846481</v>
      </c>
      <c r="AS153" s="184">
        <f t="shared" si="181"/>
        <v>0.10881499302175983</v>
      </c>
      <c r="AT153" s="184">
        <f t="shared" si="181"/>
        <v>256.57853395741279</v>
      </c>
      <c r="AU153" s="184">
        <f t="shared" si="181"/>
        <v>25.681301888480675</v>
      </c>
      <c r="AV153" s="184">
        <f t="shared" si="181"/>
        <v>1.5763235917622669E-3</v>
      </c>
      <c r="AW153" s="170"/>
      <c r="AX153" s="172">
        <f t="shared" si="182"/>
        <v>5708086.6993471896</v>
      </c>
      <c r="AY153" s="172">
        <f t="shared" si="182"/>
        <v>81556.001122063695</v>
      </c>
      <c r="AZ153" s="172">
        <f t="shared" si="182"/>
        <v>192303639.62017366</v>
      </c>
      <c r="BA153" s="172">
        <f t="shared" si="182"/>
        <v>19247938.427144449</v>
      </c>
      <c r="BB153" s="172">
        <f t="shared" si="182"/>
        <v>1181.4424193621087</v>
      </c>
      <c r="BC153" s="170"/>
      <c r="BD153" s="325">
        <f>X153/$E140</f>
        <v>8.1921134117316772</v>
      </c>
      <c r="BE153" s="325">
        <f>Y153/$E140</f>
        <v>4.1279541796604216E-2</v>
      </c>
      <c r="BF153" s="325">
        <f>Z153/$E140</f>
        <v>253.6685143661785</v>
      </c>
      <c r="BG153" s="325">
        <f>AA153/$E140</f>
        <v>20.642280716482098</v>
      </c>
      <c r="BH153" s="325">
        <f>AB153/$E140</f>
        <v>1.2694344178462015E-3</v>
      </c>
      <c r="BI153" s="326"/>
      <c r="BJ153" s="320">
        <f t="shared" si="183"/>
        <v>6139926.0528892186</v>
      </c>
      <c r="BK153" s="320">
        <f t="shared" si="183"/>
        <v>30938.699379495505</v>
      </c>
      <c r="BL153" s="320">
        <f t="shared" si="183"/>
        <v>190122602.29749084</v>
      </c>
      <c r="BM153" s="320">
        <f t="shared" si="183"/>
        <v>15471230.779187905</v>
      </c>
      <c r="BN153" s="320">
        <f t="shared" si="183"/>
        <v>951.43134168604956</v>
      </c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</row>
    <row r="154" spans="1:76" x14ac:dyDescent="0.35">
      <c r="A154" s="168">
        <v>11</v>
      </c>
      <c r="B154" s="169">
        <f t="shared" si="174"/>
        <v>0.19974315397940476</v>
      </c>
      <c r="C154" s="170"/>
      <c r="D154" s="154">
        <f t="shared" si="175"/>
        <v>-128732.62062469326</v>
      </c>
      <c r="E154" s="154">
        <f t="shared" si="175"/>
        <v>14108.405517938916</v>
      </c>
      <c r="F154" s="154">
        <f t="shared" si="175"/>
        <v>493429.0401675771</v>
      </c>
      <c r="G154" s="154">
        <f t="shared" si="184"/>
        <v>43915.184574914361</v>
      </c>
      <c r="H154" s="154">
        <f t="shared" si="176"/>
        <v>1046868.9045037231</v>
      </c>
      <c r="I154" s="154">
        <f t="shared" si="176"/>
        <v>62.614674540173034</v>
      </c>
      <c r="J154" s="154">
        <f t="shared" si="176"/>
        <v>-13910.190146080791</v>
      </c>
      <c r="K154" s="170"/>
      <c r="L154" s="171">
        <f t="shared" si="177"/>
        <v>-8.3497823914811725E-2</v>
      </c>
      <c r="M154" s="171">
        <f t="shared" si="177"/>
        <v>0.39030075310013013</v>
      </c>
      <c r="N154" s="171">
        <f t="shared" si="177"/>
        <v>8.5855010118126834E-3</v>
      </c>
      <c r="O154" s="171">
        <f t="shared" si="178"/>
        <v>0.15658272083434746</v>
      </c>
      <c r="P154" s="171">
        <f t="shared" si="178"/>
        <v>0.1538265355042607</v>
      </c>
      <c r="Q154" s="170"/>
      <c r="R154" s="154">
        <v>188450.92718460559</v>
      </c>
      <c r="S154" s="154">
        <v>4418.3831121973026</v>
      </c>
      <c r="T154" s="154">
        <v>7024960.5137799801</v>
      </c>
      <c r="U154" s="154">
        <v>817209.28091229126</v>
      </c>
      <c r="V154" s="154">
        <v>49.754193865868629</v>
      </c>
      <c r="W154" s="170"/>
      <c r="X154" s="154">
        <v>204186.1695192488</v>
      </c>
      <c r="Y154" s="154">
        <v>2693.8848560217989</v>
      </c>
      <c r="Z154" s="154">
        <v>6964647.708180978</v>
      </c>
      <c r="AA154" s="154">
        <v>689248.42821596412</v>
      </c>
      <c r="AB154" s="154">
        <v>42.100678596674719</v>
      </c>
      <c r="AC154" s="170"/>
      <c r="AD154" s="154">
        <f t="shared" si="179"/>
        <v>-15735.242334643204</v>
      </c>
      <c r="AE154" s="154">
        <f t="shared" si="179"/>
        <v>1724.4982561755037</v>
      </c>
      <c r="AF154" s="154">
        <f t="shared" si="179"/>
        <v>60312.805599002168</v>
      </c>
      <c r="AG154" s="154">
        <f t="shared" si="179"/>
        <v>127960.85269632714</v>
      </c>
      <c r="AH154" s="154">
        <f t="shared" si="179"/>
        <v>7.6535152691939103</v>
      </c>
      <c r="AI154" s="154">
        <v>-1700.27</v>
      </c>
      <c r="AJ154" s="170"/>
      <c r="AK154" s="183">
        <f t="shared" ref="AK154:AP154" si="195">AD154/$E140</f>
        <v>-0.64449077758112649</v>
      </c>
      <c r="AL154" s="183">
        <f t="shared" si="195"/>
        <v>7.0632736275875643E-2</v>
      </c>
      <c r="AM154" s="183">
        <f t="shared" si="195"/>
        <v>2.4703176571370946</v>
      </c>
      <c r="AN154" s="183">
        <f t="shared" si="195"/>
        <v>5.2410752691512243</v>
      </c>
      <c r="AO154" s="183">
        <f t="shared" si="195"/>
        <v>3.134759479497813E-4</v>
      </c>
      <c r="AP154" s="183">
        <f t="shared" si="195"/>
        <v>-6.9640385009215641E-2</v>
      </c>
      <c r="AQ154" s="170"/>
      <c r="AR154" s="184">
        <f t="shared" si="186"/>
        <v>7.7186535811839274</v>
      </c>
      <c r="AS154" s="184">
        <f t="shared" si="181"/>
        <v>0.18097002302671727</v>
      </c>
      <c r="AT154" s="184">
        <f t="shared" si="181"/>
        <v>287.73133376121154</v>
      </c>
      <c r="AU154" s="184">
        <f t="shared" si="181"/>
        <v>33.471606836464929</v>
      </c>
      <c r="AV154" s="184">
        <f t="shared" si="181"/>
        <v>2.0378535271705356E-3</v>
      </c>
      <c r="AW154" s="170"/>
      <c r="AX154" s="172">
        <f t="shared" si="182"/>
        <v>1541748.2107801053</v>
      </c>
      <c r="AY154" s="172">
        <f t="shared" si="182"/>
        <v>36147.523175082009</v>
      </c>
      <c r="AZ154" s="172">
        <f t="shared" si="182"/>
        <v>57472364.104165182</v>
      </c>
      <c r="BA154" s="172">
        <f t="shared" si="182"/>
        <v>6685724.3182741115</v>
      </c>
      <c r="BB154" s="172">
        <f t="shared" si="182"/>
        <v>407.04729086509735</v>
      </c>
      <c r="BC154" s="170"/>
      <c r="BD154" s="325">
        <f>X154/$E140</f>
        <v>8.3631443587650534</v>
      </c>
      <c r="BE154" s="325">
        <f>Y154/$E140</f>
        <v>0.11033728675084165</v>
      </c>
      <c r="BF154" s="325">
        <f>Z154/$E140</f>
        <v>285.26101610407449</v>
      </c>
      <c r="BG154" s="325">
        <f>AA154/$E140</f>
        <v>28.230531567313704</v>
      </c>
      <c r="BH154" s="325">
        <f>AB154/$E140</f>
        <v>1.7243775792207545E-3</v>
      </c>
      <c r="BI154" s="326"/>
      <c r="BJ154" s="320">
        <f t="shared" si="183"/>
        <v>1670480.8314047982</v>
      </c>
      <c r="BK154" s="320">
        <f t="shared" si="183"/>
        <v>22039.117657143102</v>
      </c>
      <c r="BL154" s="320">
        <f t="shared" si="183"/>
        <v>56978935.063997611</v>
      </c>
      <c r="BM154" s="320">
        <f t="shared" si="183"/>
        <v>5638855.4137703879</v>
      </c>
      <c r="BN154" s="320">
        <f t="shared" si="183"/>
        <v>344.43261632492442</v>
      </c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</row>
    <row r="155" spans="1:76" x14ac:dyDescent="0.35">
      <c r="A155" s="168">
        <v>12</v>
      </c>
      <c r="B155" s="169">
        <f t="shared" si="174"/>
        <v>0.83993546597666213</v>
      </c>
      <c r="C155" s="170"/>
      <c r="D155" s="154">
        <f t="shared" si="175"/>
        <v>-546102.70369122748</v>
      </c>
      <c r="E155" s="154">
        <f t="shared" si="175"/>
        <v>59793.088270544118</v>
      </c>
      <c r="F155" s="154">
        <f t="shared" si="175"/>
        <v>1912968.0501035552</v>
      </c>
      <c r="G155" s="154">
        <f t="shared" si="184"/>
        <v>170254.15645921641</v>
      </c>
      <c r="H155" s="154">
        <f t="shared" si="176"/>
        <v>4457595.8085718136</v>
      </c>
      <c r="I155" s="154">
        <f t="shared" si="176"/>
        <v>266.65225922152945</v>
      </c>
      <c r="J155" s="154">
        <f t="shared" si="176"/>
        <v>-58493.429233509698</v>
      </c>
      <c r="K155" s="170"/>
      <c r="L155" s="171">
        <f t="shared" si="177"/>
        <v>-9.3580893086743777E-2</v>
      </c>
      <c r="M155" s="171">
        <f t="shared" si="177"/>
        <v>0.41091370657536624</v>
      </c>
      <c r="N155" s="171">
        <f t="shared" si="177"/>
        <v>8.7953886925901982E-3</v>
      </c>
      <c r="O155" s="171">
        <f t="shared" si="178"/>
        <v>0.17194211362051395</v>
      </c>
      <c r="P155" s="171">
        <f t="shared" si="178"/>
        <v>0.16901520168698281</v>
      </c>
      <c r="Q155" s="170"/>
      <c r="R155" s="154">
        <v>169628.15959539721</v>
      </c>
      <c r="S155" s="154">
        <v>4229.7155907290125</v>
      </c>
      <c r="T155" s="154">
        <v>6322130.9739476461</v>
      </c>
      <c r="U155" s="154">
        <v>753579.77546542464</v>
      </c>
      <c r="V155" s="154">
        <v>45.859604887116639</v>
      </c>
      <c r="W155" s="170"/>
      <c r="X155" s="154">
        <v>185502.11426299519</v>
      </c>
      <c r="Y155" s="154">
        <v>2491.667479582939</v>
      </c>
      <c r="Z155" s="154">
        <v>6266525.3746663127</v>
      </c>
      <c r="AA155" s="154">
        <v>624007.67609022721</v>
      </c>
      <c r="AB155" s="154">
        <v>38.108634517835277</v>
      </c>
      <c r="AC155" s="170"/>
      <c r="AD155" s="154">
        <f t="shared" si="179"/>
        <v>-15873.95466759798</v>
      </c>
      <c r="AE155" s="154">
        <f t="shared" si="179"/>
        <v>1738.0481111460736</v>
      </c>
      <c r="AF155" s="154">
        <f t="shared" si="179"/>
        <v>55605.599281333387</v>
      </c>
      <c r="AG155" s="154">
        <f t="shared" si="179"/>
        <v>129572.09937519743</v>
      </c>
      <c r="AH155" s="154">
        <f t="shared" si="179"/>
        <v>7.7509703692813616</v>
      </c>
      <c r="AI155" s="154">
        <v>-1700.27</v>
      </c>
      <c r="AJ155" s="170"/>
      <c r="AK155" s="183">
        <f t="shared" ref="AK155:AP155" si="196">AD155/$E140</f>
        <v>-0.65017221657169688</v>
      </c>
      <c r="AL155" s="183">
        <f t="shared" si="196"/>
        <v>7.1187717024209438E-2</v>
      </c>
      <c r="AM155" s="183">
        <f t="shared" si="196"/>
        <v>2.2775178898764441</v>
      </c>
      <c r="AN155" s="183">
        <f t="shared" si="196"/>
        <v>5.3070693989431676</v>
      </c>
      <c r="AO155" s="183">
        <f t="shared" si="196"/>
        <v>3.1746755557163063E-4</v>
      </c>
      <c r="AP155" s="183">
        <f t="shared" si="196"/>
        <v>-6.9640385009215641E-2</v>
      </c>
      <c r="AQ155" s="170"/>
      <c r="AR155" s="184">
        <f t="shared" si="186"/>
        <v>6.9477026252466603</v>
      </c>
      <c r="AS155" s="184">
        <f t="shared" si="181"/>
        <v>0.17324249808433392</v>
      </c>
      <c r="AT155" s="184">
        <f t="shared" si="181"/>
        <v>258.94454122251261</v>
      </c>
      <c r="AU155" s="184">
        <f t="shared" si="181"/>
        <v>30.865442370076781</v>
      </c>
      <c r="AV155" s="184">
        <f t="shared" si="181"/>
        <v>1.8783372880244373E-3</v>
      </c>
      <c r="AW155" s="170"/>
      <c r="AX155" s="172">
        <f t="shared" si="182"/>
        <v>5835621.8420038326</v>
      </c>
      <c r="AY155" s="172">
        <f t="shared" si="182"/>
        <v>145512.518355426</v>
      </c>
      <c r="AZ155" s="172">
        <f t="shared" si="182"/>
        <v>217496703.89384413</v>
      </c>
      <c r="BA155" s="172">
        <f t="shared" si="182"/>
        <v>25924979.719686251</v>
      </c>
      <c r="BB155" s="172">
        <f t="shared" si="182"/>
        <v>1577.6821052781456</v>
      </c>
      <c r="BC155" s="170"/>
      <c r="BD155" s="325">
        <f>X155/$E140</f>
        <v>7.5978748418183573</v>
      </c>
      <c r="BE155" s="325">
        <f>Y155/$E140</f>
        <v>0.10205478106012447</v>
      </c>
      <c r="BF155" s="325">
        <f>Z155/$E140</f>
        <v>256.66702333263618</v>
      </c>
      <c r="BG155" s="325">
        <f>AA155/$E140</f>
        <v>25.558372971133615</v>
      </c>
      <c r="BH155" s="325">
        <f>AB155/$E140</f>
        <v>1.5608697324528068E-3</v>
      </c>
      <c r="BI155" s="326"/>
      <c r="BJ155" s="320">
        <f t="shared" si="183"/>
        <v>6381724.5456950599</v>
      </c>
      <c r="BK155" s="320">
        <f t="shared" si="183"/>
        <v>85719.430084881882</v>
      </c>
      <c r="BL155" s="320">
        <f t="shared" si="183"/>
        <v>215583735.84374058</v>
      </c>
      <c r="BM155" s="320">
        <f t="shared" si="183"/>
        <v>21467383.911114439</v>
      </c>
      <c r="BN155" s="320">
        <f t="shared" si="183"/>
        <v>1311.0298460566162</v>
      </c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</row>
    <row r="156" spans="1:76" x14ac:dyDescent="0.35">
      <c r="A156" s="168">
        <v>13</v>
      </c>
      <c r="B156" s="169">
        <f t="shared" si="174"/>
        <v>0.43525728016291126</v>
      </c>
      <c r="C156" s="170"/>
      <c r="D156" s="154">
        <f t="shared" si="175"/>
        <v>-276208.4317809121</v>
      </c>
      <c r="E156" s="154">
        <f t="shared" si="175"/>
        <v>30314.156036104639</v>
      </c>
      <c r="F156" s="154">
        <f t="shared" si="175"/>
        <v>1012289.9572496478</v>
      </c>
      <c r="G156" s="154">
        <f t="shared" si="184"/>
        <v>90093.806195218654</v>
      </c>
      <c r="H156" s="154">
        <f t="shared" si="176"/>
        <v>2252641.8834055448</v>
      </c>
      <c r="I156" s="154">
        <f t="shared" si="176"/>
        <v>134.7394864301439</v>
      </c>
      <c r="J156" s="154">
        <f t="shared" si="176"/>
        <v>-30311.484568609176</v>
      </c>
      <c r="K156" s="170"/>
      <c r="L156" s="171">
        <f t="shared" si="177"/>
        <v>-8.0204060962525608E-2</v>
      </c>
      <c r="M156" s="171">
        <f t="shared" si="177"/>
        <v>0.43984428060403302</v>
      </c>
      <c r="N156" s="171">
        <f t="shared" si="177"/>
        <v>8.1127329415996673E-3</v>
      </c>
      <c r="O156" s="171">
        <f t="shared" si="178"/>
        <v>0.16365486104213481</v>
      </c>
      <c r="P156" s="171">
        <f t="shared" si="178"/>
        <v>0.16064117454301571</v>
      </c>
      <c r="Q156" s="170"/>
      <c r="R156" s="154">
        <v>193175.15010840041</v>
      </c>
      <c r="S156" s="154">
        <v>3865.958763831075</v>
      </c>
      <c r="T156" s="154">
        <v>6999200.4766663425</v>
      </c>
      <c r="U156" s="154">
        <v>772100.67070922186</v>
      </c>
      <c r="V156" s="154">
        <v>47.048816302833046</v>
      </c>
      <c r="W156" s="170"/>
      <c r="X156" s="154">
        <v>208668.5816241396</v>
      </c>
      <c r="Y156" s="154">
        <v>2165.5389125089391</v>
      </c>
      <c r="Z156" s="154">
        <v>6942417.8323944313</v>
      </c>
      <c r="AA156" s="154">
        <v>645742.64273376507</v>
      </c>
      <c r="AB156" s="154">
        <v>39.49083919108736</v>
      </c>
      <c r="AC156" s="170"/>
      <c r="AD156" s="154">
        <f t="shared" si="179"/>
        <v>-15493.431515739183</v>
      </c>
      <c r="AE156" s="154">
        <f t="shared" si="179"/>
        <v>1700.4198513221359</v>
      </c>
      <c r="AF156" s="154">
        <f t="shared" si="179"/>
        <v>56782.644271911122</v>
      </c>
      <c r="AG156" s="154">
        <f t="shared" si="179"/>
        <v>126358.02797545679</v>
      </c>
      <c r="AH156" s="154">
        <f t="shared" si="179"/>
        <v>7.5579771117456858</v>
      </c>
      <c r="AI156" s="154">
        <v>-1700.27</v>
      </c>
      <c r="AJ156" s="170"/>
      <c r="AK156" s="183">
        <f t="shared" ref="AK156:AP156" si="197">AD156/$E140</f>
        <v>-0.63458658675974533</v>
      </c>
      <c r="AL156" s="183">
        <f t="shared" si="197"/>
        <v>6.9646522683683626E-2</v>
      </c>
      <c r="AM156" s="183">
        <f t="shared" si="197"/>
        <v>2.3257278014299048</v>
      </c>
      <c r="AN156" s="183">
        <f t="shared" si="197"/>
        <v>5.1754260895128725</v>
      </c>
      <c r="AO156" s="183">
        <f t="shared" si="197"/>
        <v>3.0956285528346042E-4</v>
      </c>
      <c r="AP156" s="183">
        <f t="shared" si="197"/>
        <v>-6.9640385009215641E-2</v>
      </c>
      <c r="AQ156" s="170"/>
      <c r="AR156" s="184">
        <f t="shared" si="186"/>
        <v>7.9121503218677214</v>
      </c>
      <c r="AS156" s="184">
        <f t="shared" si="181"/>
        <v>0.15834359057264283</v>
      </c>
      <c r="AT156" s="184">
        <f t="shared" si="181"/>
        <v>286.67624315651619</v>
      </c>
      <c r="AU156" s="184">
        <f t="shared" si="181"/>
        <v>31.624029109531921</v>
      </c>
      <c r="AV156" s="184">
        <f t="shared" si="181"/>
        <v>1.9270455172161805E-3</v>
      </c>
      <c r="AW156" s="170"/>
      <c r="AX156" s="172">
        <f t="shared" si="182"/>
        <v>3443821.0293362476</v>
      </c>
      <c r="AY156" s="172">
        <f t="shared" si="182"/>
        <v>68920.200563878112</v>
      </c>
      <c r="AZ156" s="172">
        <f t="shared" si="182"/>
        <v>124777921.88362664</v>
      </c>
      <c r="BA156" s="172">
        <f t="shared" si="182"/>
        <v>13764588.898007598</v>
      </c>
      <c r="BB156" s="172">
        <f t="shared" si="182"/>
        <v>838.76059057364535</v>
      </c>
      <c r="BC156" s="170"/>
      <c r="BD156" s="325">
        <f>X156/$E140</f>
        <v>8.5467369086274658</v>
      </c>
      <c r="BE156" s="325">
        <f>Y156/$E140</f>
        <v>8.8697067888959216E-2</v>
      </c>
      <c r="BF156" s="325">
        <f>Z156/$E140</f>
        <v>284.35051535508626</v>
      </c>
      <c r="BG156" s="325">
        <f>AA156/$E140</f>
        <v>26.44860302001905</v>
      </c>
      <c r="BH156" s="325">
        <f>AB156/$E140</f>
        <v>1.6174826619327202E-3</v>
      </c>
      <c r="BI156" s="326"/>
      <c r="BJ156" s="320">
        <f t="shared" si="183"/>
        <v>3720029.4611171591</v>
      </c>
      <c r="BK156" s="320">
        <f t="shared" si="183"/>
        <v>38606.044527773483</v>
      </c>
      <c r="BL156" s="320">
        <f t="shared" si="183"/>
        <v>123765631.92637698</v>
      </c>
      <c r="BM156" s="320">
        <f t="shared" si="183"/>
        <v>11511947.014602052</v>
      </c>
      <c r="BN156" s="320">
        <f t="shared" si="183"/>
        <v>704.02110414350147</v>
      </c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</row>
    <row r="157" spans="1:76" x14ac:dyDescent="0.35">
      <c r="A157" s="168">
        <v>14</v>
      </c>
      <c r="B157" s="169">
        <f t="shared" si="174"/>
        <v>0.15499841557347382</v>
      </c>
      <c r="C157" s="170"/>
      <c r="D157" s="154">
        <f t="shared" si="175"/>
        <v>-102405.64403956375</v>
      </c>
      <c r="E157" s="154">
        <f t="shared" si="175"/>
        <v>11018.632885476176</v>
      </c>
      <c r="F157" s="154">
        <f t="shared" si="175"/>
        <v>238703.05047116787</v>
      </c>
      <c r="G157" s="154">
        <f t="shared" si="184"/>
        <v>21244.571491933941</v>
      </c>
      <c r="H157" s="154">
        <f t="shared" si="176"/>
        <v>788933.34444270283</v>
      </c>
      <c r="I157" s="154">
        <f t="shared" si="176"/>
        <v>48.024852520805872</v>
      </c>
      <c r="J157" s="154">
        <f t="shared" si="176"/>
        <v>-10794.149336355122</v>
      </c>
      <c r="K157" s="170"/>
      <c r="L157" s="171">
        <f t="shared" si="177"/>
        <v>-8.4403813030857394E-2</v>
      </c>
      <c r="M157" s="171">
        <f t="shared" si="177"/>
        <v>0.43263727224071724</v>
      </c>
      <c r="N157" s="171">
        <f t="shared" si="177"/>
        <v>5.3208454835980811E-3</v>
      </c>
      <c r="O157" s="171">
        <f t="shared" si="178"/>
        <v>0.16144004887332492</v>
      </c>
      <c r="P157" s="171">
        <f t="shared" si="178"/>
        <v>0.1602389796181585</v>
      </c>
      <c r="Q157" s="170"/>
      <c r="R157" s="154">
        <v>191113.4692938806</v>
      </c>
      <c r="S157" s="154">
        <v>4011.7443699543478</v>
      </c>
      <c r="T157" s="154">
        <v>7066539.512407288</v>
      </c>
      <c r="U157" s="154">
        <v>769765.60438219912</v>
      </c>
      <c r="V157" s="154">
        <v>47.209275872172171</v>
      </c>
      <c r="W157" s="170"/>
      <c r="X157" s="154">
        <v>207244.1748238398</v>
      </c>
      <c r="Y157" s="154">
        <v>2276.1142288102442</v>
      </c>
      <c r="Z157" s="154">
        <v>7028939.5475580283</v>
      </c>
      <c r="AA157" s="154">
        <v>645494.60758973239</v>
      </c>
      <c r="AB157" s="154">
        <v>39.644509677903152</v>
      </c>
      <c r="AC157" s="170"/>
      <c r="AD157" s="154">
        <f t="shared" si="179"/>
        <v>-16130.705529959203</v>
      </c>
      <c r="AE157" s="154">
        <f t="shared" si="179"/>
        <v>1735.6301411441036</v>
      </c>
      <c r="AF157" s="154">
        <f t="shared" si="179"/>
        <v>37599.964849259704</v>
      </c>
      <c r="AG157" s="154">
        <f t="shared" si="179"/>
        <v>124270.99679246673</v>
      </c>
      <c r="AH157" s="154">
        <f t="shared" si="179"/>
        <v>7.5647661942690192</v>
      </c>
      <c r="AI157" s="154">
        <v>-1700.27</v>
      </c>
      <c r="AJ157" s="170"/>
      <c r="AK157" s="183">
        <f t="shared" ref="AK157:AP157" si="198">AD157/$E140</f>
        <v>-0.66068832807533084</v>
      </c>
      <c r="AL157" s="183">
        <f t="shared" si="198"/>
        <v>7.108868077592069E-2</v>
      </c>
      <c r="AM157" s="183">
        <f t="shared" si="198"/>
        <v>1.5400354228654394</v>
      </c>
      <c r="AN157" s="183">
        <f t="shared" si="198"/>
        <v>5.0899445747477667</v>
      </c>
      <c r="AO157" s="183">
        <f t="shared" si="198"/>
        <v>3.0984092542572268E-4</v>
      </c>
      <c r="AP157" s="183">
        <f t="shared" si="198"/>
        <v>-6.9640385009215641E-2</v>
      </c>
      <c r="AQ157" s="170"/>
      <c r="AR157" s="184">
        <f t="shared" si="186"/>
        <v>7.8277071183240059</v>
      </c>
      <c r="AS157" s="184">
        <f t="shared" si="181"/>
        <v>0.16431473970732532</v>
      </c>
      <c r="AT157" s="184">
        <f t="shared" si="181"/>
        <v>289.43434414938719</v>
      </c>
      <c r="AU157" s="184">
        <f t="shared" si="181"/>
        <v>31.528388465377805</v>
      </c>
      <c r="AV157" s="184">
        <f t="shared" si="181"/>
        <v>1.9336176888049221E-3</v>
      </c>
      <c r="AW157" s="170"/>
      <c r="AX157" s="172">
        <f t="shared" si="182"/>
        <v>1213282.2009134234</v>
      </c>
      <c r="AY157" s="172">
        <f t="shared" si="182"/>
        <v>25468.524310003191</v>
      </c>
      <c r="AZ157" s="172">
        <f t="shared" si="182"/>
        <v>44861864.755702555</v>
      </c>
      <c r="BA157" s="172">
        <f t="shared" si="182"/>
        <v>4886850.2577185482</v>
      </c>
      <c r="BB157" s="172">
        <f t="shared" si="182"/>
        <v>299.70767808960528</v>
      </c>
      <c r="BC157" s="170"/>
      <c r="BD157" s="325">
        <f>X157/$E140</f>
        <v>8.4883954463993359</v>
      </c>
      <c r="BE157" s="325">
        <f>Y157/$E140</f>
        <v>9.3226058931404635E-2</v>
      </c>
      <c r="BF157" s="325">
        <f>Z157/$E140</f>
        <v>287.89430872652173</v>
      </c>
      <c r="BG157" s="325">
        <f>AA157/$E140</f>
        <v>26.438443890630037</v>
      </c>
      <c r="BH157" s="325">
        <f>AB157/$E140</f>
        <v>1.6237767633791994E-3</v>
      </c>
      <c r="BI157" s="326"/>
      <c r="BJ157" s="320">
        <f t="shared" si="183"/>
        <v>1315687.8449529873</v>
      </c>
      <c r="BK157" s="320">
        <f t="shared" si="183"/>
        <v>14449.891424527017</v>
      </c>
      <c r="BL157" s="320">
        <f t="shared" si="183"/>
        <v>44623161.705231391</v>
      </c>
      <c r="BM157" s="320">
        <f t="shared" si="183"/>
        <v>4097916.9132758449</v>
      </c>
      <c r="BN157" s="320">
        <f t="shared" si="183"/>
        <v>251.68282556879944</v>
      </c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</row>
    <row r="158" spans="1:76" x14ac:dyDescent="0.35">
      <c r="A158" s="168">
        <v>15</v>
      </c>
      <c r="B158" s="169">
        <f t="shared" si="174"/>
        <v>0.10858136496139391</v>
      </c>
      <c r="C158" s="170"/>
      <c r="D158" s="154">
        <f t="shared" si="175"/>
        <v>-54543.458558817423</v>
      </c>
      <c r="E158" s="154">
        <f t="shared" si="175"/>
        <v>6477.2714738047143</v>
      </c>
      <c r="F158" s="154">
        <f t="shared" si="175"/>
        <v>313630.79352150275</v>
      </c>
      <c r="G158" s="154">
        <f t="shared" si="184"/>
        <v>27913.140623413743</v>
      </c>
      <c r="H158" s="154">
        <f t="shared" si="176"/>
        <v>475697.37858068943</v>
      </c>
      <c r="I158" s="154">
        <f t="shared" si="176"/>
        <v>28.965874888258877</v>
      </c>
      <c r="J158" s="154">
        <f t="shared" si="176"/>
        <v>-7561.6480607376288</v>
      </c>
      <c r="K158" s="170"/>
      <c r="L158" s="171">
        <f t="shared" si="177"/>
        <v>-4.9023824382450176E-2</v>
      </c>
      <c r="M158" s="171">
        <f t="shared" si="177"/>
        <v>0.79268561845598828</v>
      </c>
      <c r="N158" s="171">
        <f t="shared" si="177"/>
        <v>8.7200486717649538E-3</v>
      </c>
      <c r="O158" s="171">
        <f t="shared" si="178"/>
        <v>0.15665917858021133</v>
      </c>
      <c r="P158" s="171">
        <f t="shared" si="178"/>
        <v>0.15520783518831183</v>
      </c>
      <c r="Q158" s="170"/>
      <c r="R158" s="154">
        <v>250170.97244652719</v>
      </c>
      <c r="S158" s="154">
        <v>1837.352786511557</v>
      </c>
      <c r="T158" s="154">
        <v>8087256.5377345057</v>
      </c>
      <c r="U158" s="154">
        <v>682773.00967214233</v>
      </c>
      <c r="V158" s="154">
        <v>41.963764472660728</v>
      </c>
      <c r="W158" s="170"/>
      <c r="X158" s="154">
        <v>262435.31026533252</v>
      </c>
      <c r="Y158" s="154">
        <v>380.90965661381023</v>
      </c>
      <c r="Z158" s="154">
        <v>8016735.2671044115</v>
      </c>
      <c r="AA158" s="154">
        <v>575810.35082016583</v>
      </c>
      <c r="AB158" s="154">
        <v>35.450659432506868</v>
      </c>
      <c r="AC158" s="170"/>
      <c r="AD158" s="154">
        <f t="shared" si="179"/>
        <v>-12264.337818805332</v>
      </c>
      <c r="AE158" s="154">
        <f t="shared" si="179"/>
        <v>1456.4431298977468</v>
      </c>
      <c r="AF158" s="154">
        <f t="shared" si="179"/>
        <v>70521.270630094223</v>
      </c>
      <c r="AG158" s="154">
        <f t="shared" si="179"/>
        <v>106962.65885197651</v>
      </c>
      <c r="AH158" s="154">
        <f t="shared" si="179"/>
        <v>6.5131050401538602</v>
      </c>
      <c r="AI158" s="154">
        <v>-1700.27</v>
      </c>
      <c r="AJ158" s="170"/>
      <c r="AK158" s="183">
        <f t="shared" ref="AK158:AP158" si="199">AD158/$E140</f>
        <v>-0.50232798766354014</v>
      </c>
      <c r="AL158" s="183">
        <f t="shared" si="199"/>
        <v>5.9653619901607488E-2</v>
      </c>
      <c r="AM158" s="183">
        <f t="shared" si="199"/>
        <v>2.8884403289000296</v>
      </c>
      <c r="AN158" s="183">
        <f t="shared" si="199"/>
        <v>4.3810222753215857</v>
      </c>
      <c r="AO158" s="183">
        <f t="shared" si="199"/>
        <v>2.6676653860961951E-4</v>
      </c>
      <c r="AP158" s="183">
        <f t="shared" si="199"/>
        <v>-6.9640385009215641E-2</v>
      </c>
      <c r="AQ158" s="170"/>
      <c r="AR158" s="184">
        <f t="shared" si="186"/>
        <v>10.246609561602588</v>
      </c>
      <c r="AS158" s="184">
        <f t="shared" si="181"/>
        <v>7.5255080340428299E-2</v>
      </c>
      <c r="AT158" s="184">
        <f t="shared" si="181"/>
        <v>331.24130811937357</v>
      </c>
      <c r="AU158" s="184">
        <f t="shared" si="181"/>
        <v>27.965308608320392</v>
      </c>
      <c r="AV158" s="184">
        <f t="shared" si="181"/>
        <v>1.7187697920401691E-3</v>
      </c>
      <c r="AW158" s="170"/>
      <c r="AX158" s="172">
        <f t="shared" si="182"/>
        <v>1112590.8524252791</v>
      </c>
      <c r="AY158" s="172">
        <f t="shared" si="182"/>
        <v>8171.2993436430652</v>
      </c>
      <c r="AZ158" s="172">
        <f t="shared" si="182"/>
        <v>35966633.367199235</v>
      </c>
      <c r="BA158" s="172">
        <f t="shared" si="182"/>
        <v>3036511.380258047</v>
      </c>
      <c r="BB158" s="172">
        <f t="shared" si="182"/>
        <v>186.62637007413269</v>
      </c>
      <c r="BC158" s="170"/>
      <c r="BD158" s="325">
        <f>X158/$E140</f>
        <v>10.748937549266127</v>
      </c>
      <c r="BE158" s="325">
        <f>Y158/$E140</f>
        <v>1.5601460438820816E-2</v>
      </c>
      <c r="BF158" s="325">
        <f>Z158/$E140</f>
        <v>328.35286779047357</v>
      </c>
      <c r="BG158" s="325">
        <f>AA158/$E140</f>
        <v>23.584286332998804</v>
      </c>
      <c r="BH158" s="325">
        <f>AB158/$E140</f>
        <v>1.4520032534305497E-3</v>
      </c>
      <c r="BI158" s="326"/>
      <c r="BJ158" s="320">
        <f t="shared" si="183"/>
        <v>1167134.3109840963</v>
      </c>
      <c r="BK158" s="320">
        <f t="shared" si="183"/>
        <v>1694.0278698383518</v>
      </c>
      <c r="BL158" s="320">
        <f t="shared" si="183"/>
        <v>35653002.573677734</v>
      </c>
      <c r="BM158" s="320">
        <f t="shared" si="183"/>
        <v>2560814.0016773576</v>
      </c>
      <c r="BN158" s="320">
        <f t="shared" si="183"/>
        <v>157.66049518587383</v>
      </c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</row>
    <row r="159" spans="1:76" x14ac:dyDescent="0.35">
      <c r="A159" s="168">
        <v>16</v>
      </c>
      <c r="B159" s="169">
        <f t="shared" si="174"/>
        <v>5.9644756181042355E-2</v>
      </c>
      <c r="C159" s="170"/>
      <c r="D159" s="154">
        <f t="shared" si="175"/>
        <v>-60359.999039639457</v>
      </c>
      <c r="E159" s="154">
        <f t="shared" si="175"/>
        <v>4769.5406635204463</v>
      </c>
      <c r="F159" s="154">
        <f t="shared" si="175"/>
        <v>-331872.94839991239</v>
      </c>
      <c r="G159" s="154">
        <f t="shared" si="184"/>
        <v>-29536.6924075922</v>
      </c>
      <c r="H159" s="154">
        <f t="shared" si="176"/>
        <v>317127.74240284931</v>
      </c>
      <c r="I159" s="154">
        <f t="shared" si="176"/>
        <v>19.286823129972586</v>
      </c>
      <c r="J159" s="154">
        <f t="shared" si="176"/>
        <v>-4153.683784228584</v>
      </c>
      <c r="K159" s="170"/>
      <c r="L159" s="171">
        <f t="shared" si="177"/>
        <v>-0.15083350657411873</v>
      </c>
      <c r="M159" s="171">
        <f t="shared" si="177"/>
        <v>0.25597538745853055</v>
      </c>
      <c r="N159" s="171">
        <f t="shared" si="177"/>
        <v>-2.1207844257021602E-2</v>
      </c>
      <c r="O159" s="171">
        <f t="shared" si="178"/>
        <v>0.12146469582140632</v>
      </c>
      <c r="P159" s="171">
        <f t="shared" si="178"/>
        <v>0.1206476055113716</v>
      </c>
      <c r="Q159" s="170"/>
      <c r="R159" s="154">
        <v>163808.28278050161</v>
      </c>
      <c r="S159" s="154">
        <v>7627.1591360699167</v>
      </c>
      <c r="T159" s="154">
        <v>6405599.6131957555</v>
      </c>
      <c r="U159" s="154">
        <v>1068731.5489964187</v>
      </c>
      <c r="V159" s="154">
        <v>65.437462767982311</v>
      </c>
      <c r="W159" s="170"/>
      <c r="X159" s="154">
        <v>188516.0604781695</v>
      </c>
      <c r="Y159" s="154">
        <v>5674.7941210065483</v>
      </c>
      <c r="Z159" s="154">
        <v>6541448.5721652489</v>
      </c>
      <c r="AA159" s="154">
        <v>938918.39648282831</v>
      </c>
      <c r="AB159" s="154">
        <v>57.542589574285714</v>
      </c>
      <c r="AC159" s="170"/>
      <c r="AD159" s="154">
        <f t="shared" si="179"/>
        <v>-24707.777697667887</v>
      </c>
      <c r="AE159" s="154">
        <f t="shared" si="179"/>
        <v>1952.3650150633684</v>
      </c>
      <c r="AF159" s="154">
        <f t="shared" si="179"/>
        <v>-135848.9589694934</v>
      </c>
      <c r="AG159" s="154">
        <f t="shared" si="179"/>
        <v>129813.15251359041</v>
      </c>
      <c r="AH159" s="154">
        <f t="shared" si="179"/>
        <v>7.894873193696597</v>
      </c>
      <c r="AI159" s="154">
        <v>-1700.27</v>
      </c>
      <c r="AJ159" s="170"/>
      <c r="AK159" s="183">
        <f t="shared" ref="AK159:AP159" si="200">AD159/$E140</f>
        <v>-1.0119917140146586</v>
      </c>
      <c r="AL159" s="183">
        <f t="shared" si="200"/>
        <v>7.996580033026289E-2</v>
      </c>
      <c r="AM159" s="183">
        <f t="shared" si="200"/>
        <v>-5.5641596956581365</v>
      </c>
      <c r="AN159" s="183">
        <f t="shared" si="200"/>
        <v>5.3169425563624992</v>
      </c>
      <c r="AO159" s="183">
        <f t="shared" si="200"/>
        <v>3.2336158892879775E-4</v>
      </c>
      <c r="AP159" s="183">
        <f t="shared" si="200"/>
        <v>-6.9640385009215641E-2</v>
      </c>
      <c r="AQ159" s="170"/>
      <c r="AR159" s="184">
        <f t="shared" si="186"/>
        <v>6.7093296244317679</v>
      </c>
      <c r="AS159" s="184">
        <f t="shared" si="181"/>
        <v>0.3123964421900437</v>
      </c>
      <c r="AT159" s="184">
        <f t="shared" si="181"/>
        <v>262.36328540633855</v>
      </c>
      <c r="AU159" s="184">
        <f t="shared" si="181"/>
        <v>43.773563342060974</v>
      </c>
      <c r="AV159" s="184">
        <f t="shared" si="181"/>
        <v>2.680215554699255E-3</v>
      </c>
      <c r="AW159" s="170"/>
      <c r="AX159" s="172">
        <f t="shared" si="182"/>
        <v>400176.32958747726</v>
      </c>
      <c r="AY159" s="172">
        <f t="shared" si="182"/>
        <v>18632.809626250251</v>
      </c>
      <c r="AZ159" s="172">
        <f t="shared" si="182"/>
        <v>15648594.188918291</v>
      </c>
      <c r="BA159" s="172">
        <f t="shared" si="182"/>
        <v>2610863.5127126407</v>
      </c>
      <c r="BB159" s="172">
        <f t="shared" si="182"/>
        <v>159.86080327267425</v>
      </c>
      <c r="BC159" s="170"/>
      <c r="BD159" s="325">
        <f>X159/$E140</f>
        <v>7.7213213384464261</v>
      </c>
      <c r="BE159" s="325">
        <f>Y159/$E140</f>
        <v>0.2324306418597808</v>
      </c>
      <c r="BF159" s="325">
        <f>Z159/$E140</f>
        <v>267.92744510199668</v>
      </c>
      <c r="BG159" s="325">
        <f>AA159/$E140</f>
        <v>38.456620785698476</v>
      </c>
      <c r="BH159" s="325">
        <f>AB159/$E140</f>
        <v>2.3568539657704574E-3</v>
      </c>
      <c r="BI159" s="326"/>
      <c r="BJ159" s="320">
        <f t="shared" si="183"/>
        <v>460536.32862711669</v>
      </c>
      <c r="BK159" s="320">
        <f t="shared" si="183"/>
        <v>13863.268962729802</v>
      </c>
      <c r="BL159" s="320">
        <f t="shared" si="183"/>
        <v>15980467.137318201</v>
      </c>
      <c r="BM159" s="320">
        <f t="shared" si="183"/>
        <v>2293735.770309791</v>
      </c>
      <c r="BN159" s="320">
        <f t="shared" si="183"/>
        <v>140.57398014270169</v>
      </c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</row>
    <row r="160" spans="1:76" x14ac:dyDescent="0.35">
      <c r="A160" s="173" t="s">
        <v>130</v>
      </c>
      <c r="B160" s="174">
        <f>SUM(B144:B159)</f>
        <v>6.0037434750000012</v>
      </c>
      <c r="C160" s="166"/>
      <c r="D160" s="175">
        <f>SUM(D144:D159)</f>
        <v>-3711838.8208962046</v>
      </c>
      <c r="E160" s="175">
        <f t="shared" ref="E160:J160" si="201">SUM(E144:E159)</f>
        <v>417457.01454339229</v>
      </c>
      <c r="F160" s="175">
        <f t="shared" si="201"/>
        <v>14966135.195491323</v>
      </c>
      <c r="G160" s="175">
        <f t="shared" si="201"/>
        <v>1331986.0323987277</v>
      </c>
      <c r="H160" s="175">
        <f t="shared" si="201"/>
        <v>31193833.260476511</v>
      </c>
      <c r="I160" s="175">
        <f t="shared" si="201"/>
        <v>1883.5331546348368</v>
      </c>
      <c r="J160" s="175">
        <f t="shared" si="201"/>
        <v>-418103.00709556619</v>
      </c>
      <c r="K160" s="166"/>
      <c r="L160" s="176">
        <f t="shared" si="177"/>
        <v>-8.7566411780767586E-2</v>
      </c>
      <c r="M160" s="176">
        <f t="shared" si="177"/>
        <v>0.52529079686922731</v>
      </c>
      <c r="N160" s="176">
        <f t="shared" si="177"/>
        <v>1.0154705995802786E-2</v>
      </c>
      <c r="O160" s="176">
        <f t="shared" si="178"/>
        <v>0.19239595433193479</v>
      </c>
      <c r="P160" s="176">
        <f t="shared" si="178"/>
        <v>0.19008339725188644</v>
      </c>
      <c r="Q160" s="166"/>
      <c r="R160" s="185"/>
      <c r="S160" s="185"/>
      <c r="T160" s="185"/>
      <c r="U160" s="185"/>
      <c r="V160" s="186"/>
      <c r="W160" s="166"/>
      <c r="X160" s="185"/>
      <c r="Y160" s="185"/>
      <c r="Z160" s="185"/>
      <c r="AA160" s="185"/>
      <c r="AB160" s="185"/>
      <c r="AC160" s="166"/>
      <c r="AD160" s="185"/>
      <c r="AE160" s="185"/>
      <c r="AF160" s="185"/>
      <c r="AG160" s="185"/>
      <c r="AH160" s="185"/>
      <c r="AI160" s="186"/>
      <c r="AJ160" s="166"/>
      <c r="AK160" s="185"/>
      <c r="AL160" s="185"/>
      <c r="AM160" s="185"/>
      <c r="AN160" s="185"/>
      <c r="AO160" s="185"/>
      <c r="AP160" s="185"/>
      <c r="AQ160" s="166"/>
      <c r="AR160" s="187"/>
      <c r="AS160" s="187"/>
      <c r="AT160" s="187"/>
      <c r="AU160" s="187"/>
      <c r="AV160" s="187"/>
      <c r="AW160" s="166"/>
      <c r="AX160" s="188">
        <f>SUM(AX144:AX159)</f>
        <v>42388842.31306877</v>
      </c>
      <c r="AY160" s="188">
        <f t="shared" ref="AY160:BB160" si="202">SUM(AY144:AY159)</f>
        <v>794716.02592595865</v>
      </c>
      <c r="AZ160" s="188">
        <f t="shared" si="202"/>
        <v>1473812752.5973899</v>
      </c>
      <c r="BA160" s="188">
        <f t="shared" si="202"/>
        <v>162133519.74469668</v>
      </c>
      <c r="BB160" s="188">
        <f t="shared" si="202"/>
        <v>9908.9830141182629</v>
      </c>
      <c r="BC160" s="166"/>
      <c r="BD160" s="327"/>
      <c r="BE160" s="327"/>
      <c r="BF160" s="327"/>
      <c r="BG160" s="327"/>
      <c r="BH160" s="327"/>
      <c r="BI160" s="324"/>
      <c r="BJ160" s="328">
        <f>SUM(BJ144:BJ159)</f>
        <v>46100681.133964971</v>
      </c>
      <c r="BK160" s="328">
        <f t="shared" ref="BK160:BN160" si="203">SUM(BK144:BK159)</f>
        <v>377259.01138256642</v>
      </c>
      <c r="BL160" s="328">
        <f t="shared" si="203"/>
        <v>1458846617.4018986</v>
      </c>
      <c r="BM160" s="328">
        <f t="shared" si="203"/>
        <v>130939686.48422016</v>
      </c>
      <c r="BN160" s="328">
        <f t="shared" si="203"/>
        <v>8025.4498594834258</v>
      </c>
      <c r="BO160" s="83"/>
      <c r="BP160" s="83"/>
      <c r="BQ160" s="83"/>
      <c r="BR160" s="83"/>
      <c r="BS160" s="83"/>
      <c r="BT160" s="83"/>
      <c r="BU160" s="83"/>
      <c r="BV160" s="83"/>
      <c r="BW160" s="83"/>
      <c r="BX160" s="83"/>
    </row>
    <row r="161" spans="1:76" x14ac:dyDescent="0.35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</row>
    <row r="162" spans="1:76" x14ac:dyDescent="0.35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</row>
    <row r="163" spans="1:76" ht="15.5" x14ac:dyDescent="0.35">
      <c r="A163" s="155" t="s">
        <v>146</v>
      </c>
      <c r="B163" s="83"/>
      <c r="C163" s="83"/>
      <c r="D163" s="83"/>
      <c r="E163" s="154">
        <f>G214</f>
        <v>24415</v>
      </c>
      <c r="F163" s="190" t="s">
        <v>132</v>
      </c>
      <c r="G163" s="190"/>
      <c r="H163" s="178"/>
      <c r="I163" s="178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5"/>
      <c r="AM163" s="185"/>
      <c r="AN163" s="185"/>
      <c r="AO163" s="185"/>
      <c r="AP163" s="185"/>
      <c r="AQ163" s="185"/>
      <c r="AR163" s="185"/>
      <c r="AS163" s="185"/>
      <c r="AT163" s="185"/>
      <c r="AU163" s="185"/>
      <c r="AV163" s="185"/>
      <c r="AW163" s="185"/>
      <c r="AX163" s="185"/>
      <c r="AY163" s="185"/>
      <c r="AZ163" s="185"/>
      <c r="BA163" s="185"/>
      <c r="BB163" s="185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</row>
    <row r="164" spans="1:76" x14ac:dyDescent="0.35">
      <c r="A164" s="157"/>
      <c r="B164" s="158" t="s">
        <v>105</v>
      </c>
      <c r="C164" s="159"/>
      <c r="D164" s="158" t="s">
        <v>106</v>
      </c>
      <c r="E164" s="158"/>
      <c r="F164" s="158"/>
      <c r="G164" s="158"/>
      <c r="H164" s="158"/>
      <c r="I164" s="158"/>
      <c r="J164" s="158"/>
      <c r="K164" s="191"/>
      <c r="L164" s="158" t="s">
        <v>106</v>
      </c>
      <c r="M164" s="158"/>
      <c r="N164" s="158"/>
      <c r="O164" s="158"/>
      <c r="P164" s="158"/>
      <c r="Q164" s="191"/>
      <c r="R164" s="158" t="str">
        <f>R141</f>
        <v xml:space="preserve"> 2019 Energy Code Consumption </v>
      </c>
      <c r="S164" s="158"/>
      <c r="T164" s="158"/>
      <c r="U164" s="158"/>
      <c r="V164" s="157"/>
      <c r="W164" s="191"/>
      <c r="X164" s="157" t="str">
        <f>X141</f>
        <v>2022 Energy Code Consumption</v>
      </c>
      <c r="Y164" s="157"/>
      <c r="Z164" s="157"/>
      <c r="AA164" s="157"/>
      <c r="AB164" s="157"/>
      <c r="AC164" s="191"/>
      <c r="AD164" s="157" t="s">
        <v>133</v>
      </c>
      <c r="AE164" s="157"/>
      <c r="AF164" s="157"/>
      <c r="AG164" s="157"/>
      <c r="AH164" s="157"/>
      <c r="AI164" s="192"/>
      <c r="AJ164" s="191"/>
      <c r="AK164" s="158" t="s">
        <v>134</v>
      </c>
      <c r="AL164" s="158"/>
      <c r="AM164" s="158"/>
      <c r="AN164" s="158"/>
      <c r="AO164" s="158"/>
      <c r="AP164" s="158"/>
      <c r="AQ164" s="191"/>
      <c r="AR164" s="160" t="s">
        <v>614</v>
      </c>
      <c r="AS164" s="160"/>
      <c r="AT164" s="160"/>
      <c r="AU164" s="160"/>
      <c r="AV164" s="160"/>
      <c r="AW164" s="191"/>
      <c r="AX164" s="160" t="s">
        <v>613</v>
      </c>
      <c r="AY164" s="160"/>
      <c r="AZ164" s="160"/>
      <c r="BA164" s="160"/>
      <c r="BB164" s="160"/>
      <c r="BC164" s="159"/>
      <c r="BD164" s="316" t="s">
        <v>135</v>
      </c>
      <c r="BE164" s="316"/>
      <c r="BF164" s="316"/>
      <c r="BG164" s="316"/>
      <c r="BH164" s="316"/>
      <c r="BI164" s="322"/>
      <c r="BJ164" s="316" t="s">
        <v>108</v>
      </c>
      <c r="BK164" s="316"/>
      <c r="BL164" s="316"/>
      <c r="BM164" s="316"/>
      <c r="BN164" s="316"/>
      <c r="BO164" s="83"/>
      <c r="BP164" s="83"/>
      <c r="BQ164" s="83"/>
      <c r="BR164" s="83"/>
      <c r="BS164" s="83"/>
      <c r="BT164" s="83"/>
      <c r="BU164" s="83"/>
      <c r="BV164" s="83"/>
      <c r="BW164" s="83"/>
      <c r="BX164" s="83"/>
    </row>
    <row r="165" spans="1:76" ht="16.5" x14ac:dyDescent="0.45">
      <c r="A165" s="83"/>
      <c r="B165" s="161" t="s">
        <v>109</v>
      </c>
      <c r="C165" s="162"/>
      <c r="D165" s="163" t="s">
        <v>110</v>
      </c>
      <c r="E165" s="163" t="s">
        <v>111</v>
      </c>
      <c r="F165" s="163" t="s">
        <v>8</v>
      </c>
      <c r="G165" s="163" t="s">
        <v>8</v>
      </c>
      <c r="H165" s="163" t="s">
        <v>112</v>
      </c>
      <c r="I165" s="163" t="s">
        <v>113</v>
      </c>
      <c r="J165" s="163" t="s">
        <v>114</v>
      </c>
      <c r="K165" s="162"/>
      <c r="L165" s="163" t="s">
        <v>110</v>
      </c>
      <c r="M165" s="163" t="s">
        <v>111</v>
      </c>
      <c r="N165" s="163" t="s">
        <v>8</v>
      </c>
      <c r="O165" s="163" t="s">
        <v>112</v>
      </c>
      <c r="P165" s="163" t="s">
        <v>113</v>
      </c>
      <c r="Q165" s="162"/>
      <c r="R165" s="163" t="s">
        <v>110</v>
      </c>
      <c r="S165" s="163" t="s">
        <v>111</v>
      </c>
      <c r="T165" s="163" t="s">
        <v>8</v>
      </c>
      <c r="U165" s="163" t="s">
        <v>112</v>
      </c>
      <c r="V165" s="163" t="s">
        <v>113</v>
      </c>
      <c r="W165" s="162"/>
      <c r="X165" s="163" t="s">
        <v>110</v>
      </c>
      <c r="Y165" s="163" t="s">
        <v>111</v>
      </c>
      <c r="Z165" s="163" t="s">
        <v>8</v>
      </c>
      <c r="AA165" s="163" t="s">
        <v>112</v>
      </c>
      <c r="AB165" s="163" t="s">
        <v>113</v>
      </c>
      <c r="AC165" s="162"/>
      <c r="AD165" s="163" t="s">
        <v>110</v>
      </c>
      <c r="AE165" s="163" t="s">
        <v>111</v>
      </c>
      <c r="AF165" s="163" t="s">
        <v>8</v>
      </c>
      <c r="AG165" s="163" t="s">
        <v>112</v>
      </c>
      <c r="AH165" s="163" t="s">
        <v>113</v>
      </c>
      <c r="AI165" s="181" t="s">
        <v>114</v>
      </c>
      <c r="AJ165" s="162"/>
      <c r="AK165" s="163" t="s">
        <v>110</v>
      </c>
      <c r="AL165" s="163" t="s">
        <v>111</v>
      </c>
      <c r="AM165" s="163" t="s">
        <v>8</v>
      </c>
      <c r="AN165" s="163" t="s">
        <v>112</v>
      </c>
      <c r="AO165" s="163" t="s">
        <v>113</v>
      </c>
      <c r="AP165" s="163" t="s">
        <v>114</v>
      </c>
      <c r="AQ165" s="162"/>
      <c r="AR165" s="164" t="s">
        <v>110</v>
      </c>
      <c r="AS165" s="164" t="s">
        <v>111</v>
      </c>
      <c r="AT165" s="164" t="s">
        <v>8</v>
      </c>
      <c r="AU165" s="164" t="s">
        <v>112</v>
      </c>
      <c r="AV165" s="164" t="s">
        <v>115</v>
      </c>
      <c r="AW165" s="162"/>
      <c r="AX165" s="164" t="s">
        <v>110</v>
      </c>
      <c r="AY165" s="164" t="s">
        <v>111</v>
      </c>
      <c r="AZ165" s="164" t="s">
        <v>8</v>
      </c>
      <c r="BA165" s="164" t="s">
        <v>112</v>
      </c>
      <c r="BB165" s="164" t="s">
        <v>115</v>
      </c>
      <c r="BC165" s="162"/>
      <c r="BD165" s="317" t="s">
        <v>110</v>
      </c>
      <c r="BE165" s="317" t="s">
        <v>111</v>
      </c>
      <c r="BF165" s="317" t="s">
        <v>8</v>
      </c>
      <c r="BG165" s="317" t="s">
        <v>112</v>
      </c>
      <c r="BH165" s="317" t="s">
        <v>116</v>
      </c>
      <c r="BI165" s="323"/>
      <c r="BJ165" s="317" t="s">
        <v>110</v>
      </c>
      <c r="BK165" s="317" t="s">
        <v>111</v>
      </c>
      <c r="BL165" s="317" t="s">
        <v>8</v>
      </c>
      <c r="BM165" s="317" t="s">
        <v>112</v>
      </c>
      <c r="BN165" s="317" t="s">
        <v>116</v>
      </c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</row>
    <row r="166" spans="1:76" x14ac:dyDescent="0.35">
      <c r="A166" s="153" t="s">
        <v>96</v>
      </c>
      <c r="B166" s="165" t="s">
        <v>118</v>
      </c>
      <c r="C166" s="166"/>
      <c r="D166" s="165" t="s">
        <v>7</v>
      </c>
      <c r="E166" s="165" t="s">
        <v>119</v>
      </c>
      <c r="F166" s="165" t="s">
        <v>120</v>
      </c>
      <c r="G166" s="165" t="s">
        <v>121</v>
      </c>
      <c r="H166" s="165" t="s">
        <v>120</v>
      </c>
      <c r="I166" s="165" t="s">
        <v>122</v>
      </c>
      <c r="J166" s="165" t="s">
        <v>121</v>
      </c>
      <c r="K166" s="166"/>
      <c r="L166" s="165" t="s">
        <v>123</v>
      </c>
      <c r="M166" s="165" t="s">
        <v>123</v>
      </c>
      <c r="N166" s="165" t="s">
        <v>123</v>
      </c>
      <c r="O166" s="165" t="s">
        <v>123</v>
      </c>
      <c r="P166" s="165" t="s">
        <v>123</v>
      </c>
      <c r="Q166" s="166"/>
      <c r="R166" s="165" t="s">
        <v>7</v>
      </c>
      <c r="S166" s="165" t="s">
        <v>119</v>
      </c>
      <c r="T166" s="165" t="s">
        <v>120</v>
      </c>
      <c r="U166" s="165" t="s">
        <v>120</v>
      </c>
      <c r="V166" s="165" t="s">
        <v>122</v>
      </c>
      <c r="W166" s="166"/>
      <c r="X166" s="165" t="s">
        <v>7</v>
      </c>
      <c r="Y166" s="165" t="s">
        <v>119</v>
      </c>
      <c r="Z166" s="165" t="s">
        <v>120</v>
      </c>
      <c r="AA166" s="165" t="s">
        <v>120</v>
      </c>
      <c r="AB166" s="165" t="s">
        <v>122</v>
      </c>
      <c r="AC166" s="166"/>
      <c r="AD166" s="165" t="s">
        <v>7</v>
      </c>
      <c r="AE166" s="165" t="s">
        <v>119</v>
      </c>
      <c r="AF166" s="165" t="s">
        <v>120</v>
      </c>
      <c r="AG166" s="165" t="s">
        <v>120</v>
      </c>
      <c r="AH166" s="165" t="s">
        <v>122</v>
      </c>
      <c r="AI166" s="182" t="s">
        <v>121</v>
      </c>
      <c r="AJ166" s="166"/>
      <c r="AK166" s="165" t="s">
        <v>136</v>
      </c>
      <c r="AL166" s="165" t="s">
        <v>137</v>
      </c>
      <c r="AM166" s="165" t="s">
        <v>138</v>
      </c>
      <c r="AN166" s="165" t="s">
        <v>138</v>
      </c>
      <c r="AO166" s="165" t="s">
        <v>139</v>
      </c>
      <c r="AP166" s="165" t="s">
        <v>140</v>
      </c>
      <c r="AQ166" s="166"/>
      <c r="AR166" s="167" t="s">
        <v>136</v>
      </c>
      <c r="AS166" s="167" t="s">
        <v>137</v>
      </c>
      <c r="AT166" s="167" t="s">
        <v>138</v>
      </c>
      <c r="AU166" s="167" t="s">
        <v>138</v>
      </c>
      <c r="AV166" s="167" t="s">
        <v>139</v>
      </c>
      <c r="AW166" s="166"/>
      <c r="AX166" s="167" t="s">
        <v>7</v>
      </c>
      <c r="AY166" s="167" t="s">
        <v>119</v>
      </c>
      <c r="AZ166" s="167" t="s">
        <v>120</v>
      </c>
      <c r="BA166" s="167" t="s">
        <v>120</v>
      </c>
      <c r="BB166" s="167" t="s">
        <v>122</v>
      </c>
      <c r="BC166" s="166"/>
      <c r="BD166" s="319" t="s">
        <v>7</v>
      </c>
      <c r="BE166" s="319" t="s">
        <v>119</v>
      </c>
      <c r="BF166" s="319" t="s">
        <v>120</v>
      </c>
      <c r="BG166" s="319" t="s">
        <v>120</v>
      </c>
      <c r="BH166" s="319" t="s">
        <v>122</v>
      </c>
      <c r="BI166" s="324"/>
      <c r="BJ166" s="319" t="s">
        <v>7</v>
      </c>
      <c r="BK166" s="319" t="s">
        <v>119</v>
      </c>
      <c r="BL166" s="319" t="s">
        <v>120</v>
      </c>
      <c r="BM166" s="319" t="s">
        <v>120</v>
      </c>
      <c r="BN166" s="319" t="s">
        <v>122</v>
      </c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</row>
    <row r="167" spans="1:76" x14ac:dyDescent="0.35">
      <c r="A167" s="168">
        <v>1</v>
      </c>
      <c r="B167" s="169">
        <f t="shared" ref="B167:B182" si="204">M222</f>
        <v>2.9220041988018898E-2</v>
      </c>
      <c r="C167" s="170"/>
      <c r="D167" s="154">
        <f t="shared" ref="D167:F182" si="205">AK167*$B167*10^6</f>
        <v>-51961.561425866093</v>
      </c>
      <c r="E167" s="154">
        <f t="shared" si="205"/>
        <v>6337.6186181029389</v>
      </c>
      <c r="F167" s="154">
        <f t="shared" si="205"/>
        <v>49247.390015794015</v>
      </c>
      <c r="G167" s="154">
        <f>F167*0.089</f>
        <v>4383.0177114056669</v>
      </c>
      <c r="H167" s="154">
        <f t="shared" ref="H167:J182" si="206">AN167*$B167*10^6</f>
        <v>454411.61157242232</v>
      </c>
      <c r="I167" s="154">
        <f t="shared" si="206"/>
        <v>27.150618097257748</v>
      </c>
      <c r="J167" s="154">
        <f t="shared" si="206"/>
        <v>-23092.390340316389</v>
      </c>
      <c r="K167" s="170"/>
      <c r="L167" s="171">
        <f t="shared" ref="L167:N183" si="207">IF(AX167=0,0,D167/AX167)</f>
        <v>-0.33197350388744418</v>
      </c>
      <c r="M167" s="171">
        <f t="shared" si="207"/>
        <v>0.77012875445303308</v>
      </c>
      <c r="N167" s="171">
        <f t="shared" si="207"/>
        <v>7.6227365974778768E-3</v>
      </c>
      <c r="O167" s="171">
        <f t="shared" ref="O167:P183" si="208">IF(BA167=0,0,H167/BA167)</f>
        <v>0.40685325630799407</v>
      </c>
      <c r="P167" s="171">
        <f t="shared" si="208"/>
        <v>0.40099004883313488</v>
      </c>
      <c r="Q167" s="170"/>
      <c r="R167" s="154">
        <v>130784.0143279339</v>
      </c>
      <c r="S167" s="154">
        <v>6876.0441224028964</v>
      </c>
      <c r="T167" s="154">
        <v>5398190.4042725032</v>
      </c>
      <c r="U167" s="154">
        <v>933227.47657955345</v>
      </c>
      <c r="V167" s="154">
        <v>56.574668624551371</v>
      </c>
      <c r="W167" s="170"/>
      <c r="X167" s="154">
        <v>174200.84181684381</v>
      </c>
      <c r="Y167" s="154">
        <v>1580.6048268526561</v>
      </c>
      <c r="Z167" s="154">
        <v>5357041.4207177013</v>
      </c>
      <c r="AA167" s="154">
        <v>553540.83885706984</v>
      </c>
      <c r="AB167" s="154">
        <v>33.888789490074089</v>
      </c>
      <c r="AC167" s="170"/>
      <c r="AD167" s="154">
        <f t="shared" ref="AD167:AH182" si="209">R167-X167</f>
        <v>-43416.827488909912</v>
      </c>
      <c r="AE167" s="154">
        <f t="shared" si="209"/>
        <v>5295.4392955502408</v>
      </c>
      <c r="AF167" s="154">
        <f t="shared" si="209"/>
        <v>41148.983554801904</v>
      </c>
      <c r="AG167" s="154">
        <f t="shared" si="209"/>
        <v>379686.6377224836</v>
      </c>
      <c r="AH167" s="154">
        <f t="shared" si="209"/>
        <v>22.685879134477283</v>
      </c>
      <c r="AI167" s="154">
        <v>-19295</v>
      </c>
      <c r="AJ167" s="170"/>
      <c r="AK167" s="183">
        <f t="shared" ref="AK167:AP167" si="210">AD167/$E163</f>
        <v>-1.7782849678029864</v>
      </c>
      <c r="AL167" s="183">
        <f t="shared" si="210"/>
        <v>0.21689286485972725</v>
      </c>
      <c r="AM167" s="183">
        <f t="shared" si="210"/>
        <v>1.685397647135036</v>
      </c>
      <c r="AN167" s="183">
        <f t="shared" si="210"/>
        <v>15.551367508600599</v>
      </c>
      <c r="AO167" s="183">
        <f t="shared" si="210"/>
        <v>9.2917792891571908E-4</v>
      </c>
      <c r="AP167" s="183">
        <f t="shared" si="210"/>
        <v>-0.79029285275445427</v>
      </c>
      <c r="AQ167" s="170"/>
      <c r="AR167" s="184">
        <f>R167/$E$163</f>
        <v>5.3567075293030468</v>
      </c>
      <c r="AS167" s="184">
        <f t="shared" ref="AS167:AV182" si="211">S167/$E$163</f>
        <v>0.28163195258664331</v>
      </c>
      <c r="AT167" s="184">
        <f t="shared" si="211"/>
        <v>221.10138866567698</v>
      </c>
      <c r="AU167" s="184">
        <f t="shared" si="211"/>
        <v>38.223529657159673</v>
      </c>
      <c r="AV167" s="184">
        <f t="shared" si="211"/>
        <v>2.3172094460188969E-3</v>
      </c>
      <c r="AW167" s="170"/>
      <c r="AX167" s="172">
        <f t="shared" ref="AX167:BB182" si="212">AR167*$B167*10^6</f>
        <v>156523.21892377199</v>
      </c>
      <c r="AY167" s="172">
        <f t="shared" si="212"/>
        <v>8229.2974797494644</v>
      </c>
      <c r="AZ167" s="172">
        <f t="shared" si="212"/>
        <v>6460591.8604203667</v>
      </c>
      <c r="BA167" s="172">
        <f t="shared" si="212"/>
        <v>1116893.1415124913</v>
      </c>
      <c r="BB167" s="172">
        <f t="shared" si="212"/>
        <v>67.708957307706186</v>
      </c>
      <c r="BC167" s="170"/>
      <c r="BD167" s="325">
        <f>X167/$E163</f>
        <v>7.1349924971060332</v>
      </c>
      <c r="BE167" s="325">
        <f>Y167/$E163</f>
        <v>6.4739087726916084E-2</v>
      </c>
      <c r="BF167" s="325">
        <f>Z167/$E163</f>
        <v>219.41599101854194</v>
      </c>
      <c r="BG167" s="325">
        <f>AA167/$E163</f>
        <v>22.672162148559075</v>
      </c>
      <c r="BH167" s="325">
        <f>AB167/$E163</f>
        <v>1.3880315171031778E-3</v>
      </c>
      <c r="BI167" s="326"/>
      <c r="BJ167" s="320">
        <f t="shared" ref="BJ167:BN182" si="213">BD167*$B167*10^6</f>
        <v>208484.78034963811</v>
      </c>
      <c r="BK167" s="320">
        <f t="shared" si="213"/>
        <v>1891.6788616465269</v>
      </c>
      <c r="BL167" s="320">
        <f t="shared" si="213"/>
        <v>6411344.4704045728</v>
      </c>
      <c r="BM167" s="320">
        <f t="shared" si="213"/>
        <v>662481.52994006895</v>
      </c>
      <c r="BN167" s="320">
        <f t="shared" si="213"/>
        <v>40.558339210448423</v>
      </c>
      <c r="BO167" s="83"/>
      <c r="BP167" s="83"/>
      <c r="BQ167" s="83"/>
      <c r="BR167" s="83"/>
      <c r="BS167" s="83"/>
      <c r="BT167" s="83"/>
      <c r="BU167" s="83"/>
      <c r="BV167" s="83"/>
      <c r="BW167" s="83"/>
      <c r="BX167" s="83"/>
    </row>
    <row r="168" spans="1:76" x14ac:dyDescent="0.35">
      <c r="A168" s="168">
        <v>2</v>
      </c>
      <c r="B168" s="169">
        <f t="shared" si="204"/>
        <v>0.17361407564034848</v>
      </c>
      <c r="C168" s="170"/>
      <c r="D168" s="154">
        <f t="shared" si="205"/>
        <v>-283729.13922326599</v>
      </c>
      <c r="E168" s="154">
        <f t="shared" si="205"/>
        <v>32037.321303940062</v>
      </c>
      <c r="F168" s="154">
        <f t="shared" si="205"/>
        <v>642841.33315182582</v>
      </c>
      <c r="G168" s="154">
        <f t="shared" ref="G168:G182" si="214">F168*0.089</f>
        <v>57212.878650512495</v>
      </c>
      <c r="H168" s="154">
        <f t="shared" si="206"/>
        <v>2061136.5840095463</v>
      </c>
      <c r="I168" s="154">
        <f t="shared" si="206"/>
        <v>122.71373442232343</v>
      </c>
      <c r="J168" s="154">
        <f t="shared" si="206"/>
        <v>90525.714078872625</v>
      </c>
      <c r="K168" s="170"/>
      <c r="L168" s="171">
        <f t="shared" si="207"/>
        <v>-0.25884428687332428</v>
      </c>
      <c r="M168" s="171">
        <f t="shared" si="207"/>
        <v>1</v>
      </c>
      <c r="N168" s="171">
        <f t="shared" si="207"/>
        <v>1.4991035592386778E-2</v>
      </c>
      <c r="O168" s="171">
        <f t="shared" si="208"/>
        <v>0.38861874374084249</v>
      </c>
      <c r="P168" s="171">
        <f t="shared" si="208"/>
        <v>0.38055248360069005</v>
      </c>
      <c r="Q168" s="170"/>
      <c r="R168" s="154">
        <v>154147.73684275241</v>
      </c>
      <c r="S168" s="154">
        <v>4505.3443780448461</v>
      </c>
      <c r="T168" s="154">
        <v>6030369.9229363259</v>
      </c>
      <c r="U168" s="154">
        <v>745855.71973574604</v>
      </c>
      <c r="V168" s="154">
        <v>45.347192899894061</v>
      </c>
      <c r="W168" s="170"/>
      <c r="X168" s="154">
        <v>194047.99785895151</v>
      </c>
      <c r="Y168" s="154">
        <v>0</v>
      </c>
      <c r="Z168" s="154">
        <v>5939968.4327863287</v>
      </c>
      <c r="AA168" s="154">
        <v>456002.20692011848</v>
      </c>
      <c r="AB168" s="154">
        <v>28.090206017519801</v>
      </c>
      <c r="AC168" s="170"/>
      <c r="AD168" s="154">
        <f t="shared" si="209"/>
        <v>-39900.261016199103</v>
      </c>
      <c r="AE168" s="154">
        <f t="shared" si="209"/>
        <v>4505.3443780448461</v>
      </c>
      <c r="AF168" s="154">
        <f t="shared" si="209"/>
        <v>90401.490149997175</v>
      </c>
      <c r="AG168" s="154">
        <f t="shared" si="209"/>
        <v>289853.51281562756</v>
      </c>
      <c r="AH168" s="154">
        <f t="shared" si="209"/>
        <v>17.25698688237426</v>
      </c>
      <c r="AI168" s="154">
        <v>12730.450000000004</v>
      </c>
      <c r="AJ168" s="170"/>
      <c r="AK168" s="183">
        <f t="shared" ref="AK168:AP168" si="215">AD168/$E163</f>
        <v>-1.6342519359491747</v>
      </c>
      <c r="AL168" s="183">
        <f t="shared" si="215"/>
        <v>0.1845318197028403</v>
      </c>
      <c r="AM168" s="183">
        <f t="shared" si="215"/>
        <v>3.7027028527543386</v>
      </c>
      <c r="AN168" s="183">
        <f t="shared" si="215"/>
        <v>11.871944002278417</v>
      </c>
      <c r="AO168" s="183">
        <f t="shared" si="215"/>
        <v>7.0681904085088108E-4</v>
      </c>
      <c r="AP168" s="183">
        <f t="shared" si="215"/>
        <v>0.52141920950235532</v>
      </c>
      <c r="AQ168" s="170"/>
      <c r="AR168" s="184">
        <f t="shared" ref="AR168:AR182" si="216">R168/$E$163</f>
        <v>6.3136488569630309</v>
      </c>
      <c r="AS168" s="184">
        <f t="shared" si="211"/>
        <v>0.1845318197028403</v>
      </c>
      <c r="AT168" s="184">
        <f t="shared" si="211"/>
        <v>246.99446745592161</v>
      </c>
      <c r="AU168" s="184">
        <f t="shared" si="211"/>
        <v>30.54907719581184</v>
      </c>
      <c r="AV168" s="184">
        <f t="shared" si="211"/>
        <v>1.857349698951221E-3</v>
      </c>
      <c r="AW168" s="170"/>
      <c r="AX168" s="172">
        <f t="shared" si="212"/>
        <v>1096138.3102193794</v>
      </c>
      <c r="AY168" s="172">
        <f t="shared" si="212"/>
        <v>32037.321303940062</v>
      </c>
      <c r="AZ168" s="172">
        <f t="shared" si="212"/>
        <v>42881716.155639961</v>
      </c>
      <c r="BA168" s="172">
        <f t="shared" si="212"/>
        <v>5303749.7990165213</v>
      </c>
      <c r="BB168" s="172">
        <f t="shared" si="212"/>
        <v>322.46205112429573</v>
      </c>
      <c r="BC168" s="170"/>
      <c r="BD168" s="325">
        <f>X168/$E163</f>
        <v>7.9479007929122059</v>
      </c>
      <c r="BE168" s="325">
        <f>Y168/$E163</f>
        <v>0</v>
      </c>
      <c r="BF168" s="325">
        <f>Z168/$E163</f>
        <v>243.29176460316725</v>
      </c>
      <c r="BG168" s="325">
        <f>AA168/$E163</f>
        <v>18.677133193533422</v>
      </c>
      <c r="BH168" s="325">
        <f>AB168/$E163</f>
        <v>1.1505306581003399E-3</v>
      </c>
      <c r="BI168" s="326"/>
      <c r="BJ168" s="320">
        <f t="shared" si="213"/>
        <v>1379867.4494426453</v>
      </c>
      <c r="BK168" s="320">
        <f t="shared" si="213"/>
        <v>0</v>
      </c>
      <c r="BL168" s="320">
        <f t="shared" si="213"/>
        <v>42238874.822488137</v>
      </c>
      <c r="BM168" s="320">
        <f t="shared" si="213"/>
        <v>3242613.215006975</v>
      </c>
      <c r="BN168" s="320">
        <f t="shared" si="213"/>
        <v>199.74831670197233</v>
      </c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</row>
    <row r="169" spans="1:76" x14ac:dyDescent="0.35">
      <c r="A169" s="168">
        <v>3</v>
      </c>
      <c r="B169" s="169">
        <f t="shared" si="204"/>
        <v>0.7084061938429751</v>
      </c>
      <c r="C169" s="170"/>
      <c r="D169" s="154">
        <f t="shared" si="205"/>
        <v>-922264.42252083961</v>
      </c>
      <c r="E169" s="154">
        <f t="shared" si="205"/>
        <v>110103.90741511124</v>
      </c>
      <c r="F169" s="154">
        <f t="shared" si="205"/>
        <v>3795492.9933760567</v>
      </c>
      <c r="G169" s="154">
        <f t="shared" si="214"/>
        <v>337798.87641046901</v>
      </c>
      <c r="H169" s="154">
        <f t="shared" si="206"/>
        <v>7434788.1028706841</v>
      </c>
      <c r="I169" s="154">
        <f t="shared" si="206"/>
        <v>443.36933612234145</v>
      </c>
      <c r="J169" s="154">
        <f t="shared" si="206"/>
        <v>369376.59760017641</v>
      </c>
      <c r="K169" s="170"/>
      <c r="L169" s="171">
        <f t="shared" si="207"/>
        <v>-0.22113056124481029</v>
      </c>
      <c r="M169" s="171">
        <f t="shared" si="207"/>
        <v>1</v>
      </c>
      <c r="N169" s="171">
        <f t="shared" si="207"/>
        <v>2.5122705850590905E-2</v>
      </c>
      <c r="O169" s="171">
        <f t="shared" si="208"/>
        <v>0.38719631170982599</v>
      </c>
      <c r="P169" s="171">
        <f t="shared" si="208"/>
        <v>0.37952652819751342</v>
      </c>
      <c r="Q169" s="170"/>
      <c r="R169" s="154">
        <v>143741.1338224475</v>
      </c>
      <c r="S169" s="154">
        <v>3794.6970578518162</v>
      </c>
      <c r="T169" s="154">
        <v>5206863.102875378</v>
      </c>
      <c r="U169" s="154">
        <v>661777.14211098698</v>
      </c>
      <c r="V169" s="154">
        <v>40.262236429435006</v>
      </c>
      <c r="W169" s="170"/>
      <c r="X169" s="154">
        <v>175526.6914185707</v>
      </c>
      <c r="Y169" s="154">
        <v>0</v>
      </c>
      <c r="Z169" s="154">
        <v>5076052.6127375448</v>
      </c>
      <c r="AA169" s="154">
        <v>405539.47351174342</v>
      </c>
      <c r="AB169" s="154">
        <v>24.98164961990409</v>
      </c>
      <c r="AC169" s="170"/>
      <c r="AD169" s="154">
        <f t="shared" si="209"/>
        <v>-31785.557596123195</v>
      </c>
      <c r="AE169" s="154">
        <f t="shared" si="209"/>
        <v>3794.6970578518162</v>
      </c>
      <c r="AF169" s="154">
        <f t="shared" si="209"/>
        <v>130810.49013783317</v>
      </c>
      <c r="AG169" s="154">
        <f t="shared" si="209"/>
        <v>256237.66859924357</v>
      </c>
      <c r="AH169" s="154">
        <f t="shared" si="209"/>
        <v>15.280586809530917</v>
      </c>
      <c r="AI169" s="154">
        <v>12730.450000000004</v>
      </c>
      <c r="AJ169" s="170"/>
      <c r="AK169" s="183">
        <f t="shared" ref="AK169:AP169" si="217">AD169/$E163</f>
        <v>-1.301886446697653</v>
      </c>
      <c r="AL169" s="183">
        <f t="shared" si="217"/>
        <v>0.15542482317640041</v>
      </c>
      <c r="AM169" s="183">
        <f t="shared" si="217"/>
        <v>5.3577919368352722</v>
      </c>
      <c r="AN169" s="183">
        <f t="shared" si="217"/>
        <v>10.495091894296275</v>
      </c>
      <c r="AO169" s="183">
        <f t="shared" si="217"/>
        <v>6.258688023563758E-4</v>
      </c>
      <c r="AP169" s="183">
        <f t="shared" si="217"/>
        <v>0.52141920950235532</v>
      </c>
      <c r="AQ169" s="170"/>
      <c r="AR169" s="184">
        <f t="shared" si="216"/>
        <v>5.8874107647940814</v>
      </c>
      <c r="AS169" s="184">
        <f t="shared" si="211"/>
        <v>0.15542482317640041</v>
      </c>
      <c r="AT169" s="184">
        <f t="shared" si="211"/>
        <v>213.26492332071996</v>
      </c>
      <c r="AU169" s="184">
        <f t="shared" si="211"/>
        <v>27.105350895391645</v>
      </c>
      <c r="AV169" s="184">
        <f t="shared" si="211"/>
        <v>1.6490778795590828E-3</v>
      </c>
      <c r="AW169" s="170"/>
      <c r="AX169" s="172">
        <f t="shared" si="212"/>
        <v>4170678.251477934</v>
      </c>
      <c r="AY169" s="172">
        <f t="shared" si="212"/>
        <v>110103.90741511124</v>
      </c>
      <c r="AZ169" s="172">
        <f t="shared" si="212"/>
        <v>151078192.60984516</v>
      </c>
      <c r="BA169" s="172">
        <f t="shared" si="212"/>
        <v>19201598.460582674</v>
      </c>
      <c r="BB169" s="172">
        <f t="shared" si="212"/>
        <v>1168.2169840090939</v>
      </c>
      <c r="BC169" s="170"/>
      <c r="BD169" s="325">
        <f>X169/$E163</f>
        <v>7.1892972114917342</v>
      </c>
      <c r="BE169" s="325">
        <f>Y169/$E163</f>
        <v>0</v>
      </c>
      <c r="BF169" s="325">
        <f>Z169/$E163</f>
        <v>207.90713138388469</v>
      </c>
      <c r="BG169" s="325">
        <f>AA169/$E163</f>
        <v>16.610259001095368</v>
      </c>
      <c r="BH169" s="325">
        <f>AB169/$E163</f>
        <v>1.0232090772027069E-3</v>
      </c>
      <c r="BI169" s="326"/>
      <c r="BJ169" s="320">
        <f t="shared" si="213"/>
        <v>5092942.673998774</v>
      </c>
      <c r="BK169" s="320">
        <f t="shared" si="213"/>
        <v>0</v>
      </c>
      <c r="BL169" s="320">
        <f t="shared" si="213"/>
        <v>147282699.61646912</v>
      </c>
      <c r="BM169" s="320">
        <f t="shared" si="213"/>
        <v>11766810.357711988</v>
      </c>
      <c r="BN169" s="320">
        <f t="shared" si="213"/>
        <v>724.84764788675238</v>
      </c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</row>
    <row r="170" spans="1:76" x14ac:dyDescent="0.35">
      <c r="A170" s="168">
        <v>4</v>
      </c>
      <c r="B170" s="169">
        <f t="shared" si="204"/>
        <v>0.35946700425053696</v>
      </c>
      <c r="C170" s="170"/>
      <c r="D170" s="154">
        <f t="shared" si="205"/>
        <v>-414870.26595590677</v>
      </c>
      <c r="E170" s="154">
        <f t="shared" si="205"/>
        <v>49015.978993953308</v>
      </c>
      <c r="F170" s="154">
        <f t="shared" si="205"/>
        <v>1359356.3848151737</v>
      </c>
      <c r="G170" s="154">
        <f t="shared" si="214"/>
        <v>120982.71824855045</v>
      </c>
      <c r="H170" s="154">
        <f t="shared" si="206"/>
        <v>3292232.0718821287</v>
      </c>
      <c r="I170" s="154">
        <f t="shared" si="206"/>
        <v>196.29580057263888</v>
      </c>
      <c r="J170" s="154">
        <f t="shared" si="206"/>
        <v>187433.00119849478</v>
      </c>
      <c r="K170" s="170"/>
      <c r="L170" s="171">
        <f t="shared" si="207"/>
        <v>-0.17456205835463684</v>
      </c>
      <c r="M170" s="171">
        <f t="shared" si="207"/>
        <v>1</v>
      </c>
      <c r="N170" s="171">
        <f t="shared" si="207"/>
        <v>1.6351739708955097E-2</v>
      </c>
      <c r="O170" s="171">
        <f t="shared" si="208"/>
        <v>0.34440604788380097</v>
      </c>
      <c r="P170" s="171">
        <f t="shared" si="208"/>
        <v>0.33707822722842812</v>
      </c>
      <c r="Q170" s="170"/>
      <c r="R170" s="154">
        <v>161421.04398711171</v>
      </c>
      <c r="S170" s="154">
        <v>3329.1654393494518</v>
      </c>
      <c r="T170" s="154">
        <v>5646340.4720974416</v>
      </c>
      <c r="U170" s="154">
        <v>649258.08796879835</v>
      </c>
      <c r="V170" s="154">
        <v>39.552870173576338</v>
      </c>
      <c r="W170" s="170"/>
      <c r="X170" s="154">
        <v>189599.03368725631</v>
      </c>
      <c r="Y170" s="154">
        <v>0</v>
      </c>
      <c r="Z170" s="154">
        <v>5554012.9823895656</v>
      </c>
      <c r="AA170" s="154">
        <v>425649.6758348713</v>
      </c>
      <c r="AB170" s="154">
        <v>26.220458813671058</v>
      </c>
      <c r="AC170" s="170"/>
      <c r="AD170" s="154">
        <f t="shared" si="209"/>
        <v>-28177.989700144593</v>
      </c>
      <c r="AE170" s="154">
        <f t="shared" si="209"/>
        <v>3329.1654393494518</v>
      </c>
      <c r="AF170" s="154">
        <f t="shared" si="209"/>
        <v>92327.489707875997</v>
      </c>
      <c r="AG170" s="154">
        <f t="shared" si="209"/>
        <v>223608.41213392705</v>
      </c>
      <c r="AH170" s="154">
        <f t="shared" si="209"/>
        <v>13.332411359905279</v>
      </c>
      <c r="AI170" s="154">
        <v>12730.450000000004</v>
      </c>
      <c r="AJ170" s="170"/>
      <c r="AK170" s="183">
        <f t="shared" ref="AK170:AP170" si="218">AD170/$E163</f>
        <v>-1.1541261396741591</v>
      </c>
      <c r="AL170" s="183">
        <f t="shared" si="218"/>
        <v>0.13635738027235109</v>
      </c>
      <c r="AM170" s="183">
        <f t="shared" si="218"/>
        <v>3.7815887654260085</v>
      </c>
      <c r="AN170" s="183">
        <f t="shared" si="218"/>
        <v>9.1586488688890864</v>
      </c>
      <c r="AO170" s="183">
        <f t="shared" si="218"/>
        <v>5.4607460003707885E-4</v>
      </c>
      <c r="AP170" s="183">
        <f t="shared" si="218"/>
        <v>0.52141920950235532</v>
      </c>
      <c r="AQ170" s="170"/>
      <c r="AR170" s="184">
        <f t="shared" si="216"/>
        <v>6.6115520781122958</v>
      </c>
      <c r="AS170" s="184">
        <f t="shared" si="211"/>
        <v>0.13635738027235109</v>
      </c>
      <c r="AT170" s="184">
        <f t="shared" si="211"/>
        <v>231.26522515246535</v>
      </c>
      <c r="AU170" s="184">
        <f t="shared" si="211"/>
        <v>26.592590127741076</v>
      </c>
      <c r="AV170" s="184">
        <f t="shared" si="211"/>
        <v>1.6200233534129156E-3</v>
      </c>
      <c r="AW170" s="170"/>
      <c r="AX170" s="172">
        <f t="shared" si="212"/>
        <v>2376634.8189654392</v>
      </c>
      <c r="AY170" s="172">
        <f t="shared" si="212"/>
        <v>49015.978993953308</v>
      </c>
      <c r="AZ170" s="172">
        <f t="shared" si="212"/>
        <v>83132217.672882646</v>
      </c>
      <c r="BA170" s="172">
        <f t="shared" si="212"/>
        <v>9559158.7084814887</v>
      </c>
      <c r="BB170" s="172">
        <f t="shared" si="212"/>
        <v>582.3449416672496</v>
      </c>
      <c r="BC170" s="170"/>
      <c r="BD170" s="325">
        <f>X170/$E163</f>
        <v>7.765678217786455</v>
      </c>
      <c r="BE170" s="325">
        <f>Y170/$E163</f>
        <v>0</v>
      </c>
      <c r="BF170" s="325">
        <f>Z170/$E163</f>
        <v>227.48363638703935</v>
      </c>
      <c r="BG170" s="325">
        <f>AA170/$E163</f>
        <v>17.433941258851988</v>
      </c>
      <c r="BH170" s="325">
        <f>AB170/$E163</f>
        <v>1.0739487533758369E-3</v>
      </c>
      <c r="BI170" s="326"/>
      <c r="BJ170" s="320">
        <f t="shared" si="213"/>
        <v>2791505.084921346</v>
      </c>
      <c r="BK170" s="320">
        <f t="shared" si="213"/>
        <v>0</v>
      </c>
      <c r="BL170" s="320">
        <f t="shared" si="213"/>
        <v>81772861.288067475</v>
      </c>
      <c r="BM170" s="320">
        <f t="shared" si="213"/>
        <v>6266926.6365993591</v>
      </c>
      <c r="BN170" s="320">
        <f t="shared" si="213"/>
        <v>386.04914109461083</v>
      </c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</row>
    <row r="171" spans="1:76" x14ac:dyDescent="0.35">
      <c r="A171" s="168">
        <v>5</v>
      </c>
      <c r="B171" s="169">
        <f t="shared" si="204"/>
        <v>7.429373253157398E-2</v>
      </c>
      <c r="C171" s="170"/>
      <c r="D171" s="154">
        <f t="shared" si="205"/>
        <v>-94606.852812354569</v>
      </c>
      <c r="E171" s="154">
        <f t="shared" si="205"/>
        <v>11010.361280113568</v>
      </c>
      <c r="F171" s="154">
        <f t="shared" si="205"/>
        <v>8675.7284174521774</v>
      </c>
      <c r="G171" s="154">
        <f t="shared" si="214"/>
        <v>772.1398291532438</v>
      </c>
      <c r="H171" s="154">
        <f t="shared" si="206"/>
        <v>731260.35624344682</v>
      </c>
      <c r="I171" s="154">
        <f t="shared" si="206"/>
        <v>43.584268160051344</v>
      </c>
      <c r="J171" s="154">
        <f t="shared" si="206"/>
        <v>38738.179287592728</v>
      </c>
      <c r="K171" s="170"/>
      <c r="L171" s="171">
        <f t="shared" si="207"/>
        <v>-0.21442164779232428</v>
      </c>
      <c r="M171" s="171">
        <f t="shared" si="207"/>
        <v>1</v>
      </c>
      <c r="N171" s="171">
        <f t="shared" si="207"/>
        <v>5.8726105156517319E-4</v>
      </c>
      <c r="O171" s="171">
        <f t="shared" si="208"/>
        <v>0.37508024105989479</v>
      </c>
      <c r="P171" s="171">
        <f t="shared" si="208"/>
        <v>0.3673784407503769</v>
      </c>
      <c r="Q171" s="170"/>
      <c r="R171" s="154">
        <v>144996.83316001529</v>
      </c>
      <c r="S171" s="154">
        <v>3618.3128979248449</v>
      </c>
      <c r="T171" s="154">
        <v>4854888.9544318104</v>
      </c>
      <c r="U171" s="154">
        <v>640696.56253836572</v>
      </c>
      <c r="V171" s="154">
        <v>38.987073974238214</v>
      </c>
      <c r="W171" s="170"/>
      <c r="X171" s="154">
        <v>176087.2930508545</v>
      </c>
      <c r="Y171" s="154">
        <v>0</v>
      </c>
      <c r="Z171" s="154">
        <v>4852037.8672391986</v>
      </c>
      <c r="AA171" s="154">
        <v>400383.94141522952</v>
      </c>
      <c r="AB171" s="154">
        <v>24.664063528162981</v>
      </c>
      <c r="AC171" s="170"/>
      <c r="AD171" s="154">
        <f t="shared" si="209"/>
        <v>-31090.459890839207</v>
      </c>
      <c r="AE171" s="154">
        <f t="shared" si="209"/>
        <v>3618.3128979248449</v>
      </c>
      <c r="AF171" s="154">
        <f t="shared" si="209"/>
        <v>2851.0871926117688</v>
      </c>
      <c r="AG171" s="154">
        <f t="shared" si="209"/>
        <v>240312.6211231362</v>
      </c>
      <c r="AH171" s="154">
        <f t="shared" si="209"/>
        <v>14.323010446075234</v>
      </c>
      <c r="AI171" s="154">
        <v>12730.450000000004</v>
      </c>
      <c r="AJ171" s="170"/>
      <c r="AK171" s="183">
        <f t="shared" ref="AK171:AP171" si="219">AD171/$E163</f>
        <v>-1.273416337941397</v>
      </c>
      <c r="AL171" s="183">
        <f t="shared" si="219"/>
        <v>0.14820040540343415</v>
      </c>
      <c r="AM171" s="183">
        <f t="shared" si="219"/>
        <v>0.11677604720916522</v>
      </c>
      <c r="AN171" s="183">
        <f t="shared" si="219"/>
        <v>9.8428269966469877</v>
      </c>
      <c r="AO171" s="183">
        <f t="shared" si="219"/>
        <v>5.8664798058878696E-4</v>
      </c>
      <c r="AP171" s="183">
        <f t="shared" si="219"/>
        <v>0.52141920950235532</v>
      </c>
      <c r="AQ171" s="170"/>
      <c r="AR171" s="184">
        <f t="shared" si="216"/>
        <v>5.9388422346924141</v>
      </c>
      <c r="AS171" s="184">
        <f t="shared" si="211"/>
        <v>0.14820040540343415</v>
      </c>
      <c r="AT171" s="184">
        <f t="shared" si="211"/>
        <v>198.84861578668074</v>
      </c>
      <c r="AU171" s="184">
        <f t="shared" si="211"/>
        <v>26.24192351170861</v>
      </c>
      <c r="AV171" s="184">
        <f t="shared" si="211"/>
        <v>1.5968492309743278E-3</v>
      </c>
      <c r="AW171" s="170"/>
      <c r="AX171" s="172">
        <f t="shared" si="212"/>
        <v>441218.75653145334</v>
      </c>
      <c r="AY171" s="172">
        <f t="shared" si="212"/>
        <v>11010.361280113568</v>
      </c>
      <c r="AZ171" s="172">
        <f t="shared" si="212"/>
        <v>14773205.875529379</v>
      </c>
      <c r="BA171" s="172">
        <f t="shared" si="212"/>
        <v>1949610.446492902</v>
      </c>
      <c r="BB171" s="172">
        <f t="shared" si="212"/>
        <v>118.63588965925631</v>
      </c>
      <c r="BC171" s="170"/>
      <c r="BD171" s="325">
        <f>X171/$E163</f>
        <v>7.2122585726338109</v>
      </c>
      <c r="BE171" s="325">
        <f>Y171/$E163</f>
        <v>0</v>
      </c>
      <c r="BF171" s="325">
        <f>Z171/$E163</f>
        <v>198.73183973947158</v>
      </c>
      <c r="BG171" s="325">
        <f>AA171/$E163</f>
        <v>16.399096515061622</v>
      </c>
      <c r="BH171" s="325">
        <f>AB171/$E163</f>
        <v>1.0102012503855409E-3</v>
      </c>
      <c r="BI171" s="326"/>
      <c r="BJ171" s="320">
        <f t="shared" si="213"/>
        <v>535825.6093438078</v>
      </c>
      <c r="BK171" s="320">
        <f t="shared" si="213"/>
        <v>0</v>
      </c>
      <c r="BL171" s="320">
        <f t="shared" si="213"/>
        <v>14764530.147111926</v>
      </c>
      <c r="BM171" s="320">
        <f t="shared" si="213"/>
        <v>1218350.0902494551</v>
      </c>
      <c r="BN171" s="320">
        <f t="shared" si="213"/>
        <v>75.05162149920497</v>
      </c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</row>
    <row r="172" spans="1:76" x14ac:dyDescent="0.35">
      <c r="A172" s="168">
        <v>6</v>
      </c>
      <c r="B172" s="169">
        <f t="shared" si="204"/>
        <v>0.3987701105970608</v>
      </c>
      <c r="C172" s="170"/>
      <c r="D172" s="154">
        <f t="shared" si="205"/>
        <v>-311145.94527496671</v>
      </c>
      <c r="E172" s="154">
        <f t="shared" si="205"/>
        <v>37612.165546618431</v>
      </c>
      <c r="F172" s="154">
        <f t="shared" si="205"/>
        <v>1442278.4940819002</v>
      </c>
      <c r="G172" s="154">
        <f t="shared" si="214"/>
        <v>128362.78597328911</v>
      </c>
      <c r="H172" s="154">
        <f t="shared" si="206"/>
        <v>2640944.4437860493</v>
      </c>
      <c r="I172" s="154">
        <f t="shared" si="206"/>
        <v>160.72467826009245</v>
      </c>
      <c r="J172" s="154">
        <f t="shared" si="206"/>
        <v>207926.39584068625</v>
      </c>
      <c r="K172" s="170"/>
      <c r="L172" s="171">
        <f t="shared" si="207"/>
        <v>-0.11407943628209649</v>
      </c>
      <c r="M172" s="171">
        <f t="shared" si="207"/>
        <v>1</v>
      </c>
      <c r="N172" s="171">
        <f t="shared" si="207"/>
        <v>1.6289809280318462E-2</v>
      </c>
      <c r="O172" s="171">
        <f t="shared" si="208"/>
        <v>0.2941698994592355</v>
      </c>
      <c r="P172" s="171">
        <f t="shared" si="208"/>
        <v>0.29165917822622478</v>
      </c>
      <c r="Q172" s="170"/>
      <c r="R172" s="154">
        <v>166990.1709096517</v>
      </c>
      <c r="S172" s="154">
        <v>2302.833129709139</v>
      </c>
      <c r="T172" s="154">
        <v>5420848.3505625026</v>
      </c>
      <c r="U172" s="154">
        <v>549661.30302314158</v>
      </c>
      <c r="V172" s="154">
        <v>33.739686825641968</v>
      </c>
      <c r="W172" s="170"/>
      <c r="X172" s="154">
        <v>186040.31547167571</v>
      </c>
      <c r="Y172" s="154">
        <v>0</v>
      </c>
      <c r="Z172" s="154">
        <v>5332543.7647943106</v>
      </c>
      <c r="AA172" s="154">
        <v>387967.49277619162</v>
      </c>
      <c r="AB172" s="154">
        <v>23.899197492465049</v>
      </c>
      <c r="AC172" s="170"/>
      <c r="AD172" s="154">
        <f t="shared" si="209"/>
        <v>-19050.144562024012</v>
      </c>
      <c r="AE172" s="154">
        <f t="shared" si="209"/>
        <v>2302.833129709139</v>
      </c>
      <c r="AF172" s="154">
        <f t="shared" si="209"/>
        <v>88304.585768192075</v>
      </c>
      <c r="AG172" s="154">
        <f t="shared" si="209"/>
        <v>161693.81024694996</v>
      </c>
      <c r="AH172" s="154">
        <f t="shared" si="209"/>
        <v>9.8404893331769188</v>
      </c>
      <c r="AI172" s="154">
        <v>12730.450000000004</v>
      </c>
      <c r="AJ172" s="170"/>
      <c r="AK172" s="183">
        <f t="shared" ref="AK172:AP172" si="220">AD172/$E163</f>
        <v>-0.78026395912447311</v>
      </c>
      <c r="AL172" s="183">
        <f t="shared" si="220"/>
        <v>9.4320423088639735E-2</v>
      </c>
      <c r="AM172" s="183">
        <f t="shared" si="220"/>
        <v>3.6168169472943714</v>
      </c>
      <c r="AN172" s="183">
        <f t="shared" si="220"/>
        <v>6.6227241551075142</v>
      </c>
      <c r="AO172" s="183">
        <f t="shared" si="220"/>
        <v>4.0305096592983488E-4</v>
      </c>
      <c r="AP172" s="183">
        <f t="shared" si="220"/>
        <v>0.52141920950235532</v>
      </c>
      <c r="AQ172" s="170"/>
      <c r="AR172" s="184">
        <f t="shared" si="216"/>
        <v>6.8396547577166373</v>
      </c>
      <c r="AS172" s="184">
        <f t="shared" si="211"/>
        <v>9.4320423088639735E-2</v>
      </c>
      <c r="AT172" s="184">
        <f t="shared" si="211"/>
        <v>222.02942250921575</v>
      </c>
      <c r="AU172" s="184">
        <f t="shared" si="211"/>
        <v>22.513262462549317</v>
      </c>
      <c r="AV172" s="184">
        <f t="shared" si="211"/>
        <v>1.3819245064772463E-3</v>
      </c>
      <c r="AW172" s="170"/>
      <c r="AX172" s="172">
        <f t="shared" si="212"/>
        <v>2727449.8841803763</v>
      </c>
      <c r="AY172" s="172">
        <f t="shared" si="212"/>
        <v>37612.165546618431</v>
      </c>
      <c r="AZ172" s="172">
        <f t="shared" si="212"/>
        <v>88538697.369801506</v>
      </c>
      <c r="BA172" s="172">
        <f t="shared" si="212"/>
        <v>8977616.1620914489</v>
      </c>
      <c r="BB172" s="172">
        <f t="shared" si="212"/>
        <v>551.07018828472019</v>
      </c>
      <c r="BC172" s="170"/>
      <c r="BD172" s="325">
        <f>X172/$E163</f>
        <v>7.6199187168411102</v>
      </c>
      <c r="BE172" s="325">
        <f>Y172/$E163</f>
        <v>0</v>
      </c>
      <c r="BF172" s="325">
        <f>Z172/$E163</f>
        <v>218.4126055619214</v>
      </c>
      <c r="BG172" s="325">
        <f>AA172/$E163</f>
        <v>15.890538307441803</v>
      </c>
      <c r="BH172" s="325">
        <f>AB172/$E163</f>
        <v>9.7887354054741142E-4</v>
      </c>
      <c r="BI172" s="326"/>
      <c r="BJ172" s="320">
        <f t="shared" si="213"/>
        <v>3038595.8294553431</v>
      </c>
      <c r="BK172" s="320">
        <f t="shared" si="213"/>
        <v>0</v>
      </c>
      <c r="BL172" s="320">
        <f t="shared" si="213"/>
        <v>87096418.875719607</v>
      </c>
      <c r="BM172" s="320">
        <f t="shared" si="213"/>
        <v>6336671.7183053987</v>
      </c>
      <c r="BN172" s="320">
        <f t="shared" si="213"/>
        <v>390.34551002462774</v>
      </c>
      <c r="BO172" s="83"/>
      <c r="BP172" s="83"/>
      <c r="BQ172" s="83"/>
      <c r="BR172" s="83"/>
      <c r="BS172" s="83"/>
      <c r="BT172" s="83"/>
      <c r="BU172" s="83"/>
      <c r="BV172" s="83"/>
      <c r="BW172" s="83"/>
      <c r="BX172" s="83"/>
    </row>
    <row r="173" spans="1:76" x14ac:dyDescent="0.35">
      <c r="A173" s="168">
        <v>7</v>
      </c>
      <c r="B173" s="169">
        <f t="shared" si="204"/>
        <v>0.42750436552391036</v>
      </c>
      <c r="C173" s="170"/>
      <c r="D173" s="154">
        <f t="shared" si="205"/>
        <v>-313720.21086554613</v>
      </c>
      <c r="E173" s="154">
        <f t="shared" si="205"/>
        <v>37606.833988939856</v>
      </c>
      <c r="F173" s="154">
        <f t="shared" si="205"/>
        <v>1686663.6354104083</v>
      </c>
      <c r="G173" s="154">
        <f t="shared" si="214"/>
        <v>150113.06355152634</v>
      </c>
      <c r="H173" s="154">
        <f t="shared" si="206"/>
        <v>2678005.8639756315</v>
      </c>
      <c r="I173" s="154">
        <f t="shared" si="206"/>
        <v>163.00797781183073</v>
      </c>
      <c r="J173" s="154">
        <f t="shared" si="206"/>
        <v>222908.98833028329</v>
      </c>
      <c r="K173" s="170"/>
      <c r="L173" s="171">
        <f t="shared" si="207"/>
        <v>-0.11144637159543304</v>
      </c>
      <c r="M173" s="171">
        <f t="shared" si="207"/>
        <v>1</v>
      </c>
      <c r="N173" s="171">
        <f t="shared" si="207"/>
        <v>1.907124237270779E-2</v>
      </c>
      <c r="O173" s="171">
        <f t="shared" si="208"/>
        <v>0.28851929028246104</v>
      </c>
      <c r="P173" s="171">
        <f t="shared" si="208"/>
        <v>0.28607206812054198</v>
      </c>
      <c r="Q173" s="170"/>
      <c r="R173" s="154">
        <v>160765.45698962171</v>
      </c>
      <c r="S173" s="154">
        <v>2147.7461422288402</v>
      </c>
      <c r="T173" s="154">
        <v>5050863.9524752116</v>
      </c>
      <c r="U173" s="154">
        <v>530093.94448074163</v>
      </c>
      <c r="V173" s="154">
        <v>32.542399990172683</v>
      </c>
      <c r="W173" s="170"/>
      <c r="X173" s="154">
        <v>178682.1838489967</v>
      </c>
      <c r="Y173" s="154">
        <v>0</v>
      </c>
      <c r="Z173" s="154">
        <v>4954537.701845984</v>
      </c>
      <c r="AA173" s="154">
        <v>377151.61583612772</v>
      </c>
      <c r="AB173" s="154">
        <v>23.232928323378079</v>
      </c>
      <c r="AC173" s="170"/>
      <c r="AD173" s="154">
        <f t="shared" si="209"/>
        <v>-17916.72685937499</v>
      </c>
      <c r="AE173" s="154">
        <f t="shared" si="209"/>
        <v>2147.7461422288402</v>
      </c>
      <c r="AF173" s="154">
        <f t="shared" si="209"/>
        <v>96326.250629227608</v>
      </c>
      <c r="AG173" s="154">
        <f t="shared" si="209"/>
        <v>152942.32864461391</v>
      </c>
      <c r="AH173" s="154">
        <f t="shared" si="209"/>
        <v>9.3094716667946038</v>
      </c>
      <c r="AI173" s="154">
        <v>12730.450000000004</v>
      </c>
      <c r="AJ173" s="170"/>
      <c r="AK173" s="183">
        <f t="shared" ref="AK173:AP173" si="221">AD173/$E163</f>
        <v>-0.73384095266741722</v>
      </c>
      <c r="AL173" s="183">
        <f t="shared" si="221"/>
        <v>8.7968304002819589E-2</v>
      </c>
      <c r="AM173" s="183">
        <f t="shared" si="221"/>
        <v>3.9453717234989805</v>
      </c>
      <c r="AN173" s="183">
        <f t="shared" si="221"/>
        <v>6.2642772330376371</v>
      </c>
      <c r="AO173" s="183">
        <f t="shared" si="221"/>
        <v>3.8130131750131491E-4</v>
      </c>
      <c r="AP173" s="183">
        <f t="shared" si="221"/>
        <v>0.52141920950235532</v>
      </c>
      <c r="AQ173" s="170"/>
      <c r="AR173" s="184">
        <f t="shared" si="216"/>
        <v>6.5847002658046989</v>
      </c>
      <c r="AS173" s="184">
        <f t="shared" si="211"/>
        <v>8.7968304002819589E-2</v>
      </c>
      <c r="AT173" s="184">
        <f t="shared" si="211"/>
        <v>206.87544347635517</v>
      </c>
      <c r="AU173" s="184">
        <f t="shared" si="211"/>
        <v>21.711814232264658</v>
      </c>
      <c r="AV173" s="184">
        <f t="shared" si="211"/>
        <v>1.3328855207934746E-3</v>
      </c>
      <c r="AW173" s="170"/>
      <c r="AX173" s="172">
        <f t="shared" si="212"/>
        <v>2814988.1092979619</v>
      </c>
      <c r="AY173" s="172">
        <f t="shared" si="212"/>
        <v>37606.833988939856</v>
      </c>
      <c r="AZ173" s="172">
        <f t="shared" si="212"/>
        <v>88440155.205836803</v>
      </c>
      <c r="BA173" s="172">
        <f t="shared" si="212"/>
        <v>9281895.36773731</v>
      </c>
      <c r="BB173" s="172">
        <f t="shared" si="212"/>
        <v>569.81437888282119</v>
      </c>
      <c r="BC173" s="170"/>
      <c r="BD173" s="325">
        <f>X173/$E163</f>
        <v>7.3185412184721157</v>
      </c>
      <c r="BE173" s="325">
        <f>Y173/$E163</f>
        <v>0</v>
      </c>
      <c r="BF173" s="325">
        <f>Z173/$E163</f>
        <v>202.93007175285621</v>
      </c>
      <c r="BG173" s="325">
        <f>AA173/$E163</f>
        <v>15.447536999227021</v>
      </c>
      <c r="BH173" s="325">
        <f>AB173/$E163</f>
        <v>9.5158420329215969E-4</v>
      </c>
      <c r="BI173" s="326"/>
      <c r="BJ173" s="320">
        <f t="shared" si="213"/>
        <v>3128708.3201635079</v>
      </c>
      <c r="BK173" s="320">
        <f t="shared" si="213"/>
        <v>0</v>
      </c>
      <c r="BL173" s="320">
        <f t="shared" si="213"/>
        <v>86753491.57042639</v>
      </c>
      <c r="BM173" s="320">
        <f t="shared" si="213"/>
        <v>6603889.5037616771</v>
      </c>
      <c r="BN173" s="320">
        <f t="shared" si="213"/>
        <v>406.80640107099043</v>
      </c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</row>
    <row r="174" spans="1:76" x14ac:dyDescent="0.35">
      <c r="A174" s="168">
        <v>8</v>
      </c>
      <c r="B174" s="169">
        <f t="shared" si="204"/>
        <v>0.54737871842884245</v>
      </c>
      <c r="C174" s="170"/>
      <c r="D174" s="154">
        <f t="shared" si="205"/>
        <v>-419787.92760062416</v>
      </c>
      <c r="E174" s="154">
        <f t="shared" si="205"/>
        <v>51361.37420126341</v>
      </c>
      <c r="F174" s="154">
        <f t="shared" si="205"/>
        <v>1806069.3044269942</v>
      </c>
      <c r="G174" s="154">
        <f t="shared" si="214"/>
        <v>160740.16809400247</v>
      </c>
      <c r="H174" s="154">
        <f t="shared" si="206"/>
        <v>3587136.0282570482</v>
      </c>
      <c r="I174" s="154">
        <f t="shared" si="206"/>
        <v>218.2944918818817</v>
      </c>
      <c r="J174" s="154">
        <f t="shared" si="206"/>
        <v>285413.77866157936</v>
      </c>
      <c r="K174" s="170"/>
      <c r="L174" s="171">
        <f t="shared" si="207"/>
        <v>-0.10514914273554779</v>
      </c>
      <c r="M174" s="171">
        <f t="shared" si="207"/>
        <v>1</v>
      </c>
      <c r="N174" s="171">
        <f t="shared" si="207"/>
        <v>1.4162495155806622E-2</v>
      </c>
      <c r="O174" s="171">
        <f t="shared" si="208"/>
        <v>0.28008725904881676</v>
      </c>
      <c r="P174" s="171">
        <f t="shared" si="208"/>
        <v>0.27763635141664705</v>
      </c>
      <c r="Q174" s="170"/>
      <c r="R174" s="154">
        <v>178070.93075905001</v>
      </c>
      <c r="S174" s="154">
        <v>2290.8964285699772</v>
      </c>
      <c r="T174" s="154">
        <v>5688050.6813689861</v>
      </c>
      <c r="U174" s="154">
        <v>571246.18479967304</v>
      </c>
      <c r="V174" s="154">
        <v>35.069959895374119</v>
      </c>
      <c r="W174" s="170"/>
      <c r="X174" s="154">
        <v>196794.93647448521</v>
      </c>
      <c r="Y174" s="154">
        <v>0</v>
      </c>
      <c r="Z174" s="154">
        <v>5607493.6911481153</v>
      </c>
      <c r="AA174" s="154">
        <v>411247.40665703878</v>
      </c>
      <c r="AB174" s="154">
        <v>25.333264185694311</v>
      </c>
      <c r="AC174" s="170"/>
      <c r="AD174" s="154">
        <f t="shared" si="209"/>
        <v>-18724.005715435196</v>
      </c>
      <c r="AE174" s="154">
        <f t="shared" si="209"/>
        <v>2290.8964285699772</v>
      </c>
      <c r="AF174" s="154">
        <f t="shared" si="209"/>
        <v>80556.990220870823</v>
      </c>
      <c r="AG174" s="154">
        <f t="shared" si="209"/>
        <v>159998.77814263426</v>
      </c>
      <c r="AH174" s="154">
        <f t="shared" si="209"/>
        <v>9.7366957096798075</v>
      </c>
      <c r="AI174" s="154">
        <v>12730.450000000004</v>
      </c>
      <c r="AJ174" s="170"/>
      <c r="AK174" s="183">
        <f t="shared" ref="AK174:AP174" si="222">AD174/$E163</f>
        <v>-0.76690582492054871</v>
      </c>
      <c r="AL174" s="183">
        <f t="shared" si="222"/>
        <v>9.3831514584066231E-2</v>
      </c>
      <c r="AM174" s="183">
        <f t="shared" si="222"/>
        <v>3.2994876191222944</v>
      </c>
      <c r="AN174" s="183">
        <f t="shared" si="222"/>
        <v>6.5532983060673464</v>
      </c>
      <c r="AO174" s="183">
        <f t="shared" si="222"/>
        <v>3.9879974235837836E-4</v>
      </c>
      <c r="AP174" s="183">
        <f t="shared" si="222"/>
        <v>0.52141920950235532</v>
      </c>
      <c r="AQ174" s="170"/>
      <c r="AR174" s="184">
        <f t="shared" si="216"/>
        <v>7.2935052532889619</v>
      </c>
      <c r="AS174" s="184">
        <f t="shared" si="211"/>
        <v>9.3831514584066231E-2</v>
      </c>
      <c r="AT174" s="184">
        <f t="shared" si="211"/>
        <v>232.97360972226033</v>
      </c>
      <c r="AU174" s="184">
        <f t="shared" si="211"/>
        <v>23.397345271336189</v>
      </c>
      <c r="AV174" s="184">
        <f t="shared" si="211"/>
        <v>1.4364103991551963E-3</v>
      </c>
      <c r="AW174" s="170"/>
      <c r="AX174" s="172">
        <f t="shared" si="212"/>
        <v>3992309.558399342</v>
      </c>
      <c r="AY174" s="172">
        <f t="shared" si="212"/>
        <v>51361.37420126341</v>
      </c>
      <c r="AZ174" s="172">
        <f t="shared" si="212"/>
        <v>127524795.91751216</v>
      </c>
      <c r="BA174" s="172">
        <f t="shared" si="212"/>
        <v>12807208.86926114</v>
      </c>
      <c r="BB174" s="172">
        <f t="shared" si="212"/>
        <v>786.26048342743343</v>
      </c>
      <c r="BC174" s="170"/>
      <c r="BD174" s="325">
        <f>X174/$E163</f>
        <v>8.0604110782095102</v>
      </c>
      <c r="BE174" s="325">
        <f>Y174/$E163</f>
        <v>0</v>
      </c>
      <c r="BF174" s="325">
        <f>Z174/$E163</f>
        <v>229.67412210313805</v>
      </c>
      <c r="BG174" s="325">
        <f>AA174/$E163</f>
        <v>16.844046965268841</v>
      </c>
      <c r="BH174" s="325">
        <f>AB174/$E163</f>
        <v>1.0376106567968179E-3</v>
      </c>
      <c r="BI174" s="326"/>
      <c r="BJ174" s="320">
        <f t="shared" si="213"/>
        <v>4412097.485999966</v>
      </c>
      <c r="BK174" s="320">
        <f t="shared" si="213"/>
        <v>0</v>
      </c>
      <c r="BL174" s="320">
        <f t="shared" si="213"/>
        <v>125718726.61308518</v>
      </c>
      <c r="BM174" s="320">
        <f t="shared" si="213"/>
        <v>9220072.8410040904</v>
      </c>
      <c r="BN174" s="320">
        <f t="shared" si="213"/>
        <v>567.96599154555167</v>
      </c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</row>
    <row r="175" spans="1:76" x14ac:dyDescent="0.35">
      <c r="A175" s="168">
        <v>9</v>
      </c>
      <c r="B175" s="169">
        <f t="shared" si="204"/>
        <v>0.73743647948442825</v>
      </c>
      <c r="C175" s="170"/>
      <c r="D175" s="154">
        <f t="shared" si="205"/>
        <v>-601683.9550152258</v>
      </c>
      <c r="E175" s="154">
        <f t="shared" si="205"/>
        <v>73329.90921992292</v>
      </c>
      <c r="F175" s="154">
        <f t="shared" si="205"/>
        <v>2755565.2891017455</v>
      </c>
      <c r="G175" s="154">
        <f t="shared" si="214"/>
        <v>245245.31073005532</v>
      </c>
      <c r="H175" s="154">
        <f t="shared" si="206"/>
        <v>5078921.8026225157</v>
      </c>
      <c r="I175" s="154">
        <f t="shared" si="206"/>
        <v>309.04510587221222</v>
      </c>
      <c r="J175" s="154">
        <f t="shared" si="206"/>
        <v>384513.54619097046</v>
      </c>
      <c r="K175" s="170"/>
      <c r="L175" s="171">
        <f t="shared" si="207"/>
        <v>-0.11230529489385248</v>
      </c>
      <c r="M175" s="171">
        <f t="shared" si="207"/>
        <v>1</v>
      </c>
      <c r="N175" s="171">
        <f t="shared" si="207"/>
        <v>1.5102673921354665E-2</v>
      </c>
      <c r="O175" s="171">
        <f t="shared" si="208"/>
        <v>0.28568044087909794</v>
      </c>
      <c r="P175" s="171">
        <f t="shared" si="208"/>
        <v>0.28317900275009411</v>
      </c>
      <c r="Q175" s="170"/>
      <c r="R175" s="154">
        <v>177378.22676963671</v>
      </c>
      <c r="S175" s="154">
        <v>2427.801964524625</v>
      </c>
      <c r="T175" s="154">
        <v>6040723.6878540404</v>
      </c>
      <c r="U175" s="154">
        <v>588603.89279243175</v>
      </c>
      <c r="V175" s="154">
        <v>36.132077536393425</v>
      </c>
      <c r="W175" s="170"/>
      <c r="X175" s="154">
        <v>197298.74083474939</v>
      </c>
      <c r="Y175" s="154">
        <v>0</v>
      </c>
      <c r="Z175" s="154">
        <v>5949492.6077473778</v>
      </c>
      <c r="AA175" s="154">
        <v>420451.27319633658</v>
      </c>
      <c r="AB175" s="154">
        <v>25.900231852348458</v>
      </c>
      <c r="AC175" s="170"/>
      <c r="AD175" s="154">
        <f t="shared" si="209"/>
        <v>-19920.514065112686</v>
      </c>
      <c r="AE175" s="154">
        <f t="shared" si="209"/>
        <v>2427.801964524625</v>
      </c>
      <c r="AF175" s="154">
        <f t="shared" si="209"/>
        <v>91231.080106662586</v>
      </c>
      <c r="AG175" s="154">
        <f t="shared" si="209"/>
        <v>168152.61959609517</v>
      </c>
      <c r="AH175" s="154">
        <f t="shared" si="209"/>
        <v>10.231845684044966</v>
      </c>
      <c r="AI175" s="154">
        <v>12730.450000000004</v>
      </c>
      <c r="AJ175" s="170"/>
      <c r="AK175" s="183">
        <f t="shared" ref="AK175:AP175" si="223">AD175/$E163</f>
        <v>-0.81591292505069368</v>
      </c>
      <c r="AL175" s="183">
        <f t="shared" si="223"/>
        <v>9.9438950011248209E-2</v>
      </c>
      <c r="AM175" s="183">
        <f t="shared" si="223"/>
        <v>3.7366815525972799</v>
      </c>
      <c r="AN175" s="183">
        <f t="shared" si="223"/>
        <v>6.8872668276098779</v>
      </c>
      <c r="AO175" s="183">
        <f t="shared" si="223"/>
        <v>4.1908030653471087E-4</v>
      </c>
      <c r="AP175" s="183">
        <f t="shared" si="223"/>
        <v>0.52141920950235532</v>
      </c>
      <c r="AQ175" s="170"/>
      <c r="AR175" s="184">
        <f t="shared" si="216"/>
        <v>7.2651331873699245</v>
      </c>
      <c r="AS175" s="184">
        <f t="shared" si="211"/>
        <v>9.9438950011248209E-2</v>
      </c>
      <c r="AT175" s="184">
        <f t="shared" si="211"/>
        <v>247.41854138251242</v>
      </c>
      <c r="AU175" s="184">
        <f t="shared" si="211"/>
        <v>24.108289690453891</v>
      </c>
      <c r="AV175" s="184">
        <f t="shared" si="211"/>
        <v>1.479913067228893E-3</v>
      </c>
      <c r="AW175" s="170"/>
      <c r="AX175" s="172">
        <f t="shared" si="212"/>
        <v>5357574.2406795602</v>
      </c>
      <c r="AY175" s="172">
        <f t="shared" si="212"/>
        <v>73329.90921992292</v>
      </c>
      <c r="AZ175" s="172">
        <f t="shared" si="212"/>
        <v>182455458.11629227</v>
      </c>
      <c r="BA175" s="172">
        <f t="shared" si="212"/>
        <v>17778332.275719054</v>
      </c>
      <c r="BB175" s="172">
        <f t="shared" si="212"/>
        <v>1091.3418822402768</v>
      </c>
      <c r="BC175" s="170"/>
      <c r="BD175" s="325">
        <f>X175/$E163</f>
        <v>8.0810461124206174</v>
      </c>
      <c r="BE175" s="325">
        <f>Y175/$E163</f>
        <v>0</v>
      </c>
      <c r="BF175" s="325">
        <f>Z175/$E163</f>
        <v>243.68185982991514</v>
      </c>
      <c r="BG175" s="325">
        <f>AA175/$E163</f>
        <v>17.221022862844013</v>
      </c>
      <c r="BH175" s="325">
        <f>AB175/$E163</f>
        <v>1.0608327606941822E-3</v>
      </c>
      <c r="BI175" s="326"/>
      <c r="BJ175" s="320">
        <f t="shared" si="213"/>
        <v>5959258.1956947846</v>
      </c>
      <c r="BK175" s="320">
        <f t="shared" si="213"/>
        <v>0</v>
      </c>
      <c r="BL175" s="320">
        <f t="shared" si="213"/>
        <v>179699892.82719052</v>
      </c>
      <c r="BM175" s="320">
        <f t="shared" si="213"/>
        <v>12699410.473096538</v>
      </c>
      <c r="BN175" s="320">
        <f t="shared" si="213"/>
        <v>782.29677636806468</v>
      </c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</row>
    <row r="176" spans="1:76" x14ac:dyDescent="0.35">
      <c r="A176" s="168">
        <v>10</v>
      </c>
      <c r="B176" s="169">
        <f t="shared" si="204"/>
        <v>0.74949231587741649</v>
      </c>
      <c r="C176" s="170"/>
      <c r="D176" s="154">
        <f t="shared" si="205"/>
        <v>-683098.21199631842</v>
      </c>
      <c r="E176" s="154">
        <f t="shared" si="205"/>
        <v>81556.001122063695</v>
      </c>
      <c r="F176" s="154">
        <f t="shared" si="205"/>
        <v>2972130.4947339557</v>
      </c>
      <c r="G176" s="154">
        <f t="shared" si="214"/>
        <v>264519.61403132207</v>
      </c>
      <c r="H176" s="154">
        <f t="shared" si="206"/>
        <v>5450843.0510052359</v>
      </c>
      <c r="I176" s="154">
        <f t="shared" si="206"/>
        <v>331.52712141485063</v>
      </c>
      <c r="J176" s="154">
        <f t="shared" si="206"/>
        <v>390799.6908728921</v>
      </c>
      <c r="K176" s="170"/>
      <c r="L176" s="171">
        <f t="shared" si="207"/>
        <v>-0.11967201060110765</v>
      </c>
      <c r="M176" s="171">
        <f t="shared" si="207"/>
        <v>1</v>
      </c>
      <c r="N176" s="171">
        <f t="shared" si="207"/>
        <v>1.5455404279421468E-2</v>
      </c>
      <c r="O176" s="171">
        <f t="shared" si="208"/>
        <v>0.28319100622839544</v>
      </c>
      <c r="P176" s="171">
        <f t="shared" si="208"/>
        <v>0.28061217032807295</v>
      </c>
      <c r="Q176" s="170"/>
      <c r="R176" s="154">
        <v>185943.11617646419</v>
      </c>
      <c r="S176" s="154">
        <v>2656.7180546262662</v>
      </c>
      <c r="T176" s="154">
        <v>6264364.9065702334</v>
      </c>
      <c r="U176" s="154">
        <v>627008.98560725572</v>
      </c>
      <c r="V176" s="154">
        <v>38.485940492875748</v>
      </c>
      <c r="W176" s="170"/>
      <c r="X176" s="154">
        <v>208195.302746737</v>
      </c>
      <c r="Y176" s="154">
        <v>0</v>
      </c>
      <c r="Z176" s="154">
        <v>6167546.6143853702</v>
      </c>
      <c r="AA176" s="154">
        <v>449445.68005889148</v>
      </c>
      <c r="AB176" s="154">
        <v>27.68631720405282</v>
      </c>
      <c r="AC176" s="170"/>
      <c r="AD176" s="154">
        <f t="shared" si="209"/>
        <v>-22252.18657027281</v>
      </c>
      <c r="AE176" s="154">
        <f t="shared" si="209"/>
        <v>2656.7180546262662</v>
      </c>
      <c r="AF176" s="154">
        <f t="shared" si="209"/>
        <v>96818.29218486324</v>
      </c>
      <c r="AG176" s="154">
        <f t="shared" si="209"/>
        <v>177563.30554836424</v>
      </c>
      <c r="AH176" s="154">
        <f t="shared" si="209"/>
        <v>10.799623288822929</v>
      </c>
      <c r="AI176" s="154">
        <v>12730.450000000004</v>
      </c>
      <c r="AJ176" s="170"/>
      <c r="AK176" s="183">
        <f t="shared" ref="AK176:AP176" si="224">AD176/$E163</f>
        <v>-0.91141456359913209</v>
      </c>
      <c r="AL176" s="183">
        <f t="shared" si="224"/>
        <v>0.10881499302175983</v>
      </c>
      <c r="AM176" s="183">
        <f t="shared" si="224"/>
        <v>3.9655249717330836</v>
      </c>
      <c r="AN176" s="183">
        <f t="shared" si="224"/>
        <v>7.272713723054034</v>
      </c>
      <c r="AO176" s="183">
        <f t="shared" si="224"/>
        <v>4.4233558422375295E-4</v>
      </c>
      <c r="AP176" s="183">
        <f t="shared" si="224"/>
        <v>0.52141920950235532</v>
      </c>
      <c r="AQ176" s="170"/>
      <c r="AR176" s="184">
        <f t="shared" si="216"/>
        <v>7.6159375865846481</v>
      </c>
      <c r="AS176" s="184">
        <f t="shared" si="211"/>
        <v>0.10881499302175983</v>
      </c>
      <c r="AT176" s="184">
        <f t="shared" si="211"/>
        <v>256.57853395741279</v>
      </c>
      <c r="AU176" s="184">
        <f t="shared" si="211"/>
        <v>25.681301888480675</v>
      </c>
      <c r="AV176" s="184">
        <f t="shared" si="211"/>
        <v>1.5763235917622669E-3</v>
      </c>
      <c r="AW176" s="170"/>
      <c r="AX176" s="172">
        <f t="shared" si="212"/>
        <v>5708086.6993471896</v>
      </c>
      <c r="AY176" s="172">
        <f t="shared" si="212"/>
        <v>81556.001122063695</v>
      </c>
      <c r="AZ176" s="172">
        <f t="shared" si="212"/>
        <v>192303639.62017366</v>
      </c>
      <c r="BA176" s="172">
        <f t="shared" si="212"/>
        <v>19247938.427144449</v>
      </c>
      <c r="BB176" s="172">
        <f t="shared" si="212"/>
        <v>1181.4424193621087</v>
      </c>
      <c r="BC176" s="170"/>
      <c r="BD176" s="325">
        <f>X176/$E163</f>
        <v>8.5273521501837806</v>
      </c>
      <c r="BE176" s="325">
        <f>Y176/$E163</f>
        <v>0</v>
      </c>
      <c r="BF176" s="325">
        <f>Z176/$E163</f>
        <v>252.6130089856797</v>
      </c>
      <c r="BG176" s="325">
        <f>AA176/$E163</f>
        <v>18.408588165426643</v>
      </c>
      <c r="BH176" s="325">
        <f>AB176/$E163</f>
        <v>1.1339880075385139E-3</v>
      </c>
      <c r="BI176" s="326"/>
      <c r="BJ176" s="320">
        <f t="shared" si="213"/>
        <v>6391184.9113435093</v>
      </c>
      <c r="BK176" s="320">
        <f t="shared" si="213"/>
        <v>0</v>
      </c>
      <c r="BL176" s="320">
        <f t="shared" si="213"/>
        <v>189331509.1254397</v>
      </c>
      <c r="BM176" s="320">
        <f t="shared" si="213"/>
        <v>13797095.376139216</v>
      </c>
      <c r="BN176" s="320">
        <f t="shared" si="213"/>
        <v>849.91529794725807</v>
      </c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</row>
    <row r="177" spans="1:76" x14ac:dyDescent="0.35">
      <c r="A177" s="168">
        <v>11</v>
      </c>
      <c r="B177" s="169">
        <f t="shared" si="204"/>
        <v>0.19974315397940476</v>
      </c>
      <c r="C177" s="170"/>
      <c r="D177" s="154">
        <f t="shared" si="205"/>
        <v>-314537.78515515284</v>
      </c>
      <c r="E177" s="154">
        <f t="shared" si="205"/>
        <v>36147.523175082009</v>
      </c>
      <c r="F177" s="154">
        <f t="shared" si="205"/>
        <v>981082.19184762076</v>
      </c>
      <c r="G177" s="154">
        <f t="shared" si="214"/>
        <v>87316.315074438244</v>
      </c>
      <c r="H177" s="154">
        <f t="shared" si="206"/>
        <v>2304954.4944379423</v>
      </c>
      <c r="I177" s="154">
        <f t="shared" si="206"/>
        <v>137.18735378709897</v>
      </c>
      <c r="J177" s="154">
        <f t="shared" si="206"/>
        <v>104149.91745144848</v>
      </c>
      <c r="K177" s="170"/>
      <c r="L177" s="171">
        <f t="shared" si="207"/>
        <v>-0.20401371829450715</v>
      </c>
      <c r="M177" s="171">
        <f t="shared" si="207"/>
        <v>1</v>
      </c>
      <c r="N177" s="171">
        <f t="shared" si="207"/>
        <v>1.7070503487023235E-2</v>
      </c>
      <c r="O177" s="171">
        <f t="shared" si="208"/>
        <v>0.34475763353535277</v>
      </c>
      <c r="P177" s="171">
        <f t="shared" si="208"/>
        <v>0.3370305044790613</v>
      </c>
      <c r="Q177" s="170"/>
      <c r="R177" s="154">
        <v>188450.92718460559</v>
      </c>
      <c r="S177" s="154">
        <v>4418.3831121973026</v>
      </c>
      <c r="T177" s="154">
        <v>7024960.5137799801</v>
      </c>
      <c r="U177" s="154">
        <v>817209.28091229126</v>
      </c>
      <c r="V177" s="154">
        <v>49.754193865868629</v>
      </c>
      <c r="W177" s="170"/>
      <c r="X177" s="154">
        <v>226897.5015555844</v>
      </c>
      <c r="Y177" s="154">
        <v>0</v>
      </c>
      <c r="Z177" s="154">
        <v>6905040.9008332985</v>
      </c>
      <c r="AA177" s="154">
        <v>535470.14312184241</v>
      </c>
      <c r="AB177" s="154">
        <v>32.985512807305909</v>
      </c>
      <c r="AC177" s="170"/>
      <c r="AD177" s="154">
        <f t="shared" si="209"/>
        <v>-38446.574370978808</v>
      </c>
      <c r="AE177" s="154">
        <f t="shared" si="209"/>
        <v>4418.3831121973026</v>
      </c>
      <c r="AF177" s="154">
        <f t="shared" si="209"/>
        <v>119919.61294668168</v>
      </c>
      <c r="AG177" s="154">
        <f t="shared" si="209"/>
        <v>281739.13779044885</v>
      </c>
      <c r="AH177" s="154">
        <f t="shared" si="209"/>
        <v>16.76868105856272</v>
      </c>
      <c r="AI177" s="154">
        <v>12730.450000000004</v>
      </c>
      <c r="AJ177" s="170"/>
      <c r="AK177" s="183">
        <f t="shared" ref="AK177:AP177" si="225">AD177/$E163</f>
        <v>-1.5747112173245468</v>
      </c>
      <c r="AL177" s="183">
        <f t="shared" si="225"/>
        <v>0.18097002302671727</v>
      </c>
      <c r="AM177" s="183">
        <f t="shared" si="225"/>
        <v>4.9117187362966082</v>
      </c>
      <c r="AN177" s="183">
        <f t="shared" si="225"/>
        <v>11.539591963565384</v>
      </c>
      <c r="AO177" s="183">
        <f t="shared" si="225"/>
        <v>6.8681880231672007E-4</v>
      </c>
      <c r="AP177" s="183">
        <f t="shared" si="225"/>
        <v>0.52141920950235532</v>
      </c>
      <c r="AQ177" s="170"/>
      <c r="AR177" s="184">
        <f t="shared" si="216"/>
        <v>7.7186535811839274</v>
      </c>
      <c r="AS177" s="184">
        <f t="shared" si="211"/>
        <v>0.18097002302671727</v>
      </c>
      <c r="AT177" s="184">
        <f t="shared" si="211"/>
        <v>287.73133376121154</v>
      </c>
      <c r="AU177" s="184">
        <f t="shared" si="211"/>
        <v>33.471606836464929</v>
      </c>
      <c r="AV177" s="184">
        <f t="shared" si="211"/>
        <v>2.0378535271705356E-3</v>
      </c>
      <c r="AW177" s="170"/>
      <c r="AX177" s="172">
        <f t="shared" si="212"/>
        <v>1541748.2107801053</v>
      </c>
      <c r="AY177" s="172">
        <f t="shared" si="212"/>
        <v>36147.523175082009</v>
      </c>
      <c r="AZ177" s="172">
        <f t="shared" si="212"/>
        <v>57472364.104165182</v>
      </c>
      <c r="BA177" s="172">
        <f t="shared" si="212"/>
        <v>6685724.3182741115</v>
      </c>
      <c r="BB177" s="172">
        <f t="shared" si="212"/>
        <v>407.04729086509735</v>
      </c>
      <c r="BC177" s="170"/>
      <c r="BD177" s="325">
        <f>X177/$E163</f>
        <v>9.293364798508474</v>
      </c>
      <c r="BE177" s="325">
        <f>Y177/$E163</f>
        <v>0</v>
      </c>
      <c r="BF177" s="325">
        <f>Z177/$E163</f>
        <v>282.81961502491492</v>
      </c>
      <c r="BG177" s="325">
        <f>AA177/$E163</f>
        <v>21.932014872899547</v>
      </c>
      <c r="BH177" s="325">
        <f>AB177/$E163</f>
        <v>1.3510347248538157E-3</v>
      </c>
      <c r="BI177" s="326"/>
      <c r="BJ177" s="320">
        <f t="shared" si="213"/>
        <v>1856285.995935258</v>
      </c>
      <c r="BK177" s="320">
        <f t="shared" si="213"/>
        <v>0</v>
      </c>
      <c r="BL177" s="320">
        <f t="shared" si="213"/>
        <v>56491281.912317552</v>
      </c>
      <c r="BM177" s="320">
        <f t="shared" si="213"/>
        <v>4380769.8238361701</v>
      </c>
      <c r="BN177" s="320">
        <f t="shared" si="213"/>
        <v>269.8599370779985</v>
      </c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</row>
    <row r="178" spans="1:76" x14ac:dyDescent="0.35">
      <c r="A178" s="168">
        <v>12</v>
      </c>
      <c r="B178" s="169">
        <f t="shared" si="204"/>
        <v>0.83993546597666213</v>
      </c>
      <c r="C178" s="170"/>
      <c r="D178" s="154">
        <f t="shared" si="205"/>
        <v>-1270319.5481121775</v>
      </c>
      <c r="E178" s="154">
        <f t="shared" si="205"/>
        <v>145512.518355426</v>
      </c>
      <c r="F178" s="154">
        <f t="shared" si="205"/>
        <v>2655802.4297234514</v>
      </c>
      <c r="G178" s="154">
        <f t="shared" si="214"/>
        <v>236366.41624538717</v>
      </c>
      <c r="H178" s="154">
        <f t="shared" si="206"/>
        <v>9319012.8209266812</v>
      </c>
      <c r="I178" s="154">
        <f t="shared" si="206"/>
        <v>554.73742600385185</v>
      </c>
      <c r="J178" s="154">
        <f t="shared" si="206"/>
        <v>437958.48670254363</v>
      </c>
      <c r="K178" s="170"/>
      <c r="L178" s="171">
        <f t="shared" si="207"/>
        <v>-0.2176836646556892</v>
      </c>
      <c r="M178" s="171">
        <f t="shared" si="207"/>
        <v>1</v>
      </c>
      <c r="N178" s="171">
        <f t="shared" si="207"/>
        <v>1.2210770932049142E-2</v>
      </c>
      <c r="O178" s="171">
        <f t="shared" si="208"/>
        <v>0.35946075644758352</v>
      </c>
      <c r="P178" s="171">
        <f t="shared" si="208"/>
        <v>0.35161546432451396</v>
      </c>
      <c r="Q178" s="170"/>
      <c r="R178" s="154">
        <v>169628.15959539721</v>
      </c>
      <c r="S178" s="154">
        <v>4229.7155907290125</v>
      </c>
      <c r="T178" s="154">
        <v>6322130.9739476461</v>
      </c>
      <c r="U178" s="154">
        <v>753579.77546542464</v>
      </c>
      <c r="V178" s="154">
        <v>45.859604887116639</v>
      </c>
      <c r="W178" s="170"/>
      <c r="X178" s="154">
        <v>206553.43900492339</v>
      </c>
      <c r="Y178" s="154">
        <v>0</v>
      </c>
      <c r="Z178" s="154">
        <v>6244932.8808223587</v>
      </c>
      <c r="AA178" s="154">
        <v>482697.41933302302</v>
      </c>
      <c r="AB178" s="154">
        <v>29.73465862099437</v>
      </c>
      <c r="AC178" s="170"/>
      <c r="AD178" s="154">
        <f t="shared" si="209"/>
        <v>-36925.279409526178</v>
      </c>
      <c r="AE178" s="154">
        <f t="shared" si="209"/>
        <v>4229.7155907290125</v>
      </c>
      <c r="AF178" s="154">
        <f t="shared" si="209"/>
        <v>77198.093125287443</v>
      </c>
      <c r="AG178" s="154">
        <f t="shared" si="209"/>
        <v>270882.35613240162</v>
      </c>
      <c r="AH178" s="154">
        <f t="shared" si="209"/>
        <v>16.124946266122269</v>
      </c>
      <c r="AI178" s="154">
        <v>12730.450000000004</v>
      </c>
      <c r="AJ178" s="170"/>
      <c r="AK178" s="183">
        <f t="shared" ref="AK178:AP178" si="226">AD178/$E163</f>
        <v>-1.5124013684016455</v>
      </c>
      <c r="AL178" s="183">
        <f t="shared" si="226"/>
        <v>0.17324249808433392</v>
      </c>
      <c r="AM178" s="183">
        <f t="shared" si="226"/>
        <v>3.1619124769726579</v>
      </c>
      <c r="AN178" s="183">
        <f t="shared" si="226"/>
        <v>11.094915262437093</v>
      </c>
      <c r="AO178" s="183">
        <f t="shared" si="226"/>
        <v>6.6045243768676092E-4</v>
      </c>
      <c r="AP178" s="183">
        <f t="shared" si="226"/>
        <v>0.52141920950235532</v>
      </c>
      <c r="AQ178" s="170"/>
      <c r="AR178" s="184">
        <f t="shared" si="216"/>
        <v>6.9477026252466603</v>
      </c>
      <c r="AS178" s="184">
        <f t="shared" si="211"/>
        <v>0.17324249808433392</v>
      </c>
      <c r="AT178" s="184">
        <f t="shared" si="211"/>
        <v>258.94454122251261</v>
      </c>
      <c r="AU178" s="184">
        <f t="shared" si="211"/>
        <v>30.865442370076781</v>
      </c>
      <c r="AV178" s="184">
        <f t="shared" si="211"/>
        <v>1.8783372880244373E-3</v>
      </c>
      <c r="AW178" s="170"/>
      <c r="AX178" s="172">
        <f t="shared" si="212"/>
        <v>5835621.8420038326</v>
      </c>
      <c r="AY178" s="172">
        <f t="shared" si="212"/>
        <v>145512.518355426</v>
      </c>
      <c r="AZ178" s="172">
        <f t="shared" si="212"/>
        <v>217496703.89384413</v>
      </c>
      <c r="BA178" s="172">
        <f t="shared" si="212"/>
        <v>25924979.719686251</v>
      </c>
      <c r="BB178" s="172">
        <f t="shared" si="212"/>
        <v>1577.6821052781456</v>
      </c>
      <c r="BC178" s="170"/>
      <c r="BD178" s="325">
        <f>X178/$E163</f>
        <v>8.4601039936483069</v>
      </c>
      <c r="BE178" s="325">
        <f>Y178/$E163</f>
        <v>0</v>
      </c>
      <c r="BF178" s="325">
        <f>Z178/$E163</f>
        <v>255.78262874553999</v>
      </c>
      <c r="BG178" s="325">
        <f>AA178/$E163</f>
        <v>19.77052710763969</v>
      </c>
      <c r="BH178" s="325">
        <f>AB178/$E163</f>
        <v>1.2178848503376764E-3</v>
      </c>
      <c r="BI178" s="326"/>
      <c r="BJ178" s="320">
        <f t="shared" si="213"/>
        <v>7105941.3901160108</v>
      </c>
      <c r="BK178" s="320">
        <f t="shared" si="213"/>
        <v>0</v>
      </c>
      <c r="BL178" s="320">
        <f t="shared" si="213"/>
        <v>214840901.46412072</v>
      </c>
      <c r="BM178" s="320">
        <f t="shared" si="213"/>
        <v>16605966.898759572</v>
      </c>
      <c r="BN178" s="320">
        <f t="shared" si="213"/>
        <v>1022.9446792742938</v>
      </c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</row>
    <row r="179" spans="1:76" x14ac:dyDescent="0.35">
      <c r="A179" s="168">
        <v>13</v>
      </c>
      <c r="B179" s="169">
        <f t="shared" si="204"/>
        <v>0.43525728016291126</v>
      </c>
      <c r="C179" s="170"/>
      <c r="D179" s="154">
        <f t="shared" si="205"/>
        <v>-601078.23288516281</v>
      </c>
      <c r="E179" s="154">
        <f t="shared" si="205"/>
        <v>68920.200563878112</v>
      </c>
      <c r="F179" s="154">
        <f t="shared" si="205"/>
        <v>1413314.1196674576</v>
      </c>
      <c r="G179" s="154">
        <f t="shared" si="214"/>
        <v>125784.95665040372</v>
      </c>
      <c r="H179" s="154">
        <f t="shared" si="206"/>
        <v>4444066.5213274099</v>
      </c>
      <c r="I179" s="154">
        <f t="shared" si="206"/>
        <v>264.60680408174585</v>
      </c>
      <c r="J179" s="154">
        <f t="shared" si="206"/>
        <v>226951.5069526904</v>
      </c>
      <c r="K179" s="170"/>
      <c r="L179" s="171">
        <f t="shared" si="207"/>
        <v>-0.17453817366374957</v>
      </c>
      <c r="M179" s="171">
        <f t="shared" si="207"/>
        <v>1</v>
      </c>
      <c r="N179" s="171">
        <f t="shared" si="207"/>
        <v>1.1326636141492855E-2</v>
      </c>
      <c r="O179" s="171">
        <f t="shared" si="208"/>
        <v>0.32286227756287594</v>
      </c>
      <c r="P179" s="171">
        <f t="shared" si="208"/>
        <v>0.31547357738967674</v>
      </c>
      <c r="Q179" s="170"/>
      <c r="R179" s="154">
        <v>193175.15010840041</v>
      </c>
      <c r="S179" s="154">
        <v>3865.958763831075</v>
      </c>
      <c r="T179" s="154">
        <v>6999200.4766663425</v>
      </c>
      <c r="U179" s="154">
        <v>772100.67070922186</v>
      </c>
      <c r="V179" s="154">
        <v>47.048816302833046</v>
      </c>
      <c r="W179" s="170"/>
      <c r="X179" s="154">
        <v>226891.5880055413</v>
      </c>
      <c r="Y179" s="154">
        <v>0</v>
      </c>
      <c r="Z179" s="154">
        <v>6919923.0795857795</v>
      </c>
      <c r="AA179" s="154">
        <v>522818.48965621839</v>
      </c>
      <c r="AB179" s="154">
        <v>32.206157911828562</v>
      </c>
      <c r="AC179" s="170"/>
      <c r="AD179" s="154">
        <f t="shared" si="209"/>
        <v>-33716.437897140888</v>
      </c>
      <c r="AE179" s="154">
        <f t="shared" si="209"/>
        <v>3865.958763831075</v>
      </c>
      <c r="AF179" s="154">
        <f t="shared" si="209"/>
        <v>79277.397080563009</v>
      </c>
      <c r="AG179" s="154">
        <f t="shared" si="209"/>
        <v>249282.18105300347</v>
      </c>
      <c r="AH179" s="154">
        <f t="shared" si="209"/>
        <v>14.842658391004484</v>
      </c>
      <c r="AI179" s="154">
        <v>12730.450000000004</v>
      </c>
      <c r="AJ179" s="170"/>
      <c r="AK179" s="183">
        <f t="shared" ref="AK179:AP179" si="227">AD179/$E163</f>
        <v>-1.3809722669318405</v>
      </c>
      <c r="AL179" s="183">
        <f t="shared" si="227"/>
        <v>0.15834359057264283</v>
      </c>
      <c r="AM179" s="183">
        <f t="shared" si="227"/>
        <v>3.2470774966439899</v>
      </c>
      <c r="AN179" s="183">
        <f t="shared" si="227"/>
        <v>10.210206064018164</v>
      </c>
      <c r="AO179" s="183">
        <f t="shared" si="227"/>
        <v>6.0793194310892833E-4</v>
      </c>
      <c r="AP179" s="183">
        <f t="shared" si="227"/>
        <v>0.52141920950235532</v>
      </c>
      <c r="AQ179" s="170"/>
      <c r="AR179" s="184">
        <f t="shared" si="216"/>
        <v>7.9121503218677214</v>
      </c>
      <c r="AS179" s="184">
        <f t="shared" si="211"/>
        <v>0.15834359057264283</v>
      </c>
      <c r="AT179" s="184">
        <f t="shared" si="211"/>
        <v>286.67624315651619</v>
      </c>
      <c r="AU179" s="184">
        <f t="shared" si="211"/>
        <v>31.624029109531921</v>
      </c>
      <c r="AV179" s="184">
        <f t="shared" si="211"/>
        <v>1.9270455172161805E-3</v>
      </c>
      <c r="AW179" s="170"/>
      <c r="AX179" s="172">
        <f t="shared" si="212"/>
        <v>3443821.0293362476</v>
      </c>
      <c r="AY179" s="172">
        <f t="shared" si="212"/>
        <v>68920.200563878112</v>
      </c>
      <c r="AZ179" s="172">
        <f t="shared" si="212"/>
        <v>124777921.88362664</v>
      </c>
      <c r="BA179" s="172">
        <f t="shared" si="212"/>
        <v>13764588.898007598</v>
      </c>
      <c r="BB179" s="172">
        <f t="shared" si="212"/>
        <v>838.76059057364535</v>
      </c>
      <c r="BC179" s="170"/>
      <c r="BD179" s="325">
        <f>X179/$E163</f>
        <v>9.2931225887995623</v>
      </c>
      <c r="BE179" s="325">
        <f>Y179/$E163</f>
        <v>0</v>
      </c>
      <c r="BF179" s="325">
        <f>Z179/$E163</f>
        <v>283.42916565987218</v>
      </c>
      <c r="BG179" s="325">
        <f>AA179/$E163</f>
        <v>21.413823045513759</v>
      </c>
      <c r="BH179" s="325">
        <f>AB179/$E163</f>
        <v>1.3191135741072522E-3</v>
      </c>
      <c r="BI179" s="326"/>
      <c r="BJ179" s="320">
        <f t="shared" si="213"/>
        <v>4044899.2622214099</v>
      </c>
      <c r="BK179" s="320">
        <f t="shared" si="213"/>
        <v>0</v>
      </c>
      <c r="BL179" s="320">
        <f t="shared" si="213"/>
        <v>123364607.76395917</v>
      </c>
      <c r="BM179" s="320">
        <f t="shared" si="213"/>
        <v>9320522.3766801879</v>
      </c>
      <c r="BN179" s="320">
        <f t="shared" si="213"/>
        <v>574.1537864918995</v>
      </c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</row>
    <row r="180" spans="1:76" x14ac:dyDescent="0.35">
      <c r="A180" s="168">
        <v>14</v>
      </c>
      <c r="B180" s="169">
        <f t="shared" si="204"/>
        <v>0.15499841557347382</v>
      </c>
      <c r="C180" s="170"/>
      <c r="D180" s="154">
        <f t="shared" si="205"/>
        <v>-231929.83752585927</v>
      </c>
      <c r="E180" s="154">
        <f t="shared" si="205"/>
        <v>25468.524310003191</v>
      </c>
      <c r="F180" s="154">
        <f t="shared" si="205"/>
        <v>107348.3153885971</v>
      </c>
      <c r="G180" s="154">
        <f t="shared" si="214"/>
        <v>9554.0000695851413</v>
      </c>
      <c r="H180" s="154">
        <f t="shared" si="206"/>
        <v>1524597.68784915</v>
      </c>
      <c r="I180" s="154">
        <f t="shared" si="206"/>
        <v>92.589453797521756</v>
      </c>
      <c r="J180" s="154">
        <f t="shared" si="206"/>
        <v>80819.15132243828</v>
      </c>
      <c r="K180" s="170"/>
      <c r="L180" s="171">
        <f t="shared" si="207"/>
        <v>-0.19115902083723815</v>
      </c>
      <c r="M180" s="171">
        <f t="shared" si="207"/>
        <v>1</v>
      </c>
      <c r="N180" s="171">
        <f t="shared" si="207"/>
        <v>2.3928634258332218E-3</v>
      </c>
      <c r="O180" s="171">
        <f t="shared" si="208"/>
        <v>0.31197962029655407</v>
      </c>
      <c r="P180" s="171">
        <f t="shared" si="208"/>
        <v>0.30893253849118862</v>
      </c>
      <c r="Q180" s="170"/>
      <c r="R180" s="154">
        <v>191113.4692938806</v>
      </c>
      <c r="S180" s="154">
        <v>4011.7443699543478</v>
      </c>
      <c r="T180" s="154">
        <v>7066539.512407288</v>
      </c>
      <c r="U180" s="154">
        <v>769765.60438219912</v>
      </c>
      <c r="V180" s="154">
        <v>47.209275872172171</v>
      </c>
      <c r="W180" s="170"/>
      <c r="X180" s="154">
        <v>227646.53295290639</v>
      </c>
      <c r="Y180" s="154">
        <v>0</v>
      </c>
      <c r="Z180" s="154">
        <v>7049630.2484608432</v>
      </c>
      <c r="AA180" s="154">
        <v>529614.42340969318</v>
      </c>
      <c r="AB180" s="154">
        <v>32.6247944366512</v>
      </c>
      <c r="AC180" s="170"/>
      <c r="AD180" s="154">
        <f t="shared" si="209"/>
        <v>-36533.063659025793</v>
      </c>
      <c r="AE180" s="154">
        <f t="shared" si="209"/>
        <v>4011.7443699543478</v>
      </c>
      <c r="AF180" s="154">
        <f t="shared" si="209"/>
        <v>16909.263946444727</v>
      </c>
      <c r="AG180" s="154">
        <f t="shared" si="209"/>
        <v>240151.18097250594</v>
      </c>
      <c r="AH180" s="154">
        <f t="shared" si="209"/>
        <v>14.584481435520971</v>
      </c>
      <c r="AI180" s="154">
        <v>12730.450000000004</v>
      </c>
      <c r="AJ180" s="170"/>
      <c r="AK180" s="183">
        <f t="shared" ref="AK180:AP180" si="228">AD180/$E163</f>
        <v>-1.496336828139496</v>
      </c>
      <c r="AL180" s="183">
        <f t="shared" si="228"/>
        <v>0.16431473970732532</v>
      </c>
      <c r="AM180" s="183">
        <f t="shared" si="228"/>
        <v>0.69257685629509436</v>
      </c>
      <c r="AN180" s="183">
        <f t="shared" si="228"/>
        <v>9.8362146619908231</v>
      </c>
      <c r="AO180" s="183">
        <f t="shared" si="228"/>
        <v>5.9735742107396971E-4</v>
      </c>
      <c r="AP180" s="183">
        <f t="shared" si="228"/>
        <v>0.52141920950235532</v>
      </c>
      <c r="AQ180" s="170"/>
      <c r="AR180" s="184">
        <f t="shared" si="216"/>
        <v>7.8277071183240059</v>
      </c>
      <c r="AS180" s="184">
        <f t="shared" si="211"/>
        <v>0.16431473970732532</v>
      </c>
      <c r="AT180" s="184">
        <f t="shared" si="211"/>
        <v>289.43434414938719</v>
      </c>
      <c r="AU180" s="184">
        <f t="shared" si="211"/>
        <v>31.528388465377805</v>
      </c>
      <c r="AV180" s="184">
        <f t="shared" si="211"/>
        <v>1.9336176888049221E-3</v>
      </c>
      <c r="AW180" s="170"/>
      <c r="AX180" s="172">
        <f t="shared" si="212"/>
        <v>1213282.2009134234</v>
      </c>
      <c r="AY180" s="172">
        <f t="shared" si="212"/>
        <v>25468.524310003191</v>
      </c>
      <c r="AZ180" s="172">
        <f t="shared" si="212"/>
        <v>44861864.755702555</v>
      </c>
      <c r="BA180" s="172">
        <f t="shared" si="212"/>
        <v>4886850.2577185482</v>
      </c>
      <c r="BB180" s="172">
        <f t="shared" si="212"/>
        <v>299.70767808960528</v>
      </c>
      <c r="BC180" s="170"/>
      <c r="BD180" s="325">
        <f>X180/$E163</f>
        <v>9.324043946463501</v>
      </c>
      <c r="BE180" s="325">
        <f>Y180/$E163</f>
        <v>0</v>
      </c>
      <c r="BF180" s="325">
        <f>Z180/$E163</f>
        <v>288.7417672930921</v>
      </c>
      <c r="BG180" s="325">
        <f>AA180/$E163</f>
        <v>21.692173803386982</v>
      </c>
      <c r="BH180" s="325">
        <f>AB180/$E163</f>
        <v>1.3362602677309523E-3</v>
      </c>
      <c r="BI180" s="326"/>
      <c r="BJ180" s="320">
        <f t="shared" si="213"/>
        <v>1445212.0384392827</v>
      </c>
      <c r="BK180" s="320">
        <f t="shared" si="213"/>
        <v>0</v>
      </c>
      <c r="BL180" s="320">
        <f t="shared" si="213"/>
        <v>44754516.440313965</v>
      </c>
      <c r="BM180" s="320">
        <f t="shared" si="213"/>
        <v>3362252.5698693977</v>
      </c>
      <c r="BN180" s="320">
        <f t="shared" si="213"/>
        <v>207.11822429208357</v>
      </c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</row>
    <row r="181" spans="1:76" x14ac:dyDescent="0.35">
      <c r="A181" s="168">
        <v>15</v>
      </c>
      <c r="B181" s="169">
        <f t="shared" si="204"/>
        <v>0.10858136496139391</v>
      </c>
      <c r="C181" s="170"/>
      <c r="D181" s="154">
        <f t="shared" si="205"/>
        <v>-67154.922061144709</v>
      </c>
      <c r="E181" s="154">
        <f t="shared" si="205"/>
        <v>8171.2993436430652</v>
      </c>
      <c r="F181" s="154">
        <f t="shared" si="205"/>
        <v>340418.42676543945</v>
      </c>
      <c r="G181" s="154">
        <f t="shared" si="214"/>
        <v>30297.239982124109</v>
      </c>
      <c r="H181" s="154">
        <f t="shared" si="206"/>
        <v>569554.34297822532</v>
      </c>
      <c r="I181" s="154">
        <f t="shared" si="206"/>
        <v>34.659273507646013</v>
      </c>
      <c r="J181" s="154">
        <f t="shared" si="206"/>
        <v>56616.409484856755</v>
      </c>
      <c r="K181" s="170"/>
      <c r="L181" s="171">
        <f t="shared" si="207"/>
        <v>-6.0359045658839615E-2</v>
      </c>
      <c r="M181" s="171">
        <f t="shared" si="207"/>
        <v>1</v>
      </c>
      <c r="N181" s="171">
        <f t="shared" si="207"/>
        <v>9.4648399056413614E-3</v>
      </c>
      <c r="O181" s="171">
        <f t="shared" si="208"/>
        <v>0.18756865088047975</v>
      </c>
      <c r="P181" s="171">
        <f t="shared" si="208"/>
        <v>0.18571477060759675</v>
      </c>
      <c r="Q181" s="170"/>
      <c r="R181" s="154">
        <v>250170.97244652719</v>
      </c>
      <c r="S181" s="154">
        <v>1837.352786511557</v>
      </c>
      <c r="T181" s="154">
        <v>8087256.5377345057</v>
      </c>
      <c r="U181" s="154">
        <v>682773.00967214233</v>
      </c>
      <c r="V181" s="154">
        <v>41.963764472660728</v>
      </c>
      <c r="W181" s="170"/>
      <c r="X181" s="154">
        <v>265271.05359494343</v>
      </c>
      <c r="Y181" s="154">
        <v>0</v>
      </c>
      <c r="Z181" s="154">
        <v>8010711.9493289972</v>
      </c>
      <c r="AA181" s="154">
        <v>554706.19739033387</v>
      </c>
      <c r="AB181" s="154">
        <v>34.170473579789324</v>
      </c>
      <c r="AC181" s="170"/>
      <c r="AD181" s="154">
        <f t="shared" si="209"/>
        <v>-15100.08114841624</v>
      </c>
      <c r="AE181" s="154">
        <f t="shared" si="209"/>
        <v>1837.352786511557</v>
      </c>
      <c r="AF181" s="154">
        <f t="shared" si="209"/>
        <v>76544.588405508548</v>
      </c>
      <c r="AG181" s="154">
        <f t="shared" si="209"/>
        <v>128066.81228180847</v>
      </c>
      <c r="AH181" s="154">
        <f t="shared" si="209"/>
        <v>7.7932908928714042</v>
      </c>
      <c r="AI181" s="154">
        <v>12730.450000000004</v>
      </c>
      <c r="AJ181" s="170"/>
      <c r="AK181" s="183">
        <f t="shared" ref="AK181:AP181" si="229">AD181/$E163</f>
        <v>-0.61847557437707312</v>
      </c>
      <c r="AL181" s="183">
        <f t="shared" si="229"/>
        <v>7.5255080340428299E-2</v>
      </c>
      <c r="AM181" s="183">
        <f t="shared" si="229"/>
        <v>3.135145951485093</v>
      </c>
      <c r="AN181" s="183">
        <f t="shared" si="229"/>
        <v>5.2454152071189215</v>
      </c>
      <c r="AO181" s="183">
        <f t="shared" si="229"/>
        <v>3.1920093765600672E-4</v>
      </c>
      <c r="AP181" s="183">
        <f t="shared" si="229"/>
        <v>0.52141920950235532</v>
      </c>
      <c r="AQ181" s="170"/>
      <c r="AR181" s="184">
        <f t="shared" si="216"/>
        <v>10.246609561602588</v>
      </c>
      <c r="AS181" s="184">
        <f t="shared" si="211"/>
        <v>7.5255080340428299E-2</v>
      </c>
      <c r="AT181" s="184">
        <f t="shared" si="211"/>
        <v>331.24130811937357</v>
      </c>
      <c r="AU181" s="184">
        <f t="shared" si="211"/>
        <v>27.965308608320392</v>
      </c>
      <c r="AV181" s="184">
        <f t="shared" si="211"/>
        <v>1.7187697920401691E-3</v>
      </c>
      <c r="AW181" s="170"/>
      <c r="AX181" s="172">
        <f t="shared" si="212"/>
        <v>1112590.8524252791</v>
      </c>
      <c r="AY181" s="172">
        <f t="shared" si="212"/>
        <v>8171.2993436430652</v>
      </c>
      <c r="AZ181" s="172">
        <f t="shared" si="212"/>
        <v>35966633.367199235</v>
      </c>
      <c r="BA181" s="172">
        <f t="shared" si="212"/>
        <v>3036511.380258047</v>
      </c>
      <c r="BB181" s="172">
        <f t="shared" si="212"/>
        <v>186.62637007413269</v>
      </c>
      <c r="BC181" s="170"/>
      <c r="BD181" s="325">
        <f>X181/$E163</f>
        <v>10.865085135979662</v>
      </c>
      <c r="BE181" s="325">
        <f>Y181/$E163</f>
        <v>0</v>
      </c>
      <c r="BF181" s="325">
        <f>Z181/$E163</f>
        <v>328.1061621678885</v>
      </c>
      <c r="BG181" s="325">
        <f>AA181/$E163</f>
        <v>22.719893401201467</v>
      </c>
      <c r="BH181" s="325">
        <f>AB181/$E163</f>
        <v>1.3995688543841623E-3</v>
      </c>
      <c r="BI181" s="326"/>
      <c r="BJ181" s="320">
        <f t="shared" si="213"/>
        <v>1179745.7744864239</v>
      </c>
      <c r="BK181" s="320">
        <f t="shared" si="213"/>
        <v>0</v>
      </c>
      <c r="BL181" s="320">
        <f t="shared" si="213"/>
        <v>35626214.9404338</v>
      </c>
      <c r="BM181" s="320">
        <f t="shared" si="213"/>
        <v>2466957.0372798219</v>
      </c>
      <c r="BN181" s="320">
        <f t="shared" si="213"/>
        <v>151.9670965664867</v>
      </c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</row>
    <row r="182" spans="1:76" x14ac:dyDescent="0.35">
      <c r="A182" s="168">
        <v>16</v>
      </c>
      <c r="B182" s="169">
        <f t="shared" si="204"/>
        <v>5.9644756181042355E-2</v>
      </c>
      <c r="C182" s="170"/>
      <c r="D182" s="154">
        <f t="shared" si="205"/>
        <v>-76746.759622422091</v>
      </c>
      <c r="E182" s="154">
        <f t="shared" si="205"/>
        <v>7015.1549543985138</v>
      </c>
      <c r="F182" s="154">
        <f t="shared" si="205"/>
        <v>-181045.63086680361</v>
      </c>
      <c r="G182" s="154">
        <f t="shared" si="214"/>
        <v>-16113.061147145519</v>
      </c>
      <c r="H182" s="154">
        <f t="shared" si="206"/>
        <v>465494.27987932006</v>
      </c>
      <c r="I182" s="154">
        <f t="shared" si="206"/>
        <v>28.309320779017636</v>
      </c>
      <c r="J182" s="154">
        <f t="shared" si="206"/>
        <v>-47136.824514159831</v>
      </c>
      <c r="K182" s="170"/>
      <c r="L182" s="171">
        <f t="shared" si="207"/>
        <v>-0.1917823567964069</v>
      </c>
      <c r="M182" s="171">
        <f t="shared" si="207"/>
        <v>0.37649474744353273</v>
      </c>
      <c r="N182" s="171">
        <f t="shared" si="207"/>
        <v>-1.1569450180707791E-2</v>
      </c>
      <c r="O182" s="171">
        <f t="shared" si="208"/>
        <v>0.17829131151926045</v>
      </c>
      <c r="P182" s="171">
        <f t="shared" si="208"/>
        <v>0.17708731721265333</v>
      </c>
      <c r="Q182" s="170"/>
      <c r="R182" s="154">
        <v>163808.28278050161</v>
      </c>
      <c r="S182" s="154">
        <v>7627.1591360699167</v>
      </c>
      <c r="T182" s="154">
        <v>6405599.6131957555</v>
      </c>
      <c r="U182" s="154">
        <v>1068731.5489964187</v>
      </c>
      <c r="V182" s="154">
        <v>65.437462767982311</v>
      </c>
      <c r="W182" s="170"/>
      <c r="X182" s="154">
        <v>195223.82131491849</v>
      </c>
      <c r="Y182" s="154">
        <v>4755.5737834236397</v>
      </c>
      <c r="Z182" s="154">
        <v>6479708.8787981849</v>
      </c>
      <c r="AA182" s="154">
        <v>878185.99946383643</v>
      </c>
      <c r="AB182" s="154">
        <v>53.849318041197435</v>
      </c>
      <c r="AC182" s="170"/>
      <c r="AD182" s="154">
        <f t="shared" si="209"/>
        <v>-31415.538534416875</v>
      </c>
      <c r="AE182" s="154">
        <f t="shared" si="209"/>
        <v>2871.585352646277</v>
      </c>
      <c r="AF182" s="154">
        <f t="shared" si="209"/>
        <v>-74109.265602429397</v>
      </c>
      <c r="AG182" s="154">
        <f t="shared" si="209"/>
        <v>190545.54953258228</v>
      </c>
      <c r="AH182" s="154">
        <f t="shared" si="209"/>
        <v>11.588144726784876</v>
      </c>
      <c r="AI182" s="154">
        <v>-19295</v>
      </c>
      <c r="AJ182" s="170"/>
      <c r="AK182" s="183">
        <f t="shared" ref="AK182:AP182" si="230">AD182/$E163</f>
        <v>-1.2867310478974761</v>
      </c>
      <c r="AL182" s="183">
        <f t="shared" si="230"/>
        <v>0.1176156196045987</v>
      </c>
      <c r="AM182" s="183">
        <f t="shared" si="230"/>
        <v>-3.0353989597554536</v>
      </c>
      <c r="AN182" s="183">
        <f t="shared" si="230"/>
        <v>7.8044460181274742</v>
      </c>
      <c r="AO182" s="183">
        <f t="shared" si="230"/>
        <v>4.7463218213331457E-4</v>
      </c>
      <c r="AP182" s="183">
        <f t="shared" si="230"/>
        <v>-0.79029285275445427</v>
      </c>
      <c r="AQ182" s="170"/>
      <c r="AR182" s="184">
        <f t="shared" si="216"/>
        <v>6.7093296244317679</v>
      </c>
      <c r="AS182" s="184">
        <f t="shared" si="211"/>
        <v>0.3123964421900437</v>
      </c>
      <c r="AT182" s="184">
        <f t="shared" si="211"/>
        <v>262.36328540633855</v>
      </c>
      <c r="AU182" s="184">
        <f t="shared" si="211"/>
        <v>43.773563342060974</v>
      </c>
      <c r="AV182" s="184">
        <f t="shared" si="211"/>
        <v>2.680215554699255E-3</v>
      </c>
      <c r="AW182" s="170"/>
      <c r="AX182" s="172">
        <f t="shared" si="212"/>
        <v>400176.32958747726</v>
      </c>
      <c r="AY182" s="172">
        <f t="shared" si="212"/>
        <v>18632.809626250251</v>
      </c>
      <c r="AZ182" s="172">
        <f t="shared" si="212"/>
        <v>15648594.188918291</v>
      </c>
      <c r="BA182" s="172">
        <f t="shared" si="212"/>
        <v>2610863.5127126407</v>
      </c>
      <c r="BB182" s="172">
        <f t="shared" si="212"/>
        <v>159.86080327267425</v>
      </c>
      <c r="BC182" s="170"/>
      <c r="BD182" s="325">
        <f>X182/$E163</f>
        <v>7.9960606723292438</v>
      </c>
      <c r="BE182" s="325">
        <f>Y182/$E163</f>
        <v>0.19478082258544499</v>
      </c>
      <c r="BF182" s="325">
        <f>Z182/$E163</f>
        <v>265.39868436609402</v>
      </c>
      <c r="BG182" s="325">
        <f>AA182/$E163</f>
        <v>35.969117323933503</v>
      </c>
      <c r="BH182" s="325">
        <f>AB182/$E163</f>
        <v>2.2055833725659404E-3</v>
      </c>
      <c r="BI182" s="326"/>
      <c r="BJ182" s="320">
        <f t="shared" si="213"/>
        <v>476923.08920989936</v>
      </c>
      <c r="BK182" s="320">
        <f t="shared" si="213"/>
        <v>11617.654671851733</v>
      </c>
      <c r="BL182" s="320">
        <f t="shared" si="213"/>
        <v>15829639.819785096</v>
      </c>
      <c r="BM182" s="320">
        <f t="shared" si="213"/>
        <v>2145369.2328333203</v>
      </c>
      <c r="BN182" s="320">
        <f t="shared" si="213"/>
        <v>131.55148249365661</v>
      </c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</row>
    <row r="183" spans="1:76" x14ac:dyDescent="0.35">
      <c r="A183" s="173" t="s">
        <v>130</v>
      </c>
      <c r="B183" s="174">
        <f>SUM(B167:B182)</f>
        <v>6.0037434750000012</v>
      </c>
      <c r="C183" s="166"/>
      <c r="D183" s="175">
        <f>SUM(D167:D182)</f>
        <v>-6658635.5780528318</v>
      </c>
      <c r="E183" s="175">
        <f t="shared" ref="E183:J183" si="231">SUM(E167:E182)</f>
        <v>781206.69239246019</v>
      </c>
      <c r="F183" s="175">
        <f t="shared" si="231"/>
        <v>21835240.900057074</v>
      </c>
      <c r="G183" s="175">
        <f t="shared" si="231"/>
        <v>1943336.440105079</v>
      </c>
      <c r="H183" s="175">
        <f t="shared" si="231"/>
        <v>52037360.063623428</v>
      </c>
      <c r="I183" s="175">
        <f t="shared" si="231"/>
        <v>3127.8027645723623</v>
      </c>
      <c r="J183" s="175">
        <f t="shared" si="231"/>
        <v>3013902.1491210493</v>
      </c>
      <c r="K183" s="166"/>
      <c r="L183" s="176">
        <f t="shared" si="207"/>
        <v>-0.15708462922564717</v>
      </c>
      <c r="M183" s="176">
        <f t="shared" si="207"/>
        <v>0.98300105560629891</v>
      </c>
      <c r="N183" s="176">
        <f t="shared" si="207"/>
        <v>1.4815478330999308E-2</v>
      </c>
      <c r="O183" s="176">
        <f t="shared" si="208"/>
        <v>0.32095374322079717</v>
      </c>
      <c r="P183" s="176">
        <f t="shared" si="208"/>
        <v>0.31565325726322135</v>
      </c>
      <c r="Q183" s="166"/>
      <c r="R183" s="185"/>
      <c r="S183" s="185"/>
      <c r="T183" s="185"/>
      <c r="U183" s="185"/>
      <c r="V183" s="186"/>
      <c r="W183" s="166"/>
      <c r="X183" s="185"/>
      <c r="Y183" s="185"/>
      <c r="Z183" s="185"/>
      <c r="AA183" s="185"/>
      <c r="AB183" s="185"/>
      <c r="AC183" s="166"/>
      <c r="AD183" s="185"/>
      <c r="AE183" s="185"/>
      <c r="AF183" s="185"/>
      <c r="AG183" s="185"/>
      <c r="AH183" s="185"/>
      <c r="AI183" s="186"/>
      <c r="AJ183" s="166"/>
      <c r="AK183" s="185"/>
      <c r="AL183" s="185"/>
      <c r="AM183" s="185"/>
      <c r="AN183" s="185"/>
      <c r="AO183" s="185"/>
      <c r="AP183" s="185"/>
      <c r="AQ183" s="166"/>
      <c r="AR183" s="187"/>
      <c r="AS183" s="187"/>
      <c r="AT183" s="187"/>
      <c r="AU183" s="187"/>
      <c r="AV183" s="187"/>
      <c r="AW183" s="166"/>
      <c r="AX183" s="188">
        <f>SUM(AX167:AX182)</f>
        <v>42388842.31306877</v>
      </c>
      <c r="AY183" s="188">
        <f t="shared" ref="AY183:BB183" si="232">SUM(AY167:AY182)</f>
        <v>794716.02592595865</v>
      </c>
      <c r="AZ183" s="188">
        <f t="shared" si="232"/>
        <v>1473812752.5973899</v>
      </c>
      <c r="BA183" s="188">
        <f t="shared" si="232"/>
        <v>162133519.74469668</v>
      </c>
      <c r="BB183" s="188">
        <f t="shared" si="232"/>
        <v>9908.9830141182629</v>
      </c>
      <c r="BC183" s="166"/>
      <c r="BD183" s="327"/>
      <c r="BE183" s="327"/>
      <c r="BF183" s="327"/>
      <c r="BG183" s="327"/>
      <c r="BH183" s="327"/>
      <c r="BI183" s="324"/>
      <c r="BJ183" s="328">
        <f>SUM(BJ167:BJ182)</f>
        <v>49047477.891121611</v>
      </c>
      <c r="BK183" s="328">
        <f t="shared" ref="BK183:BN183" si="233">SUM(BK167:BK182)</f>
        <v>13509.33353349826</v>
      </c>
      <c r="BL183" s="328">
        <f t="shared" si="233"/>
        <v>1451977511.6973329</v>
      </c>
      <c r="BM183" s="328">
        <f t="shared" si="233"/>
        <v>110096159.68107325</v>
      </c>
      <c r="BN183" s="328">
        <f t="shared" si="233"/>
        <v>6781.1802495458987</v>
      </c>
      <c r="BO183" s="83"/>
      <c r="BP183" s="83"/>
      <c r="BQ183" s="83"/>
      <c r="BR183" s="83"/>
      <c r="BS183" s="83"/>
      <c r="BT183" s="83"/>
      <c r="BU183" s="83"/>
      <c r="BV183" s="83"/>
      <c r="BW183" s="83"/>
      <c r="BX183" s="83"/>
    </row>
    <row r="184" spans="1:76" x14ac:dyDescent="0.35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</row>
    <row r="185" spans="1:76" x14ac:dyDescent="0.35">
      <c r="A185" s="83"/>
      <c r="B185" s="83"/>
      <c r="C185" s="83"/>
      <c r="D185" s="83"/>
      <c r="E185" s="83">
        <f>F214</f>
        <v>2550</v>
      </c>
      <c r="F185" s="83" t="s">
        <v>147</v>
      </c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</row>
    <row r="186" spans="1:76" ht="15.5" x14ac:dyDescent="0.35">
      <c r="A186" s="155" t="s">
        <v>148</v>
      </c>
      <c r="B186" s="83"/>
      <c r="C186" s="83"/>
      <c r="D186" s="178"/>
      <c r="E186" s="186">
        <f>F216</f>
        <v>52046</v>
      </c>
      <c r="F186" s="190" t="s">
        <v>149</v>
      </c>
      <c r="G186" s="190"/>
      <c r="H186" s="178"/>
      <c r="I186" s="178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5"/>
      <c r="AT186" s="185"/>
      <c r="AU186" s="185"/>
      <c r="AV186" s="185"/>
      <c r="AW186" s="185"/>
      <c r="AX186" s="185"/>
      <c r="AY186" s="185"/>
      <c r="AZ186" s="185"/>
      <c r="BA186" s="185"/>
      <c r="BB186" s="185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  <c r="BV186" s="83"/>
      <c r="BW186" s="83"/>
      <c r="BX186" s="83"/>
    </row>
    <row r="187" spans="1:76" x14ac:dyDescent="0.35">
      <c r="A187" s="157"/>
      <c r="B187" s="158" t="s">
        <v>105</v>
      </c>
      <c r="C187" s="159"/>
      <c r="D187" s="158" t="s">
        <v>106</v>
      </c>
      <c r="E187" s="158"/>
      <c r="F187" s="158"/>
      <c r="G187" s="158"/>
      <c r="H187" s="158"/>
      <c r="I187" s="158"/>
      <c r="J187" s="158"/>
      <c r="K187" s="191"/>
      <c r="L187" s="158" t="s">
        <v>106</v>
      </c>
      <c r="M187" s="158"/>
      <c r="N187" s="158"/>
      <c r="O187" s="158"/>
      <c r="P187" s="158"/>
      <c r="Q187" s="191"/>
      <c r="R187" s="158" t="str">
        <f>R164</f>
        <v xml:space="preserve"> 2019 Energy Code Consumption </v>
      </c>
      <c r="S187" s="158"/>
      <c r="T187" s="158"/>
      <c r="U187" s="158"/>
      <c r="V187" s="157"/>
      <c r="W187" s="191"/>
      <c r="X187" s="158" t="str">
        <f>X164</f>
        <v>2022 Energy Code Consumption</v>
      </c>
      <c r="Y187" s="158"/>
      <c r="Z187" s="157"/>
      <c r="AA187" s="157"/>
      <c r="AB187" s="157"/>
      <c r="AC187" s="191"/>
      <c r="AD187" s="157" t="s">
        <v>133</v>
      </c>
      <c r="AE187" s="157"/>
      <c r="AF187" s="157"/>
      <c r="AG187" s="157"/>
      <c r="AH187" s="157"/>
      <c r="AI187" s="192"/>
      <c r="AJ187" s="191"/>
      <c r="AK187" s="158" t="s">
        <v>134</v>
      </c>
      <c r="AL187" s="158"/>
      <c r="AM187" s="158"/>
      <c r="AN187" s="158"/>
      <c r="AO187" s="158"/>
      <c r="AP187" s="158"/>
      <c r="AQ187" s="191"/>
      <c r="AR187" s="160" t="s">
        <v>614</v>
      </c>
      <c r="AS187" s="160"/>
      <c r="AT187" s="160"/>
      <c r="AU187" s="160"/>
      <c r="AV187" s="160"/>
      <c r="AW187" s="191"/>
      <c r="AX187" s="160" t="s">
        <v>613</v>
      </c>
      <c r="AY187" s="160"/>
      <c r="AZ187" s="160"/>
      <c r="BA187" s="160"/>
      <c r="BB187" s="160"/>
      <c r="BC187" s="159"/>
      <c r="BD187" s="316" t="s">
        <v>135</v>
      </c>
      <c r="BE187" s="316"/>
      <c r="BF187" s="316"/>
      <c r="BG187" s="316"/>
      <c r="BH187" s="316"/>
      <c r="BI187" s="322"/>
      <c r="BJ187" s="316" t="s">
        <v>108</v>
      </c>
      <c r="BK187" s="316"/>
      <c r="BL187" s="316"/>
      <c r="BM187" s="316"/>
      <c r="BN187" s="316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</row>
    <row r="188" spans="1:76" ht="16.5" x14ac:dyDescent="0.45">
      <c r="A188" s="83"/>
      <c r="B188" s="161" t="s">
        <v>109</v>
      </c>
      <c r="C188" s="162"/>
      <c r="D188" s="163" t="s">
        <v>110</v>
      </c>
      <c r="E188" s="163" t="s">
        <v>111</v>
      </c>
      <c r="F188" s="163" t="s">
        <v>8</v>
      </c>
      <c r="G188" s="163" t="s">
        <v>8</v>
      </c>
      <c r="H188" s="163" t="s">
        <v>112</v>
      </c>
      <c r="I188" s="163" t="s">
        <v>113</v>
      </c>
      <c r="J188" s="163" t="s">
        <v>114</v>
      </c>
      <c r="K188" s="162"/>
      <c r="L188" s="163" t="s">
        <v>110</v>
      </c>
      <c r="M188" s="163" t="s">
        <v>111</v>
      </c>
      <c r="N188" s="163" t="s">
        <v>8</v>
      </c>
      <c r="O188" s="163" t="s">
        <v>112</v>
      </c>
      <c r="P188" s="163" t="s">
        <v>113</v>
      </c>
      <c r="Q188" s="162"/>
      <c r="R188" s="163" t="s">
        <v>110</v>
      </c>
      <c r="S188" s="163" t="s">
        <v>111</v>
      </c>
      <c r="T188" s="163" t="s">
        <v>8</v>
      </c>
      <c r="U188" s="163" t="s">
        <v>112</v>
      </c>
      <c r="V188" s="163" t="s">
        <v>113</v>
      </c>
      <c r="W188" s="162"/>
      <c r="X188" s="163" t="s">
        <v>110</v>
      </c>
      <c r="Y188" s="163" t="s">
        <v>111</v>
      </c>
      <c r="Z188" s="163" t="s">
        <v>8</v>
      </c>
      <c r="AA188" s="163" t="s">
        <v>112</v>
      </c>
      <c r="AB188" s="163" t="s">
        <v>113</v>
      </c>
      <c r="AC188" s="162"/>
      <c r="AD188" s="163" t="s">
        <v>110</v>
      </c>
      <c r="AE188" s="163" t="s">
        <v>111</v>
      </c>
      <c r="AF188" s="163" t="s">
        <v>8</v>
      </c>
      <c r="AG188" s="163" t="s">
        <v>112</v>
      </c>
      <c r="AH188" s="163" t="s">
        <v>113</v>
      </c>
      <c r="AI188" s="181" t="s">
        <v>114</v>
      </c>
      <c r="AJ188" s="162"/>
      <c r="AK188" s="163" t="s">
        <v>110</v>
      </c>
      <c r="AL188" s="163" t="s">
        <v>111</v>
      </c>
      <c r="AM188" s="163" t="s">
        <v>8</v>
      </c>
      <c r="AN188" s="163" t="s">
        <v>112</v>
      </c>
      <c r="AO188" s="163" t="s">
        <v>113</v>
      </c>
      <c r="AP188" s="163" t="s">
        <v>114</v>
      </c>
      <c r="AQ188" s="162"/>
      <c r="AR188" s="164" t="s">
        <v>110</v>
      </c>
      <c r="AS188" s="164" t="s">
        <v>111</v>
      </c>
      <c r="AT188" s="164" t="s">
        <v>8</v>
      </c>
      <c r="AU188" s="164" t="s">
        <v>112</v>
      </c>
      <c r="AV188" s="164" t="s">
        <v>115</v>
      </c>
      <c r="AW188" s="162"/>
      <c r="AX188" s="164" t="s">
        <v>110</v>
      </c>
      <c r="AY188" s="164" t="s">
        <v>111</v>
      </c>
      <c r="AZ188" s="164" t="s">
        <v>8</v>
      </c>
      <c r="BA188" s="164" t="s">
        <v>112</v>
      </c>
      <c r="BB188" s="164" t="s">
        <v>115</v>
      </c>
      <c r="BC188" s="162"/>
      <c r="BD188" s="317" t="s">
        <v>110</v>
      </c>
      <c r="BE188" s="317" t="s">
        <v>111</v>
      </c>
      <c r="BF188" s="317" t="s">
        <v>8</v>
      </c>
      <c r="BG188" s="317" t="s">
        <v>112</v>
      </c>
      <c r="BH188" s="317" t="s">
        <v>116</v>
      </c>
      <c r="BI188" s="323"/>
      <c r="BJ188" s="317" t="s">
        <v>110</v>
      </c>
      <c r="BK188" s="317" t="s">
        <v>111</v>
      </c>
      <c r="BL188" s="317" t="s">
        <v>8</v>
      </c>
      <c r="BM188" s="317" t="s">
        <v>112</v>
      </c>
      <c r="BN188" s="317" t="s">
        <v>116</v>
      </c>
      <c r="BO188" s="83"/>
      <c r="BP188" s="83"/>
      <c r="BQ188" s="83"/>
      <c r="BR188" s="83"/>
      <c r="BS188" s="83"/>
      <c r="BT188" s="83"/>
      <c r="BU188" s="83"/>
      <c r="BV188" s="83"/>
      <c r="BW188" s="83"/>
      <c r="BX188" s="83"/>
    </row>
    <row r="189" spans="1:76" x14ac:dyDescent="0.35">
      <c r="A189" s="153" t="s">
        <v>96</v>
      </c>
      <c r="B189" s="165" t="s">
        <v>118</v>
      </c>
      <c r="C189" s="166"/>
      <c r="D189" s="165" t="s">
        <v>7</v>
      </c>
      <c r="E189" s="165" t="s">
        <v>119</v>
      </c>
      <c r="F189" s="165" t="s">
        <v>120</v>
      </c>
      <c r="G189" s="165" t="s">
        <v>121</v>
      </c>
      <c r="H189" s="165" t="s">
        <v>120</v>
      </c>
      <c r="I189" s="165" t="s">
        <v>122</v>
      </c>
      <c r="J189" s="165" t="s">
        <v>121</v>
      </c>
      <c r="K189" s="166"/>
      <c r="L189" s="165" t="s">
        <v>123</v>
      </c>
      <c r="M189" s="165" t="s">
        <v>123</v>
      </c>
      <c r="N189" s="165" t="s">
        <v>123</v>
      </c>
      <c r="O189" s="165" t="s">
        <v>123</v>
      </c>
      <c r="P189" s="165" t="s">
        <v>123</v>
      </c>
      <c r="Q189" s="166"/>
      <c r="R189" s="165" t="s">
        <v>7</v>
      </c>
      <c r="S189" s="165" t="s">
        <v>119</v>
      </c>
      <c r="T189" s="165" t="s">
        <v>120</v>
      </c>
      <c r="U189" s="165" t="s">
        <v>120</v>
      </c>
      <c r="V189" s="165" t="s">
        <v>122</v>
      </c>
      <c r="W189" s="166"/>
      <c r="X189" s="165" t="s">
        <v>7</v>
      </c>
      <c r="Y189" s="165" t="s">
        <v>119</v>
      </c>
      <c r="Z189" s="165" t="s">
        <v>120</v>
      </c>
      <c r="AA189" s="165" t="s">
        <v>120</v>
      </c>
      <c r="AB189" s="165" t="s">
        <v>122</v>
      </c>
      <c r="AC189" s="166"/>
      <c r="AD189" s="165" t="s">
        <v>7</v>
      </c>
      <c r="AE189" s="165" t="s">
        <v>119</v>
      </c>
      <c r="AF189" s="165" t="s">
        <v>120</v>
      </c>
      <c r="AG189" s="165" t="s">
        <v>120</v>
      </c>
      <c r="AH189" s="165" t="s">
        <v>122</v>
      </c>
      <c r="AI189" s="182" t="s">
        <v>121</v>
      </c>
      <c r="AJ189" s="166"/>
      <c r="AK189" s="165" t="s">
        <v>136</v>
      </c>
      <c r="AL189" s="165" t="s">
        <v>137</v>
      </c>
      <c r="AM189" s="165" t="s">
        <v>138</v>
      </c>
      <c r="AN189" s="165" t="s">
        <v>138</v>
      </c>
      <c r="AO189" s="165" t="s">
        <v>139</v>
      </c>
      <c r="AP189" s="165" t="s">
        <v>140</v>
      </c>
      <c r="AQ189" s="166"/>
      <c r="AR189" s="167" t="s">
        <v>136</v>
      </c>
      <c r="AS189" s="167" t="s">
        <v>137</v>
      </c>
      <c r="AT189" s="167" t="s">
        <v>138</v>
      </c>
      <c r="AU189" s="167" t="s">
        <v>138</v>
      </c>
      <c r="AV189" s="167" t="s">
        <v>139</v>
      </c>
      <c r="AW189" s="166"/>
      <c r="AX189" s="167" t="s">
        <v>7</v>
      </c>
      <c r="AY189" s="167" t="s">
        <v>119</v>
      </c>
      <c r="AZ189" s="167" t="s">
        <v>120</v>
      </c>
      <c r="BA189" s="167" t="s">
        <v>120</v>
      </c>
      <c r="BB189" s="167" t="s">
        <v>122</v>
      </c>
      <c r="BC189" s="166"/>
      <c r="BD189" s="319" t="s">
        <v>7</v>
      </c>
      <c r="BE189" s="319" t="s">
        <v>119</v>
      </c>
      <c r="BF189" s="319" t="s">
        <v>120</v>
      </c>
      <c r="BG189" s="319" t="s">
        <v>120</v>
      </c>
      <c r="BH189" s="319" t="s">
        <v>122</v>
      </c>
      <c r="BI189" s="324"/>
      <c r="BJ189" s="319" t="s">
        <v>7</v>
      </c>
      <c r="BK189" s="319" t="s">
        <v>119</v>
      </c>
      <c r="BL189" s="319" t="s">
        <v>120</v>
      </c>
      <c r="BM189" s="319" t="s">
        <v>120</v>
      </c>
      <c r="BN189" s="319" t="s">
        <v>122</v>
      </c>
      <c r="BO189" s="83"/>
      <c r="BP189" s="83"/>
      <c r="BQ189" s="83"/>
      <c r="BR189" s="83"/>
      <c r="BS189" s="83"/>
      <c r="BT189" s="83"/>
      <c r="BU189" s="83"/>
      <c r="BV189" s="83"/>
      <c r="BW189" s="83"/>
      <c r="BX189" s="83"/>
    </row>
    <row r="190" spans="1:76" x14ac:dyDescent="0.35">
      <c r="A190" s="168">
        <v>1</v>
      </c>
      <c r="B190" s="169">
        <f t="shared" ref="B190:B205" si="234">L222</f>
        <v>7.7259840843183408E-2</v>
      </c>
      <c r="C190" s="170"/>
      <c r="D190" s="154">
        <f t="shared" ref="D190:F205" si="235">AK190*$B190*10^6</f>
        <v>-3701.6252874953134</v>
      </c>
      <c r="E190" s="154">
        <f t="shared" si="235"/>
        <v>464.98310312410416</v>
      </c>
      <c r="F190" s="154">
        <f t="shared" si="235"/>
        <v>25959.407225346618</v>
      </c>
      <c r="G190" s="154">
        <f>F190*0.089</f>
        <v>2310.387243055849</v>
      </c>
      <c r="H190" s="154">
        <f t="shared" ref="H190:J205" si="236">AN190*$B190*10^6</f>
        <v>33311.353625283125</v>
      </c>
      <c r="I190" s="154">
        <f t="shared" si="236"/>
        <v>1.9902661780551874</v>
      </c>
      <c r="J190" s="154">
        <f t="shared" si="236"/>
        <v>3813.782425205869</v>
      </c>
      <c r="K190" s="170"/>
      <c r="L190" s="171">
        <f t="shared" ref="L190:N206" si="237">IF(AX190=0,0,D190/AX190)</f>
        <v>-3.5901959843929285E-2</v>
      </c>
      <c r="M190" s="171">
        <f t="shared" si="237"/>
        <v>2.8115946287883629E-2</v>
      </c>
      <c r="N190" s="171">
        <f t="shared" si="237"/>
        <v>3.8715733113843052E-3</v>
      </c>
      <c r="O190" s="171">
        <f t="shared" ref="O190:P206" si="238">IF(BA190=0,0,H190/BA190)</f>
        <v>1.9307874438190317E-2</v>
      </c>
      <c r="P190" s="171">
        <f t="shared" si="238"/>
        <v>1.9122021058149846E-2</v>
      </c>
      <c r="Q190" s="170"/>
      <c r="R190" s="154">
        <v>69455.692342785071</v>
      </c>
      <c r="S190" s="154">
        <v>11140.841991105521</v>
      </c>
      <c r="T190" s="154">
        <v>4516903.7058876762</v>
      </c>
      <c r="U190" s="154">
        <v>1162228.0778712432</v>
      </c>
      <c r="V190" s="154">
        <v>70.114996858909905</v>
      </c>
      <c r="W190" s="170"/>
      <c r="X190" s="154">
        <v>71949.287820208046</v>
      </c>
      <c r="Y190" s="154">
        <v>10827.606676081799</v>
      </c>
      <c r="Z190" s="154">
        <v>4499416.1820498686</v>
      </c>
      <c r="AA190" s="154">
        <v>1139787.924075166</v>
      </c>
      <c r="AB190" s="154">
        <v>68.774256412481719</v>
      </c>
      <c r="AC190" s="170"/>
      <c r="AD190" s="154">
        <f t="shared" ref="AD190:AH205" si="239">R190-X190</f>
        <v>-2493.5954774229758</v>
      </c>
      <c r="AE190" s="154">
        <f t="shared" si="239"/>
        <v>313.23531502372134</v>
      </c>
      <c r="AF190" s="154">
        <f t="shared" si="239"/>
        <v>17487.523837807588</v>
      </c>
      <c r="AG190" s="154">
        <f t="shared" si="239"/>
        <v>22440.15379607724</v>
      </c>
      <c r="AH190" s="154">
        <f t="shared" si="239"/>
        <v>1.3407404464281854</v>
      </c>
      <c r="AI190" s="154">
        <v>2569.15</v>
      </c>
      <c r="AJ190" s="170"/>
      <c r="AK190" s="183">
        <f t="shared" ref="AK190:AP190" si="240">AD190/$E186</f>
        <v>-4.7911376040867232E-2</v>
      </c>
      <c r="AL190" s="183">
        <f t="shared" si="240"/>
        <v>6.0184320605564563E-3</v>
      </c>
      <c r="AM190" s="183">
        <f t="shared" si="240"/>
        <v>0.33600130342019729</v>
      </c>
      <c r="AN190" s="183">
        <f t="shared" si="240"/>
        <v>0.43116000837868884</v>
      </c>
      <c r="AO190" s="183">
        <f t="shared" si="240"/>
        <v>2.5760681828155582E-5</v>
      </c>
      <c r="AP190" s="183">
        <f t="shared" si="240"/>
        <v>4.9363063443876573E-2</v>
      </c>
      <c r="AQ190" s="170"/>
      <c r="AR190" s="184">
        <f>R190/$E$186</f>
        <v>1.3345058667867862</v>
      </c>
      <c r="AS190" s="184">
        <f t="shared" ref="AS190:AV205" si="241">S190/$E$186</f>
        <v>0.21405760271885488</v>
      </c>
      <c r="AT190" s="184">
        <f t="shared" si="241"/>
        <v>86.786759902541519</v>
      </c>
      <c r="AU190" s="184">
        <f t="shared" si="241"/>
        <v>22.330785802391024</v>
      </c>
      <c r="AV190" s="184">
        <f t="shared" si="241"/>
        <v>1.3471735937230509E-3</v>
      </c>
      <c r="AW190" s="170"/>
      <c r="AX190" s="172">
        <f t="shared" ref="AX190:BB205" si="242">AR190*$B190*10^6</f>
        <v>103103.71087224162</v>
      </c>
      <c r="AY190" s="172">
        <f t="shared" si="242"/>
        <v>16538.05631733211</v>
      </c>
      <c r="AZ190" s="172">
        <f t="shared" si="242"/>
        <v>6705131.257365929</v>
      </c>
      <c r="BA190" s="172">
        <f t="shared" si="242"/>
        <v>1725272.9569959501</v>
      </c>
      <c r="BB190" s="172">
        <f t="shared" si="242"/>
        <v>104.08241743918234</v>
      </c>
      <c r="BC190" s="170"/>
      <c r="BD190" s="325">
        <f>X190/$E186</f>
        <v>1.3824172428276533</v>
      </c>
      <c r="BE190" s="325">
        <f>Y190/$E186</f>
        <v>0.20803917065829841</v>
      </c>
      <c r="BF190" s="325">
        <f>Z190/$E186</f>
        <v>86.450758599121329</v>
      </c>
      <c r="BG190" s="325">
        <f>AA190/$E186</f>
        <v>21.899625794012334</v>
      </c>
      <c r="BH190" s="325">
        <f>AB190/$E186</f>
        <v>1.3214129118948952E-3</v>
      </c>
      <c r="BI190" s="326"/>
      <c r="BJ190" s="320">
        <f t="shared" ref="BJ190:BN205" si="243">BD190*$B190*10^6</f>
        <v>106805.33615973694</v>
      </c>
      <c r="BK190" s="320">
        <f t="shared" si="243"/>
        <v>16073.073214208005</v>
      </c>
      <c r="BL190" s="320">
        <f t="shared" si="243"/>
        <v>6679171.8501405828</v>
      </c>
      <c r="BM190" s="320">
        <f t="shared" si="243"/>
        <v>1691961.603370667</v>
      </c>
      <c r="BN190" s="320">
        <f t="shared" si="243"/>
        <v>102.09215126112714</v>
      </c>
      <c r="BO190" s="83"/>
      <c r="BP190" s="83"/>
      <c r="BQ190" s="83"/>
      <c r="BR190" s="83"/>
      <c r="BS190" s="83"/>
      <c r="BT190" s="83"/>
      <c r="BU190" s="83"/>
      <c r="BV190" s="83"/>
      <c r="BW190" s="83"/>
      <c r="BX190" s="83"/>
    </row>
    <row r="191" spans="1:76" x14ac:dyDescent="0.35">
      <c r="A191" s="168">
        <v>2</v>
      </c>
      <c r="B191" s="169">
        <f t="shared" si="234"/>
        <v>0.45914938089666185</v>
      </c>
      <c r="C191" s="170"/>
      <c r="D191" s="154">
        <f t="shared" si="235"/>
        <v>-13918.300445427216</v>
      </c>
      <c r="E191" s="154">
        <f t="shared" si="235"/>
        <v>1605.6589565747888</v>
      </c>
      <c r="F191" s="154">
        <f t="shared" si="235"/>
        <v>38996.087227355129</v>
      </c>
      <c r="G191" s="154">
        <f t="shared" ref="G191:G205" si="244">F191*0.089</f>
        <v>3470.6517632346063</v>
      </c>
      <c r="H191" s="154">
        <f t="shared" si="236"/>
        <v>100853.39616903283</v>
      </c>
      <c r="I191" s="154">
        <f t="shared" si="236"/>
        <v>5.9994492970305044</v>
      </c>
      <c r="J191" s="154">
        <f t="shared" si="236"/>
        <v>22665.020019418567</v>
      </c>
      <c r="K191" s="170"/>
      <c r="L191" s="171">
        <f t="shared" si="237"/>
        <v>-2.2620918387199578E-2</v>
      </c>
      <c r="M191" s="171">
        <f t="shared" si="237"/>
        <v>3.0544566372960619E-2</v>
      </c>
      <c r="N191" s="171">
        <f t="shared" si="237"/>
        <v>1.3099705521227036E-3</v>
      </c>
      <c r="O191" s="171">
        <f t="shared" si="238"/>
        <v>1.6892436628648463E-2</v>
      </c>
      <c r="P191" s="171">
        <f t="shared" si="238"/>
        <v>1.6628293951942076E-2</v>
      </c>
      <c r="Q191" s="170"/>
      <c r="R191" s="154">
        <v>69744.397765045287</v>
      </c>
      <c r="S191" s="154">
        <v>5958.7161316364873</v>
      </c>
      <c r="T191" s="154">
        <v>3374371.1909125829</v>
      </c>
      <c r="U191" s="154">
        <v>676755.17175406043</v>
      </c>
      <c r="V191" s="154">
        <v>40.897527055898969</v>
      </c>
      <c r="W191" s="170"/>
      <c r="X191" s="154">
        <v>71322.080094852761</v>
      </c>
      <c r="Y191" s="154">
        <v>5776.7097312560854</v>
      </c>
      <c r="Z191" s="154">
        <v>3369950.8640205562</v>
      </c>
      <c r="AA191" s="154">
        <v>665323.12790209486</v>
      </c>
      <c r="AB191" s="154">
        <v>40.217470954105977</v>
      </c>
      <c r="AC191" s="170"/>
      <c r="AD191" s="154">
        <f t="shared" si="239"/>
        <v>-1577.6823298074742</v>
      </c>
      <c r="AE191" s="154">
        <f t="shared" si="239"/>
        <v>182.00640038040183</v>
      </c>
      <c r="AF191" s="154">
        <f t="shared" si="239"/>
        <v>4420.3268920267001</v>
      </c>
      <c r="AG191" s="154">
        <f t="shared" si="239"/>
        <v>11432.043851965573</v>
      </c>
      <c r="AH191" s="154">
        <f t="shared" si="239"/>
        <v>0.68005610179299225</v>
      </c>
      <c r="AI191" s="154">
        <v>2569.15</v>
      </c>
      <c r="AJ191" s="170"/>
      <c r="AK191" s="183">
        <f t="shared" ref="AK191:AP191" si="245">AD191/$E186</f>
        <v>-3.0313229255033512E-2</v>
      </c>
      <c r="AL191" s="183">
        <f t="shared" si="245"/>
        <v>3.4970295580909545E-3</v>
      </c>
      <c r="AM191" s="183">
        <f t="shared" si="245"/>
        <v>8.4931154978801451E-2</v>
      </c>
      <c r="AN191" s="183">
        <f t="shared" si="245"/>
        <v>0.21965268900521795</v>
      </c>
      <c r="AO191" s="183">
        <f t="shared" si="245"/>
        <v>1.3066443180897518E-5</v>
      </c>
      <c r="AP191" s="183">
        <f t="shared" si="245"/>
        <v>4.9363063443876573E-2</v>
      </c>
      <c r="AQ191" s="170"/>
      <c r="AR191" s="184">
        <f t="shared" ref="AR191:AR205" si="246">R191/$E$186</f>
        <v>1.3400529870700013</v>
      </c>
      <c r="AS191" s="184">
        <f t="shared" si="241"/>
        <v>0.11448941574062343</v>
      </c>
      <c r="AT191" s="184">
        <f t="shared" si="241"/>
        <v>64.834400163558826</v>
      </c>
      <c r="AU191" s="184">
        <f t="shared" si="241"/>
        <v>13.003019862315268</v>
      </c>
      <c r="AV191" s="184">
        <f t="shared" si="241"/>
        <v>7.8579577788684949E-4</v>
      </c>
      <c r="AW191" s="170"/>
      <c r="AX191" s="172">
        <f t="shared" si="242"/>
        <v>615284.49938191357</v>
      </c>
      <c r="AY191" s="172">
        <f t="shared" si="242"/>
        <v>52567.744356527779</v>
      </c>
      <c r="AZ191" s="172">
        <f t="shared" si="242"/>
        <v>29768674.695904467</v>
      </c>
      <c r="BA191" s="172">
        <f t="shared" si="242"/>
        <v>5970328.5195690533</v>
      </c>
      <c r="BB191" s="172">
        <f t="shared" si="242"/>
        <v>360.79764492795778</v>
      </c>
      <c r="BC191" s="170"/>
      <c r="BD191" s="325">
        <f>X191/$E186</f>
        <v>1.3703662163250347</v>
      </c>
      <c r="BE191" s="325">
        <f>Y191/$E186</f>
        <v>0.11099238618253247</v>
      </c>
      <c r="BF191" s="325">
        <f>Z191/$E186</f>
        <v>64.749469008580036</v>
      </c>
      <c r="BG191" s="325">
        <f>AA191/$E186</f>
        <v>12.783367173310049</v>
      </c>
      <c r="BH191" s="325">
        <f>AB191/$E186</f>
        <v>7.7272933470595197E-4</v>
      </c>
      <c r="BI191" s="326"/>
      <c r="BJ191" s="320">
        <f t="shared" si="243"/>
        <v>629202.79982734076</v>
      </c>
      <c r="BK191" s="320">
        <f t="shared" si="243"/>
        <v>50962.085399952994</v>
      </c>
      <c r="BL191" s="320">
        <f t="shared" si="243"/>
        <v>29729678.608677115</v>
      </c>
      <c r="BM191" s="320">
        <f t="shared" si="243"/>
        <v>5869475.1234000195</v>
      </c>
      <c r="BN191" s="320">
        <f t="shared" si="243"/>
        <v>354.79819563092724</v>
      </c>
      <c r="BO191" s="83"/>
      <c r="BP191" s="83"/>
      <c r="BQ191" s="83"/>
      <c r="BR191" s="83"/>
      <c r="BS191" s="83"/>
      <c r="BT191" s="83"/>
      <c r="BU191" s="83"/>
      <c r="BV191" s="83"/>
      <c r="BW191" s="83"/>
      <c r="BX191" s="83"/>
    </row>
    <row r="192" spans="1:76" x14ac:dyDescent="0.35">
      <c r="A192" s="168">
        <v>3</v>
      </c>
      <c r="B192" s="169">
        <f t="shared" si="234"/>
        <v>2.3818553338525268</v>
      </c>
      <c r="C192" s="170"/>
      <c r="D192" s="154">
        <f t="shared" si="235"/>
        <v>-55263.946965419556</v>
      </c>
      <c r="E192" s="154">
        <f t="shared" si="235"/>
        <v>7269.5930399831877</v>
      </c>
      <c r="F192" s="154">
        <f t="shared" si="235"/>
        <v>390092.59222062584</v>
      </c>
      <c r="G192" s="154">
        <f t="shared" si="244"/>
        <v>34718.240707635698</v>
      </c>
      <c r="H192" s="154">
        <f t="shared" si="236"/>
        <v>488726.61723071517</v>
      </c>
      <c r="I192" s="154">
        <f t="shared" si="236"/>
        <v>29.140696049306875</v>
      </c>
      <c r="J192" s="154">
        <f t="shared" si="236"/>
        <v>117575.67595909809</v>
      </c>
      <c r="K192" s="170"/>
      <c r="L192" s="171">
        <f t="shared" si="237"/>
        <v>-1.7646727588241776E-2</v>
      </c>
      <c r="M192" s="171">
        <f t="shared" si="237"/>
        <v>2.8732994138934195E-2</v>
      </c>
      <c r="N192" s="171">
        <f t="shared" si="237"/>
        <v>2.7089823528605194E-3</v>
      </c>
      <c r="O192" s="171">
        <f t="shared" si="238"/>
        <v>1.6818644576180871E-2</v>
      </c>
      <c r="P192" s="171">
        <f t="shared" si="238"/>
        <v>1.6590742659153005E-2</v>
      </c>
      <c r="Q192" s="170"/>
      <c r="R192" s="154">
        <v>68430.497064428462</v>
      </c>
      <c r="S192" s="154">
        <v>5528.422070022174</v>
      </c>
      <c r="T192" s="154">
        <v>3146541.792106322</v>
      </c>
      <c r="U192" s="154">
        <v>634960.89087646734</v>
      </c>
      <c r="V192" s="154">
        <v>38.380097274739306</v>
      </c>
      <c r="W192" s="170"/>
      <c r="X192" s="154">
        <v>69638.07140485241</v>
      </c>
      <c r="Y192" s="154">
        <v>5369.5739510866724</v>
      </c>
      <c r="Z192" s="154">
        <v>3138017.8659189679</v>
      </c>
      <c r="AA192" s="154">
        <v>624281.70933304087</v>
      </c>
      <c r="AB192" s="154">
        <v>37.743342957620847</v>
      </c>
      <c r="AC192" s="170"/>
      <c r="AD192" s="154">
        <f t="shared" si="239"/>
        <v>-1207.5743404239474</v>
      </c>
      <c r="AE192" s="154">
        <f t="shared" si="239"/>
        <v>158.84811893550159</v>
      </c>
      <c r="AF192" s="154">
        <f t="shared" si="239"/>
        <v>8523.92618735414</v>
      </c>
      <c r="AG192" s="154">
        <f t="shared" si="239"/>
        <v>10679.181543426472</v>
      </c>
      <c r="AH192" s="154">
        <f t="shared" si="239"/>
        <v>0.63675431711845931</v>
      </c>
      <c r="AI192" s="154">
        <v>2569.15</v>
      </c>
      <c r="AJ192" s="170"/>
      <c r="AK192" s="183">
        <f t="shared" ref="AK192:AP192" si="247">AD192/$E186</f>
        <v>-2.3202058571724003E-2</v>
      </c>
      <c r="AL192" s="183">
        <f t="shared" si="247"/>
        <v>3.0520716084905964E-3</v>
      </c>
      <c r="AM192" s="183">
        <f t="shared" si="247"/>
        <v>0.1637767779916639</v>
      </c>
      <c r="AN192" s="183">
        <f t="shared" si="247"/>
        <v>0.20518736393625778</v>
      </c>
      <c r="AO192" s="183">
        <f t="shared" si="247"/>
        <v>1.2234452544258144E-5</v>
      </c>
      <c r="AP192" s="183">
        <f t="shared" si="247"/>
        <v>4.9363063443876573E-2</v>
      </c>
      <c r="AQ192" s="170"/>
      <c r="AR192" s="184">
        <f t="shared" si="246"/>
        <v>1.31480799801</v>
      </c>
      <c r="AS192" s="184">
        <f t="shared" si="241"/>
        <v>0.10622184356189091</v>
      </c>
      <c r="AT192" s="184">
        <f t="shared" si="241"/>
        <v>60.456937941557889</v>
      </c>
      <c r="AU192" s="184">
        <f t="shared" si="241"/>
        <v>12.19999406057079</v>
      </c>
      <c r="AV192" s="184">
        <f t="shared" si="241"/>
        <v>7.3742645495790849E-4</v>
      </c>
      <c r="AW192" s="170"/>
      <c r="AX192" s="172">
        <f t="shared" si="242"/>
        <v>3131682.4430520809</v>
      </c>
      <c r="AY192" s="172">
        <f t="shared" si="242"/>
        <v>253005.06465953853</v>
      </c>
      <c r="AZ192" s="172">
        <f t="shared" si="242"/>
        <v>143999680.10449088</v>
      </c>
      <c r="BA192" s="172">
        <f t="shared" si="242"/>
        <v>29058620.926139683</v>
      </c>
      <c r="BB192" s="172">
        <f t="shared" si="242"/>
        <v>1756.4431350654543</v>
      </c>
      <c r="BC192" s="170"/>
      <c r="BD192" s="325">
        <f>X192/$E186</f>
        <v>1.3380100565817241</v>
      </c>
      <c r="BE192" s="325">
        <f>Y192/$E186</f>
        <v>0.10316977195340031</v>
      </c>
      <c r="BF192" s="325">
        <f>Z192/$E186</f>
        <v>60.293161163566225</v>
      </c>
      <c r="BG192" s="325">
        <f>AA192/$E186</f>
        <v>11.994806696634532</v>
      </c>
      <c r="BH192" s="325">
        <f>AB192/$E186</f>
        <v>7.2519200241365038E-4</v>
      </c>
      <c r="BI192" s="326"/>
      <c r="BJ192" s="320">
        <f t="shared" si="243"/>
        <v>3186946.3900175006</v>
      </c>
      <c r="BK192" s="320">
        <f t="shared" si="243"/>
        <v>245735.47161955535</v>
      </c>
      <c r="BL192" s="320">
        <f t="shared" si="243"/>
        <v>143609587.51227021</v>
      </c>
      <c r="BM192" s="320">
        <f t="shared" si="243"/>
        <v>28569894.308908969</v>
      </c>
      <c r="BN192" s="320">
        <f t="shared" si="243"/>
        <v>1727.3024390161477</v>
      </c>
      <c r="BO192" s="83"/>
      <c r="BP192" s="83"/>
      <c r="BQ192" s="83"/>
      <c r="BR192" s="83"/>
      <c r="BS192" s="83"/>
      <c r="BT192" s="83"/>
      <c r="BU192" s="83"/>
      <c r="BV192" s="83"/>
      <c r="BW192" s="83"/>
      <c r="BX192" s="83"/>
    </row>
    <row r="193" spans="1:76" x14ac:dyDescent="0.35">
      <c r="A193" s="168">
        <v>4</v>
      </c>
      <c r="B193" s="169">
        <f t="shared" si="234"/>
        <v>1.223486071314333</v>
      </c>
      <c r="C193" s="170"/>
      <c r="D193" s="154">
        <f t="shared" si="235"/>
        <v>-22434.340546329713</v>
      </c>
      <c r="E193" s="154">
        <f t="shared" si="235"/>
        <v>2795.9944643027261</v>
      </c>
      <c r="F193" s="154">
        <f t="shared" si="235"/>
        <v>82026.426685292638</v>
      </c>
      <c r="G193" s="154">
        <f t="shared" si="244"/>
        <v>7300.3519749910447</v>
      </c>
      <c r="H193" s="154">
        <f t="shared" si="236"/>
        <v>177036.52790159374</v>
      </c>
      <c r="I193" s="154">
        <f t="shared" si="236"/>
        <v>10.534337851849115</v>
      </c>
      <c r="J193" s="154">
        <f t="shared" si="236"/>
        <v>60395.020560988713</v>
      </c>
      <c r="K193" s="170"/>
      <c r="L193" s="171">
        <f t="shared" si="237"/>
        <v>-1.3639434117425369E-2</v>
      </c>
      <c r="M193" s="171">
        <f t="shared" si="237"/>
        <v>2.7816399681936096E-2</v>
      </c>
      <c r="N193" s="171">
        <f t="shared" si="237"/>
        <v>1.1917354164782195E-3</v>
      </c>
      <c r="O193" s="171">
        <f t="shared" si="238"/>
        <v>1.450697831617251E-2</v>
      </c>
      <c r="P193" s="171">
        <f t="shared" si="238"/>
        <v>1.4266384878818511E-2</v>
      </c>
      <c r="Q193" s="170"/>
      <c r="R193" s="154">
        <v>69968.938219746371</v>
      </c>
      <c r="S193" s="154">
        <v>4275.8623635364929</v>
      </c>
      <c r="T193" s="154">
        <v>2927940.686154651</v>
      </c>
      <c r="U193" s="154">
        <v>519127.75562657026</v>
      </c>
      <c r="V193" s="154">
        <v>31.41099070754796</v>
      </c>
      <c r="W193" s="170"/>
      <c r="X193" s="154">
        <v>70923.274942860808</v>
      </c>
      <c r="Y193" s="154">
        <v>4156.9232670474139</v>
      </c>
      <c r="Z193" s="154">
        <v>2924451.355541613</v>
      </c>
      <c r="AA193" s="154">
        <v>511596.7805323723</v>
      </c>
      <c r="AB193" s="154">
        <v>30.962869424689089</v>
      </c>
      <c r="AC193" s="170"/>
      <c r="AD193" s="154">
        <f t="shared" si="239"/>
        <v>-954.33672311443661</v>
      </c>
      <c r="AE193" s="154">
        <f t="shared" si="239"/>
        <v>118.93909648907902</v>
      </c>
      <c r="AF193" s="154">
        <f t="shared" si="239"/>
        <v>3489.330613038037</v>
      </c>
      <c r="AG193" s="154">
        <f t="shared" si="239"/>
        <v>7530.9750941979582</v>
      </c>
      <c r="AH193" s="154">
        <f t="shared" si="239"/>
        <v>0.44812128285887098</v>
      </c>
      <c r="AI193" s="154">
        <v>2569.15</v>
      </c>
      <c r="AJ193" s="170"/>
      <c r="AK193" s="183">
        <f t="shared" ref="AK193:AP193" si="248">AD193/$E186</f>
        <v>-1.8336408621497071E-2</v>
      </c>
      <c r="AL193" s="183">
        <f t="shared" si="248"/>
        <v>2.2852687332182882E-3</v>
      </c>
      <c r="AM193" s="183">
        <f t="shared" si="248"/>
        <v>6.7043204339200649E-2</v>
      </c>
      <c r="AN193" s="183">
        <f t="shared" si="248"/>
        <v>0.14469844165157664</v>
      </c>
      <c r="AO193" s="183">
        <f t="shared" si="248"/>
        <v>8.6101003508217928E-6</v>
      </c>
      <c r="AP193" s="183">
        <f t="shared" si="248"/>
        <v>4.9363063443876573E-2</v>
      </c>
      <c r="AQ193" s="170"/>
      <c r="AR193" s="184">
        <f t="shared" si="246"/>
        <v>1.3443672562684235</v>
      </c>
      <c r="AS193" s="184">
        <f t="shared" si="241"/>
        <v>8.2155446403882962E-2</v>
      </c>
      <c r="AT193" s="184">
        <f t="shared" si="241"/>
        <v>56.256786038401629</v>
      </c>
      <c r="AU193" s="184">
        <f t="shared" si="241"/>
        <v>9.9744025597850037</v>
      </c>
      <c r="AV193" s="184">
        <f t="shared" si="241"/>
        <v>6.0352362732098456E-4</v>
      </c>
      <c r="AW193" s="170"/>
      <c r="AX193" s="172">
        <f t="shared" si="242"/>
        <v>1644814.6127754825</v>
      </c>
      <c r="AY193" s="172">
        <f t="shared" si="242"/>
        <v>100516.04435776202</v>
      </c>
      <c r="AZ193" s="172">
        <f t="shared" si="242"/>
        <v>68829394.134895027</v>
      </c>
      <c r="BA193" s="172">
        <f t="shared" si="242"/>
        <v>12203542.601578981</v>
      </c>
      <c r="BB193" s="172">
        <f t="shared" si="242"/>
        <v>738.40275173632699</v>
      </c>
      <c r="BC193" s="170"/>
      <c r="BD193" s="325">
        <f>X193/$E186</f>
        <v>1.3627036648899207</v>
      </c>
      <c r="BE193" s="325">
        <f>Y193/$E186</f>
        <v>7.9870177670664677E-2</v>
      </c>
      <c r="BF193" s="325">
        <f>Z193/$E186</f>
        <v>56.189742834062422</v>
      </c>
      <c r="BG193" s="325">
        <f>AA193/$E186</f>
        <v>9.8297041181334261</v>
      </c>
      <c r="BH193" s="325">
        <f>AB193/$E186</f>
        <v>5.9491352697016268E-4</v>
      </c>
      <c r="BI193" s="326"/>
      <c r="BJ193" s="320">
        <f t="shared" si="243"/>
        <v>1667248.9533218124</v>
      </c>
      <c r="BK193" s="320">
        <f t="shared" si="243"/>
        <v>97720.049893459276</v>
      </c>
      <c r="BL193" s="320">
        <f t="shared" si="243"/>
        <v>68747367.708209723</v>
      </c>
      <c r="BM193" s="320">
        <f t="shared" si="243"/>
        <v>12026506.073677385</v>
      </c>
      <c r="BN193" s="320">
        <f t="shared" si="243"/>
        <v>727.86841388447783</v>
      </c>
      <c r="BO193" s="83"/>
      <c r="BP193" s="83"/>
      <c r="BQ193" s="83"/>
      <c r="BR193" s="83"/>
      <c r="BS193" s="83"/>
      <c r="BT193" s="83"/>
      <c r="BU193" s="83"/>
      <c r="BV193" s="83"/>
      <c r="BW193" s="83"/>
      <c r="BX193" s="83"/>
    </row>
    <row r="194" spans="1:76" x14ac:dyDescent="0.35">
      <c r="A194" s="168">
        <v>5</v>
      </c>
      <c r="B194" s="169">
        <f t="shared" si="234"/>
        <v>0.22728180501671344</v>
      </c>
      <c r="C194" s="170"/>
      <c r="D194" s="154">
        <f t="shared" si="235"/>
        <v>-4394.7223869285017</v>
      </c>
      <c r="E194" s="154">
        <f t="shared" si="235"/>
        <v>542.64642860615061</v>
      </c>
      <c r="F194" s="154">
        <f t="shared" si="235"/>
        <v>12704.669961412435</v>
      </c>
      <c r="G194" s="154">
        <f t="shared" si="244"/>
        <v>1130.7156265657068</v>
      </c>
      <c r="H194" s="154">
        <f t="shared" si="236"/>
        <v>33817.577588364955</v>
      </c>
      <c r="I194" s="154">
        <f t="shared" si="236"/>
        <v>2.0111367758101504</v>
      </c>
      <c r="J194" s="154">
        <f t="shared" si="236"/>
        <v>11219.326160678811</v>
      </c>
      <c r="K194" s="170"/>
      <c r="L194" s="171">
        <f t="shared" si="237"/>
        <v>-1.4684092592103985E-2</v>
      </c>
      <c r="M194" s="171">
        <f t="shared" si="237"/>
        <v>2.9207975759042687E-2</v>
      </c>
      <c r="N194" s="171">
        <f t="shared" si="237"/>
        <v>1.0615390958813888E-3</v>
      </c>
      <c r="O194" s="171">
        <f t="shared" si="238"/>
        <v>1.5031488747510886E-2</v>
      </c>
      <c r="P194" s="171">
        <f t="shared" si="238"/>
        <v>1.4774544367997694E-2</v>
      </c>
      <c r="Q194" s="170"/>
      <c r="R194" s="154">
        <v>68534.148191449553</v>
      </c>
      <c r="S194" s="154">
        <v>4254.3986009368382</v>
      </c>
      <c r="T194" s="154">
        <v>2740627.9437423106</v>
      </c>
      <c r="U194" s="154">
        <v>515184.97260637226</v>
      </c>
      <c r="V194" s="154">
        <v>31.170961494653564</v>
      </c>
      <c r="W194" s="170"/>
      <c r="X194" s="154">
        <v>69540.509969213774</v>
      </c>
      <c r="Y194" s="154">
        <v>4130.1362297313699</v>
      </c>
      <c r="Z194" s="154">
        <v>2737718.6600327631</v>
      </c>
      <c r="AA194" s="154">
        <v>507440.97548775288</v>
      </c>
      <c r="AB194" s="154">
        <v>30.710424741057658</v>
      </c>
      <c r="AC194" s="170"/>
      <c r="AD194" s="154">
        <f t="shared" si="239"/>
        <v>-1006.3617777642212</v>
      </c>
      <c r="AE194" s="154">
        <f t="shared" si="239"/>
        <v>124.2623712054683</v>
      </c>
      <c r="AF194" s="154">
        <f t="shared" si="239"/>
        <v>2909.2837095474824</v>
      </c>
      <c r="AG194" s="154">
        <f t="shared" si="239"/>
        <v>7743.997118619387</v>
      </c>
      <c r="AH194" s="154">
        <f t="shared" si="239"/>
        <v>0.46053675359590684</v>
      </c>
      <c r="AI194" s="154">
        <v>2569.15</v>
      </c>
      <c r="AJ194" s="170"/>
      <c r="AK194" s="183">
        <f t="shared" ref="AK194:AP194" si="249">AD194/$E186</f>
        <v>-1.9336006182304522E-2</v>
      </c>
      <c r="AL194" s="183">
        <f t="shared" si="249"/>
        <v>2.3875489222124333E-3</v>
      </c>
      <c r="AM194" s="183">
        <f t="shared" si="249"/>
        <v>5.5898315135600861E-2</v>
      </c>
      <c r="AN194" s="183">
        <f t="shared" si="249"/>
        <v>0.14879139835183083</v>
      </c>
      <c r="AO194" s="183">
        <f t="shared" si="249"/>
        <v>8.8486483802003386E-6</v>
      </c>
      <c r="AP194" s="183">
        <f t="shared" si="249"/>
        <v>4.9363063443876573E-2</v>
      </c>
      <c r="AQ194" s="170"/>
      <c r="AR194" s="184">
        <f t="shared" si="246"/>
        <v>1.3167995271769117</v>
      </c>
      <c r="AS194" s="184">
        <f t="shared" si="241"/>
        <v>8.1743046553757026E-2</v>
      </c>
      <c r="AT194" s="184">
        <f t="shared" si="241"/>
        <v>52.657801632062224</v>
      </c>
      <c r="AU194" s="184">
        <f t="shared" si="241"/>
        <v>9.8986468240858514</v>
      </c>
      <c r="AV194" s="184">
        <f t="shared" si="241"/>
        <v>5.9891176064738052E-4</v>
      </c>
      <c r="AW194" s="170"/>
      <c r="AX194" s="172">
        <f t="shared" si="242"/>
        <v>299284.57338192331</v>
      </c>
      <c r="AY194" s="172">
        <f t="shared" si="242"/>
        <v>18578.707168303135</v>
      </c>
      <c r="AZ194" s="172">
        <f t="shared" si="242"/>
        <v>11968160.203147141</v>
      </c>
      <c r="BA194" s="172">
        <f t="shared" si="242"/>
        <v>2249782.3174011903</v>
      </c>
      <c r="BB194" s="172">
        <f t="shared" si="242"/>
        <v>136.12174600567448</v>
      </c>
      <c r="BC194" s="170"/>
      <c r="BD194" s="325">
        <f>X194/$E186</f>
        <v>1.3361355333592164</v>
      </c>
      <c r="BE194" s="325">
        <f>Y194/$E186</f>
        <v>7.9355497631544591E-2</v>
      </c>
      <c r="BF194" s="325">
        <f>Z194/$E186</f>
        <v>52.601903316926624</v>
      </c>
      <c r="BG194" s="325">
        <f>AA194/$E186</f>
        <v>9.7498554257340206</v>
      </c>
      <c r="BH194" s="325">
        <f>AB194/$E186</f>
        <v>5.9006311226718019E-4</v>
      </c>
      <c r="BI194" s="326"/>
      <c r="BJ194" s="320">
        <f t="shared" si="243"/>
        <v>303679.29576885182</v>
      </c>
      <c r="BK194" s="320">
        <f t="shared" si="243"/>
        <v>18036.060739696983</v>
      </c>
      <c r="BL194" s="320">
        <f t="shared" si="243"/>
        <v>11955455.53318573</v>
      </c>
      <c r="BM194" s="320">
        <f t="shared" si="243"/>
        <v>2215964.7398128253</v>
      </c>
      <c r="BN194" s="320">
        <f t="shared" si="243"/>
        <v>134.11060922986434</v>
      </c>
      <c r="BO194" s="83"/>
      <c r="BP194" s="83"/>
      <c r="BQ194" s="83"/>
      <c r="BR194" s="83"/>
      <c r="BS194" s="83"/>
      <c r="BT194" s="83"/>
      <c r="BU194" s="83"/>
      <c r="BV194" s="83"/>
      <c r="BW194" s="83"/>
      <c r="BX194" s="83"/>
    </row>
    <row r="195" spans="1:76" x14ac:dyDescent="0.35">
      <c r="A195" s="168">
        <v>6</v>
      </c>
      <c r="B195" s="169">
        <f t="shared" si="234"/>
        <v>1.8799977218813242</v>
      </c>
      <c r="C195" s="170"/>
      <c r="D195" s="154">
        <f t="shared" si="235"/>
        <v>-12987.26647631063</v>
      </c>
      <c r="E195" s="154">
        <f t="shared" si="235"/>
        <v>1739.594560593697</v>
      </c>
      <c r="F195" s="154">
        <f t="shared" si="235"/>
        <v>70652.65578030092</v>
      </c>
      <c r="G195" s="154">
        <f t="shared" si="244"/>
        <v>6288.0863644467818</v>
      </c>
      <c r="H195" s="154">
        <f t="shared" si="236"/>
        <v>106531.65416874204</v>
      </c>
      <c r="I195" s="154">
        <f t="shared" si="236"/>
        <v>6.4717977895367813</v>
      </c>
      <c r="J195" s="154">
        <f t="shared" si="236"/>
        <v>92802.446819571225</v>
      </c>
      <c r="K195" s="170"/>
      <c r="L195" s="171">
        <f t="shared" si="237"/>
        <v>-5.1484507004182709E-3</v>
      </c>
      <c r="M195" s="171">
        <f t="shared" si="237"/>
        <v>2.3405831071484043E-2</v>
      </c>
      <c r="N195" s="171">
        <f t="shared" si="237"/>
        <v>8.3624322675315854E-4</v>
      </c>
      <c r="O195" s="171">
        <f t="shared" si="238"/>
        <v>9.5668643931204073E-3</v>
      </c>
      <c r="P195" s="171">
        <f t="shared" si="238"/>
        <v>9.4882744748697283E-3</v>
      </c>
      <c r="Q195" s="170"/>
      <c r="R195" s="154">
        <v>69834.692877463851</v>
      </c>
      <c r="S195" s="154">
        <v>2057.5671101435628</v>
      </c>
      <c r="T195" s="154">
        <v>2338976.7913201703</v>
      </c>
      <c r="U195" s="154">
        <v>308275.55402218219</v>
      </c>
      <c r="V195" s="154">
        <v>18.882858309225725</v>
      </c>
      <c r="W195" s="170"/>
      <c r="X195" s="154">
        <v>70194.233350922324</v>
      </c>
      <c r="Y195" s="154">
        <v>2009.408041945301</v>
      </c>
      <c r="Z195" s="154">
        <v>2337020.8378208959</v>
      </c>
      <c r="AA195" s="154">
        <v>305326.3236011379</v>
      </c>
      <c r="AB195" s="154">
        <v>18.703692566717717</v>
      </c>
      <c r="AC195" s="170"/>
      <c r="AD195" s="154">
        <f t="shared" si="239"/>
        <v>-359.54047345847357</v>
      </c>
      <c r="AE195" s="154">
        <f t="shared" si="239"/>
        <v>48.159068198261821</v>
      </c>
      <c r="AF195" s="154">
        <f t="shared" si="239"/>
        <v>1955.9534992743284</v>
      </c>
      <c r="AG195" s="154">
        <f t="shared" si="239"/>
        <v>2949.2304210442817</v>
      </c>
      <c r="AH195" s="154">
        <f t="shared" si="239"/>
        <v>0.17916574250800821</v>
      </c>
      <c r="AI195" s="154">
        <v>2569.15</v>
      </c>
      <c r="AJ195" s="170"/>
      <c r="AK195" s="183">
        <f t="shared" ref="AK195:AP195" si="250">AD195/$E186</f>
        <v>-6.908128837153164E-3</v>
      </c>
      <c r="AL195" s="183">
        <f t="shared" si="250"/>
        <v>9.2531737690239064E-4</v>
      </c>
      <c r="AM195" s="183">
        <f t="shared" si="250"/>
        <v>3.7581245422786159E-2</v>
      </c>
      <c r="AN195" s="183">
        <f t="shared" si="250"/>
        <v>5.6665842159710288E-2</v>
      </c>
      <c r="AO195" s="183">
        <f t="shared" si="250"/>
        <v>3.442449804173389E-6</v>
      </c>
      <c r="AP195" s="183">
        <f t="shared" si="250"/>
        <v>4.9363063443876573E-2</v>
      </c>
      <c r="AQ195" s="170"/>
      <c r="AR195" s="184">
        <f t="shared" si="246"/>
        <v>1.3417878968117405</v>
      </c>
      <c r="AS195" s="184">
        <f t="shared" si="241"/>
        <v>3.9533626218029486E-2</v>
      </c>
      <c r="AT195" s="184">
        <f t="shared" si="241"/>
        <v>44.940567792340822</v>
      </c>
      <c r="AU195" s="184">
        <f t="shared" si="241"/>
        <v>5.9231363413553817</v>
      </c>
      <c r="AV195" s="184">
        <f t="shared" si="241"/>
        <v>3.6281094242066102E-4</v>
      </c>
      <c r="AW195" s="170"/>
      <c r="AX195" s="172">
        <f t="shared" si="242"/>
        <v>2522558.1892540054</v>
      </c>
      <c r="AY195" s="172">
        <f t="shared" si="242"/>
        <v>74323.12722760321</v>
      </c>
      <c r="AZ195" s="172">
        <f t="shared" si="242"/>
        <v>84488165.069653958</v>
      </c>
      <c r="BA195" s="172">
        <f t="shared" si="242"/>
        <v>11135482.8281406</v>
      </c>
      <c r="BB195" s="172">
        <f t="shared" si="242"/>
        <v>682.08374522445899</v>
      </c>
      <c r="BC195" s="170"/>
      <c r="BD195" s="325">
        <f>X195/$E186</f>
        <v>1.3486960256488938</v>
      </c>
      <c r="BE195" s="325">
        <f>Y195/$E186</f>
        <v>3.8608308841127099E-2</v>
      </c>
      <c r="BF195" s="325">
        <f>Z195/$E186</f>
        <v>44.902986546918036</v>
      </c>
      <c r="BG195" s="325">
        <f>AA195/$E186</f>
        <v>5.8664704991956711</v>
      </c>
      <c r="BH195" s="325">
        <f>AB195/$E186</f>
        <v>3.5936849261648763E-4</v>
      </c>
      <c r="BI195" s="326"/>
      <c r="BJ195" s="320">
        <f t="shared" si="243"/>
        <v>2535545.4557303162</v>
      </c>
      <c r="BK195" s="320">
        <f t="shared" si="243"/>
        <v>72583.532667009538</v>
      </c>
      <c r="BL195" s="320">
        <f t="shared" si="243"/>
        <v>84417512.413873658</v>
      </c>
      <c r="BM195" s="320">
        <f t="shared" si="243"/>
        <v>11028951.173971856</v>
      </c>
      <c r="BN195" s="320">
        <f t="shared" si="243"/>
        <v>675.61194743492217</v>
      </c>
      <c r="BO195" s="83"/>
      <c r="BP195" s="83"/>
      <c r="BQ195" s="83"/>
      <c r="BR195" s="83"/>
      <c r="BS195" s="83"/>
      <c r="BT195" s="83"/>
      <c r="BU195" s="83"/>
      <c r="BV195" s="83"/>
      <c r="BW195" s="83"/>
      <c r="BX195" s="83"/>
    </row>
    <row r="196" spans="1:76" x14ac:dyDescent="0.35">
      <c r="A196" s="168">
        <v>7</v>
      </c>
      <c r="B196" s="169">
        <f t="shared" si="234"/>
        <v>1.1082226000674442</v>
      </c>
      <c r="C196" s="170"/>
      <c r="D196" s="154">
        <f t="shared" si="235"/>
        <v>-7196.7446843547332</v>
      </c>
      <c r="E196" s="154">
        <f t="shared" si="235"/>
        <v>991.39391348078289</v>
      </c>
      <c r="F196" s="154">
        <f t="shared" si="235"/>
        <v>59581.569760894949</v>
      </c>
      <c r="G196" s="154">
        <f t="shared" si="244"/>
        <v>5302.75970871965</v>
      </c>
      <c r="H196" s="154">
        <f t="shared" si="236"/>
        <v>62460.866716586039</v>
      </c>
      <c r="I196" s="154">
        <f t="shared" si="236"/>
        <v>3.7959855997423766</v>
      </c>
      <c r="J196" s="154">
        <f t="shared" si="236"/>
        <v>54705.262517067102</v>
      </c>
      <c r="K196" s="170"/>
      <c r="L196" s="171">
        <f t="shared" si="237"/>
        <v>-4.8878027374355745E-3</v>
      </c>
      <c r="M196" s="171">
        <f t="shared" si="237"/>
        <v>2.2598696242178331E-2</v>
      </c>
      <c r="N196" s="171">
        <f t="shared" si="237"/>
        <v>1.2669294884240952E-3</v>
      </c>
      <c r="O196" s="171">
        <f t="shared" si="238"/>
        <v>9.524047311210317E-3</v>
      </c>
      <c r="P196" s="171">
        <f t="shared" si="238"/>
        <v>9.4496323679070775E-3</v>
      </c>
      <c r="Q196" s="170"/>
      <c r="R196" s="154">
        <v>69148.502651178482</v>
      </c>
      <c r="S196" s="154">
        <v>2060.2656344341758</v>
      </c>
      <c r="T196" s="154">
        <v>2208614.1554573057</v>
      </c>
      <c r="U196" s="154">
        <v>307997.2345207468</v>
      </c>
      <c r="V196" s="154">
        <v>18.865572902853252</v>
      </c>
      <c r="W196" s="170"/>
      <c r="X196" s="154">
        <v>69486.486891726483</v>
      </c>
      <c r="Y196" s="154">
        <v>2013.7063171833991</v>
      </c>
      <c r="Z196" s="154">
        <v>2205815.997055206</v>
      </c>
      <c r="AA196" s="154">
        <v>305063.85428744927</v>
      </c>
      <c r="AB196" s="154">
        <v>18.687300174511339</v>
      </c>
      <c r="AC196" s="170"/>
      <c r="AD196" s="154">
        <f t="shared" si="239"/>
        <v>-337.98424054800125</v>
      </c>
      <c r="AE196" s="154">
        <f t="shared" si="239"/>
        <v>46.559317250776758</v>
      </c>
      <c r="AF196" s="154">
        <f t="shared" si="239"/>
        <v>2798.1584020997398</v>
      </c>
      <c r="AG196" s="154">
        <f t="shared" si="239"/>
        <v>2933.380233297532</v>
      </c>
      <c r="AH196" s="154">
        <f t="shared" si="239"/>
        <v>0.17827272834191277</v>
      </c>
      <c r="AI196" s="154">
        <v>2569.15</v>
      </c>
      <c r="AJ196" s="170"/>
      <c r="AK196" s="183">
        <f t="shared" ref="AK196:AP196" si="251">AD196/$E186</f>
        <v>-6.4939522835184499E-3</v>
      </c>
      <c r="AL196" s="183">
        <f t="shared" si="251"/>
        <v>8.9458012624940933E-4</v>
      </c>
      <c r="AM196" s="183">
        <f t="shared" si="251"/>
        <v>5.3763178766855088E-2</v>
      </c>
      <c r="AN196" s="183">
        <f t="shared" si="251"/>
        <v>5.6361300259338505E-2</v>
      </c>
      <c r="AO196" s="183">
        <f t="shared" si="251"/>
        <v>3.4252916332074084E-6</v>
      </c>
      <c r="AP196" s="183">
        <f t="shared" si="251"/>
        <v>4.9363063443876573E-2</v>
      </c>
      <c r="AQ196" s="170"/>
      <c r="AR196" s="184">
        <f t="shared" si="246"/>
        <v>1.3286035939587766</v>
      </c>
      <c r="AS196" s="184">
        <f t="shared" si="241"/>
        <v>3.9585475049651764E-2</v>
      </c>
      <c r="AT196" s="184">
        <f t="shared" si="241"/>
        <v>42.435809773225721</v>
      </c>
      <c r="AU196" s="184">
        <f t="shared" si="241"/>
        <v>5.9177887737913926</v>
      </c>
      <c r="AV196" s="184">
        <f t="shared" si="241"/>
        <v>3.6247882455622436E-4</v>
      </c>
      <c r="AW196" s="170"/>
      <c r="AX196" s="172">
        <f t="shared" si="242"/>
        <v>1472388.5293559462</v>
      </c>
      <c r="AY196" s="172">
        <f t="shared" si="242"/>
        <v>43869.518084430012</v>
      </c>
      <c r="AZ196" s="172">
        <f t="shared" si="242"/>
        <v>47028323.44285167</v>
      </c>
      <c r="BA196" s="172">
        <f t="shared" si="242"/>
        <v>6558227.2615410294</v>
      </c>
      <c r="BB196" s="172">
        <f t="shared" si="242"/>
        <v>401.70722541908992</v>
      </c>
      <c r="BC196" s="170"/>
      <c r="BD196" s="325">
        <f>X196/$E186</f>
        <v>1.3350975462422949</v>
      </c>
      <c r="BE196" s="325">
        <f>Y196/$E186</f>
        <v>3.8690894923402358E-2</v>
      </c>
      <c r="BF196" s="325">
        <f>Z196/$E186</f>
        <v>42.382046594458863</v>
      </c>
      <c r="BG196" s="325">
        <f>AA196/$E186</f>
        <v>5.8614274735320535</v>
      </c>
      <c r="BH196" s="325">
        <f>AB196/$E186</f>
        <v>3.5905353292301693E-4</v>
      </c>
      <c r="BI196" s="326"/>
      <c r="BJ196" s="320">
        <f t="shared" si="243"/>
        <v>1479585.2740403009</v>
      </c>
      <c r="BK196" s="320">
        <f t="shared" si="243"/>
        <v>42878.124170949239</v>
      </c>
      <c r="BL196" s="320">
        <f t="shared" si="243"/>
        <v>46968741.873090774</v>
      </c>
      <c r="BM196" s="320">
        <f t="shared" si="243"/>
        <v>6495766.3948244434</v>
      </c>
      <c r="BN196" s="320">
        <f t="shared" si="243"/>
        <v>397.91123981934754</v>
      </c>
      <c r="BO196" s="83"/>
      <c r="BP196" s="83"/>
      <c r="BQ196" s="83"/>
      <c r="BR196" s="83"/>
      <c r="BS196" s="83"/>
      <c r="BT196" s="83"/>
      <c r="BU196" s="83"/>
      <c r="BV196" s="83"/>
      <c r="BW196" s="83"/>
      <c r="BX196" s="83"/>
    </row>
    <row r="197" spans="1:76" x14ac:dyDescent="0.35">
      <c r="A197" s="168">
        <v>8</v>
      </c>
      <c r="B197" s="169">
        <f t="shared" si="234"/>
        <v>2.7020186499352614</v>
      </c>
      <c r="C197" s="170"/>
      <c r="D197" s="154">
        <f t="shared" si="235"/>
        <v>-20328.359723080383</v>
      </c>
      <c r="E197" s="154">
        <f t="shared" si="235"/>
        <v>2727.9298716434459</v>
      </c>
      <c r="F197" s="154">
        <f t="shared" si="235"/>
        <v>85441.099853676409</v>
      </c>
      <c r="G197" s="154">
        <f t="shared" si="244"/>
        <v>7604.2578869771996</v>
      </c>
      <c r="H197" s="154">
        <f t="shared" si="236"/>
        <v>165047.78907035332</v>
      </c>
      <c r="I197" s="154">
        <f t="shared" si="236"/>
        <v>10.02494324730298</v>
      </c>
      <c r="J197" s="154">
        <f t="shared" si="236"/>
        <v>133379.91804329201</v>
      </c>
      <c r="K197" s="170"/>
      <c r="L197" s="171">
        <f t="shared" si="237"/>
        <v>-5.5179901183736325E-3</v>
      </c>
      <c r="M197" s="171">
        <f t="shared" si="237"/>
        <v>2.4936118298776566E-2</v>
      </c>
      <c r="N197" s="171">
        <f t="shared" si="237"/>
        <v>6.6459140785283426E-4</v>
      </c>
      <c r="O197" s="171">
        <f t="shared" si="238"/>
        <v>1.0107306459578471E-2</v>
      </c>
      <c r="P197" s="171">
        <f t="shared" si="238"/>
        <v>1.0022779768172094E-2</v>
      </c>
      <c r="Q197" s="170"/>
      <c r="R197" s="154">
        <v>70961.115496082071</v>
      </c>
      <c r="S197" s="154">
        <v>2107.188400650798</v>
      </c>
      <c r="T197" s="154">
        <v>2476344.8484287122</v>
      </c>
      <c r="U197" s="154">
        <v>314538.12397004839</v>
      </c>
      <c r="V197" s="154">
        <v>19.266052975952412</v>
      </c>
      <c r="W197" s="170"/>
      <c r="X197" s="154">
        <v>71352.678230178222</v>
      </c>
      <c r="Y197" s="154">
        <v>2054.6433014143599</v>
      </c>
      <c r="Z197" s="154">
        <v>2474699.0909195659</v>
      </c>
      <c r="AA197" s="154">
        <v>311358.99075786222</v>
      </c>
      <c r="AB197" s="154">
        <v>19.072953569972505</v>
      </c>
      <c r="AC197" s="170"/>
      <c r="AD197" s="154">
        <f t="shared" si="239"/>
        <v>-391.56273409615096</v>
      </c>
      <c r="AE197" s="154">
        <f t="shared" si="239"/>
        <v>52.545099236438091</v>
      </c>
      <c r="AF197" s="154">
        <f t="shared" si="239"/>
        <v>1645.7575091463514</v>
      </c>
      <c r="AG197" s="154">
        <f t="shared" si="239"/>
        <v>3179.1332121861633</v>
      </c>
      <c r="AH197" s="154">
        <f t="shared" si="239"/>
        <v>0.1930994059799076</v>
      </c>
      <c r="AI197" s="154">
        <v>2569.15</v>
      </c>
      <c r="AJ197" s="170"/>
      <c r="AK197" s="183">
        <f t="shared" ref="AK197:AP197" si="252">AD197/$E186</f>
        <v>-7.523397265806228E-3</v>
      </c>
      <c r="AL197" s="183">
        <f t="shared" si="252"/>
        <v>1.0095895791499461E-3</v>
      </c>
      <c r="AM197" s="183">
        <f t="shared" si="252"/>
        <v>3.1621210259123685E-2</v>
      </c>
      <c r="AN197" s="183">
        <f t="shared" si="252"/>
        <v>6.1083142070210261E-2</v>
      </c>
      <c r="AO197" s="183">
        <f t="shared" si="252"/>
        <v>3.7101680432676403E-6</v>
      </c>
      <c r="AP197" s="183">
        <f t="shared" si="252"/>
        <v>4.9363063443876573E-2</v>
      </c>
      <c r="AQ197" s="170"/>
      <c r="AR197" s="184">
        <f t="shared" si="246"/>
        <v>1.363430724668218</v>
      </c>
      <c r="AS197" s="184">
        <f t="shared" si="241"/>
        <v>4.0487038401621607E-2</v>
      </c>
      <c r="AT197" s="184">
        <f t="shared" si="241"/>
        <v>47.57992638106122</v>
      </c>
      <c r="AU197" s="184">
        <f t="shared" si="241"/>
        <v>6.0434639351736612</v>
      </c>
      <c r="AV197" s="184">
        <f t="shared" si="241"/>
        <v>3.7017355754433411E-4</v>
      </c>
      <c r="AW197" s="170"/>
      <c r="AX197" s="172">
        <f t="shared" si="242"/>
        <v>3684015.2459482737</v>
      </c>
      <c r="AY197" s="172">
        <f t="shared" si="242"/>
        <v>109396.7328418267</v>
      </c>
      <c r="AZ197" s="172">
        <f t="shared" si="242"/>
        <v>128561848.44417416</v>
      </c>
      <c r="BA197" s="172">
        <f t="shared" si="242"/>
        <v>16329552.263050377</v>
      </c>
      <c r="BB197" s="172">
        <f t="shared" si="242"/>
        <v>1000.2158561976744</v>
      </c>
      <c r="BC197" s="170"/>
      <c r="BD197" s="325">
        <f>X197/$E186</f>
        <v>1.3709541219340242</v>
      </c>
      <c r="BE197" s="325">
        <f>Y197/$E186</f>
        <v>3.9477448822471659E-2</v>
      </c>
      <c r="BF197" s="325">
        <f>Z197/$E186</f>
        <v>47.548305170802095</v>
      </c>
      <c r="BG197" s="325">
        <f>AA197/$E186</f>
        <v>5.9823807931034514</v>
      </c>
      <c r="BH197" s="325">
        <f>AB197/$E186</f>
        <v>3.6646338950106647E-4</v>
      </c>
      <c r="BI197" s="326"/>
      <c r="BJ197" s="320">
        <f t="shared" si="243"/>
        <v>3704343.6056713536</v>
      </c>
      <c r="BK197" s="320">
        <f t="shared" si="243"/>
        <v>106668.80297018324</v>
      </c>
      <c r="BL197" s="320">
        <f t="shared" si="243"/>
        <v>128476407.34432048</v>
      </c>
      <c r="BM197" s="320">
        <f t="shared" si="243"/>
        <v>16164504.473980028</v>
      </c>
      <c r="BN197" s="320">
        <f t="shared" si="243"/>
        <v>990.19091295037151</v>
      </c>
      <c r="BO197" s="83"/>
      <c r="BP197" s="83"/>
      <c r="BQ197" s="83"/>
      <c r="BR197" s="83"/>
      <c r="BS197" s="83"/>
      <c r="BT197" s="83"/>
      <c r="BU197" s="83"/>
      <c r="BV197" s="83"/>
      <c r="BW197" s="83"/>
      <c r="BX197" s="83"/>
    </row>
    <row r="198" spans="1:76" x14ac:dyDescent="0.35">
      <c r="A198" s="168">
        <v>9</v>
      </c>
      <c r="B198" s="169">
        <f t="shared" si="234"/>
        <v>4.3220366358739355</v>
      </c>
      <c r="C198" s="170"/>
      <c r="D198" s="154">
        <f t="shared" si="235"/>
        <v>-40176.729141453878</v>
      </c>
      <c r="E198" s="154">
        <f t="shared" si="235"/>
        <v>5373.6409059383532</v>
      </c>
      <c r="F198" s="154">
        <f t="shared" si="235"/>
        <v>232070.14878432563</v>
      </c>
      <c r="G198" s="154">
        <f t="shared" si="244"/>
        <v>20654.243241804979</v>
      </c>
      <c r="H198" s="154">
        <f t="shared" si="236"/>
        <v>329812.96421350184</v>
      </c>
      <c r="I198" s="154">
        <f t="shared" si="236"/>
        <v>20.036762159735538</v>
      </c>
      <c r="J198" s="154">
        <f t="shared" si="236"/>
        <v>213348.96866340394</v>
      </c>
      <c r="K198" s="170"/>
      <c r="L198" s="171">
        <f t="shared" si="237"/>
        <v>-6.8056285510141824E-3</v>
      </c>
      <c r="M198" s="171">
        <f t="shared" si="237"/>
        <v>2.6617164874748394E-2</v>
      </c>
      <c r="N198" s="171">
        <f t="shared" si="237"/>
        <v>1.0633877809127644E-3</v>
      </c>
      <c r="O198" s="171">
        <f t="shared" si="238"/>
        <v>1.1513712458549038E-2</v>
      </c>
      <c r="P198" s="171">
        <f t="shared" si="238"/>
        <v>1.142311479971559E-2</v>
      </c>
      <c r="Q198" s="170"/>
      <c r="R198" s="154">
        <v>71089.465502642124</v>
      </c>
      <c r="S198" s="154">
        <v>2431.1164393118961</v>
      </c>
      <c r="T198" s="154">
        <v>2628007.0657660449</v>
      </c>
      <c r="U198" s="154">
        <v>344946.11423403519</v>
      </c>
      <c r="V198" s="154">
        <v>21.122334462361394</v>
      </c>
      <c r="W198" s="170"/>
      <c r="X198" s="154">
        <v>71573.273998743243</v>
      </c>
      <c r="Y198" s="154">
        <v>2366.4070122170201</v>
      </c>
      <c r="Z198" s="154">
        <v>2625212.4751641569</v>
      </c>
      <c r="AA198" s="154">
        <v>340974.5038610507</v>
      </c>
      <c r="AB198" s="154">
        <v>20.881051610959851</v>
      </c>
      <c r="AC198" s="170"/>
      <c r="AD198" s="154">
        <f t="shared" si="239"/>
        <v>-483.80849610111909</v>
      </c>
      <c r="AE198" s="154">
        <f t="shared" si="239"/>
        <v>64.709427094875991</v>
      </c>
      <c r="AF198" s="154">
        <f t="shared" si="239"/>
        <v>2794.5906018880196</v>
      </c>
      <c r="AG198" s="154">
        <f t="shared" si="239"/>
        <v>3971.6103729844908</v>
      </c>
      <c r="AH198" s="154">
        <f t="shared" si="239"/>
        <v>0.24128285140154304</v>
      </c>
      <c r="AI198" s="154">
        <v>2569.15</v>
      </c>
      <c r="AJ198" s="170"/>
      <c r="AK198" s="183">
        <f t="shared" ref="AK198:AP198" si="253">AD198/$E186</f>
        <v>-9.2957863447934337E-3</v>
      </c>
      <c r="AL198" s="183">
        <f t="shared" si="253"/>
        <v>1.2433122064111745E-3</v>
      </c>
      <c r="AM198" s="183">
        <f t="shared" si="253"/>
        <v>5.3694627865503969E-2</v>
      </c>
      <c r="AN198" s="183">
        <f t="shared" si="253"/>
        <v>7.6309617895409659E-2</v>
      </c>
      <c r="AO198" s="183">
        <f t="shared" si="253"/>
        <v>4.6359537985924577E-6</v>
      </c>
      <c r="AP198" s="183">
        <f t="shared" si="253"/>
        <v>4.9363063443876573E-2</v>
      </c>
      <c r="AQ198" s="170"/>
      <c r="AR198" s="184">
        <f t="shared" si="246"/>
        <v>1.3658968124859188</v>
      </c>
      <c r="AS198" s="184">
        <f t="shared" si="241"/>
        <v>4.6710918020825734E-2</v>
      </c>
      <c r="AT198" s="184">
        <f t="shared" si="241"/>
        <v>50.493929711525283</v>
      </c>
      <c r="AU198" s="184">
        <f t="shared" si="241"/>
        <v>6.6277161402227875</v>
      </c>
      <c r="AV198" s="184">
        <f t="shared" si="241"/>
        <v>4.0583972759407821E-4</v>
      </c>
      <c r="AW198" s="170"/>
      <c r="AX198" s="172">
        <f t="shared" si="242"/>
        <v>5903456.064387572</v>
      </c>
      <c r="AY198" s="172">
        <f t="shared" si="242"/>
        <v>201886.29898131287</v>
      </c>
      <c r="AZ198" s="172">
        <f t="shared" si="242"/>
        <v>218236614.10245568</v>
      </c>
      <c r="BA198" s="172">
        <f t="shared" si="242"/>
        <v>28645231.970215883</v>
      </c>
      <c r="BB198" s="172">
        <f t="shared" si="242"/>
        <v>1754.054170954704</v>
      </c>
      <c r="BC198" s="170"/>
      <c r="BD198" s="325">
        <f>X198/$E186</f>
        <v>1.3751925988307121</v>
      </c>
      <c r="BE198" s="325">
        <f>Y198/$E186</f>
        <v>4.5467605814414558E-2</v>
      </c>
      <c r="BF198" s="325">
        <f>Z198/$E186</f>
        <v>50.440235083659779</v>
      </c>
      <c r="BG198" s="325">
        <f>AA198/$E186</f>
        <v>6.5514065223273779</v>
      </c>
      <c r="BH198" s="325">
        <f>AB198/$E186</f>
        <v>4.0120377379548574E-4</v>
      </c>
      <c r="BI198" s="326"/>
      <c r="BJ198" s="320">
        <f t="shared" si="243"/>
        <v>5943632.7935290253</v>
      </c>
      <c r="BK198" s="320">
        <f t="shared" si="243"/>
        <v>196512.65807537449</v>
      </c>
      <c r="BL198" s="320">
        <f t="shared" si="243"/>
        <v>218004543.95367137</v>
      </c>
      <c r="BM198" s="320">
        <f t="shared" si="243"/>
        <v>28315419.006002378</v>
      </c>
      <c r="BN198" s="320">
        <f t="shared" si="243"/>
        <v>1734.0174087949686</v>
      </c>
      <c r="BO198" s="83"/>
      <c r="BP198" s="83"/>
      <c r="BQ198" s="83"/>
      <c r="BR198" s="83"/>
      <c r="BS198" s="83"/>
      <c r="BT198" s="83"/>
      <c r="BU198" s="83"/>
      <c r="BV198" s="83"/>
      <c r="BW198" s="83"/>
      <c r="BX198" s="83"/>
    </row>
    <row r="199" spans="1:76" x14ac:dyDescent="0.35">
      <c r="A199" s="168">
        <v>10</v>
      </c>
      <c r="B199" s="169">
        <f t="shared" si="234"/>
        <v>3.4411950035389745</v>
      </c>
      <c r="C199" s="170"/>
      <c r="D199" s="154">
        <f t="shared" si="235"/>
        <v>-41625.105451435113</v>
      </c>
      <c r="E199" s="154">
        <f t="shared" si="235"/>
        <v>5140.6615073438716</v>
      </c>
      <c r="F199" s="154">
        <f t="shared" si="235"/>
        <v>197560.80183090802</v>
      </c>
      <c r="G199" s="154">
        <f t="shared" si="244"/>
        <v>17582.911362950814</v>
      </c>
      <c r="H199" s="154">
        <f t="shared" si="236"/>
        <v>304964.33053471625</v>
      </c>
      <c r="I199" s="154">
        <f t="shared" si="236"/>
        <v>18.518202826976143</v>
      </c>
      <c r="J199" s="154">
        <f t="shared" si="236"/>
        <v>169867.92728244545</v>
      </c>
      <c r="K199" s="170"/>
      <c r="L199" s="171">
        <f t="shared" si="237"/>
        <v>-8.7126005624300999E-3</v>
      </c>
      <c r="M199" s="171">
        <f t="shared" si="237"/>
        <v>2.9032457654734865E-2</v>
      </c>
      <c r="N199" s="171">
        <f t="shared" si="237"/>
        <v>1.135077183249709E-3</v>
      </c>
      <c r="O199" s="171">
        <f t="shared" si="238"/>
        <v>1.2477442642992609E-2</v>
      </c>
      <c r="P199" s="171">
        <f t="shared" si="238"/>
        <v>1.2375348626420209E-2</v>
      </c>
      <c r="Q199" s="170"/>
      <c r="R199" s="154">
        <v>72257.946741257183</v>
      </c>
      <c r="S199" s="154">
        <v>2678.0166983672111</v>
      </c>
      <c r="T199" s="154">
        <v>2632409.5645312043</v>
      </c>
      <c r="U199" s="154">
        <v>369659.2155988302</v>
      </c>
      <c r="V199" s="154">
        <v>22.631819355575097</v>
      </c>
      <c r="W199" s="170"/>
      <c r="X199" s="154">
        <v>72887.501368675104</v>
      </c>
      <c r="Y199" s="154">
        <v>2600.2672919731922</v>
      </c>
      <c r="Z199" s="154">
        <v>2629421.5764975366</v>
      </c>
      <c r="AA199" s="154">
        <v>365046.81393874215</v>
      </c>
      <c r="AB199" s="154">
        <v>22.35174270099969</v>
      </c>
      <c r="AC199" s="170"/>
      <c r="AD199" s="154">
        <f t="shared" si="239"/>
        <v>-629.55462741792144</v>
      </c>
      <c r="AE199" s="154">
        <f t="shared" si="239"/>
        <v>77.749406394018933</v>
      </c>
      <c r="AF199" s="154">
        <f t="shared" si="239"/>
        <v>2987.9880336676724</v>
      </c>
      <c r="AG199" s="154">
        <f t="shared" si="239"/>
        <v>4612.4016600880423</v>
      </c>
      <c r="AH199" s="154">
        <f t="shared" si="239"/>
        <v>0.28007665457540654</v>
      </c>
      <c r="AI199" s="154">
        <v>2569.15</v>
      </c>
      <c r="AJ199" s="170"/>
      <c r="AK199" s="183">
        <f t="shared" ref="AK199:AP199" si="254">AD199/$E186</f>
        <v>-1.2096119344770423E-2</v>
      </c>
      <c r="AL199" s="183">
        <f t="shared" si="254"/>
        <v>1.4938594011839322E-3</v>
      </c>
      <c r="AM199" s="183">
        <f t="shared" si="254"/>
        <v>5.7410522108666803E-2</v>
      </c>
      <c r="AN199" s="183">
        <f t="shared" si="254"/>
        <v>8.862163586227649E-2</v>
      </c>
      <c r="AO199" s="183">
        <f t="shared" si="254"/>
        <v>5.3813291045499473E-6</v>
      </c>
      <c r="AP199" s="183">
        <f t="shared" si="254"/>
        <v>4.9363063443876573E-2</v>
      </c>
      <c r="AQ199" s="170"/>
      <c r="AR199" s="184">
        <f t="shared" si="246"/>
        <v>1.3883477450958226</v>
      </c>
      <c r="AS199" s="184">
        <f t="shared" si="241"/>
        <v>5.1454803411735986E-2</v>
      </c>
      <c r="AT199" s="184">
        <f t="shared" si="241"/>
        <v>50.578518320931565</v>
      </c>
      <c r="AU199" s="184">
        <f t="shared" si="241"/>
        <v>7.1025480459368673</v>
      </c>
      <c r="AV199" s="184">
        <f t="shared" si="241"/>
        <v>4.3484262682194782E-4</v>
      </c>
      <c r="AW199" s="170"/>
      <c r="AX199" s="172">
        <f t="shared" si="242"/>
        <v>4777575.3235983457</v>
      </c>
      <c r="AY199" s="172">
        <f t="shared" si="242"/>
        <v>177066.01240854606</v>
      </c>
      <c r="AZ199" s="172">
        <f t="shared" si="242"/>
        <v>174050544.53239417</v>
      </c>
      <c r="BA199" s="172">
        <f t="shared" si="242"/>
        <v>24441252.848073453</v>
      </c>
      <c r="BB199" s="172">
        <f t="shared" si="242"/>
        <v>1496.3782747454497</v>
      </c>
      <c r="BC199" s="170"/>
      <c r="BD199" s="325">
        <f>X199/$E186</f>
        <v>1.400443864440593</v>
      </c>
      <c r="BE199" s="325">
        <f>Y199/$E186</f>
        <v>4.9960944010552052E-2</v>
      </c>
      <c r="BF199" s="325">
        <f>Z199/$E186</f>
        <v>50.521107798822896</v>
      </c>
      <c r="BG199" s="325">
        <f>AA199/$E186</f>
        <v>7.0139264100745908</v>
      </c>
      <c r="BH199" s="325">
        <f>AB199/$E186</f>
        <v>4.2946129771739789E-4</v>
      </c>
      <c r="BI199" s="326"/>
      <c r="BJ199" s="320">
        <f t="shared" si="243"/>
        <v>4819200.4290497815</v>
      </c>
      <c r="BK199" s="320">
        <f t="shared" si="243"/>
        <v>171925.35090120218</v>
      </c>
      <c r="BL199" s="320">
        <f t="shared" si="243"/>
        <v>173852983.73056325</v>
      </c>
      <c r="BM199" s="320">
        <f t="shared" si="243"/>
        <v>24136288.517538738</v>
      </c>
      <c r="BN199" s="320">
        <f t="shared" si="243"/>
        <v>1477.8600719184737</v>
      </c>
      <c r="BO199" s="83"/>
      <c r="BP199" s="83"/>
      <c r="BQ199" s="83"/>
      <c r="BR199" s="83"/>
      <c r="BS199" s="83"/>
      <c r="BT199" s="83"/>
      <c r="BU199" s="83"/>
      <c r="BV199" s="83"/>
      <c r="BW199" s="83"/>
      <c r="BX199" s="83"/>
    </row>
    <row r="200" spans="1:76" x14ac:dyDescent="0.35">
      <c r="A200" s="168">
        <v>11</v>
      </c>
      <c r="B200" s="169">
        <f t="shared" si="234"/>
        <v>0.63682484280836382</v>
      </c>
      <c r="C200" s="170"/>
      <c r="D200" s="154">
        <f t="shared" si="235"/>
        <v>-20644.942026238736</v>
      </c>
      <c r="E200" s="154">
        <f t="shared" si="235"/>
        <v>2440.5142128311013</v>
      </c>
      <c r="F200" s="154">
        <f t="shared" si="235"/>
        <v>85274.06562871889</v>
      </c>
      <c r="G200" s="154">
        <f t="shared" si="244"/>
        <v>7589.391840955981</v>
      </c>
      <c r="H200" s="154">
        <f t="shared" si="236"/>
        <v>154082.0897425104</v>
      </c>
      <c r="I200" s="154">
        <f t="shared" si="236"/>
        <v>9.1675268851301439</v>
      </c>
      <c r="J200" s="154">
        <f t="shared" si="236"/>
        <v>31435.625118185992</v>
      </c>
      <c r="K200" s="170"/>
      <c r="L200" s="171">
        <f t="shared" si="237"/>
        <v>-2.2567797014416718E-2</v>
      </c>
      <c r="M200" s="171">
        <f t="shared" si="237"/>
        <v>3.226206812279464E-2</v>
      </c>
      <c r="N200" s="171">
        <f t="shared" si="237"/>
        <v>1.955662432592856E-3</v>
      </c>
      <c r="O200" s="171">
        <f t="shared" si="238"/>
        <v>1.7778249510082934E-2</v>
      </c>
      <c r="P200" s="171">
        <f t="shared" si="238"/>
        <v>1.7500500190687246E-2</v>
      </c>
      <c r="Q200" s="170"/>
      <c r="R200" s="154">
        <v>74763.885045421412</v>
      </c>
      <c r="S200" s="154">
        <v>6182.3914191850008</v>
      </c>
      <c r="T200" s="154">
        <v>3563612.1953341207</v>
      </c>
      <c r="U200" s="154">
        <v>708321.66128635092</v>
      </c>
      <c r="V200" s="154">
        <v>42.812352337238508</v>
      </c>
      <c r="W200" s="170"/>
      <c r="X200" s="154">
        <v>76451.141227135668</v>
      </c>
      <c r="Y200" s="154">
        <v>5982.9346860574733</v>
      </c>
      <c r="Z200" s="154">
        <v>3556642.972839376</v>
      </c>
      <c r="AA200" s="154">
        <v>695728.94205860572</v>
      </c>
      <c r="AB200" s="154">
        <v>42.063114756996896</v>
      </c>
      <c r="AC200" s="170"/>
      <c r="AD200" s="154">
        <f t="shared" si="239"/>
        <v>-1687.2561817142559</v>
      </c>
      <c r="AE200" s="154">
        <f t="shared" si="239"/>
        <v>199.45673312752751</v>
      </c>
      <c r="AF200" s="154">
        <f t="shared" si="239"/>
        <v>6969.2224947446957</v>
      </c>
      <c r="AG200" s="154">
        <f t="shared" si="239"/>
        <v>12592.719227745198</v>
      </c>
      <c r="AH200" s="154">
        <f t="shared" si="239"/>
        <v>0.74923758024161202</v>
      </c>
      <c r="AI200" s="154">
        <v>2569.15</v>
      </c>
      <c r="AJ200" s="170"/>
      <c r="AK200" s="183">
        <f t="shared" ref="AK200:AP200" si="255">AD200/$E186</f>
        <v>-3.2418556310076778E-2</v>
      </c>
      <c r="AL200" s="183">
        <f t="shared" si="255"/>
        <v>3.8323162803582892E-3</v>
      </c>
      <c r="AM200" s="183">
        <f t="shared" si="255"/>
        <v>0.13390505504255265</v>
      </c>
      <c r="AN200" s="183">
        <f t="shared" si="255"/>
        <v>0.24195364154296578</v>
      </c>
      <c r="AO200" s="183">
        <f t="shared" si="255"/>
        <v>1.4395680364324099E-5</v>
      </c>
      <c r="AP200" s="183">
        <f t="shared" si="255"/>
        <v>4.9363063443876573E-2</v>
      </c>
      <c r="AQ200" s="170"/>
      <c r="AR200" s="184">
        <f t="shared" si="246"/>
        <v>1.4364962734008648</v>
      </c>
      <c r="AS200" s="184">
        <f t="shared" si="241"/>
        <v>0.11878706181426048</v>
      </c>
      <c r="AT200" s="184">
        <f t="shared" si="241"/>
        <v>68.470433757332373</v>
      </c>
      <c r="AU200" s="184">
        <f t="shared" si="241"/>
        <v>13.609531208668312</v>
      </c>
      <c r="AV200" s="184">
        <f t="shared" si="241"/>
        <v>8.2258679508969963E-4</v>
      </c>
      <c r="AW200" s="170"/>
      <c r="AX200" s="172">
        <f t="shared" si="242"/>
        <v>914796.5135033062</v>
      </c>
      <c r="AY200" s="172">
        <f t="shared" si="242"/>
        <v>75646.551967533829</v>
      </c>
      <c r="AZ200" s="172">
        <f t="shared" si="242"/>
        <v>43603673.214533679</v>
      </c>
      <c r="BA200" s="172">
        <f t="shared" si="242"/>
        <v>8666887.5726557188</v>
      </c>
      <c r="BB200" s="172">
        <f t="shared" si="242"/>
        <v>523.84370647923379</v>
      </c>
      <c r="BC200" s="170"/>
      <c r="BD200" s="325">
        <f>X200/$E186</f>
        <v>1.4689148297109416</v>
      </c>
      <c r="BE200" s="325">
        <f>Y200/$E186</f>
        <v>0.11495474553390218</v>
      </c>
      <c r="BF200" s="325">
        <f>Z200/$E186</f>
        <v>68.336528702289826</v>
      </c>
      <c r="BG200" s="325">
        <f>AA200/$E186</f>
        <v>13.367577567125345</v>
      </c>
      <c r="BH200" s="325">
        <f>AB200/$E186</f>
        <v>8.0819111472537556E-4</v>
      </c>
      <c r="BI200" s="326"/>
      <c r="BJ200" s="320">
        <f t="shared" si="243"/>
        <v>935441.45552954485</v>
      </c>
      <c r="BK200" s="320">
        <f t="shared" si="243"/>
        <v>73206.037754702716</v>
      </c>
      <c r="BL200" s="320">
        <f t="shared" si="243"/>
        <v>43518399.148904964</v>
      </c>
      <c r="BM200" s="320">
        <f t="shared" si="243"/>
        <v>8512805.4829132091</v>
      </c>
      <c r="BN200" s="320">
        <f t="shared" si="243"/>
        <v>514.67617959410359</v>
      </c>
      <c r="BO200" s="83"/>
      <c r="BP200" s="83"/>
      <c r="BQ200" s="83"/>
      <c r="BR200" s="83"/>
      <c r="BS200" s="83"/>
      <c r="BT200" s="83"/>
      <c r="BU200" s="83"/>
      <c r="BV200" s="83"/>
      <c r="BW200" s="83"/>
      <c r="BX200" s="83"/>
    </row>
    <row r="201" spans="1:76" x14ac:dyDescent="0.35">
      <c r="A201" s="168">
        <v>12</v>
      </c>
      <c r="B201" s="169">
        <f t="shared" si="234"/>
        <v>3.1866906737786787</v>
      </c>
      <c r="C201" s="170"/>
      <c r="D201" s="154">
        <f t="shared" si="235"/>
        <v>-91774.075199909741</v>
      </c>
      <c r="E201" s="154">
        <f t="shared" si="235"/>
        <v>10812.253670377599</v>
      </c>
      <c r="F201" s="154">
        <f t="shared" si="235"/>
        <v>245162.96767901536</v>
      </c>
      <c r="G201" s="154">
        <f t="shared" si="244"/>
        <v>21819.504123432365</v>
      </c>
      <c r="H201" s="154">
        <f t="shared" si="236"/>
        <v>682189.00447900512</v>
      </c>
      <c r="I201" s="154">
        <f t="shared" si="236"/>
        <v>40.587730054275745</v>
      </c>
      <c r="J201" s="154">
        <f t="shared" si="236"/>
        <v>157304.81390574668</v>
      </c>
      <c r="K201" s="170"/>
      <c r="L201" s="171">
        <f t="shared" si="237"/>
        <v>-2.1015972165337529E-2</v>
      </c>
      <c r="M201" s="171">
        <f t="shared" si="237"/>
        <v>3.1675122933098925E-2</v>
      </c>
      <c r="N201" s="171">
        <f t="shared" si="237"/>
        <v>1.2200695560255757E-3</v>
      </c>
      <c r="O201" s="171">
        <f t="shared" si="238"/>
        <v>1.7295496289075597E-2</v>
      </c>
      <c r="P201" s="171">
        <f t="shared" si="238"/>
        <v>1.7022128619085537E-2</v>
      </c>
      <c r="Q201" s="170"/>
      <c r="R201" s="154">
        <v>71321.091384905594</v>
      </c>
      <c r="S201" s="154">
        <v>5575.0063353822152</v>
      </c>
      <c r="T201" s="154">
        <v>3281842.4436718179</v>
      </c>
      <c r="U201" s="154">
        <v>644197.64781345229</v>
      </c>
      <c r="V201" s="154">
        <v>38.942904854937609</v>
      </c>
      <c r="W201" s="170"/>
      <c r="X201" s="154">
        <v>72819.973456252264</v>
      </c>
      <c r="Y201" s="154">
        <v>5398.4173243561781</v>
      </c>
      <c r="Z201" s="154">
        <v>3277838.3676186213</v>
      </c>
      <c r="AA201" s="154">
        <v>633055.9297862635</v>
      </c>
      <c r="AB201" s="154">
        <v>38.280013719696051</v>
      </c>
      <c r="AC201" s="170"/>
      <c r="AD201" s="154">
        <f t="shared" si="239"/>
        <v>-1498.8820713466703</v>
      </c>
      <c r="AE201" s="154">
        <f t="shared" si="239"/>
        <v>176.58901102603704</v>
      </c>
      <c r="AF201" s="154">
        <f t="shared" si="239"/>
        <v>4004.0760531965643</v>
      </c>
      <c r="AG201" s="154">
        <f t="shared" si="239"/>
        <v>11141.718027188792</v>
      </c>
      <c r="AH201" s="154">
        <f t="shared" si="239"/>
        <v>0.66289113524155852</v>
      </c>
      <c r="AI201" s="154">
        <v>2569.15</v>
      </c>
      <c r="AJ201" s="170"/>
      <c r="AK201" s="183">
        <f t="shared" ref="AK201:AP201" si="256">AD201/$E186</f>
        <v>-2.8799179021378594E-2</v>
      </c>
      <c r="AL201" s="183">
        <f t="shared" si="256"/>
        <v>3.3929410718602205E-3</v>
      </c>
      <c r="AM201" s="183">
        <f t="shared" si="256"/>
        <v>7.6933406086857101E-2</v>
      </c>
      <c r="AN201" s="183">
        <f t="shared" si="256"/>
        <v>0.21407443467680112</v>
      </c>
      <c r="AO201" s="183">
        <f t="shared" si="256"/>
        <v>1.2736639419774017E-5</v>
      </c>
      <c r="AP201" s="183">
        <f t="shared" si="256"/>
        <v>4.9363063443876573E-2</v>
      </c>
      <c r="AQ201" s="170"/>
      <c r="AR201" s="184">
        <f t="shared" si="246"/>
        <v>1.3703472194771087</v>
      </c>
      <c r="AS201" s="184">
        <f t="shared" si="241"/>
        <v>0.10711690303543434</v>
      </c>
      <c r="AT201" s="184">
        <f t="shared" si="241"/>
        <v>63.056573870649387</v>
      </c>
      <c r="AU201" s="184">
        <f t="shared" si="241"/>
        <v>12.377467006368448</v>
      </c>
      <c r="AV201" s="184">
        <f t="shared" si="241"/>
        <v>7.4824011172688789E-4</v>
      </c>
      <c r="AW201" s="170"/>
      <c r="AX201" s="172">
        <f t="shared" si="242"/>
        <v>4366872.7041462464</v>
      </c>
      <c r="AY201" s="172">
        <f t="shared" si="242"/>
        <v>341348.43590707367</v>
      </c>
      <c r="AZ201" s="172">
        <f t="shared" si="242"/>
        <v>200941795.8740347</v>
      </c>
      <c r="BA201" s="172">
        <f t="shared" si="242"/>
        <v>39443158.674197637</v>
      </c>
      <c r="BB201" s="172">
        <f t="shared" si="242"/>
        <v>2384.4097857871902</v>
      </c>
      <c r="BC201" s="170"/>
      <c r="BD201" s="325">
        <f>X201/$E186</f>
        <v>1.3991463984984871</v>
      </c>
      <c r="BE201" s="325">
        <f>Y201/$E186</f>
        <v>0.10372396196357411</v>
      </c>
      <c r="BF201" s="325">
        <f>Z201/$E186</f>
        <v>62.979640464562529</v>
      </c>
      <c r="BG201" s="325">
        <f>AA201/$E186</f>
        <v>12.163392571691647</v>
      </c>
      <c r="BH201" s="325">
        <f>AB201/$E186</f>
        <v>7.3550347230711386E-4</v>
      </c>
      <c r="BI201" s="326"/>
      <c r="BJ201" s="320">
        <f t="shared" si="243"/>
        <v>4458646.7793461559</v>
      </c>
      <c r="BK201" s="320">
        <f t="shared" si="243"/>
        <v>330536.18223669601</v>
      </c>
      <c r="BL201" s="320">
        <f t="shared" si="243"/>
        <v>200696632.90635568</v>
      </c>
      <c r="BM201" s="320">
        <f t="shared" si="243"/>
        <v>38760969.669718623</v>
      </c>
      <c r="BN201" s="320">
        <f t="shared" si="243"/>
        <v>2343.8220557329146</v>
      </c>
      <c r="BO201" s="83"/>
      <c r="BP201" s="83"/>
      <c r="BQ201" s="83"/>
      <c r="BR201" s="83"/>
      <c r="BS201" s="83"/>
      <c r="BT201" s="83"/>
      <c r="BU201" s="83"/>
      <c r="BV201" s="83"/>
      <c r="BW201" s="83"/>
      <c r="BX201" s="83"/>
    </row>
    <row r="202" spans="1:76" x14ac:dyDescent="0.35">
      <c r="A202" s="168">
        <v>13</v>
      </c>
      <c r="B202" s="169">
        <f t="shared" si="234"/>
        <v>1.0870929877823599</v>
      </c>
      <c r="C202" s="170"/>
      <c r="D202" s="154">
        <f t="shared" si="235"/>
        <v>-26758.257951666135</v>
      </c>
      <c r="E202" s="154">
        <f t="shared" si="235"/>
        <v>3159.6323665507821</v>
      </c>
      <c r="F202" s="154">
        <f t="shared" si="235"/>
        <v>77070.237948983922</v>
      </c>
      <c r="G202" s="154">
        <f t="shared" si="244"/>
        <v>6859.2511774595687</v>
      </c>
      <c r="H202" s="154">
        <f t="shared" si="236"/>
        <v>198881.15872673213</v>
      </c>
      <c r="I202" s="154">
        <f t="shared" si="236"/>
        <v>11.831700245530586</v>
      </c>
      <c r="J202" s="154">
        <f t="shared" si="236"/>
        <v>53662.240125293967</v>
      </c>
      <c r="K202" s="170"/>
      <c r="L202" s="171">
        <f t="shared" si="237"/>
        <v>-1.7101455293571061E-2</v>
      </c>
      <c r="M202" s="171">
        <f t="shared" si="237"/>
        <v>3.2126517327121143E-2</v>
      </c>
      <c r="N202" s="171">
        <f t="shared" si="237"/>
        <v>1.1571207320262159E-3</v>
      </c>
      <c r="O202" s="171">
        <f t="shared" si="238"/>
        <v>1.6709309457595061E-2</v>
      </c>
      <c r="P202" s="171">
        <f t="shared" si="238"/>
        <v>1.6429705209292853E-2</v>
      </c>
      <c r="Q202" s="170"/>
      <c r="R202" s="154">
        <v>74910.971555042648</v>
      </c>
      <c r="S202" s="154">
        <v>4708.6191934066946</v>
      </c>
      <c r="T202" s="154">
        <v>3188810.3282321789</v>
      </c>
      <c r="U202" s="154">
        <v>569843.7671038328</v>
      </c>
      <c r="V202" s="154">
        <v>34.477681246729937</v>
      </c>
      <c r="W202" s="170"/>
      <c r="X202" s="154">
        <v>76192.058186089183</v>
      </c>
      <c r="Y202" s="154">
        <v>4557.3476573028993</v>
      </c>
      <c r="Z202" s="154">
        <v>3185120.4896908822</v>
      </c>
      <c r="AA202" s="154">
        <v>560322.07125681313</v>
      </c>
      <c r="AB202" s="154">
        <v>33.911223107546199</v>
      </c>
      <c r="AC202" s="170"/>
      <c r="AD202" s="154">
        <f t="shared" si="239"/>
        <v>-1281.0866310465353</v>
      </c>
      <c r="AE202" s="154">
        <f t="shared" si="239"/>
        <v>151.27153610379537</v>
      </c>
      <c r="AF202" s="154">
        <f t="shared" si="239"/>
        <v>3689.8385412967764</v>
      </c>
      <c r="AG202" s="154">
        <f t="shared" si="239"/>
        <v>9521.6958470196696</v>
      </c>
      <c r="AH202" s="154">
        <f t="shared" si="239"/>
        <v>0.56645813918373733</v>
      </c>
      <c r="AI202" s="154">
        <v>2569.15</v>
      </c>
      <c r="AJ202" s="170"/>
      <c r="AK202" s="183">
        <f t="shared" ref="AK202:AP202" si="257">AD202/$E186</f>
        <v>-2.4614506994707283E-2</v>
      </c>
      <c r="AL202" s="183">
        <f t="shared" si="257"/>
        <v>2.9064968701493941E-3</v>
      </c>
      <c r="AM202" s="183">
        <f t="shared" si="257"/>
        <v>7.0895718043591752E-2</v>
      </c>
      <c r="AN202" s="183">
        <f t="shared" si="257"/>
        <v>0.18294769717211062</v>
      </c>
      <c r="AO202" s="183">
        <f t="shared" si="257"/>
        <v>1.088379777857544E-5</v>
      </c>
      <c r="AP202" s="183">
        <f t="shared" si="257"/>
        <v>4.9363063443876573E-2</v>
      </c>
      <c r="AQ202" s="170"/>
      <c r="AR202" s="184">
        <f t="shared" si="246"/>
        <v>1.4393223601245562</v>
      </c>
      <c r="AS202" s="184">
        <f t="shared" si="241"/>
        <v>9.0470337651437083E-2</v>
      </c>
      <c r="AT202" s="184">
        <f t="shared" si="241"/>
        <v>61.269075975717229</v>
      </c>
      <c r="AU202" s="184">
        <f t="shared" si="241"/>
        <v>10.948848462971847</v>
      </c>
      <c r="AV202" s="184">
        <f t="shared" si="241"/>
        <v>6.6244632146043761E-4</v>
      </c>
      <c r="AW202" s="170"/>
      <c r="AX202" s="172">
        <f t="shared" si="242"/>
        <v>1564677.2448497615</v>
      </c>
      <c r="AY202" s="172">
        <f t="shared" si="242"/>
        <v>98349.669663179666</v>
      </c>
      <c r="AZ202" s="172">
        <f t="shared" si="242"/>
        <v>66605182.861106843</v>
      </c>
      <c r="BA202" s="172">
        <f t="shared" si="242"/>
        <v>11902416.388388364</v>
      </c>
      <c r="BB202" s="172">
        <f t="shared" si="242"/>
        <v>720.14075084186072</v>
      </c>
      <c r="BC202" s="170"/>
      <c r="BD202" s="325">
        <f>X202/$E186</f>
        <v>1.4639368671192634</v>
      </c>
      <c r="BE202" s="325">
        <f>Y202/$E186</f>
        <v>8.7563840781287691E-2</v>
      </c>
      <c r="BF202" s="325">
        <f>Z202/$E186</f>
        <v>61.198180257673641</v>
      </c>
      <c r="BG202" s="325">
        <f>AA202/$E186</f>
        <v>10.765900765799737</v>
      </c>
      <c r="BH202" s="325">
        <f>AB202/$E186</f>
        <v>6.5156252368186215E-4</v>
      </c>
      <c r="BI202" s="326"/>
      <c r="BJ202" s="320">
        <f t="shared" si="243"/>
        <v>1591435.5028014276</v>
      </c>
      <c r="BK202" s="320">
        <f t="shared" si="243"/>
        <v>95190.037296628885</v>
      </c>
      <c r="BL202" s="320">
        <f t="shared" si="243"/>
        <v>66528112.623157866</v>
      </c>
      <c r="BM202" s="320">
        <f t="shared" si="243"/>
        <v>11703535.229661632</v>
      </c>
      <c r="BN202" s="320">
        <f t="shared" si="243"/>
        <v>708.30905059633017</v>
      </c>
      <c r="BO202" s="83"/>
      <c r="BP202" s="83"/>
      <c r="BQ202" s="83"/>
      <c r="BR202" s="83"/>
      <c r="BS202" s="83"/>
      <c r="BT202" s="83"/>
      <c r="BU202" s="83"/>
      <c r="BV202" s="83"/>
      <c r="BW202" s="83"/>
      <c r="BX202" s="83"/>
    </row>
    <row r="203" spans="1:76" x14ac:dyDescent="0.35">
      <c r="A203" s="168">
        <v>14</v>
      </c>
      <c r="B203" s="169">
        <f t="shared" si="234"/>
        <v>0.73957439323256369</v>
      </c>
      <c r="C203" s="170"/>
      <c r="D203" s="154">
        <f t="shared" si="235"/>
        <v>-23170.621055815547</v>
      </c>
      <c r="E203" s="154">
        <f t="shared" si="235"/>
        <v>2606.9627923200051</v>
      </c>
      <c r="F203" s="154">
        <f t="shared" si="235"/>
        <v>33659.985991999507</v>
      </c>
      <c r="G203" s="154">
        <f t="shared" si="244"/>
        <v>2995.7387532879561</v>
      </c>
      <c r="H203" s="154">
        <f t="shared" si="236"/>
        <v>151270.6497901711</v>
      </c>
      <c r="I203" s="154">
        <f t="shared" si="236"/>
        <v>9.182561670274346</v>
      </c>
      <c r="J203" s="154">
        <f t="shared" si="236"/>
        <v>36507.657694605557</v>
      </c>
      <c r="K203" s="170"/>
      <c r="L203" s="171">
        <f t="shared" si="237"/>
        <v>-2.1310751695122792E-2</v>
      </c>
      <c r="M203" s="171">
        <f t="shared" si="237"/>
        <v>3.4664211594072909E-2</v>
      </c>
      <c r="N203" s="171">
        <f t="shared" si="237"/>
        <v>6.6319176074047369E-4</v>
      </c>
      <c r="O203" s="171">
        <f t="shared" si="238"/>
        <v>1.713689003690792E-2</v>
      </c>
      <c r="P203" s="171">
        <f t="shared" si="238"/>
        <v>1.7009634383983382E-2</v>
      </c>
      <c r="Q203" s="170"/>
      <c r="R203" s="154">
        <v>76514.614978949452</v>
      </c>
      <c r="S203" s="154">
        <v>5292.4772184065232</v>
      </c>
      <c r="T203" s="154">
        <v>3571743.8067085659</v>
      </c>
      <c r="U203" s="154">
        <v>621195.28967646498</v>
      </c>
      <c r="V203" s="154">
        <v>37.9904437640525</v>
      </c>
      <c r="W203" s="170"/>
      <c r="X203" s="154">
        <v>78145.198939813767</v>
      </c>
      <c r="Y203" s="154">
        <v>5109.0176682508691</v>
      </c>
      <c r="Z203" s="154">
        <v>3569375.055644481</v>
      </c>
      <c r="AA203" s="154">
        <v>610549.93430583423</v>
      </c>
      <c r="AB203" s="154">
        <v>37.344240205540686</v>
      </c>
      <c r="AC203" s="170"/>
      <c r="AD203" s="154">
        <f t="shared" si="239"/>
        <v>-1630.5839608643146</v>
      </c>
      <c r="AE203" s="154">
        <f t="shared" si="239"/>
        <v>183.45955015565414</v>
      </c>
      <c r="AF203" s="154">
        <f t="shared" si="239"/>
        <v>2368.7510640849359</v>
      </c>
      <c r="AG203" s="154">
        <f t="shared" si="239"/>
        <v>10645.355370630743</v>
      </c>
      <c r="AH203" s="154">
        <f t="shared" si="239"/>
        <v>0.64620355851181444</v>
      </c>
      <c r="AI203" s="154">
        <v>2569.15</v>
      </c>
      <c r="AJ203" s="170"/>
      <c r="AK203" s="183">
        <f t="shared" ref="AK203:AP203" si="258">AD203/$E186</f>
        <v>-3.1329669155445466E-2</v>
      </c>
      <c r="AL203" s="183">
        <f t="shared" si="258"/>
        <v>3.5249500471823797E-3</v>
      </c>
      <c r="AM203" s="183">
        <f t="shared" si="258"/>
        <v>4.5512643893573686E-2</v>
      </c>
      <c r="AN203" s="183">
        <f t="shared" si="258"/>
        <v>0.20453743554991244</v>
      </c>
      <c r="AO203" s="183">
        <f t="shared" si="258"/>
        <v>1.2416008118045852E-5</v>
      </c>
      <c r="AP203" s="183">
        <f t="shared" si="258"/>
        <v>4.9363063443876573E-2</v>
      </c>
      <c r="AQ203" s="170"/>
      <c r="AR203" s="184">
        <f t="shared" si="246"/>
        <v>1.470134399933702</v>
      </c>
      <c r="AS203" s="184">
        <f t="shared" si="241"/>
        <v>0.10168845287642707</v>
      </c>
      <c r="AT203" s="184">
        <f t="shared" si="241"/>
        <v>68.626672687787078</v>
      </c>
      <c r="AU203" s="184">
        <f t="shared" si="241"/>
        <v>11.935504931723187</v>
      </c>
      <c r="AV203" s="184">
        <f t="shared" si="241"/>
        <v>7.2993974107621144E-4</v>
      </c>
      <c r="AW203" s="170"/>
      <c r="AX203" s="172">
        <f t="shared" si="242"/>
        <v>1087273.7568012867</v>
      </c>
      <c r="AY203" s="172">
        <f t="shared" si="242"/>
        <v>75206.175834841692</v>
      </c>
      <c r="AZ203" s="172">
        <f t="shared" si="242"/>
        <v>50754529.812639877</v>
      </c>
      <c r="BA203" s="172">
        <f t="shared" si="242"/>
        <v>8827193.8178034481</v>
      </c>
      <c r="BB203" s="172">
        <f t="shared" si="242"/>
        <v>539.8447411027737</v>
      </c>
      <c r="BC203" s="170"/>
      <c r="BD203" s="325">
        <f>X203/$E186</f>
        <v>1.5014640690891474</v>
      </c>
      <c r="BE203" s="325">
        <f>Y203/$E186</f>
        <v>9.8163502829244687E-2</v>
      </c>
      <c r="BF203" s="325">
        <f>Z203/$E186</f>
        <v>68.581160043893505</v>
      </c>
      <c r="BG203" s="325">
        <f>AA203/$E186</f>
        <v>11.730967496173275</v>
      </c>
      <c r="BH203" s="325">
        <f>AB203/$E186</f>
        <v>7.1752373295816559E-4</v>
      </c>
      <c r="BI203" s="326"/>
      <c r="BJ203" s="320">
        <f t="shared" si="243"/>
        <v>1110444.3778571023</v>
      </c>
      <c r="BK203" s="320">
        <f t="shared" si="243"/>
        <v>72599.213042521689</v>
      </c>
      <c r="BL203" s="320">
        <f t="shared" si="243"/>
        <v>50720869.826647878</v>
      </c>
      <c r="BM203" s="320">
        <f t="shared" si="243"/>
        <v>8675923.1680132765</v>
      </c>
      <c r="BN203" s="320">
        <f t="shared" si="243"/>
        <v>530.66217943249933</v>
      </c>
      <c r="BO203" s="83"/>
      <c r="BP203" s="83"/>
      <c r="BQ203" s="83"/>
      <c r="BR203" s="83"/>
      <c r="BS203" s="83"/>
      <c r="BT203" s="83"/>
      <c r="BU203" s="83"/>
      <c r="BV203" s="83"/>
      <c r="BW203" s="83"/>
      <c r="BX203" s="83"/>
    </row>
    <row r="204" spans="1:76" x14ac:dyDescent="0.35">
      <c r="A204" s="168">
        <v>15</v>
      </c>
      <c r="B204" s="169">
        <f t="shared" si="234"/>
        <v>0.54042134718678925</v>
      </c>
      <c r="C204" s="170"/>
      <c r="D204" s="154">
        <f t="shared" si="235"/>
        <v>-2755.7514020724807</v>
      </c>
      <c r="E204" s="154">
        <f t="shared" si="235"/>
        <v>365.65663730223997</v>
      </c>
      <c r="F204" s="154">
        <f t="shared" si="235"/>
        <v>9081.8502763602628</v>
      </c>
      <c r="G204" s="154">
        <f t="shared" si="244"/>
        <v>808.28467459606338</v>
      </c>
      <c r="H204" s="154">
        <f t="shared" si="236"/>
        <v>21811.836962468984</v>
      </c>
      <c r="I204" s="154">
        <f t="shared" si="236"/>
        <v>1.324574824858054</v>
      </c>
      <c r="J204" s="154">
        <f t="shared" si="236"/>
        <v>26676.853247606727</v>
      </c>
      <c r="K204" s="170"/>
      <c r="L204" s="171">
        <f t="shared" si="237"/>
        <v>-3.1763837558640333E-3</v>
      </c>
      <c r="M204" s="171">
        <f t="shared" si="237"/>
        <v>2.5497342521321294E-2</v>
      </c>
      <c r="N204" s="171">
        <f t="shared" si="237"/>
        <v>3.4318628489798188E-4</v>
      </c>
      <c r="O204" s="171">
        <f t="shared" si="238"/>
        <v>7.7654036032800923E-3</v>
      </c>
      <c r="P204" s="171">
        <f t="shared" si="238"/>
        <v>7.6884771868396505E-3</v>
      </c>
      <c r="Q204" s="170"/>
      <c r="R204" s="154">
        <v>83552.977743101335</v>
      </c>
      <c r="S204" s="154">
        <v>1381.126329104201</v>
      </c>
      <c r="T204" s="154">
        <v>2548585.9002283718</v>
      </c>
      <c r="U204" s="154">
        <v>270509.84248958982</v>
      </c>
      <c r="V204" s="154">
        <v>16.59170540835559</v>
      </c>
      <c r="W204" s="170"/>
      <c r="X204" s="154">
        <v>83818.374064358592</v>
      </c>
      <c r="Y204" s="154">
        <v>1345.911278025816</v>
      </c>
      <c r="Z204" s="154">
        <v>2547711.2605015291</v>
      </c>
      <c r="AA204" s="154">
        <v>268409.22438399843</v>
      </c>
      <c r="AB204" s="154">
        <v>16.464140459832684</v>
      </c>
      <c r="AC204" s="170"/>
      <c r="AD204" s="154">
        <f t="shared" si="239"/>
        <v>-265.3963212572562</v>
      </c>
      <c r="AE204" s="154">
        <f t="shared" si="239"/>
        <v>35.215051078384931</v>
      </c>
      <c r="AF204" s="154">
        <f t="shared" si="239"/>
        <v>874.63972684275359</v>
      </c>
      <c r="AG204" s="154">
        <f t="shared" si="239"/>
        <v>2100.6181055913912</v>
      </c>
      <c r="AH204" s="154">
        <f t="shared" si="239"/>
        <v>0.12756494852290601</v>
      </c>
      <c r="AI204" s="154">
        <v>2569.15</v>
      </c>
      <c r="AJ204" s="170"/>
      <c r="AK204" s="183">
        <f t="shared" ref="AK204:AP204" si="259">AD204/$E186</f>
        <v>-5.099264520947935E-3</v>
      </c>
      <c r="AL204" s="183">
        <f t="shared" si="259"/>
        <v>6.7661397760413735E-4</v>
      </c>
      <c r="AM204" s="183">
        <f t="shared" si="259"/>
        <v>1.6805128671612681E-2</v>
      </c>
      <c r="AN204" s="183">
        <f t="shared" si="259"/>
        <v>4.0360798247538548E-2</v>
      </c>
      <c r="AO204" s="183">
        <f t="shared" si="259"/>
        <v>2.4510038912290281E-6</v>
      </c>
      <c r="AP204" s="183">
        <f t="shared" si="259"/>
        <v>4.9363063443876573E-2</v>
      </c>
      <c r="AQ204" s="170"/>
      <c r="AR204" s="184">
        <f t="shared" si="246"/>
        <v>1.605367900378537</v>
      </c>
      <c r="AS204" s="184">
        <f t="shared" si="241"/>
        <v>2.65366469873612E-2</v>
      </c>
      <c r="AT204" s="184">
        <f t="shared" si="241"/>
        <v>48.967949510593932</v>
      </c>
      <c r="AU204" s="184">
        <f t="shared" si="241"/>
        <v>5.1975145542325984</v>
      </c>
      <c r="AV204" s="184">
        <f t="shared" si="241"/>
        <v>3.1878925197624389E-4</v>
      </c>
      <c r="AW204" s="170"/>
      <c r="AX204" s="172">
        <f t="shared" si="242"/>
        <v>867575.08345299633</v>
      </c>
      <c r="AY204" s="172">
        <f t="shared" si="242"/>
        <v>14340.970514729992</v>
      </c>
      <c r="AZ204" s="172">
        <f t="shared" si="242"/>
        <v>26463325.24348985</v>
      </c>
      <c r="BA204" s="172">
        <f t="shared" si="242"/>
        <v>2808847.8174213255</v>
      </c>
      <c r="BB204" s="172">
        <f t="shared" si="242"/>
        <v>172.28051702167053</v>
      </c>
      <c r="BC204" s="170"/>
      <c r="BD204" s="325">
        <f>X204/$E186</f>
        <v>1.6104671648994848</v>
      </c>
      <c r="BE204" s="325">
        <f>Y204/$E186</f>
        <v>2.5860033009757061E-2</v>
      </c>
      <c r="BF204" s="325">
        <f>Z204/$E186</f>
        <v>48.951144381922319</v>
      </c>
      <c r="BG204" s="325">
        <f>AA204/$E186</f>
        <v>5.1571537559850595</v>
      </c>
      <c r="BH204" s="325">
        <f>AB204/$E186</f>
        <v>3.1633824808501487E-4</v>
      </c>
      <c r="BI204" s="326"/>
      <c r="BJ204" s="320">
        <f t="shared" si="243"/>
        <v>870330.83485506871</v>
      </c>
      <c r="BK204" s="320">
        <f t="shared" si="243"/>
        <v>13975.313877427752</v>
      </c>
      <c r="BL204" s="320">
        <f t="shared" si="243"/>
        <v>26454243.393213488</v>
      </c>
      <c r="BM204" s="320">
        <f t="shared" si="243"/>
        <v>2787035.9804588561</v>
      </c>
      <c r="BN204" s="320">
        <f t="shared" si="243"/>
        <v>170.95594219681249</v>
      </c>
      <c r="BO204" s="83"/>
      <c r="BP204" s="83"/>
      <c r="BQ204" s="83"/>
      <c r="BR204" s="83"/>
      <c r="BS204" s="83"/>
      <c r="BT204" s="83"/>
      <c r="BU204" s="83"/>
      <c r="BV204" s="83"/>
      <c r="BW204" s="83"/>
      <c r="BX204" s="83"/>
    </row>
    <row r="205" spans="1:76" x14ac:dyDescent="0.35">
      <c r="A205" s="168">
        <v>16</v>
      </c>
      <c r="B205" s="169">
        <f t="shared" si="234"/>
        <v>0.22471443699088772</v>
      </c>
      <c r="C205" s="170"/>
      <c r="D205" s="154">
        <f t="shared" si="235"/>
        <v>-18639.899307500749</v>
      </c>
      <c r="E205" s="154">
        <f t="shared" si="235"/>
        <v>1806.1664090404333</v>
      </c>
      <c r="F205" s="154">
        <f t="shared" si="235"/>
        <v>-6855.9990401124041</v>
      </c>
      <c r="G205" s="154">
        <f t="shared" si="244"/>
        <v>-610.18391457000394</v>
      </c>
      <c r="H205" s="154">
        <f t="shared" si="236"/>
        <v>116891.9843285026</v>
      </c>
      <c r="I205" s="154">
        <f t="shared" si="236"/>
        <v>7.1065353023847484</v>
      </c>
      <c r="J205" s="154">
        <f t="shared" si="236"/>
        <v>11092.593009936196</v>
      </c>
      <c r="K205" s="170"/>
      <c r="L205" s="171">
        <f t="shared" si="237"/>
        <v>-5.875393973717729E-2</v>
      </c>
      <c r="M205" s="171">
        <f t="shared" si="237"/>
        <v>3.8873508879330915E-2</v>
      </c>
      <c r="N205" s="171">
        <f t="shared" si="237"/>
        <v>-3.3614210187201136E-4</v>
      </c>
      <c r="O205" s="171">
        <f t="shared" si="238"/>
        <v>2.4043259604366866E-2</v>
      </c>
      <c r="P205" s="171">
        <f t="shared" si="238"/>
        <v>2.3922373684579459E-2</v>
      </c>
      <c r="Q205" s="170"/>
      <c r="R205" s="154">
        <v>73478.951559147754</v>
      </c>
      <c r="S205" s="154">
        <v>10761.19249022911</v>
      </c>
      <c r="T205" s="154">
        <v>4723938.3279543966</v>
      </c>
      <c r="U205" s="154">
        <v>1126024.3130552499</v>
      </c>
      <c r="V205" s="154">
        <v>68.80342062210886</v>
      </c>
      <c r="W205" s="170"/>
      <c r="X205" s="154">
        <v>77796.12945100489</v>
      </c>
      <c r="Y205" s="154">
        <v>10342.867178408</v>
      </c>
      <c r="Z205" s="154">
        <v>4725526.242513069</v>
      </c>
      <c r="AA205" s="154">
        <v>1098951.0181756336</v>
      </c>
      <c r="AB205" s="154">
        <v>67.157479483209471</v>
      </c>
      <c r="AC205" s="170"/>
      <c r="AD205" s="154">
        <f t="shared" si="239"/>
        <v>-4317.1778918571363</v>
      </c>
      <c r="AE205" s="154">
        <f t="shared" si="239"/>
        <v>418.32531182111052</v>
      </c>
      <c r="AF205" s="154">
        <f t="shared" si="239"/>
        <v>-1587.9145586723462</v>
      </c>
      <c r="AG205" s="154">
        <f t="shared" si="239"/>
        <v>27073.294879616238</v>
      </c>
      <c r="AH205" s="154">
        <f t="shared" si="239"/>
        <v>1.6459411388993885</v>
      </c>
      <c r="AI205" s="154">
        <v>2569.15</v>
      </c>
      <c r="AJ205" s="170"/>
      <c r="AK205" s="183">
        <f t="shared" ref="AK205:AP205" si="260">AD205/$E186</f>
        <v>-8.2949273562946943E-2</v>
      </c>
      <c r="AL205" s="183">
        <f t="shared" si="260"/>
        <v>8.0376073439094361E-3</v>
      </c>
      <c r="AM205" s="183">
        <f t="shared" si="260"/>
        <v>-3.0509828971916116E-2</v>
      </c>
      <c r="AN205" s="183">
        <f t="shared" si="260"/>
        <v>0.52018012680352455</v>
      </c>
      <c r="AO205" s="183">
        <f t="shared" si="260"/>
        <v>3.16247384794103E-5</v>
      </c>
      <c r="AP205" s="183">
        <f t="shared" si="260"/>
        <v>4.9363063443876573E-2</v>
      </c>
      <c r="AQ205" s="170"/>
      <c r="AR205" s="184">
        <f t="shared" si="246"/>
        <v>1.4118078538052445</v>
      </c>
      <c r="AS205" s="184">
        <f t="shared" si="241"/>
        <v>0.20676310360506303</v>
      </c>
      <c r="AT205" s="184">
        <f t="shared" si="241"/>
        <v>90.764676016493041</v>
      </c>
      <c r="AU205" s="184">
        <f t="shared" si="241"/>
        <v>21.635174904032006</v>
      </c>
      <c r="AV205" s="184">
        <f t="shared" si="241"/>
        <v>1.3219732663818325E-3</v>
      </c>
      <c r="AW205" s="170"/>
      <c r="AX205" s="172">
        <f t="shared" si="242"/>
        <v>317253.60700715904</v>
      </c>
      <c r="AY205" s="172">
        <f t="shared" si="242"/>
        <v>46462.654417100326</v>
      </c>
      <c r="AZ205" s="172">
        <f t="shared" si="242"/>
        <v>20396133.069706567</v>
      </c>
      <c r="BA205" s="172">
        <f t="shared" si="242"/>
        <v>4861736.1477589356</v>
      </c>
      <c r="BB205" s="172">
        <f t="shared" si="242"/>
        <v>297.06647827199834</v>
      </c>
      <c r="BC205" s="170"/>
      <c r="BD205" s="325">
        <f>X205/$E186</f>
        <v>1.4947571273681914</v>
      </c>
      <c r="BE205" s="325">
        <f>Y205/$E186</f>
        <v>0.1987254962611536</v>
      </c>
      <c r="BF205" s="325">
        <f>Z205/$E186</f>
        <v>90.795185845464957</v>
      </c>
      <c r="BG205" s="325">
        <f>AA205/$E186</f>
        <v>21.114994777228482</v>
      </c>
      <c r="BH205" s="325">
        <f>AB205/$E186</f>
        <v>1.2903485279024223E-3</v>
      </c>
      <c r="BI205" s="326"/>
      <c r="BJ205" s="320">
        <f t="shared" si="243"/>
        <v>335893.50631465978</v>
      </c>
      <c r="BK205" s="320">
        <f t="shared" si="243"/>
        <v>44656.488008059896</v>
      </c>
      <c r="BL205" s="320">
        <f t="shared" si="243"/>
        <v>20402989.068746679</v>
      </c>
      <c r="BM205" s="320">
        <f t="shared" si="243"/>
        <v>4744844.1634304328</v>
      </c>
      <c r="BN205" s="320">
        <f t="shared" si="243"/>
        <v>289.95994296961356</v>
      </c>
      <c r="BO205" s="83"/>
      <c r="BP205" s="83"/>
      <c r="BQ205" s="83"/>
      <c r="BR205" s="83"/>
      <c r="BS205" s="83"/>
      <c r="BT205" s="83"/>
      <c r="BU205" s="83"/>
      <c r="BV205" s="83"/>
      <c r="BW205" s="83"/>
      <c r="BX205" s="83"/>
    </row>
    <row r="206" spans="1:76" x14ac:dyDescent="0.35">
      <c r="A206" s="173" t="s">
        <v>130</v>
      </c>
      <c r="B206" s="174">
        <f>SUM(B190:B205)</f>
        <v>24.237821724999996</v>
      </c>
      <c r="C206" s="166"/>
      <c r="D206" s="175">
        <f>SUM(D190:D205)</f>
        <v>-405770.68805143842</v>
      </c>
      <c r="E206" s="175">
        <f t="shared" ref="E206:J206" si="261">SUM(E190:E205)</f>
        <v>49843.282840013271</v>
      </c>
      <c r="F206" s="175">
        <f t="shared" si="261"/>
        <v>1638478.5678151043</v>
      </c>
      <c r="G206" s="175">
        <f t="shared" si="261"/>
        <v>145824.5925355443</v>
      </c>
      <c r="H206" s="175">
        <f t="shared" si="261"/>
        <v>3127689.8012482799</v>
      </c>
      <c r="I206" s="175">
        <f t="shared" si="261"/>
        <v>187.72420675779924</v>
      </c>
      <c r="J206" s="175">
        <f t="shared" si="261"/>
        <v>1196453.1315525451</v>
      </c>
      <c r="K206" s="166"/>
      <c r="L206" s="176">
        <f t="shared" si="237"/>
        <v>-1.2195336116393172E-2</v>
      </c>
      <c r="M206" s="176">
        <f t="shared" si="237"/>
        <v>2.9335078024940796E-2</v>
      </c>
      <c r="N206" s="176">
        <f t="shared" si="237"/>
        <v>1.2390177787752047E-3</v>
      </c>
      <c r="O206" s="176">
        <f t="shared" si="238"/>
        <v>1.4559073177211817E-2</v>
      </c>
      <c r="P206" s="176">
        <f t="shared" si="238"/>
        <v>1.4365322307309759E-2</v>
      </c>
      <c r="Q206" s="166"/>
      <c r="R206" s="185"/>
      <c r="S206" s="185"/>
      <c r="T206" s="185"/>
      <c r="U206" s="185"/>
      <c r="V206" s="186"/>
      <c r="W206" s="166"/>
      <c r="X206" s="185"/>
      <c r="Y206" s="185"/>
      <c r="Z206" s="185"/>
      <c r="AA206" s="185"/>
      <c r="AB206" s="185"/>
      <c r="AC206" s="166"/>
      <c r="AD206" s="185"/>
      <c r="AE206" s="185"/>
      <c r="AF206" s="185"/>
      <c r="AG206" s="185"/>
      <c r="AH206" s="185"/>
      <c r="AI206" s="186"/>
      <c r="AJ206" s="166"/>
      <c r="AK206" s="185"/>
      <c r="AL206" s="185"/>
      <c r="AM206" s="185"/>
      <c r="AN206" s="185"/>
      <c r="AO206" s="185"/>
      <c r="AP206" s="185"/>
      <c r="AQ206" s="166"/>
      <c r="AR206" s="187"/>
      <c r="AS206" s="187"/>
      <c r="AT206" s="187"/>
      <c r="AU206" s="187"/>
      <c r="AV206" s="187"/>
      <c r="AW206" s="166"/>
      <c r="AX206" s="188">
        <f>SUM(AX190:AX205)</f>
        <v>33272612.101768542</v>
      </c>
      <c r="AY206" s="188">
        <f t="shared" ref="AY206:BB206" si="262">SUM(AY190:AY205)</f>
        <v>1699101.7647076419</v>
      </c>
      <c r="AZ206" s="188">
        <f t="shared" si="262"/>
        <v>1322401176.0628448</v>
      </c>
      <c r="BA206" s="188">
        <f t="shared" si="262"/>
        <v>214827534.91093162</v>
      </c>
      <c r="BB206" s="188">
        <f t="shared" si="262"/>
        <v>13067.8729472207</v>
      </c>
      <c r="BC206" s="166"/>
      <c r="BD206" s="327"/>
      <c r="BE206" s="327"/>
      <c r="BF206" s="327"/>
      <c r="BG206" s="327"/>
      <c r="BH206" s="327"/>
      <c r="BI206" s="324"/>
      <c r="BJ206" s="328">
        <f>SUM(BJ190:BJ205)</f>
        <v>33678382.789819986</v>
      </c>
      <c r="BK206" s="328">
        <f t="shared" ref="BK206:BN206" si="263">SUM(BK190:BK205)</f>
        <v>1649258.4818676277</v>
      </c>
      <c r="BL206" s="328">
        <f t="shared" si="263"/>
        <v>1320762697.4950297</v>
      </c>
      <c r="BM206" s="328">
        <f t="shared" si="263"/>
        <v>211699845.10968331</v>
      </c>
      <c r="BN206" s="328">
        <f t="shared" si="263"/>
        <v>12880.148740462904</v>
      </c>
      <c r="BO206" s="83"/>
      <c r="BP206" s="83"/>
      <c r="BQ206" s="83"/>
      <c r="BR206" s="83"/>
      <c r="BS206" s="83"/>
      <c r="BT206" s="83"/>
      <c r="BU206" s="83"/>
      <c r="BV206" s="83"/>
      <c r="BW206" s="83"/>
      <c r="BX206" s="83"/>
    </row>
    <row r="207" spans="1:76" x14ac:dyDescent="0.35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  <c r="BV207" s="83"/>
      <c r="BW207" s="83"/>
      <c r="BX207" s="83"/>
    </row>
    <row r="208" spans="1:76" x14ac:dyDescent="0.35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83"/>
      <c r="BU208" s="83"/>
      <c r="BV208" s="83"/>
      <c r="BW208" s="83"/>
      <c r="BX208" s="83"/>
    </row>
    <row r="209" spans="1:76" x14ac:dyDescent="0.35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  <c r="BV209" s="83"/>
      <c r="BW209" s="83"/>
      <c r="BX209" s="83"/>
    </row>
    <row r="210" spans="1:76" x14ac:dyDescent="0.35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154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83"/>
      <c r="BL210" s="83"/>
      <c r="BM210" s="83"/>
      <c r="BN210" s="83"/>
      <c r="BO210" s="83"/>
      <c r="BP210" s="83"/>
      <c r="BQ210" s="83"/>
      <c r="BR210" s="83"/>
      <c r="BS210" s="83"/>
      <c r="BT210" s="83"/>
      <c r="BU210" s="83"/>
      <c r="BV210" s="83"/>
      <c r="BW210" s="83"/>
      <c r="BX210" s="83"/>
    </row>
    <row r="211" spans="1:76" ht="15.5" x14ac:dyDescent="0.35">
      <c r="A211" s="155" t="s">
        <v>150</v>
      </c>
      <c r="B211" s="185"/>
      <c r="C211" s="185"/>
      <c r="D211" s="185"/>
      <c r="E211" s="185"/>
      <c r="F211" s="185"/>
      <c r="G211" s="185"/>
      <c r="H211" s="185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154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83"/>
      <c r="AX211" s="83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83"/>
      <c r="BL211" s="83"/>
      <c r="BM211" s="83"/>
      <c r="BN211" s="83"/>
      <c r="BO211" s="83"/>
      <c r="BP211" s="83"/>
      <c r="BQ211" s="83"/>
      <c r="BR211" s="83"/>
      <c r="BS211" s="83"/>
      <c r="BT211" s="83"/>
      <c r="BU211" s="83"/>
      <c r="BV211" s="83"/>
      <c r="BW211" s="83"/>
      <c r="BX211" s="83"/>
    </row>
    <row r="212" spans="1:76" x14ac:dyDescent="0.35">
      <c r="A212" s="83"/>
      <c r="B212" s="163" t="s">
        <v>125</v>
      </c>
      <c r="C212" s="163" t="s">
        <v>126</v>
      </c>
      <c r="D212" s="163" t="s">
        <v>127</v>
      </c>
      <c r="E212" s="163" t="s">
        <v>124</v>
      </c>
      <c r="F212" s="163" t="s">
        <v>129</v>
      </c>
      <c r="G212" s="163" t="s">
        <v>128</v>
      </c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154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3"/>
      <c r="BN212" s="83"/>
      <c r="BO212" s="83"/>
      <c r="BP212" s="83"/>
      <c r="BQ212" s="83"/>
      <c r="BR212" s="83"/>
      <c r="BS212" s="83"/>
      <c r="BT212" s="83"/>
      <c r="BU212" s="83"/>
      <c r="BV212" s="83"/>
      <c r="BW212" s="83"/>
      <c r="BX212" s="83"/>
    </row>
    <row r="213" spans="1:76" x14ac:dyDescent="0.35">
      <c r="A213" s="83"/>
      <c r="B213" s="163" t="s">
        <v>132</v>
      </c>
      <c r="C213" s="163" t="s">
        <v>132</v>
      </c>
      <c r="D213" s="163" t="s">
        <v>132</v>
      </c>
      <c r="E213" s="163" t="s">
        <v>132</v>
      </c>
      <c r="F213" s="163" t="s">
        <v>132</v>
      </c>
      <c r="G213" s="163" t="s">
        <v>132</v>
      </c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154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N213" s="83"/>
      <c r="BO213" s="83"/>
      <c r="BP213" s="83"/>
      <c r="BQ213" s="83"/>
      <c r="BR213" s="83"/>
      <c r="BS213" s="83"/>
      <c r="BT213" s="83"/>
      <c r="BU213" s="83"/>
      <c r="BV213" s="83"/>
      <c r="BW213" s="83"/>
      <c r="BX213" s="83"/>
    </row>
    <row r="214" spans="1:76" x14ac:dyDescent="0.35">
      <c r="A214" s="83"/>
      <c r="B214" s="154">
        <v>240023</v>
      </c>
      <c r="C214" s="154">
        <v>24566</v>
      </c>
      <c r="D214" s="154">
        <v>9376</v>
      </c>
      <c r="E214" s="154">
        <v>5503</v>
      </c>
      <c r="F214" s="154">
        <v>2550</v>
      </c>
      <c r="G214" s="154">
        <v>24415</v>
      </c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154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  <c r="BO214" s="83"/>
      <c r="BP214" s="83"/>
      <c r="BQ214" s="83"/>
      <c r="BR214" s="83"/>
      <c r="BS214" s="83"/>
      <c r="BT214" s="83"/>
      <c r="BU214" s="83"/>
      <c r="BV214" s="83"/>
      <c r="BW214" s="83"/>
      <c r="BX214" s="83"/>
    </row>
    <row r="215" spans="1:76" x14ac:dyDescent="0.35">
      <c r="A215" s="83"/>
      <c r="B215" s="154"/>
      <c r="C215" s="154"/>
      <c r="D215" s="154"/>
      <c r="E215" s="154"/>
      <c r="F215" s="154">
        <f>14999+34497</f>
        <v>49496</v>
      </c>
      <c r="G215" s="154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154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</row>
    <row r="216" spans="1:76" x14ac:dyDescent="0.35">
      <c r="A216" s="83"/>
      <c r="B216" s="83"/>
      <c r="C216" s="83"/>
      <c r="D216" s="83"/>
      <c r="E216" s="83"/>
      <c r="F216" s="154">
        <f>SUM(F214:F215)</f>
        <v>52046</v>
      </c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154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</row>
    <row r="217" spans="1:76" x14ac:dyDescent="0.35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154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</row>
    <row r="218" spans="1:76" x14ac:dyDescent="0.35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163" t="s">
        <v>151</v>
      </c>
      <c r="L218" s="83"/>
      <c r="M218" s="83"/>
      <c r="N218" s="83"/>
      <c r="O218" s="83"/>
      <c r="P218" s="83"/>
      <c r="Q218" s="83"/>
      <c r="R218" s="83"/>
      <c r="S218" s="154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83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83"/>
      <c r="BM218" s="83"/>
      <c r="BN218" s="83"/>
      <c r="BO218" s="83"/>
      <c r="BP218" s="83"/>
      <c r="BQ218" s="83"/>
      <c r="BR218" s="83"/>
      <c r="BS218" s="83"/>
      <c r="BT218" s="83"/>
      <c r="BU218" s="83"/>
      <c r="BV218" s="83"/>
      <c r="BW218" s="83"/>
      <c r="BX218" s="83"/>
    </row>
    <row r="219" spans="1:76" ht="15.5" x14ac:dyDescent="0.35">
      <c r="A219" s="193" t="s">
        <v>152</v>
      </c>
      <c r="B219" s="83"/>
      <c r="C219" s="83"/>
      <c r="D219" s="83"/>
      <c r="E219" s="83"/>
      <c r="F219" s="83"/>
      <c r="G219" s="83"/>
      <c r="H219" s="1195" t="s">
        <v>153</v>
      </c>
      <c r="I219" s="1195"/>
      <c r="J219" s="1195"/>
      <c r="K219" s="163" t="s">
        <v>154</v>
      </c>
      <c r="L219" s="83"/>
      <c r="M219" s="83" t="s">
        <v>155</v>
      </c>
      <c r="N219" s="83"/>
      <c r="O219" s="83"/>
      <c r="P219" s="83"/>
      <c r="Q219" s="83"/>
      <c r="R219" s="83"/>
      <c r="S219" s="154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83"/>
      <c r="AX219" s="83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83"/>
      <c r="BJ219" s="83"/>
      <c r="BK219" s="83"/>
      <c r="BL219" s="83"/>
      <c r="BM219" s="83"/>
      <c r="BN219" s="83"/>
      <c r="BO219" s="83"/>
      <c r="BP219" s="83"/>
      <c r="BQ219" s="83"/>
      <c r="BR219" s="83"/>
      <c r="BS219" s="83"/>
      <c r="BT219" s="83"/>
      <c r="BU219" s="83"/>
      <c r="BV219" s="83"/>
      <c r="BW219" s="83"/>
      <c r="BX219" s="83"/>
    </row>
    <row r="220" spans="1:76" ht="15.5" x14ac:dyDescent="0.35">
      <c r="A220" s="193"/>
      <c r="B220" s="1196" t="s">
        <v>156</v>
      </c>
      <c r="C220" s="1196"/>
      <c r="D220" s="1196"/>
      <c r="E220" s="1196"/>
      <c r="F220" s="1196"/>
      <c r="G220" s="83"/>
      <c r="H220" s="151">
        <v>0.75</v>
      </c>
      <c r="I220" s="151">
        <v>0.1</v>
      </c>
      <c r="J220" s="151">
        <v>0.15</v>
      </c>
      <c r="K220" s="194">
        <v>0.05</v>
      </c>
      <c r="L220" s="83"/>
      <c r="M220" s="194">
        <v>0.6</v>
      </c>
      <c r="N220" s="83"/>
      <c r="O220" s="83"/>
      <c r="P220" s="83"/>
      <c r="Q220" s="83"/>
      <c r="R220" s="83"/>
      <c r="S220" s="154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83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83"/>
      <c r="BM220" s="83"/>
      <c r="BN220" s="83"/>
      <c r="BO220" s="83"/>
      <c r="BP220" s="83"/>
      <c r="BQ220" s="83"/>
      <c r="BR220" s="83"/>
      <c r="BS220" s="83"/>
      <c r="BT220" s="83"/>
      <c r="BU220" s="83"/>
      <c r="BV220" s="83"/>
      <c r="BW220" s="83"/>
      <c r="BX220" s="83"/>
    </row>
    <row r="221" spans="1:76" ht="58" x14ac:dyDescent="0.35">
      <c r="A221" s="153" t="s">
        <v>96</v>
      </c>
      <c r="B221" s="195" t="s">
        <v>157</v>
      </c>
      <c r="C221" s="195" t="s">
        <v>158</v>
      </c>
      <c r="D221" s="195" t="s">
        <v>159</v>
      </c>
      <c r="E221" s="195" t="s">
        <v>160</v>
      </c>
      <c r="F221" s="196" t="s">
        <v>161</v>
      </c>
      <c r="G221" s="83"/>
      <c r="H221" s="197" t="s">
        <v>125</v>
      </c>
      <c r="I221" s="195" t="s">
        <v>126</v>
      </c>
      <c r="J221" s="195" t="s">
        <v>127</v>
      </c>
      <c r="K221" s="195" t="s">
        <v>158</v>
      </c>
      <c r="L221" s="195" t="s">
        <v>160</v>
      </c>
      <c r="M221" s="196" t="s">
        <v>159</v>
      </c>
      <c r="N221" s="83"/>
      <c r="O221" s="83"/>
      <c r="P221" s="83"/>
      <c r="Q221" s="83"/>
      <c r="R221" s="83"/>
      <c r="S221" s="154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83"/>
      <c r="BJ221" s="83"/>
      <c r="BK221" s="83"/>
      <c r="BL221" s="83"/>
      <c r="BM221" s="83"/>
      <c r="BN221" s="83"/>
      <c r="BO221" s="83"/>
      <c r="BP221" s="83"/>
      <c r="BQ221" s="83"/>
      <c r="BR221" s="83"/>
      <c r="BS221" s="83"/>
      <c r="BT221" s="83"/>
      <c r="BU221" s="83"/>
      <c r="BV221" s="83"/>
      <c r="BW221" s="83"/>
      <c r="BX221" s="83"/>
    </row>
    <row r="222" spans="1:76" x14ac:dyDescent="0.35">
      <c r="A222" s="168">
        <v>1</v>
      </c>
      <c r="B222" s="169">
        <v>0.10588725613414665</v>
      </c>
      <c r="C222" s="169">
        <v>3.5175678724327045E-2</v>
      </c>
      <c r="D222" s="169">
        <v>4.8700069980031499E-2</v>
      </c>
      <c r="E222" s="169">
        <v>7.7259840843183408E-2</v>
      </c>
      <c r="F222" s="198">
        <v>2.6546968721487242E-2</v>
      </c>
      <c r="G222" s="83"/>
      <c r="H222" s="83">
        <f t="shared" ref="H222:J237" si="264">$B222*H$220</f>
        <v>7.9415442100609995E-2</v>
      </c>
      <c r="I222" s="83">
        <f t="shared" si="264"/>
        <v>1.0588725613414667E-2</v>
      </c>
      <c r="J222" s="83">
        <f t="shared" si="264"/>
        <v>1.5883088420121996E-2</v>
      </c>
      <c r="K222" s="169">
        <f t="shared" ref="K222:K237" si="265">C222+F222*K$220</f>
        <v>3.6503027160401408E-2</v>
      </c>
      <c r="L222" s="169">
        <f t="shared" ref="L222:L237" si="266">E222</f>
        <v>7.7259840843183408E-2</v>
      </c>
      <c r="M222" s="199">
        <f t="shared" ref="M222:M237" si="267">D222*M$220</f>
        <v>2.9220041988018898E-2</v>
      </c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  <c r="BO222" s="83"/>
      <c r="BP222" s="83"/>
      <c r="BQ222" s="83"/>
      <c r="BR222" s="83"/>
      <c r="BS222" s="83"/>
      <c r="BT222" s="83"/>
      <c r="BU222" s="83"/>
      <c r="BV222" s="83"/>
      <c r="BW222" s="83"/>
      <c r="BX222" s="83"/>
    </row>
    <row r="223" spans="1:76" x14ac:dyDescent="0.35">
      <c r="A223" s="168">
        <v>2</v>
      </c>
      <c r="B223" s="169">
        <v>0.62899977674597418</v>
      </c>
      <c r="C223" s="169">
        <v>0.20902261288789331</v>
      </c>
      <c r="D223" s="169">
        <v>0.28935679273391413</v>
      </c>
      <c r="E223" s="169">
        <v>0.45914938089666185</v>
      </c>
      <c r="F223" s="198">
        <v>0.15768923178467889</v>
      </c>
      <c r="G223" s="83"/>
      <c r="H223" s="83">
        <f t="shared" si="264"/>
        <v>0.47174983255948066</v>
      </c>
      <c r="I223" s="83">
        <f t="shared" si="264"/>
        <v>6.2899977674597415E-2</v>
      </c>
      <c r="J223" s="83">
        <f t="shared" si="264"/>
        <v>9.434996651189613E-2</v>
      </c>
      <c r="K223" s="169">
        <f t="shared" si="265"/>
        <v>0.21690707447712726</v>
      </c>
      <c r="L223" s="169">
        <f t="shared" si="266"/>
        <v>0.45914938089666185</v>
      </c>
      <c r="M223" s="199">
        <f t="shared" si="267"/>
        <v>0.17361407564034848</v>
      </c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</row>
    <row r="224" spans="1:76" x14ac:dyDescent="0.35">
      <c r="A224" s="168">
        <v>3</v>
      </c>
      <c r="B224" s="169">
        <v>2.8747268615610562</v>
      </c>
      <c r="C224" s="169">
        <v>0.7440384825193731</v>
      </c>
      <c r="D224" s="169">
        <v>1.1806769897382918</v>
      </c>
      <c r="E224" s="169">
        <v>2.3818553338525268</v>
      </c>
      <c r="F224" s="198">
        <v>0.6869096039601601</v>
      </c>
      <c r="G224" s="83"/>
      <c r="H224" s="83">
        <f t="shared" si="264"/>
        <v>2.1560451461707921</v>
      </c>
      <c r="I224" s="83">
        <f t="shared" si="264"/>
        <v>0.28747268615610561</v>
      </c>
      <c r="J224" s="83">
        <f t="shared" si="264"/>
        <v>0.43120902923415844</v>
      </c>
      <c r="K224" s="169">
        <f t="shared" si="265"/>
        <v>0.77838396271738108</v>
      </c>
      <c r="L224" s="169">
        <f t="shared" si="266"/>
        <v>2.3818553338525268</v>
      </c>
      <c r="M224" s="199">
        <f t="shared" si="267"/>
        <v>0.7084061938429751</v>
      </c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  <c r="BO224" s="83"/>
      <c r="BP224" s="83"/>
      <c r="BQ224" s="83"/>
      <c r="BR224" s="83"/>
      <c r="BS224" s="83"/>
      <c r="BT224" s="83"/>
      <c r="BU224" s="83"/>
      <c r="BV224" s="83"/>
      <c r="BW224" s="83"/>
      <c r="BX224" s="83"/>
    </row>
    <row r="225" spans="1:76" x14ac:dyDescent="0.35">
      <c r="A225" s="168">
        <v>4</v>
      </c>
      <c r="B225" s="169">
        <v>1.4733991006599239</v>
      </c>
      <c r="C225" s="169">
        <v>0.37196923398119913</v>
      </c>
      <c r="D225" s="169">
        <v>0.59911167375089491</v>
      </c>
      <c r="E225" s="169">
        <v>1.223486071314333</v>
      </c>
      <c r="F225" s="198">
        <v>0.35207195507656958</v>
      </c>
      <c r="G225" s="83"/>
      <c r="H225" s="83">
        <f t="shared" si="264"/>
        <v>1.1050493254949429</v>
      </c>
      <c r="I225" s="83">
        <f t="shared" si="264"/>
        <v>0.1473399100659924</v>
      </c>
      <c r="J225" s="83">
        <f t="shared" si="264"/>
        <v>0.22100986509898857</v>
      </c>
      <c r="K225" s="169">
        <f t="shared" si="265"/>
        <v>0.3895728317350276</v>
      </c>
      <c r="L225" s="169">
        <f t="shared" si="266"/>
        <v>1.223486071314333</v>
      </c>
      <c r="M225" s="199">
        <f t="shared" si="267"/>
        <v>0.35946700425053696</v>
      </c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83"/>
      <c r="AX225" s="83"/>
      <c r="AY225" s="83"/>
      <c r="AZ225" s="83"/>
      <c r="BA225" s="83"/>
      <c r="BB225" s="83"/>
      <c r="BC225" s="83"/>
      <c r="BD225" s="83"/>
      <c r="BE225" s="83"/>
      <c r="BF225" s="83"/>
      <c r="BG225" s="83"/>
      <c r="BH225" s="83"/>
      <c r="BI225" s="83"/>
      <c r="BJ225" s="83"/>
      <c r="BK225" s="83"/>
      <c r="BL225" s="83"/>
      <c r="BM225" s="83"/>
      <c r="BN225" s="83"/>
      <c r="BO225" s="83"/>
      <c r="BP225" s="83"/>
      <c r="BQ225" s="83"/>
      <c r="BR225" s="83"/>
      <c r="BS225" s="83"/>
      <c r="BT225" s="83"/>
      <c r="BU225" s="83"/>
      <c r="BV225" s="83"/>
      <c r="BW225" s="83"/>
      <c r="BX225" s="83"/>
    </row>
    <row r="226" spans="1:76" x14ac:dyDescent="0.35">
      <c r="A226" s="168">
        <v>5</v>
      </c>
      <c r="B226" s="169">
        <v>0.29822799149716928</v>
      </c>
      <c r="C226" s="169">
        <v>8.1298635124650437E-2</v>
      </c>
      <c r="D226" s="169">
        <v>0.12382288755262331</v>
      </c>
      <c r="E226" s="169">
        <v>0.22728180501671344</v>
      </c>
      <c r="F226" s="198">
        <v>7.0626717813062345E-2</v>
      </c>
      <c r="G226" s="83"/>
      <c r="H226" s="83">
        <f t="shared" si="264"/>
        <v>0.22367099362287696</v>
      </c>
      <c r="I226" s="83">
        <f t="shared" si="264"/>
        <v>2.982279914971693E-2</v>
      </c>
      <c r="J226" s="83">
        <f t="shared" si="264"/>
        <v>4.4734198724575389E-2</v>
      </c>
      <c r="K226" s="169">
        <f t="shared" si="265"/>
        <v>8.4829971015303554E-2</v>
      </c>
      <c r="L226" s="169">
        <f t="shared" si="266"/>
        <v>0.22728180501671344</v>
      </c>
      <c r="M226" s="199">
        <f t="shared" si="267"/>
        <v>7.429373253157398E-2</v>
      </c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83"/>
      <c r="AX226" s="83"/>
      <c r="AY226" s="83"/>
      <c r="AZ226" s="83"/>
      <c r="BA226" s="83"/>
      <c r="BB226" s="83"/>
      <c r="BC226" s="83"/>
      <c r="BD226" s="83"/>
      <c r="BE226" s="83"/>
      <c r="BF226" s="83"/>
      <c r="BG226" s="83"/>
      <c r="BH226" s="83"/>
      <c r="BI226" s="83"/>
      <c r="BJ226" s="83"/>
      <c r="BK226" s="83"/>
      <c r="BL226" s="83"/>
      <c r="BM226" s="83"/>
      <c r="BN226" s="83"/>
      <c r="BO226" s="83"/>
      <c r="BP226" s="83"/>
      <c r="BQ226" s="83"/>
      <c r="BR226" s="83"/>
      <c r="BS226" s="83"/>
      <c r="BT226" s="83"/>
      <c r="BU226" s="83"/>
      <c r="BV226" s="83"/>
      <c r="BW226" s="83"/>
      <c r="BX226" s="83"/>
    </row>
    <row r="227" spans="1:76" x14ac:dyDescent="0.35">
      <c r="A227" s="168">
        <v>6</v>
      </c>
      <c r="B227" s="169">
        <v>2.101335062251565</v>
      </c>
      <c r="C227" s="169">
        <v>0.55813838313673458</v>
      </c>
      <c r="D227" s="169">
        <v>0.66461685099510137</v>
      </c>
      <c r="E227" s="169">
        <v>1.8799977218813242</v>
      </c>
      <c r="F227" s="198">
        <v>0.37210715949050738</v>
      </c>
      <c r="G227" s="83"/>
      <c r="H227" s="83">
        <f t="shared" si="264"/>
        <v>1.5760012966886738</v>
      </c>
      <c r="I227" s="83">
        <f t="shared" si="264"/>
        <v>0.2101335062251565</v>
      </c>
      <c r="J227" s="83">
        <f t="shared" si="264"/>
        <v>0.31520025933773471</v>
      </c>
      <c r="K227" s="169">
        <f t="shared" si="265"/>
        <v>0.57674374111125992</v>
      </c>
      <c r="L227" s="169">
        <f t="shared" si="266"/>
        <v>1.8799977218813242</v>
      </c>
      <c r="M227" s="199">
        <f t="shared" si="267"/>
        <v>0.3987701105970608</v>
      </c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3"/>
      <c r="AV227" s="83"/>
      <c r="AW227" s="83"/>
      <c r="AX227" s="83"/>
      <c r="AY227" s="83"/>
      <c r="AZ227" s="83"/>
      <c r="BA227" s="83"/>
      <c r="BB227" s="83"/>
      <c r="BC227" s="83"/>
      <c r="BD227" s="83"/>
      <c r="BE227" s="83"/>
      <c r="BF227" s="83"/>
      <c r="BG227" s="83"/>
      <c r="BH227" s="83"/>
      <c r="BI227" s="83"/>
      <c r="BJ227" s="83"/>
      <c r="BK227" s="83"/>
      <c r="BL227" s="83"/>
      <c r="BM227" s="83"/>
      <c r="BN227" s="83"/>
      <c r="BO227" s="83"/>
      <c r="BP227" s="83"/>
      <c r="BQ227" s="83"/>
      <c r="BR227" s="83"/>
      <c r="BS227" s="83"/>
      <c r="BT227" s="83"/>
      <c r="BU227" s="83"/>
      <c r="BV227" s="83"/>
      <c r="BW227" s="83"/>
      <c r="BX227" s="83"/>
    </row>
    <row r="228" spans="1:76" x14ac:dyDescent="0.35">
      <c r="A228" s="168">
        <v>7</v>
      </c>
      <c r="B228" s="169">
        <v>1.4820672956739094</v>
      </c>
      <c r="C228" s="169">
        <v>0.77298887613707468</v>
      </c>
      <c r="D228" s="169">
        <v>0.71250727587318397</v>
      </c>
      <c r="E228" s="169">
        <v>1.1082226000674442</v>
      </c>
      <c r="F228" s="198">
        <v>0.32766559410548651</v>
      </c>
      <c r="G228" s="83"/>
      <c r="H228" s="83">
        <f t="shared" si="264"/>
        <v>1.1115504717554321</v>
      </c>
      <c r="I228" s="83">
        <f t="shared" si="264"/>
        <v>0.14820672956739095</v>
      </c>
      <c r="J228" s="83">
        <f t="shared" si="264"/>
        <v>0.2223100943510864</v>
      </c>
      <c r="K228" s="169">
        <f t="shared" si="265"/>
        <v>0.78937215584234899</v>
      </c>
      <c r="L228" s="169">
        <f t="shared" si="266"/>
        <v>1.1082226000674442</v>
      </c>
      <c r="M228" s="199">
        <f t="shared" si="267"/>
        <v>0.42750436552391036</v>
      </c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83"/>
      <c r="BW228" s="83"/>
      <c r="BX228" s="83"/>
    </row>
    <row r="229" spans="1:76" x14ac:dyDescent="0.35">
      <c r="A229" s="168">
        <v>8</v>
      </c>
      <c r="B229" s="169">
        <v>3.016191617629683</v>
      </c>
      <c r="C229" s="169">
        <v>0.73220499541437012</v>
      </c>
      <c r="D229" s="169">
        <v>0.91229786404807078</v>
      </c>
      <c r="E229" s="169">
        <v>2.7020186499352614</v>
      </c>
      <c r="F229" s="198">
        <v>0.52547939146070965</v>
      </c>
      <c r="G229" s="83"/>
      <c r="H229" s="83">
        <f t="shared" si="264"/>
        <v>2.2621437132222622</v>
      </c>
      <c r="I229" s="83">
        <f t="shared" si="264"/>
        <v>0.30161916176296832</v>
      </c>
      <c r="J229" s="83">
        <f t="shared" si="264"/>
        <v>0.45242874264445243</v>
      </c>
      <c r="K229" s="169">
        <f t="shared" si="265"/>
        <v>0.75847896498740563</v>
      </c>
      <c r="L229" s="169">
        <f t="shared" si="266"/>
        <v>2.7020186499352614</v>
      </c>
      <c r="M229" s="199">
        <f t="shared" si="267"/>
        <v>0.54737871842884245</v>
      </c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83"/>
      <c r="AX229" s="83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</row>
    <row r="230" spans="1:76" x14ac:dyDescent="0.35">
      <c r="A230" s="168">
        <v>9</v>
      </c>
      <c r="B230" s="169">
        <v>4.7157598122768452</v>
      </c>
      <c r="C230" s="169">
        <v>1.1775027192036147</v>
      </c>
      <c r="D230" s="169">
        <v>1.2290607991407139</v>
      </c>
      <c r="E230" s="169">
        <v>4.3220366358739355</v>
      </c>
      <c r="F230" s="198">
        <v>1.0020116194633528</v>
      </c>
      <c r="G230" s="83"/>
      <c r="H230" s="83">
        <f t="shared" si="264"/>
        <v>3.5368198592076339</v>
      </c>
      <c r="I230" s="83">
        <f t="shared" si="264"/>
        <v>0.47157598122768452</v>
      </c>
      <c r="J230" s="83">
        <f t="shared" si="264"/>
        <v>0.70736397184152677</v>
      </c>
      <c r="K230" s="169">
        <f t="shared" si="265"/>
        <v>1.2276033001767823</v>
      </c>
      <c r="L230" s="169">
        <f t="shared" si="266"/>
        <v>4.3220366358739355</v>
      </c>
      <c r="M230" s="199">
        <f t="shared" si="267"/>
        <v>0.73743647948442825</v>
      </c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  <c r="AY230" s="83"/>
      <c r="AZ230" s="83"/>
      <c r="BA230" s="83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  <c r="BM230" s="83"/>
      <c r="BN230" s="83"/>
      <c r="BO230" s="83"/>
      <c r="BP230" s="83"/>
      <c r="BQ230" s="83"/>
      <c r="BR230" s="83"/>
      <c r="BS230" s="83"/>
      <c r="BT230" s="83"/>
      <c r="BU230" s="83"/>
      <c r="BV230" s="83"/>
      <c r="BW230" s="83"/>
      <c r="BX230" s="83"/>
    </row>
    <row r="231" spans="1:76" x14ac:dyDescent="0.35">
      <c r="A231" s="168">
        <v>10</v>
      </c>
      <c r="B231" s="169">
        <v>2.8233547833322996</v>
      </c>
      <c r="C231" s="169">
        <v>0.9857118946698924</v>
      </c>
      <c r="D231" s="169">
        <v>1.2491538597956942</v>
      </c>
      <c r="E231" s="169">
        <v>3.4411950035389745</v>
      </c>
      <c r="F231" s="198">
        <v>0.49449162401094859</v>
      </c>
      <c r="G231" s="83"/>
      <c r="H231" s="83">
        <f t="shared" si="264"/>
        <v>2.1175160874992249</v>
      </c>
      <c r="I231" s="83">
        <f t="shared" si="264"/>
        <v>0.28233547833322997</v>
      </c>
      <c r="J231" s="83">
        <f t="shared" si="264"/>
        <v>0.42350321749984493</v>
      </c>
      <c r="K231" s="169">
        <f t="shared" si="265"/>
        <v>1.0104364758704398</v>
      </c>
      <c r="L231" s="169">
        <f t="shared" si="266"/>
        <v>3.4411950035389745</v>
      </c>
      <c r="M231" s="199">
        <f t="shared" si="267"/>
        <v>0.74949231587741649</v>
      </c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  <c r="AZ231" s="83"/>
      <c r="BA231" s="83"/>
      <c r="BB231" s="83"/>
      <c r="BC231" s="83"/>
      <c r="BD231" s="83"/>
      <c r="BE231" s="83"/>
      <c r="BF231" s="83"/>
      <c r="BG231" s="83"/>
      <c r="BH231" s="83"/>
      <c r="BI231" s="83"/>
      <c r="BJ231" s="83"/>
      <c r="BK231" s="83"/>
      <c r="BL231" s="83"/>
      <c r="BM231" s="83"/>
      <c r="BN231" s="83"/>
      <c r="BO231" s="83"/>
      <c r="BP231" s="83"/>
      <c r="BQ231" s="83"/>
      <c r="BR231" s="83"/>
      <c r="BS231" s="83"/>
      <c r="BT231" s="83"/>
      <c r="BU231" s="83"/>
      <c r="BV231" s="83"/>
      <c r="BW231" s="83"/>
      <c r="BX231" s="83"/>
    </row>
    <row r="232" spans="1:76" x14ac:dyDescent="0.35">
      <c r="A232" s="168">
        <v>11</v>
      </c>
      <c r="B232" s="169">
        <v>0.58202264195724418</v>
      </c>
      <c r="C232" s="169">
        <v>0.26904239053070444</v>
      </c>
      <c r="D232" s="169">
        <v>0.33290525663234127</v>
      </c>
      <c r="E232" s="169">
        <v>0.63682484280836382</v>
      </c>
      <c r="F232" s="198">
        <v>0.1384546752297805</v>
      </c>
      <c r="G232" s="83"/>
      <c r="H232" s="83">
        <f t="shared" si="264"/>
        <v>0.43651698146793316</v>
      </c>
      <c r="I232" s="83">
        <f t="shared" si="264"/>
        <v>5.8202264195724419E-2</v>
      </c>
      <c r="J232" s="83">
        <f t="shared" si="264"/>
        <v>8.7303396293586619E-2</v>
      </c>
      <c r="K232" s="169">
        <f t="shared" si="265"/>
        <v>0.27596512429219344</v>
      </c>
      <c r="L232" s="169">
        <f t="shared" si="266"/>
        <v>0.63682484280836382</v>
      </c>
      <c r="M232" s="199">
        <f t="shared" si="267"/>
        <v>0.19974315397940476</v>
      </c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  <c r="AY232" s="83"/>
      <c r="AZ232" s="83"/>
      <c r="BA232" s="83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  <c r="BV232" s="83"/>
      <c r="BW232" s="83"/>
      <c r="BX232" s="83"/>
    </row>
    <row r="233" spans="1:76" x14ac:dyDescent="0.35">
      <c r="A233" s="168">
        <v>12</v>
      </c>
      <c r="B233" s="169">
        <v>3.1701797044778206</v>
      </c>
      <c r="C233" s="169">
        <v>1.4091033945795979</v>
      </c>
      <c r="D233" s="169">
        <v>1.3998924432944369</v>
      </c>
      <c r="E233" s="169">
        <v>3.1866906737786787</v>
      </c>
      <c r="F233" s="198">
        <v>0.64080647140423141</v>
      </c>
      <c r="G233" s="83"/>
      <c r="H233" s="83">
        <f t="shared" si="264"/>
        <v>2.3776347783583653</v>
      </c>
      <c r="I233" s="83">
        <f t="shared" si="264"/>
        <v>0.31701797044778207</v>
      </c>
      <c r="J233" s="83">
        <f t="shared" si="264"/>
        <v>0.47552695567167308</v>
      </c>
      <c r="K233" s="169">
        <f t="shared" si="265"/>
        <v>1.4411437181498095</v>
      </c>
      <c r="L233" s="169">
        <f t="shared" si="266"/>
        <v>3.1866906737786787</v>
      </c>
      <c r="M233" s="199">
        <f t="shared" si="267"/>
        <v>0.83993546597666213</v>
      </c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83"/>
      <c r="AX233" s="83"/>
      <c r="AY233" s="83"/>
      <c r="AZ233" s="83"/>
      <c r="BA233" s="83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  <c r="BV233" s="83"/>
      <c r="BW233" s="83"/>
      <c r="BX233" s="83"/>
    </row>
    <row r="234" spans="1:76" x14ac:dyDescent="0.35">
      <c r="A234" s="168">
        <v>13</v>
      </c>
      <c r="B234" s="169">
        <v>1.2184580146549646</v>
      </c>
      <c r="C234" s="169">
        <v>0.57455707946167101</v>
      </c>
      <c r="D234" s="169">
        <v>0.72542880027151879</v>
      </c>
      <c r="E234" s="169">
        <v>1.0870929877823599</v>
      </c>
      <c r="F234" s="198">
        <v>0.27364938018777585</v>
      </c>
      <c r="G234" s="83"/>
      <c r="H234" s="83">
        <f t="shared" si="264"/>
        <v>0.91384351099122352</v>
      </c>
      <c r="I234" s="83">
        <f t="shared" si="264"/>
        <v>0.12184580146549646</v>
      </c>
      <c r="J234" s="83">
        <f t="shared" si="264"/>
        <v>0.18276870219824468</v>
      </c>
      <c r="K234" s="169">
        <f t="shared" si="265"/>
        <v>0.58823954847105975</v>
      </c>
      <c r="L234" s="169">
        <f t="shared" si="266"/>
        <v>1.0870929877823599</v>
      </c>
      <c r="M234" s="199">
        <f t="shared" si="267"/>
        <v>0.43525728016291126</v>
      </c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</row>
    <row r="235" spans="1:76" x14ac:dyDescent="0.35">
      <c r="A235" s="168">
        <v>14</v>
      </c>
      <c r="B235" s="169">
        <v>0.66816919745709835</v>
      </c>
      <c r="C235" s="169">
        <v>0.19272677209796779</v>
      </c>
      <c r="D235" s="169">
        <v>0.25833069262245639</v>
      </c>
      <c r="E235" s="169">
        <v>0.73957439323256369</v>
      </c>
      <c r="F235" s="198">
        <v>0.10743158593624084</v>
      </c>
      <c r="G235" s="83"/>
      <c r="H235" s="83">
        <f t="shared" si="264"/>
        <v>0.50112689809282374</v>
      </c>
      <c r="I235" s="83">
        <f t="shared" si="264"/>
        <v>6.6816919745709843E-2</v>
      </c>
      <c r="J235" s="83">
        <f t="shared" si="264"/>
        <v>0.10022537961856474</v>
      </c>
      <c r="K235" s="169">
        <f t="shared" si="265"/>
        <v>0.19809835139477983</v>
      </c>
      <c r="L235" s="169">
        <f t="shared" si="266"/>
        <v>0.73957439323256369</v>
      </c>
      <c r="M235" s="199">
        <f t="shared" si="267"/>
        <v>0.15499841557347382</v>
      </c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  <c r="AY235" s="83"/>
      <c r="AZ235" s="83"/>
      <c r="BA235" s="83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  <c r="BV235" s="83"/>
      <c r="BW235" s="83"/>
      <c r="BX235" s="83"/>
    </row>
    <row r="236" spans="1:76" x14ac:dyDescent="0.35">
      <c r="A236" s="168">
        <v>15</v>
      </c>
      <c r="B236" s="169">
        <v>0.3842386256248389</v>
      </c>
      <c r="C236" s="169">
        <v>0.18898032856290239</v>
      </c>
      <c r="D236" s="169">
        <v>0.18096894160232319</v>
      </c>
      <c r="E236" s="169">
        <v>0.54042134718678925</v>
      </c>
      <c r="F236" s="198">
        <v>4.7201487489511751E-2</v>
      </c>
      <c r="G236" s="83"/>
      <c r="H236" s="83">
        <f t="shared" si="264"/>
        <v>0.28817896921862918</v>
      </c>
      <c r="I236" s="83">
        <f t="shared" si="264"/>
        <v>3.8423862562483896E-2</v>
      </c>
      <c r="J236" s="83">
        <f t="shared" si="264"/>
        <v>5.763579384372583E-2</v>
      </c>
      <c r="K236" s="169">
        <f t="shared" si="265"/>
        <v>0.19134040293737797</v>
      </c>
      <c r="L236" s="169">
        <f t="shared" si="266"/>
        <v>0.54042134718678925</v>
      </c>
      <c r="M236" s="199">
        <f t="shared" si="267"/>
        <v>0.10858136496139391</v>
      </c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  <c r="BV236" s="83"/>
      <c r="BW236" s="83"/>
      <c r="BX236" s="83"/>
    </row>
    <row r="237" spans="1:76" x14ac:dyDescent="0.35">
      <c r="A237" s="168">
        <v>16</v>
      </c>
      <c r="B237" s="169">
        <v>0.21189072706546017</v>
      </c>
      <c r="C237" s="169">
        <v>7.8110510968027513E-2</v>
      </c>
      <c r="D237" s="169">
        <v>9.9407926968403934E-2</v>
      </c>
      <c r="E237" s="169">
        <v>0.22471443699088772</v>
      </c>
      <c r="F237" s="198">
        <v>3.9775029865496421E-2</v>
      </c>
      <c r="G237" s="83"/>
      <c r="H237" s="83">
        <f t="shared" si="264"/>
        <v>0.15891804529909512</v>
      </c>
      <c r="I237" s="83">
        <f t="shared" si="264"/>
        <v>2.1189072706546019E-2</v>
      </c>
      <c r="J237" s="83">
        <f t="shared" si="264"/>
        <v>3.1783609059819022E-2</v>
      </c>
      <c r="K237" s="169">
        <f t="shared" si="265"/>
        <v>8.0099262461302334E-2</v>
      </c>
      <c r="L237" s="169">
        <f t="shared" si="266"/>
        <v>0.22471443699088772</v>
      </c>
      <c r="M237" s="199">
        <f t="shared" si="267"/>
        <v>5.9644756181042355E-2</v>
      </c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83"/>
      <c r="BL237" s="83"/>
      <c r="BM237" s="83"/>
      <c r="BN237" s="83"/>
      <c r="BO237" s="83"/>
      <c r="BP237" s="83"/>
      <c r="BQ237" s="83"/>
      <c r="BR237" s="83"/>
      <c r="BS237" s="83"/>
      <c r="BT237" s="83"/>
      <c r="BU237" s="83"/>
      <c r="BV237" s="83"/>
      <c r="BW237" s="83"/>
      <c r="BX237" s="83"/>
    </row>
    <row r="238" spans="1:76" x14ac:dyDescent="0.35">
      <c r="A238" s="200" t="s">
        <v>79</v>
      </c>
      <c r="B238" s="201">
        <v>25.754908468999997</v>
      </c>
      <c r="C238" s="201">
        <v>8.3805719879999998</v>
      </c>
      <c r="D238" s="201">
        <v>10.006239125</v>
      </c>
      <c r="E238" s="201">
        <v>24.237821724999996</v>
      </c>
      <c r="F238" s="202">
        <v>6.967759286415049</v>
      </c>
      <c r="G238" s="83"/>
      <c r="H238" s="201">
        <f>SUM(H222:H237)</f>
        <v>19.316181351750004</v>
      </c>
      <c r="I238" s="201">
        <f t="shared" ref="I238:L238" si="268">SUM(I222:I237)</f>
        <v>2.5754908469000002</v>
      </c>
      <c r="J238" s="201">
        <f t="shared" si="268"/>
        <v>3.8632362703499998</v>
      </c>
      <c r="K238" s="201">
        <f t="shared" si="268"/>
        <v>8.6437179128000015</v>
      </c>
      <c r="L238" s="201">
        <f t="shared" si="268"/>
        <v>24.237821724999996</v>
      </c>
      <c r="M238" s="202">
        <f>SUM(M222:M237)</f>
        <v>6.0037434750000012</v>
      </c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  <c r="BV238" s="83"/>
      <c r="BW238" s="83"/>
      <c r="BX238" s="83"/>
    </row>
    <row r="239" spans="1:76" x14ac:dyDescent="0.35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154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  <c r="BO239" s="83"/>
      <c r="BP239" s="83"/>
      <c r="BQ239" s="83"/>
      <c r="BR239" s="83"/>
      <c r="BS239" s="83"/>
      <c r="BT239" s="83"/>
      <c r="BU239" s="83"/>
      <c r="BV239" s="83"/>
      <c r="BW239" s="83"/>
      <c r="BX239" s="83"/>
    </row>
    <row r="240" spans="1:76" x14ac:dyDescent="0.35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154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  <c r="BV240" s="83"/>
      <c r="BW240" s="83"/>
      <c r="BX240" s="83"/>
    </row>
    <row r="241" spans="1:76" x14ac:dyDescent="0.35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154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  <c r="AY241" s="83"/>
      <c r="AZ241" s="83"/>
      <c r="BA241" s="83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83"/>
      <c r="BM241" s="83"/>
      <c r="BN241" s="83"/>
      <c r="BO241" s="83"/>
      <c r="BP241" s="83"/>
      <c r="BQ241" s="83"/>
      <c r="BR241" s="83"/>
      <c r="BS241" s="83"/>
      <c r="BT241" s="83"/>
      <c r="BU241" s="83"/>
      <c r="BV241" s="83"/>
      <c r="BW241" s="83"/>
      <c r="BX241" s="83"/>
    </row>
    <row r="242" spans="1:76" x14ac:dyDescent="0.35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154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  <c r="BO242" s="83"/>
      <c r="BP242" s="83"/>
      <c r="BQ242" s="83"/>
      <c r="BR242" s="83"/>
      <c r="BS242" s="83"/>
      <c r="BT242" s="83"/>
      <c r="BU242" s="83"/>
      <c r="BV242" s="83"/>
      <c r="BW242" s="83"/>
      <c r="BX242" s="83"/>
    </row>
    <row r="243" spans="1:76" x14ac:dyDescent="0.35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154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  <c r="BT243" s="83"/>
      <c r="BU243" s="83"/>
      <c r="BV243" s="83"/>
      <c r="BW243" s="83"/>
      <c r="BX243" s="83"/>
    </row>
    <row r="244" spans="1:76" x14ac:dyDescent="0.35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154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  <c r="BV244" s="83"/>
      <c r="BW244" s="83"/>
      <c r="BX244" s="83"/>
    </row>
    <row r="245" spans="1:76" x14ac:dyDescent="0.3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154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  <c r="BO245" s="83"/>
      <c r="BP245" s="83"/>
      <c r="BQ245" s="83"/>
      <c r="BR245" s="83"/>
      <c r="BS245" s="83"/>
      <c r="BT245" s="83"/>
      <c r="BU245" s="83"/>
      <c r="BV245" s="83"/>
      <c r="BW245" s="83"/>
      <c r="BX245" s="83"/>
    </row>
    <row r="246" spans="1:76" x14ac:dyDescent="0.35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154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</row>
    <row r="247" spans="1:76" x14ac:dyDescent="0.35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154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  <c r="BV247" s="83"/>
      <c r="BW247" s="83"/>
      <c r="BX247" s="83"/>
    </row>
    <row r="248" spans="1:76" x14ac:dyDescent="0.35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154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  <c r="BV248" s="83"/>
      <c r="BW248" s="83"/>
      <c r="BX248" s="83"/>
    </row>
    <row r="249" spans="1:76" x14ac:dyDescent="0.35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154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  <c r="AY249" s="83"/>
      <c r="AZ249" s="83"/>
      <c r="BA249" s="83"/>
      <c r="BB249" s="83"/>
      <c r="BC249" s="83"/>
      <c r="BD249" s="83"/>
      <c r="BE249" s="83"/>
      <c r="BF249" s="83"/>
      <c r="BG249" s="83"/>
      <c r="BH249" s="83"/>
      <c r="BI249" s="83"/>
      <c r="BJ249" s="83"/>
      <c r="BK249" s="83"/>
      <c r="BL249" s="83"/>
      <c r="BM249" s="83"/>
      <c r="BN249" s="83"/>
      <c r="BO249" s="83"/>
      <c r="BP249" s="83"/>
      <c r="BQ249" s="83"/>
      <c r="BR249" s="83"/>
      <c r="BS249" s="83"/>
      <c r="BT249" s="83"/>
      <c r="BU249" s="83"/>
      <c r="BV249" s="83"/>
      <c r="BW249" s="83"/>
      <c r="BX249" s="83"/>
    </row>
    <row r="250" spans="1:76" x14ac:dyDescent="0.35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154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83"/>
      <c r="AZ250" s="83"/>
      <c r="BA250" s="83"/>
      <c r="BB250" s="83"/>
      <c r="BC250" s="83"/>
      <c r="BD250" s="83"/>
      <c r="BE250" s="83"/>
      <c r="BF250" s="83"/>
      <c r="BG250" s="83"/>
      <c r="BH250" s="83"/>
      <c r="BI250" s="83"/>
      <c r="BJ250" s="83"/>
      <c r="BK250" s="83"/>
      <c r="BL250" s="83"/>
      <c r="BM250" s="83"/>
      <c r="BN250" s="83"/>
      <c r="BO250" s="83"/>
      <c r="BP250" s="83"/>
      <c r="BQ250" s="83"/>
      <c r="BR250" s="83"/>
      <c r="BS250" s="83"/>
      <c r="BT250" s="83"/>
      <c r="BU250" s="83"/>
      <c r="BV250" s="83"/>
      <c r="BW250" s="83"/>
      <c r="BX250" s="83"/>
    </row>
    <row r="251" spans="1:76" x14ac:dyDescent="0.35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154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  <c r="BE251" s="83"/>
      <c r="BF251" s="83"/>
      <c r="BG251" s="83"/>
      <c r="BH251" s="83"/>
      <c r="BI251" s="83"/>
      <c r="BJ251" s="83"/>
      <c r="BK251" s="83"/>
      <c r="BL251" s="83"/>
      <c r="BM251" s="83"/>
      <c r="BN251" s="83"/>
      <c r="BO251" s="83"/>
      <c r="BP251" s="83"/>
      <c r="BQ251" s="83"/>
      <c r="BR251" s="83"/>
      <c r="BS251" s="83"/>
      <c r="BT251" s="83"/>
      <c r="BU251" s="83"/>
      <c r="BV251" s="83"/>
      <c r="BW251" s="83"/>
      <c r="BX251" s="83"/>
    </row>
    <row r="252" spans="1:76" x14ac:dyDescent="0.35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154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83"/>
      <c r="BU252" s="83"/>
      <c r="BV252" s="83"/>
      <c r="BW252" s="83"/>
      <c r="BX252" s="83"/>
    </row>
    <row r="253" spans="1:76" x14ac:dyDescent="0.35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154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  <c r="BO253" s="83"/>
      <c r="BP253" s="83"/>
      <c r="BQ253" s="83"/>
      <c r="BR253" s="83"/>
      <c r="BS253" s="83"/>
      <c r="BT253" s="83"/>
      <c r="BU253" s="83"/>
      <c r="BV253" s="83"/>
      <c r="BW253" s="83"/>
      <c r="BX253" s="83"/>
    </row>
    <row r="254" spans="1:76" x14ac:dyDescent="0.3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154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83"/>
      <c r="BE254" s="83"/>
      <c r="BF254" s="83"/>
      <c r="BG254" s="83"/>
      <c r="BH254" s="83"/>
      <c r="BI254" s="83"/>
      <c r="BJ254" s="83"/>
      <c r="BK254" s="83"/>
      <c r="BL254" s="83"/>
      <c r="BM254" s="83"/>
      <c r="BN254" s="83"/>
      <c r="BO254" s="83"/>
      <c r="BP254" s="83"/>
      <c r="BQ254" s="83"/>
      <c r="BR254" s="83"/>
      <c r="BS254" s="83"/>
      <c r="BT254" s="83"/>
      <c r="BU254" s="83"/>
      <c r="BV254" s="83"/>
      <c r="BW254" s="83"/>
      <c r="BX254" s="83"/>
    </row>
    <row r="255" spans="1:76" x14ac:dyDescent="0.3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154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83"/>
      <c r="BE255" s="83"/>
      <c r="BF255" s="83"/>
      <c r="BG255" s="83"/>
      <c r="BH255" s="83"/>
      <c r="BI255" s="83"/>
      <c r="BJ255" s="83"/>
      <c r="BK255" s="83"/>
      <c r="BL255" s="83"/>
      <c r="BM255" s="83"/>
      <c r="BN255" s="83"/>
      <c r="BO255" s="83"/>
      <c r="BP255" s="83"/>
      <c r="BQ255" s="83"/>
      <c r="BR255" s="83"/>
      <c r="BS255" s="83"/>
      <c r="BT255" s="83"/>
      <c r="BU255" s="83"/>
      <c r="BV255" s="83"/>
      <c r="BW255" s="83"/>
      <c r="BX255" s="83"/>
    </row>
    <row r="256" spans="1:76" x14ac:dyDescent="0.35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154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83"/>
      <c r="BE256" s="83"/>
      <c r="BF256" s="83"/>
      <c r="BG256" s="83"/>
      <c r="BH256" s="83"/>
      <c r="BI256" s="83"/>
      <c r="BJ256" s="83"/>
      <c r="BK256" s="83"/>
      <c r="BL256" s="83"/>
      <c r="BM256" s="83"/>
      <c r="BN256" s="83"/>
      <c r="BO256" s="83"/>
      <c r="BP256" s="83"/>
      <c r="BQ256" s="83"/>
      <c r="BR256" s="83"/>
      <c r="BS256" s="83"/>
      <c r="BT256" s="83"/>
      <c r="BU256" s="83"/>
      <c r="BV256" s="83"/>
      <c r="BW256" s="83"/>
      <c r="BX256" s="83"/>
    </row>
    <row r="257" spans="1:76" x14ac:dyDescent="0.35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154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  <c r="BV257" s="83"/>
      <c r="BW257" s="83"/>
      <c r="BX257" s="83"/>
    </row>
    <row r="258" spans="1:76" x14ac:dyDescent="0.35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154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  <c r="AY258" s="83"/>
      <c r="AZ258" s="83"/>
      <c r="BA258" s="83"/>
      <c r="BB258" s="83"/>
      <c r="BC258" s="83"/>
      <c r="BD258" s="83"/>
      <c r="BE258" s="83"/>
      <c r="BF258" s="83"/>
      <c r="BG258" s="83"/>
      <c r="BH258" s="83"/>
      <c r="BI258" s="83"/>
      <c r="BJ258" s="83"/>
      <c r="BK258" s="83"/>
      <c r="BL258" s="83"/>
      <c r="BM258" s="83"/>
      <c r="BN258" s="83"/>
      <c r="BO258" s="83"/>
      <c r="BP258" s="83"/>
      <c r="BQ258" s="83"/>
      <c r="BR258" s="83"/>
      <c r="BS258" s="83"/>
      <c r="BT258" s="83"/>
      <c r="BU258" s="83"/>
      <c r="BV258" s="83"/>
      <c r="BW258" s="83"/>
      <c r="BX258" s="83"/>
    </row>
    <row r="259" spans="1:76" x14ac:dyDescent="0.35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154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  <c r="AY259" s="83"/>
      <c r="AZ259" s="83"/>
      <c r="BA259" s="83"/>
      <c r="BB259" s="83"/>
      <c r="BC259" s="83"/>
      <c r="BD259" s="83"/>
      <c r="BE259" s="83"/>
      <c r="BF259" s="83"/>
      <c r="BG259" s="83"/>
      <c r="BH259" s="83"/>
      <c r="BI259" s="83"/>
      <c r="BJ259" s="83"/>
      <c r="BK259" s="83"/>
      <c r="BL259" s="83"/>
      <c r="BM259" s="83"/>
      <c r="BN259" s="83"/>
      <c r="BO259" s="83"/>
      <c r="BP259" s="83"/>
      <c r="BQ259" s="83"/>
      <c r="BR259" s="83"/>
      <c r="BS259" s="83"/>
      <c r="BT259" s="83"/>
      <c r="BU259" s="83"/>
      <c r="BV259" s="83"/>
      <c r="BW259" s="83"/>
      <c r="BX259" s="83"/>
    </row>
    <row r="260" spans="1:76" x14ac:dyDescent="0.35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154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</row>
    <row r="261" spans="1:76" x14ac:dyDescent="0.35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154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I261" s="83"/>
      <c r="BJ261" s="83"/>
      <c r="BK261" s="83"/>
      <c r="BL261" s="83"/>
      <c r="BM261" s="83"/>
      <c r="BN261" s="83"/>
      <c r="BO261" s="83"/>
      <c r="BP261" s="83"/>
      <c r="BQ261" s="83"/>
      <c r="BR261" s="83"/>
      <c r="BS261" s="83"/>
      <c r="BT261" s="83"/>
      <c r="BU261" s="83"/>
      <c r="BV261" s="83"/>
      <c r="BW261" s="83"/>
      <c r="BX261" s="83"/>
    </row>
    <row r="262" spans="1:76" x14ac:dyDescent="0.35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154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  <c r="BV262" s="83"/>
      <c r="BW262" s="83"/>
      <c r="BX262" s="83"/>
    </row>
    <row r="263" spans="1:76" x14ac:dyDescent="0.35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154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  <c r="BV263" s="83"/>
      <c r="BW263" s="83"/>
      <c r="BX263" s="83"/>
    </row>
    <row r="264" spans="1:76" x14ac:dyDescent="0.35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154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  <c r="AY264" s="83"/>
      <c r="AZ264" s="83"/>
      <c r="BA264" s="83"/>
      <c r="BB264" s="83"/>
      <c r="BC264" s="83"/>
      <c r="BD264" s="83"/>
      <c r="BE264" s="83"/>
      <c r="BF264" s="83"/>
      <c r="BG264" s="83"/>
      <c r="BH264" s="83"/>
      <c r="BI264" s="83"/>
      <c r="BJ264" s="83"/>
      <c r="BK264" s="83"/>
      <c r="BL264" s="83"/>
      <c r="BM264" s="83"/>
      <c r="BN264" s="83"/>
      <c r="BO264" s="83"/>
      <c r="BP264" s="83"/>
      <c r="BQ264" s="83"/>
      <c r="BR264" s="83"/>
      <c r="BS264" s="83"/>
      <c r="BT264" s="83"/>
      <c r="BU264" s="83"/>
      <c r="BV264" s="83"/>
      <c r="BW264" s="83"/>
      <c r="BX264" s="83"/>
    </row>
    <row r="265" spans="1:76" x14ac:dyDescent="0.3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154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3"/>
      <c r="BH265" s="83"/>
      <c r="BI265" s="83"/>
      <c r="BJ265" s="83"/>
      <c r="BK265" s="83"/>
      <c r="BL265" s="83"/>
      <c r="BM265" s="83"/>
      <c r="BN265" s="83"/>
      <c r="BO265" s="83"/>
      <c r="BP265" s="83"/>
      <c r="BQ265" s="83"/>
      <c r="BR265" s="83"/>
      <c r="BS265" s="83"/>
      <c r="BT265" s="83"/>
      <c r="BU265" s="83"/>
      <c r="BV265" s="83"/>
      <c r="BW265" s="83"/>
      <c r="BX265" s="83"/>
    </row>
    <row r="266" spans="1:76" x14ac:dyDescent="0.35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154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3"/>
      <c r="BJ266" s="83"/>
      <c r="BK266" s="83"/>
      <c r="BL266" s="83"/>
      <c r="BM266" s="83"/>
      <c r="BN266" s="83"/>
      <c r="BO266" s="83"/>
      <c r="BP266" s="83"/>
      <c r="BQ266" s="83"/>
      <c r="BR266" s="83"/>
      <c r="BS266" s="83"/>
      <c r="BT266" s="83"/>
      <c r="BU266" s="83"/>
      <c r="BV266" s="83"/>
      <c r="BW266" s="83"/>
      <c r="BX266" s="83"/>
    </row>
    <row r="267" spans="1:76" x14ac:dyDescent="0.35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154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83"/>
      <c r="BE267" s="83"/>
      <c r="BF267" s="83"/>
      <c r="BG267" s="83"/>
      <c r="BH267" s="83"/>
      <c r="BI267" s="83"/>
      <c r="BJ267" s="83"/>
      <c r="BK267" s="83"/>
      <c r="BL267" s="83"/>
      <c r="BM267" s="83"/>
      <c r="BN267" s="83"/>
      <c r="BO267" s="83"/>
      <c r="BP267" s="83"/>
      <c r="BQ267" s="83"/>
      <c r="BR267" s="83"/>
      <c r="BS267" s="83"/>
      <c r="BT267" s="83"/>
      <c r="BU267" s="83"/>
      <c r="BV267" s="83"/>
      <c r="BW267" s="83"/>
      <c r="BX267" s="83"/>
    </row>
    <row r="268" spans="1:76" x14ac:dyDescent="0.3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154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  <c r="AZ268" s="83"/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83"/>
      <c r="BL268" s="83"/>
      <c r="BM268" s="83"/>
      <c r="BN268" s="83"/>
      <c r="BO268" s="83"/>
      <c r="BP268" s="83"/>
      <c r="BQ268" s="83"/>
      <c r="BR268" s="83"/>
      <c r="BS268" s="83"/>
      <c r="BT268" s="83"/>
      <c r="BU268" s="83"/>
      <c r="BV268" s="83"/>
      <c r="BW268" s="83"/>
      <c r="BX268" s="83"/>
    </row>
    <row r="269" spans="1:76" x14ac:dyDescent="0.35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154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  <c r="AY269" s="83"/>
      <c r="AZ269" s="83"/>
      <c r="BA269" s="83"/>
      <c r="BB269" s="83"/>
      <c r="BC269" s="83"/>
      <c r="BD269" s="83"/>
      <c r="BE269" s="83"/>
      <c r="BF269" s="83"/>
      <c r="BG269" s="83"/>
      <c r="BH269" s="83"/>
      <c r="BI269" s="83"/>
      <c r="BJ269" s="83"/>
      <c r="BK269" s="83"/>
      <c r="BL269" s="83"/>
      <c r="BM269" s="83"/>
      <c r="BN269" s="83"/>
      <c r="BO269" s="83"/>
      <c r="BP269" s="83"/>
      <c r="BQ269" s="83"/>
      <c r="BR269" s="83"/>
      <c r="BS269" s="83"/>
      <c r="BT269" s="83"/>
      <c r="BU269" s="83"/>
      <c r="BV269" s="83"/>
      <c r="BW269" s="83"/>
      <c r="BX269" s="83"/>
    </row>
    <row r="270" spans="1:76" x14ac:dyDescent="0.3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154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3"/>
      <c r="AV270" s="83"/>
      <c r="AW270" s="83"/>
      <c r="AX270" s="83"/>
      <c r="AY270" s="83"/>
      <c r="AZ270" s="83"/>
      <c r="BA270" s="83"/>
      <c r="BB270" s="83"/>
      <c r="BC270" s="83"/>
      <c r="BD270" s="83"/>
      <c r="BE270" s="83"/>
      <c r="BF270" s="83"/>
      <c r="BG270" s="83"/>
      <c r="BH270" s="83"/>
      <c r="BI270" s="83"/>
      <c r="BJ270" s="83"/>
      <c r="BK270" s="83"/>
      <c r="BL270" s="83"/>
      <c r="BM270" s="83"/>
      <c r="BN270" s="83"/>
      <c r="BO270" s="83"/>
      <c r="BP270" s="83"/>
      <c r="BQ270" s="83"/>
      <c r="BR270" s="83"/>
      <c r="BS270" s="83"/>
      <c r="BT270" s="83"/>
      <c r="BU270" s="83"/>
      <c r="BV270" s="83"/>
      <c r="BW270" s="83"/>
      <c r="BX270" s="83"/>
    </row>
    <row r="271" spans="1:76" x14ac:dyDescent="0.35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154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3"/>
      <c r="AV271" s="83"/>
      <c r="AW271" s="83"/>
      <c r="AX271" s="83"/>
      <c r="AY271" s="83"/>
      <c r="AZ271" s="83"/>
      <c r="BA271" s="83"/>
      <c r="BB271" s="83"/>
      <c r="BC271" s="83"/>
      <c r="BD271" s="83"/>
      <c r="BE271" s="83"/>
      <c r="BF271" s="83"/>
      <c r="BG271" s="83"/>
      <c r="BH271" s="83"/>
      <c r="BI271" s="83"/>
      <c r="BJ271" s="83"/>
      <c r="BK271" s="83"/>
      <c r="BL271" s="83"/>
      <c r="BM271" s="83"/>
      <c r="BN271" s="83"/>
      <c r="BO271" s="83"/>
      <c r="BP271" s="83"/>
      <c r="BQ271" s="83"/>
      <c r="BR271" s="83"/>
      <c r="BS271" s="83"/>
      <c r="BT271" s="83"/>
      <c r="BU271" s="83"/>
      <c r="BV271" s="83"/>
      <c r="BW271" s="83"/>
      <c r="BX271" s="83"/>
    </row>
    <row r="272" spans="1:76" x14ac:dyDescent="0.3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154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83"/>
      <c r="BL272" s="83"/>
      <c r="BM272" s="83"/>
      <c r="BN272" s="83"/>
      <c r="BO272" s="83"/>
      <c r="BP272" s="83"/>
      <c r="BQ272" s="83"/>
      <c r="BR272" s="83"/>
      <c r="BS272" s="83"/>
      <c r="BT272" s="83"/>
      <c r="BU272" s="83"/>
      <c r="BV272" s="83"/>
      <c r="BW272" s="83"/>
      <c r="BX272" s="83"/>
    </row>
    <row r="273" spans="1:76" x14ac:dyDescent="0.35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154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3"/>
      <c r="AV273" s="83"/>
      <c r="AW273" s="83"/>
      <c r="AX273" s="83"/>
      <c r="AY273" s="83"/>
      <c r="AZ273" s="83"/>
      <c r="BA273" s="83"/>
      <c r="BB273" s="83"/>
      <c r="BC273" s="83"/>
      <c r="BD273" s="83"/>
      <c r="BE273" s="83"/>
      <c r="BF273" s="83"/>
      <c r="BG273" s="83"/>
      <c r="BH273" s="83"/>
      <c r="BI273" s="83"/>
      <c r="BJ273" s="83"/>
      <c r="BK273" s="83"/>
      <c r="BL273" s="83"/>
      <c r="BM273" s="83"/>
      <c r="BN273" s="83"/>
      <c r="BO273" s="83"/>
      <c r="BP273" s="83"/>
      <c r="BQ273" s="83"/>
      <c r="BR273" s="83"/>
      <c r="BS273" s="83"/>
      <c r="BT273" s="83"/>
      <c r="BU273" s="83"/>
      <c r="BV273" s="83"/>
      <c r="BW273" s="83"/>
      <c r="BX273" s="83"/>
    </row>
    <row r="274" spans="1:76" x14ac:dyDescent="0.35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154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3"/>
      <c r="AV274" s="83"/>
      <c r="AW274" s="83"/>
      <c r="AX274" s="83"/>
      <c r="AY274" s="83"/>
      <c r="AZ274" s="83"/>
      <c r="BA274" s="83"/>
      <c r="BB274" s="83"/>
      <c r="BC274" s="83"/>
      <c r="BD274" s="83"/>
      <c r="BE274" s="83"/>
      <c r="BF274" s="83"/>
      <c r="BG274" s="83"/>
      <c r="BH274" s="83"/>
      <c r="BI274" s="83"/>
      <c r="BJ274" s="83"/>
      <c r="BK274" s="83"/>
      <c r="BL274" s="83"/>
      <c r="BM274" s="83"/>
      <c r="BN274" s="83"/>
      <c r="BO274" s="83"/>
      <c r="BP274" s="83"/>
      <c r="BQ274" s="83"/>
      <c r="BR274" s="83"/>
      <c r="BS274" s="83"/>
      <c r="BT274" s="83"/>
      <c r="BU274" s="83"/>
      <c r="BV274" s="83"/>
      <c r="BW274" s="83"/>
      <c r="BX274" s="83"/>
    </row>
    <row r="275" spans="1:76" x14ac:dyDescent="0.3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154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</row>
    <row r="276" spans="1:76" x14ac:dyDescent="0.35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154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3"/>
      <c r="AV276" s="83"/>
      <c r="AW276" s="83"/>
      <c r="AX276" s="83"/>
      <c r="AY276" s="83"/>
      <c r="AZ276" s="83"/>
      <c r="BA276" s="83"/>
      <c r="BB276" s="83"/>
      <c r="BC276" s="83"/>
      <c r="BD276" s="83"/>
      <c r="BE276" s="83"/>
      <c r="BF276" s="83"/>
      <c r="BG276" s="83"/>
      <c r="BH276" s="83"/>
      <c r="BI276" s="83"/>
      <c r="BJ276" s="83"/>
      <c r="BK276" s="83"/>
      <c r="BL276" s="83"/>
      <c r="BM276" s="83"/>
      <c r="BN276" s="83"/>
      <c r="BO276" s="83"/>
      <c r="BP276" s="83"/>
      <c r="BQ276" s="83"/>
      <c r="BR276" s="83"/>
      <c r="BS276" s="83"/>
      <c r="BT276" s="83"/>
      <c r="BU276" s="83"/>
      <c r="BV276" s="83"/>
      <c r="BW276" s="83"/>
      <c r="BX276" s="83"/>
    </row>
    <row r="277" spans="1:76" x14ac:dyDescent="0.35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154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  <c r="AK277" s="83"/>
      <c r="AL277" s="83"/>
      <c r="AM277" s="83"/>
      <c r="AN277" s="83"/>
      <c r="AO277" s="83"/>
      <c r="AP277" s="83"/>
      <c r="AQ277" s="83"/>
      <c r="AR277" s="83"/>
      <c r="AS277" s="83"/>
      <c r="AT277" s="83"/>
      <c r="AU277" s="83"/>
      <c r="AV277" s="83"/>
      <c r="AW277" s="83"/>
      <c r="AX277" s="83"/>
      <c r="AY277" s="83"/>
      <c r="AZ277" s="83"/>
      <c r="BA277" s="83"/>
      <c r="BB277" s="83"/>
      <c r="BC277" s="83"/>
      <c r="BD277" s="83"/>
      <c r="BE277" s="83"/>
      <c r="BF277" s="83"/>
      <c r="BG277" s="83"/>
      <c r="BH277" s="83"/>
      <c r="BI277" s="83"/>
      <c r="BJ277" s="83"/>
      <c r="BK277" s="83"/>
      <c r="BL277" s="83"/>
      <c r="BM277" s="83"/>
      <c r="BN277" s="83"/>
      <c r="BO277" s="83"/>
      <c r="BP277" s="83"/>
      <c r="BQ277" s="83"/>
      <c r="BR277" s="83"/>
      <c r="BS277" s="83"/>
      <c r="BT277" s="83"/>
      <c r="BU277" s="83"/>
      <c r="BV277" s="83"/>
      <c r="BW277" s="83"/>
      <c r="BX277" s="83"/>
    </row>
    <row r="278" spans="1:76" x14ac:dyDescent="0.35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154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3"/>
      <c r="AV278" s="83"/>
      <c r="AW278" s="83"/>
      <c r="AX278" s="83"/>
      <c r="AY278" s="83"/>
      <c r="AZ278" s="83"/>
      <c r="BA278" s="83"/>
      <c r="BB278" s="83"/>
      <c r="BC278" s="83"/>
      <c r="BD278" s="83"/>
      <c r="BE278" s="83"/>
      <c r="BF278" s="83"/>
      <c r="BG278" s="83"/>
      <c r="BH278" s="83"/>
      <c r="BI278" s="83"/>
      <c r="BJ278" s="83"/>
      <c r="BK278" s="83"/>
      <c r="BL278" s="83"/>
      <c r="BM278" s="83"/>
      <c r="BN278" s="83"/>
      <c r="BO278" s="83"/>
      <c r="BP278" s="83"/>
      <c r="BQ278" s="83"/>
      <c r="BR278" s="83"/>
      <c r="BS278" s="83"/>
      <c r="BT278" s="83"/>
      <c r="BU278" s="83"/>
      <c r="BV278" s="83"/>
      <c r="BW278" s="83"/>
      <c r="BX278" s="83"/>
    </row>
    <row r="279" spans="1:76" x14ac:dyDescent="0.35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154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3"/>
      <c r="AV279" s="83"/>
      <c r="AW279" s="83"/>
      <c r="AX279" s="83"/>
      <c r="AY279" s="83"/>
      <c r="AZ279" s="83"/>
      <c r="BA279" s="83"/>
      <c r="BB279" s="83"/>
      <c r="BC279" s="83"/>
      <c r="BD279" s="83"/>
      <c r="BE279" s="83"/>
      <c r="BF279" s="83"/>
      <c r="BG279" s="83"/>
      <c r="BH279" s="83"/>
      <c r="BI279" s="83"/>
      <c r="BJ279" s="83"/>
      <c r="BK279" s="83"/>
      <c r="BL279" s="83"/>
      <c r="BM279" s="83"/>
      <c r="BN279" s="83"/>
      <c r="BO279" s="83"/>
      <c r="BP279" s="83"/>
      <c r="BQ279" s="83"/>
      <c r="BR279" s="83"/>
      <c r="BS279" s="83"/>
      <c r="BT279" s="83"/>
      <c r="BU279" s="83"/>
      <c r="BV279" s="83"/>
      <c r="BW279" s="83"/>
      <c r="BX279" s="83"/>
    </row>
    <row r="280" spans="1:76" x14ac:dyDescent="0.35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154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3"/>
      <c r="AV280" s="83"/>
      <c r="AW280" s="83"/>
      <c r="AX280" s="83"/>
      <c r="AY280" s="83"/>
      <c r="AZ280" s="83"/>
      <c r="BA280" s="83"/>
      <c r="BB280" s="83"/>
      <c r="BC280" s="83"/>
      <c r="BD280" s="83"/>
      <c r="BE280" s="83"/>
      <c r="BF280" s="83"/>
      <c r="BG280" s="83"/>
      <c r="BH280" s="83"/>
      <c r="BI280" s="83"/>
      <c r="BJ280" s="83"/>
      <c r="BK280" s="83"/>
      <c r="BL280" s="83"/>
      <c r="BM280" s="83"/>
      <c r="BN280" s="83"/>
      <c r="BO280" s="83"/>
      <c r="BP280" s="83"/>
      <c r="BQ280" s="83"/>
      <c r="BR280" s="83"/>
      <c r="BS280" s="83"/>
      <c r="BT280" s="83"/>
      <c r="BU280" s="83"/>
      <c r="BV280" s="83"/>
      <c r="BW280" s="83"/>
      <c r="BX280" s="83"/>
    </row>
    <row r="281" spans="1:76" x14ac:dyDescent="0.35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154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3"/>
      <c r="AV281" s="83"/>
      <c r="AW281" s="83"/>
      <c r="AX281" s="83"/>
      <c r="AY281" s="83"/>
      <c r="AZ281" s="83"/>
      <c r="BA281" s="83"/>
      <c r="BB281" s="83"/>
      <c r="BC281" s="83"/>
      <c r="BD281" s="83"/>
      <c r="BE281" s="83"/>
      <c r="BF281" s="83"/>
      <c r="BG281" s="83"/>
      <c r="BH281" s="83"/>
      <c r="BI281" s="83"/>
      <c r="BJ281" s="83"/>
      <c r="BK281" s="83"/>
      <c r="BL281" s="83"/>
      <c r="BM281" s="83"/>
      <c r="BN281" s="83"/>
      <c r="BO281" s="83"/>
      <c r="BP281" s="83"/>
      <c r="BQ281" s="83"/>
      <c r="BR281" s="83"/>
      <c r="BS281" s="83"/>
      <c r="BT281" s="83"/>
      <c r="BU281" s="83"/>
      <c r="BV281" s="83"/>
      <c r="BW281" s="83"/>
      <c r="BX281" s="83"/>
    </row>
    <row r="282" spans="1:76" x14ac:dyDescent="0.35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154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3"/>
      <c r="AV282" s="83"/>
      <c r="AW282" s="83"/>
      <c r="AX282" s="83"/>
      <c r="AY282" s="83"/>
      <c r="AZ282" s="83"/>
      <c r="BA282" s="83"/>
      <c r="BB282" s="83"/>
      <c r="BC282" s="83"/>
      <c r="BD282" s="83"/>
      <c r="BE282" s="83"/>
      <c r="BF282" s="83"/>
      <c r="BG282" s="83"/>
      <c r="BH282" s="83"/>
      <c r="BI282" s="83"/>
      <c r="BJ282" s="83"/>
      <c r="BK282" s="83"/>
      <c r="BL282" s="83"/>
      <c r="BM282" s="83"/>
      <c r="BN282" s="83"/>
      <c r="BO282" s="83"/>
      <c r="BP282" s="83"/>
      <c r="BQ282" s="83"/>
      <c r="BR282" s="83"/>
      <c r="BS282" s="83"/>
      <c r="BT282" s="83"/>
      <c r="BU282" s="83"/>
      <c r="BV282" s="83"/>
      <c r="BW282" s="83"/>
      <c r="BX282" s="83"/>
    </row>
    <row r="283" spans="1:76" x14ac:dyDescent="0.35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154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3"/>
      <c r="AV283" s="83"/>
      <c r="AW283" s="83"/>
      <c r="AX283" s="83"/>
      <c r="AY283" s="83"/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83"/>
      <c r="BL283" s="83"/>
      <c r="BM283" s="83"/>
      <c r="BN283" s="83"/>
      <c r="BO283" s="83"/>
      <c r="BP283" s="83"/>
      <c r="BQ283" s="83"/>
      <c r="BR283" s="83"/>
      <c r="BS283" s="83"/>
      <c r="BT283" s="83"/>
      <c r="BU283" s="83"/>
      <c r="BV283" s="83"/>
      <c r="BW283" s="83"/>
      <c r="BX283" s="83"/>
    </row>
    <row r="284" spans="1:76" x14ac:dyDescent="0.35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154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3"/>
      <c r="AV284" s="83"/>
      <c r="AW284" s="83"/>
      <c r="AX284" s="83"/>
      <c r="AY284" s="83"/>
      <c r="AZ284" s="83"/>
      <c r="BA284" s="83"/>
      <c r="BB284" s="83"/>
      <c r="BC284" s="83"/>
      <c r="BD284" s="83"/>
      <c r="BE284" s="83"/>
      <c r="BF284" s="83"/>
      <c r="BG284" s="83"/>
      <c r="BH284" s="83"/>
      <c r="BI284" s="83"/>
      <c r="BJ284" s="83"/>
      <c r="BK284" s="83"/>
      <c r="BL284" s="83"/>
      <c r="BM284" s="83"/>
      <c r="BN284" s="83"/>
      <c r="BO284" s="83"/>
      <c r="BP284" s="83"/>
      <c r="BQ284" s="83"/>
      <c r="BR284" s="83"/>
      <c r="BS284" s="83"/>
      <c r="BT284" s="83"/>
      <c r="BU284" s="83"/>
      <c r="BV284" s="83"/>
      <c r="BW284" s="83"/>
      <c r="BX284" s="83"/>
    </row>
    <row r="285" spans="1:76" x14ac:dyDescent="0.3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154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3"/>
      <c r="AV285" s="83"/>
      <c r="AW285" s="83"/>
      <c r="AX285" s="83"/>
      <c r="AY285" s="83"/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83"/>
      <c r="BL285" s="83"/>
      <c r="BM285" s="83"/>
      <c r="BN285" s="83"/>
      <c r="BO285" s="83"/>
      <c r="BP285" s="83"/>
      <c r="BQ285" s="83"/>
      <c r="BR285" s="83"/>
      <c r="BS285" s="83"/>
      <c r="BT285" s="83"/>
      <c r="BU285" s="83"/>
      <c r="BV285" s="83"/>
      <c r="BW285" s="83"/>
      <c r="BX285" s="83"/>
    </row>
    <row r="286" spans="1:76" x14ac:dyDescent="0.35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154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3"/>
      <c r="AV286" s="83"/>
      <c r="AW286" s="83"/>
      <c r="AX286" s="83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  <c r="BO286" s="83"/>
      <c r="BP286" s="83"/>
      <c r="BQ286" s="83"/>
      <c r="BR286" s="83"/>
      <c r="BS286" s="83"/>
      <c r="BT286" s="83"/>
      <c r="BU286" s="83"/>
      <c r="BV286" s="83"/>
      <c r="BW286" s="83"/>
      <c r="BX286" s="83"/>
    </row>
    <row r="287" spans="1:76" x14ac:dyDescent="0.35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154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  <c r="BT287" s="83"/>
      <c r="BU287" s="83"/>
      <c r="BV287" s="83"/>
      <c r="BW287" s="83"/>
      <c r="BX287" s="83"/>
    </row>
    <row r="288" spans="1:76" x14ac:dyDescent="0.35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154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  <c r="BO288" s="83"/>
      <c r="BP288" s="83"/>
      <c r="BQ288" s="83"/>
      <c r="BR288" s="83"/>
      <c r="BS288" s="83"/>
      <c r="BT288" s="83"/>
      <c r="BU288" s="83"/>
      <c r="BV288" s="83"/>
      <c r="BW288" s="83"/>
      <c r="BX288" s="83"/>
    </row>
    <row r="289" spans="1:76" x14ac:dyDescent="0.35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154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3"/>
      <c r="AV289" s="83"/>
      <c r="AW289" s="83"/>
      <c r="AX289" s="83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  <c r="BL289" s="83"/>
      <c r="BM289" s="83"/>
      <c r="BN289" s="83"/>
      <c r="BO289" s="83"/>
      <c r="BP289" s="83"/>
      <c r="BQ289" s="83"/>
      <c r="BR289" s="83"/>
      <c r="BS289" s="83"/>
      <c r="BT289" s="83"/>
      <c r="BU289" s="83"/>
      <c r="BV289" s="83"/>
      <c r="BW289" s="83"/>
      <c r="BX289" s="83"/>
    </row>
    <row r="290" spans="1:76" x14ac:dyDescent="0.35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154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3"/>
      <c r="AV290" s="83"/>
      <c r="AW290" s="83"/>
      <c r="AX290" s="83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  <c r="BL290" s="83"/>
      <c r="BM290" s="83"/>
      <c r="BN290" s="83"/>
      <c r="BO290" s="83"/>
      <c r="BP290" s="83"/>
      <c r="BQ290" s="83"/>
      <c r="BR290" s="83"/>
      <c r="BS290" s="83"/>
      <c r="BT290" s="83"/>
      <c r="BU290" s="83"/>
      <c r="BV290" s="83"/>
      <c r="BW290" s="83"/>
      <c r="BX290" s="83"/>
    </row>
    <row r="291" spans="1:76" x14ac:dyDescent="0.35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154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  <c r="AS291" s="83"/>
      <c r="AT291" s="83"/>
      <c r="AU291" s="83"/>
      <c r="AV291" s="83"/>
      <c r="AW291" s="83"/>
      <c r="AX291" s="83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  <c r="BL291" s="83"/>
      <c r="BM291" s="83"/>
      <c r="BN291" s="83"/>
      <c r="BO291" s="83"/>
      <c r="BP291" s="83"/>
      <c r="BQ291" s="83"/>
      <c r="BR291" s="83"/>
      <c r="BS291" s="83"/>
      <c r="BT291" s="83"/>
      <c r="BU291" s="83"/>
      <c r="BV291" s="83"/>
      <c r="BW291" s="83"/>
      <c r="BX291" s="83"/>
    </row>
    <row r="292" spans="1:76" x14ac:dyDescent="0.35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154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  <c r="BL292" s="83"/>
      <c r="BM292" s="83"/>
      <c r="BN292" s="83"/>
      <c r="BO292" s="83"/>
      <c r="BP292" s="83"/>
      <c r="BQ292" s="83"/>
      <c r="BR292" s="83"/>
      <c r="BS292" s="83"/>
      <c r="BT292" s="83"/>
      <c r="BU292" s="83"/>
      <c r="BV292" s="83"/>
      <c r="BW292" s="83"/>
      <c r="BX292" s="83"/>
    </row>
    <row r="293" spans="1:76" x14ac:dyDescent="0.35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154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3"/>
      <c r="AV293" s="83"/>
      <c r="AW293" s="83"/>
      <c r="AX293" s="83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  <c r="BO293" s="83"/>
      <c r="BP293" s="83"/>
      <c r="BQ293" s="83"/>
      <c r="BR293" s="83"/>
      <c r="BS293" s="83"/>
      <c r="BT293" s="83"/>
      <c r="BU293" s="83"/>
      <c r="BV293" s="83"/>
      <c r="BW293" s="83"/>
      <c r="BX293" s="83"/>
    </row>
    <row r="294" spans="1:76" x14ac:dyDescent="0.35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154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3"/>
      <c r="AV294" s="83"/>
      <c r="AW294" s="83"/>
      <c r="AX294" s="83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  <c r="BL294" s="83"/>
      <c r="BM294" s="83"/>
      <c r="BN294" s="83"/>
      <c r="BO294" s="83"/>
      <c r="BP294" s="83"/>
      <c r="BQ294" s="83"/>
      <c r="BR294" s="83"/>
      <c r="BS294" s="83"/>
      <c r="BT294" s="83"/>
      <c r="BU294" s="83"/>
      <c r="BV294" s="83"/>
      <c r="BW294" s="83"/>
      <c r="BX294" s="83"/>
    </row>
    <row r="295" spans="1:76" x14ac:dyDescent="0.3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154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  <c r="BO295" s="83"/>
      <c r="BP295" s="83"/>
      <c r="BQ295" s="83"/>
      <c r="BR295" s="83"/>
      <c r="BS295" s="83"/>
      <c r="BT295" s="83"/>
      <c r="BU295" s="83"/>
      <c r="BV295" s="83"/>
      <c r="BW295" s="83"/>
      <c r="BX295" s="83"/>
    </row>
    <row r="296" spans="1:76" x14ac:dyDescent="0.35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154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  <c r="BL296" s="83"/>
      <c r="BM296" s="83"/>
      <c r="BN296" s="83"/>
      <c r="BO296" s="83"/>
      <c r="BP296" s="83"/>
      <c r="BQ296" s="83"/>
      <c r="BR296" s="83"/>
      <c r="BS296" s="83"/>
      <c r="BT296" s="83"/>
      <c r="BU296" s="83"/>
      <c r="BV296" s="83"/>
      <c r="BW296" s="83"/>
      <c r="BX296" s="83"/>
    </row>
    <row r="297" spans="1:76" x14ac:dyDescent="0.3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154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3"/>
      <c r="AV297" s="83"/>
      <c r="AW297" s="83"/>
      <c r="AX297" s="83"/>
      <c r="AY297" s="83"/>
      <c r="AZ297" s="83"/>
      <c r="BA297" s="83"/>
      <c r="BB297" s="83"/>
      <c r="BC297" s="83"/>
      <c r="BD297" s="83"/>
      <c r="BE297" s="83"/>
      <c r="BF297" s="83"/>
      <c r="BG297" s="83"/>
      <c r="BH297" s="83"/>
      <c r="BI297" s="83"/>
      <c r="BJ297" s="83"/>
      <c r="BK297" s="83"/>
      <c r="BL297" s="83"/>
      <c r="BM297" s="83"/>
      <c r="BN297" s="83"/>
      <c r="BO297" s="83"/>
      <c r="BP297" s="83"/>
      <c r="BQ297" s="83"/>
      <c r="BR297" s="83"/>
      <c r="BS297" s="83"/>
      <c r="BT297" s="83"/>
      <c r="BU297" s="83"/>
      <c r="BV297" s="83"/>
      <c r="BW297" s="83"/>
      <c r="BX297" s="83"/>
    </row>
    <row r="298" spans="1:76" x14ac:dyDescent="0.3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154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  <c r="AY298" s="83"/>
      <c r="AZ298" s="83"/>
      <c r="BA298" s="83"/>
      <c r="BB298" s="83"/>
      <c r="BC298" s="83"/>
      <c r="BD298" s="83"/>
      <c r="BE298" s="83"/>
      <c r="BF298" s="83"/>
      <c r="BG298" s="83"/>
      <c r="BH298" s="83"/>
      <c r="BI298" s="83"/>
      <c r="BJ298" s="83"/>
      <c r="BK298" s="83"/>
      <c r="BL298" s="83"/>
      <c r="BM298" s="83"/>
      <c r="BN298" s="83"/>
      <c r="BO298" s="83"/>
      <c r="BP298" s="83"/>
      <c r="BQ298" s="83"/>
      <c r="BR298" s="83"/>
      <c r="BS298" s="83"/>
      <c r="BT298" s="83"/>
      <c r="BU298" s="83"/>
      <c r="BV298" s="83"/>
      <c r="BW298" s="83"/>
      <c r="BX298" s="83"/>
    </row>
    <row r="299" spans="1:76" x14ac:dyDescent="0.3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154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3"/>
      <c r="AV299" s="83"/>
      <c r="AW299" s="83"/>
      <c r="AX299" s="83"/>
      <c r="AY299" s="83"/>
      <c r="AZ299" s="83"/>
      <c r="BA299" s="83"/>
      <c r="BB299" s="83"/>
      <c r="BC299" s="83"/>
      <c r="BD299" s="83"/>
      <c r="BE299" s="83"/>
      <c r="BF299" s="83"/>
      <c r="BG299" s="83"/>
      <c r="BH299" s="83"/>
      <c r="BI299" s="83"/>
      <c r="BJ299" s="83"/>
      <c r="BK299" s="83"/>
      <c r="BL299" s="83"/>
      <c r="BM299" s="83"/>
      <c r="BN299" s="83"/>
      <c r="BO299" s="83"/>
      <c r="BP299" s="83"/>
      <c r="BQ299" s="83"/>
      <c r="BR299" s="83"/>
      <c r="BS299" s="83"/>
      <c r="BT299" s="83"/>
      <c r="BU299" s="83"/>
      <c r="BV299" s="83"/>
      <c r="BW299" s="83"/>
      <c r="BX299" s="83"/>
    </row>
    <row r="300" spans="1:76" x14ac:dyDescent="0.3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154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3"/>
      <c r="AV300" s="83"/>
      <c r="AW300" s="83"/>
      <c r="AX300" s="83"/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83"/>
      <c r="BJ300" s="83"/>
      <c r="BK300" s="83"/>
      <c r="BL300" s="83"/>
      <c r="BM300" s="83"/>
      <c r="BN300" s="83"/>
      <c r="BO300" s="83"/>
      <c r="BP300" s="83"/>
      <c r="BQ300" s="83"/>
      <c r="BR300" s="83"/>
      <c r="BS300" s="83"/>
      <c r="BT300" s="83"/>
      <c r="BU300" s="83"/>
      <c r="BV300" s="83"/>
      <c r="BW300" s="83"/>
      <c r="BX300" s="83"/>
    </row>
    <row r="301" spans="1:76" x14ac:dyDescent="0.35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154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  <c r="BM301" s="83"/>
      <c r="BN301" s="83"/>
      <c r="BO301" s="83"/>
      <c r="BP301" s="83"/>
      <c r="BQ301" s="83"/>
      <c r="BR301" s="83"/>
      <c r="BS301" s="83"/>
      <c r="BT301" s="83"/>
      <c r="BU301" s="83"/>
      <c r="BV301" s="83"/>
      <c r="BW301" s="83"/>
      <c r="BX301" s="83"/>
    </row>
    <row r="302" spans="1:76" x14ac:dyDescent="0.35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154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3"/>
      <c r="AV302" s="83"/>
      <c r="AW302" s="83"/>
      <c r="AX302" s="83"/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83"/>
      <c r="BJ302" s="83"/>
      <c r="BK302" s="83"/>
      <c r="BL302" s="83"/>
      <c r="BM302" s="83"/>
      <c r="BN302" s="83"/>
      <c r="BO302" s="83"/>
      <c r="BP302" s="83"/>
      <c r="BQ302" s="83"/>
      <c r="BR302" s="83"/>
      <c r="BS302" s="83"/>
      <c r="BT302" s="83"/>
      <c r="BU302" s="83"/>
      <c r="BV302" s="83"/>
      <c r="BW302" s="83"/>
      <c r="BX302" s="83"/>
    </row>
    <row r="303" spans="1:76" x14ac:dyDescent="0.35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154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3"/>
      <c r="AV303" s="83"/>
      <c r="AW303" s="83"/>
      <c r="AX303" s="83"/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83"/>
      <c r="BJ303" s="83"/>
      <c r="BK303" s="83"/>
      <c r="BL303" s="83"/>
      <c r="BM303" s="83"/>
      <c r="BN303" s="83"/>
      <c r="BO303" s="83"/>
      <c r="BP303" s="83"/>
      <c r="BQ303" s="83"/>
      <c r="BR303" s="83"/>
      <c r="BS303" s="83"/>
      <c r="BT303" s="83"/>
      <c r="BU303" s="83"/>
      <c r="BV303" s="83"/>
      <c r="BW303" s="83"/>
      <c r="BX303" s="83"/>
    </row>
    <row r="304" spans="1:76" x14ac:dyDescent="0.35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154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3"/>
      <c r="AV304" s="83"/>
      <c r="AW304" s="83"/>
      <c r="AX304" s="83"/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83"/>
      <c r="BJ304" s="83"/>
      <c r="BK304" s="83"/>
      <c r="BL304" s="83"/>
      <c r="BM304" s="83"/>
      <c r="BN304" s="83"/>
      <c r="BO304" s="83"/>
      <c r="BP304" s="83"/>
      <c r="BQ304" s="83"/>
      <c r="BR304" s="83"/>
      <c r="BS304" s="83"/>
      <c r="BT304" s="83"/>
      <c r="BU304" s="83"/>
      <c r="BV304" s="83"/>
      <c r="BW304" s="83"/>
      <c r="BX304" s="83"/>
    </row>
    <row r="305" spans="1:76" x14ac:dyDescent="0.3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154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3"/>
      <c r="AV305" s="83"/>
      <c r="AW305" s="83"/>
      <c r="AX305" s="83"/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83"/>
      <c r="BJ305" s="83"/>
      <c r="BK305" s="83"/>
      <c r="BL305" s="83"/>
      <c r="BM305" s="83"/>
      <c r="BN305" s="83"/>
      <c r="BO305" s="83"/>
      <c r="BP305" s="83"/>
      <c r="BQ305" s="83"/>
      <c r="BR305" s="83"/>
      <c r="BS305" s="83"/>
      <c r="BT305" s="83"/>
      <c r="BU305" s="83"/>
      <c r="BV305" s="83"/>
      <c r="BW305" s="83"/>
      <c r="BX305" s="83"/>
    </row>
    <row r="306" spans="1:76" x14ac:dyDescent="0.35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154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  <c r="BV306" s="83"/>
      <c r="BW306" s="83"/>
      <c r="BX306" s="83"/>
    </row>
  </sheetData>
  <mergeCells count="2">
    <mergeCell ref="H219:J219"/>
    <mergeCell ref="B220:F2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7CB8-89FF-47AB-A488-1FF704DE4884}">
  <dimension ref="A1:AA298"/>
  <sheetViews>
    <sheetView workbookViewId="0"/>
  </sheetViews>
  <sheetFormatPr defaultRowHeight="14.5" x14ac:dyDescent="0.35"/>
  <cols>
    <col min="2" max="6" width="14.81640625" customWidth="1"/>
    <col min="7" max="7" width="15.81640625" bestFit="1" customWidth="1"/>
    <col min="8" max="8" width="16.81640625" bestFit="1" customWidth="1"/>
    <col min="9" max="9" width="14.81640625" customWidth="1"/>
    <col min="10" max="10" width="10.26953125" style="83" customWidth="1"/>
    <col min="11" max="12" width="14.81640625" customWidth="1"/>
    <col min="13" max="13" width="15.81640625" bestFit="1" customWidth="1"/>
    <col min="14" max="14" width="14.81640625" customWidth="1"/>
    <col min="15" max="15" width="12" customWidth="1"/>
    <col min="16" max="16" width="12.7265625" customWidth="1"/>
    <col min="17" max="17" width="13.54296875" customWidth="1"/>
    <col min="18" max="18" width="11.453125" customWidth="1"/>
    <col min="19" max="19" width="10.1796875" bestFit="1" customWidth="1"/>
    <col min="21" max="21" width="10.1796875" customWidth="1"/>
    <col min="22" max="22" width="15.54296875" customWidth="1"/>
    <col min="23" max="23" width="17.54296875" customWidth="1"/>
    <col min="24" max="24" width="11.81640625" customWidth="1"/>
    <col min="25" max="25" width="16.54296875" customWidth="1"/>
    <col min="26" max="26" width="16.7265625" customWidth="1"/>
  </cols>
  <sheetData>
    <row r="1" spans="1:27" ht="26" x14ac:dyDescent="0.6">
      <c r="A1" s="232" t="s">
        <v>605</v>
      </c>
      <c r="B1" s="230"/>
      <c r="C1" s="230"/>
      <c r="D1" s="230"/>
      <c r="E1" s="230"/>
      <c r="F1" s="230"/>
      <c r="G1" s="230"/>
      <c r="H1" s="230"/>
      <c r="I1" s="230"/>
      <c r="J1" s="266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</row>
    <row r="2" spans="1:27" ht="26" x14ac:dyDescent="0.6">
      <c r="A2" s="232"/>
      <c r="B2" s="230"/>
      <c r="C2" s="230"/>
      <c r="D2" s="230"/>
      <c r="E2" s="230"/>
      <c r="F2" s="230"/>
      <c r="G2" s="230"/>
      <c r="H2" s="230"/>
      <c r="I2" s="230"/>
      <c r="J2" s="266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</row>
    <row r="3" spans="1:27" ht="15" thickBot="1" x14ac:dyDescent="0.4">
      <c r="B3" s="157" t="s">
        <v>162</v>
      </c>
      <c r="C3" s="157"/>
      <c r="D3" s="157"/>
      <c r="E3" s="157"/>
      <c r="F3" s="157"/>
      <c r="G3" s="157"/>
      <c r="H3" s="157"/>
      <c r="I3" s="157"/>
      <c r="K3" s="157"/>
      <c r="L3" s="157"/>
      <c r="M3" s="157"/>
      <c r="N3" s="157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7" x14ac:dyDescent="0.35">
      <c r="B4" s="281"/>
      <c r="C4" s="1209" t="s">
        <v>586</v>
      </c>
      <c r="D4" s="1210"/>
      <c r="E4" s="1210"/>
      <c r="F4" s="1210"/>
      <c r="G4" s="1210"/>
      <c r="H4" s="1210"/>
      <c r="I4" s="1210"/>
      <c r="J4" s="1211"/>
      <c r="K4" s="1208" t="s">
        <v>587</v>
      </c>
      <c r="L4" s="1203"/>
      <c r="M4" s="1204"/>
      <c r="N4" s="1205"/>
      <c r="O4" s="1197" t="s">
        <v>163</v>
      </c>
      <c r="P4" s="1199"/>
      <c r="Q4" s="1200"/>
      <c r="R4" s="1201"/>
      <c r="S4" s="1212" t="s">
        <v>164</v>
      </c>
      <c r="T4" s="1207"/>
      <c r="U4" s="1209" t="s">
        <v>165</v>
      </c>
      <c r="V4" s="1210"/>
      <c r="W4" s="1210"/>
      <c r="X4" s="1210"/>
      <c r="Y4" s="1210"/>
      <c r="Z4" s="1213"/>
    </row>
    <row r="5" spans="1:27" ht="71.25" customHeight="1" x14ac:dyDescent="0.35">
      <c r="B5" s="86" t="s">
        <v>5</v>
      </c>
      <c r="C5" s="17" t="s">
        <v>6</v>
      </c>
      <c r="D5" s="295" t="s">
        <v>166</v>
      </c>
      <c r="E5" s="18" t="s">
        <v>7</v>
      </c>
      <c r="F5" s="18" t="s">
        <v>167</v>
      </c>
      <c r="G5" s="18" t="s">
        <v>8</v>
      </c>
      <c r="H5" s="18" t="s">
        <v>168</v>
      </c>
      <c r="I5" s="18" t="s">
        <v>9</v>
      </c>
      <c r="J5" s="208" t="s">
        <v>169</v>
      </c>
      <c r="K5" s="210" t="s">
        <v>6</v>
      </c>
      <c r="L5" s="259" t="s">
        <v>7</v>
      </c>
      <c r="M5" s="209" t="s">
        <v>8</v>
      </c>
      <c r="N5" s="260" t="s">
        <v>9</v>
      </c>
      <c r="O5" s="205" t="s">
        <v>6</v>
      </c>
      <c r="P5" s="206" t="s">
        <v>7</v>
      </c>
      <c r="Q5" s="206" t="s">
        <v>170</v>
      </c>
      <c r="R5" s="208" t="s">
        <v>9</v>
      </c>
      <c r="S5" s="210" t="s">
        <v>171</v>
      </c>
      <c r="T5" s="209" t="s">
        <v>11</v>
      </c>
      <c r="U5" s="205" t="s">
        <v>6</v>
      </c>
      <c r="V5" s="206" t="s">
        <v>7</v>
      </c>
      <c r="W5" s="206" t="s">
        <v>170</v>
      </c>
      <c r="X5" s="206" t="s">
        <v>9</v>
      </c>
      <c r="Y5" s="207" t="s">
        <v>172</v>
      </c>
      <c r="Z5" s="208" t="s">
        <v>173</v>
      </c>
      <c r="AA5" s="18" t="s">
        <v>174</v>
      </c>
    </row>
    <row r="6" spans="1:27" x14ac:dyDescent="0.35">
      <c r="B6" s="88">
        <v>1</v>
      </c>
      <c r="C6" s="264">
        <f>C99+C121+C167+C211+C233+C255+C277</f>
        <v>146147.68450801732</v>
      </c>
      <c r="D6" s="298">
        <f t="shared" ref="D6:N21" si="0">D99+D121+D167+D211+D233+D255+D277</f>
        <v>49221.267646059256</v>
      </c>
      <c r="E6" s="285">
        <f t="shared" si="0"/>
        <v>6200937.7161151618</v>
      </c>
      <c r="F6" s="286">
        <f t="shared" si="0"/>
        <v>1729428.508197383</v>
      </c>
      <c r="G6" s="285">
        <f t="shared" si="0"/>
        <v>195669060.35968387</v>
      </c>
      <c r="H6" s="286">
        <f t="shared" si="0"/>
        <v>57316929.278512783</v>
      </c>
      <c r="I6" s="286">
        <f t="shared" si="0"/>
        <v>1593.1999682881947</v>
      </c>
      <c r="J6" s="287">
        <f t="shared" si="0"/>
        <v>495.39563881362562</v>
      </c>
      <c r="K6" s="264">
        <f t="shared" si="0"/>
        <v>146147.68450801732</v>
      </c>
      <c r="L6" s="283">
        <f t="shared" si="0"/>
        <v>3416247.0161151621</v>
      </c>
      <c r="M6" s="283">
        <f t="shared" si="0"/>
        <v>135911916.75968385</v>
      </c>
      <c r="N6" s="283">
        <f t="shared" si="0"/>
        <v>1359.1735682881952</v>
      </c>
      <c r="O6" s="212">
        <v>0</v>
      </c>
      <c r="P6" s="213">
        <v>2896730.8999999994</v>
      </c>
      <c r="Q6" s="213">
        <v>62113617.200000003</v>
      </c>
      <c r="R6" s="214">
        <v>242.75139999999965</v>
      </c>
      <c r="S6" s="154">
        <v>381819.93736192439</v>
      </c>
      <c r="T6" s="215"/>
      <c r="U6" s="212">
        <v>0</v>
      </c>
      <c r="V6" s="213">
        <f>V99+V121+V144+V167+V189+V211+V233+V255+V277</f>
        <v>1017899.4855018413</v>
      </c>
      <c r="W6" s="213">
        <f>W99+W121+W144+W167+W189+W211+W233+W255+W277</f>
        <v>21677444.382932976</v>
      </c>
      <c r="X6" s="213">
        <f>X99+X121+X144+X167+X189+X211+X233+X255+X277</f>
        <v>83.263913363409173</v>
      </c>
      <c r="Y6" s="216">
        <v>8.8488082056241044</v>
      </c>
      <c r="Z6" s="217">
        <v>8.7431957011906967</v>
      </c>
      <c r="AA6" s="233">
        <f>Z6/Y6</f>
        <v>0.98806477641064894</v>
      </c>
    </row>
    <row r="7" spans="1:27" x14ac:dyDescent="0.35">
      <c r="B7" s="88">
        <v>2</v>
      </c>
      <c r="C7" s="264">
        <f t="shared" ref="C7:C21" si="1">C100+C122+C168+C212+C234+C256+C278</f>
        <v>101666.03020994765</v>
      </c>
      <c r="D7" s="298">
        <f t="shared" si="0"/>
        <v>192719.24546416465</v>
      </c>
      <c r="E7" s="285">
        <f t="shared" si="0"/>
        <v>6891259.1179722762</v>
      </c>
      <c r="F7" s="286">
        <f t="shared" si="0"/>
        <v>11499882.950066335</v>
      </c>
      <c r="G7" s="285">
        <f t="shared" si="0"/>
        <v>222121408.49554065</v>
      </c>
      <c r="H7" s="286">
        <f t="shared" si="0"/>
        <v>380230976.48248279</v>
      </c>
      <c r="I7" s="286">
        <f t="shared" si="0"/>
        <v>1412.8511853282878</v>
      </c>
      <c r="J7" s="287">
        <f t="shared" si="0"/>
        <v>2509.8476321549283</v>
      </c>
      <c r="K7" s="264">
        <f t="shared" si="0"/>
        <v>101666.03020994765</v>
      </c>
      <c r="L7" s="283">
        <f t="shared" si="0"/>
        <v>3005289.3179722764</v>
      </c>
      <c r="M7" s="283">
        <f t="shared" si="0"/>
        <v>127465847.09554063</v>
      </c>
      <c r="N7" s="283">
        <f t="shared" si="0"/>
        <v>1105.0984853282882</v>
      </c>
      <c r="O7" s="212">
        <v>0</v>
      </c>
      <c r="P7" s="213">
        <v>4031513.1999999997</v>
      </c>
      <c r="Q7" s="213">
        <v>98078635.400000006</v>
      </c>
      <c r="R7" s="214">
        <v>318.46299999999968</v>
      </c>
      <c r="S7" s="154">
        <v>2268150.1294930689</v>
      </c>
      <c r="T7" s="215"/>
      <c r="U7" s="212">
        <v>0</v>
      </c>
      <c r="V7" s="213">
        <f t="shared" ref="V7:W7" si="2">V100+V122+V145+V168+V190+V212+V234+V256+V278</f>
        <v>8272250.8236070974</v>
      </c>
      <c r="W7" s="213">
        <f t="shared" si="2"/>
        <v>197046503.89006954</v>
      </c>
      <c r="X7" s="213">
        <f t="shared" ref="X7:X21" si="3">X100+X122+X145+X168+X190+X212+X234+X256+X278</f>
        <v>633.42699186616562</v>
      </c>
      <c r="Y7" s="216">
        <v>10.167133170818301</v>
      </c>
      <c r="Z7" s="217">
        <v>13.378815275271412</v>
      </c>
      <c r="AA7" s="233">
        <f t="shared" ref="AA7:AA22" si="4">Z7/Y7</f>
        <v>1.3158886630570827</v>
      </c>
    </row>
    <row r="8" spans="1:27" x14ac:dyDescent="0.35">
      <c r="B8" s="88">
        <v>3</v>
      </c>
      <c r="C8" s="264">
        <f t="shared" si="1"/>
        <v>83143.478320170834</v>
      </c>
      <c r="D8" s="298">
        <f t="shared" si="0"/>
        <v>802203.19217312895</v>
      </c>
      <c r="E8" s="285">
        <f t="shared" si="0"/>
        <v>6529025.1394257257</v>
      </c>
      <c r="F8" s="286">
        <f t="shared" si="0"/>
        <v>54281138.360543713</v>
      </c>
      <c r="G8" s="285">
        <f t="shared" si="0"/>
        <v>194756219.13054755</v>
      </c>
      <c r="H8" s="286">
        <f t="shared" si="0"/>
        <v>1648206146.2711337</v>
      </c>
      <c r="I8" s="286">
        <f t="shared" si="0"/>
        <v>1271.3375641299669</v>
      </c>
      <c r="J8" s="287">
        <f t="shared" si="0"/>
        <v>11237.100288835849</v>
      </c>
      <c r="K8" s="264">
        <f t="shared" si="0"/>
        <v>83143.478320170834</v>
      </c>
      <c r="L8" s="283">
        <f t="shared" si="0"/>
        <v>3125918.439425726</v>
      </c>
      <c r="M8" s="283">
        <f t="shared" si="0"/>
        <v>117008552.83054754</v>
      </c>
      <c r="N8" s="283">
        <f t="shared" si="0"/>
        <v>996.59836412996731</v>
      </c>
      <c r="O8" s="212">
        <v>0</v>
      </c>
      <c r="P8" s="213">
        <v>3539039.3</v>
      </c>
      <c r="Q8" s="213">
        <v>80749761.300000012</v>
      </c>
      <c r="R8" s="214">
        <v>284.81219999999996</v>
      </c>
      <c r="S8" s="154">
        <v>11023426.457224827</v>
      </c>
      <c r="T8" s="215"/>
      <c r="U8" s="212">
        <v>0</v>
      </c>
      <c r="V8" s="213">
        <f t="shared" ref="V8:W8" si="5">V101+V123+V146+V169+V191+V213+V235+V257+V279</f>
        <v>35119452.311862275</v>
      </c>
      <c r="W8" s="213">
        <f t="shared" si="5"/>
        <v>788432589.23010635</v>
      </c>
      <c r="X8" s="213">
        <f t="shared" si="3"/>
        <v>2751.3023538368866</v>
      </c>
      <c r="Y8" s="216">
        <v>8.5966589769688415</v>
      </c>
      <c r="Z8" s="217">
        <v>11.014598701464354</v>
      </c>
      <c r="AA8" s="233">
        <f t="shared" si="4"/>
        <v>1.2812650508730627</v>
      </c>
    </row>
    <row r="9" spans="1:27" x14ac:dyDescent="0.35">
      <c r="B9" s="88">
        <v>4</v>
      </c>
      <c r="C9" s="264">
        <f t="shared" si="1"/>
        <v>70867.732860930904</v>
      </c>
      <c r="D9" s="298">
        <f t="shared" si="0"/>
        <v>347962.3037313539</v>
      </c>
      <c r="E9" s="285">
        <f t="shared" si="0"/>
        <v>7008900.5183236068</v>
      </c>
      <c r="F9" s="286">
        <f t="shared" si="0"/>
        <v>30265847.823155064</v>
      </c>
      <c r="G9" s="285">
        <f t="shared" si="0"/>
        <v>210017795.39849052</v>
      </c>
      <c r="H9" s="286">
        <f t="shared" si="0"/>
        <v>918829441.10958052</v>
      </c>
      <c r="I9" s="286">
        <f t="shared" si="0"/>
        <v>1255.6040503516792</v>
      </c>
      <c r="J9" s="287">
        <f t="shared" si="0"/>
        <v>5680.4530072974148</v>
      </c>
      <c r="K9" s="264">
        <f t="shared" si="0"/>
        <v>70867.732860930904</v>
      </c>
      <c r="L9" s="283">
        <f t="shared" si="0"/>
        <v>2937407.4183236063</v>
      </c>
      <c r="M9" s="283">
        <f t="shared" si="0"/>
        <v>113825786.79849049</v>
      </c>
      <c r="N9" s="283">
        <f t="shared" si="0"/>
        <v>932.10085035167924</v>
      </c>
      <c r="O9" s="212">
        <v>0</v>
      </c>
      <c r="P9" s="213">
        <v>4226097.0999999996</v>
      </c>
      <c r="Q9" s="213">
        <v>99774848.599999994</v>
      </c>
      <c r="R9" s="214">
        <v>334.72600000000011</v>
      </c>
      <c r="S9" s="154">
        <v>5684219.1676227013</v>
      </c>
      <c r="T9" s="215"/>
      <c r="U9" s="212">
        <v>0</v>
      </c>
      <c r="V9" s="213">
        <f t="shared" ref="V9:W9" si="6">V102+V124+V147+V170+V192+V214+V236+V258+V280</f>
        <v>21223254.649657059</v>
      </c>
      <c r="W9" s="213">
        <f t="shared" si="6"/>
        <v>495691622.74120277</v>
      </c>
      <c r="X9" s="213">
        <f t="shared" si="3"/>
        <v>1636.7302574273083</v>
      </c>
      <c r="Y9" s="216">
        <v>9.912640659250334</v>
      </c>
      <c r="Z9" s="217">
        <v>13.429550770483619</v>
      </c>
      <c r="AA9" s="233">
        <f t="shared" si="4"/>
        <v>1.3547904369913133</v>
      </c>
    </row>
    <row r="10" spans="1:27" x14ac:dyDescent="0.35">
      <c r="B10" s="88">
        <v>5</v>
      </c>
      <c r="C10" s="264">
        <f t="shared" si="1"/>
        <v>85717.299249606687</v>
      </c>
      <c r="D10" s="298">
        <f t="shared" si="0"/>
        <v>77711.00888667359</v>
      </c>
      <c r="E10" s="285">
        <f t="shared" si="0"/>
        <v>6578543.7684809724</v>
      </c>
      <c r="F10" s="286">
        <f t="shared" si="0"/>
        <v>5308612.0704155471</v>
      </c>
      <c r="G10" s="285">
        <f t="shared" si="0"/>
        <v>188348674.17164764</v>
      </c>
      <c r="H10" s="286">
        <f t="shared" si="0"/>
        <v>155266542.31626168</v>
      </c>
      <c r="I10" s="286">
        <f t="shared" si="0"/>
        <v>1278.5917767893297</v>
      </c>
      <c r="J10" s="287">
        <f t="shared" si="0"/>
        <v>1087.6014767681318</v>
      </c>
      <c r="K10" s="264">
        <f t="shared" si="0"/>
        <v>85717.299249606687</v>
      </c>
      <c r="L10" s="283">
        <f t="shared" si="0"/>
        <v>2927146.2684809729</v>
      </c>
      <c r="M10" s="283">
        <f t="shared" si="0"/>
        <v>109877342.87164764</v>
      </c>
      <c r="N10" s="283">
        <f t="shared" si="0"/>
        <v>974.95887678932968</v>
      </c>
      <c r="O10" s="212">
        <v>0</v>
      </c>
      <c r="P10" s="213">
        <v>3796940.9</v>
      </c>
      <c r="Q10" s="213">
        <v>81553309.300000012</v>
      </c>
      <c r="R10" s="214">
        <v>314.8051999999999</v>
      </c>
      <c r="S10" s="154">
        <v>1083357.1116444294</v>
      </c>
      <c r="T10" s="215"/>
      <c r="U10" s="212">
        <v>0</v>
      </c>
      <c r="V10" s="213">
        <f t="shared" ref="V10:W10" si="7">V103+V125+V148+V171+V193+V215+V237+V259+V281</f>
        <v>3735193.673709102</v>
      </c>
      <c r="W10" s="213">
        <f t="shared" si="7"/>
        <v>79295235.516894743</v>
      </c>
      <c r="X10" s="213">
        <f t="shared" si="3"/>
        <v>301.77960378408568</v>
      </c>
      <c r="Y10" s="216">
        <v>8.6761942392107034</v>
      </c>
      <c r="Z10" s="217">
        <v>11.271875301640828</v>
      </c>
      <c r="AA10" s="233">
        <f t="shared" si="4"/>
        <v>1.2991727698648503</v>
      </c>
    </row>
    <row r="11" spans="1:27" x14ac:dyDescent="0.35">
      <c r="B11" s="88">
        <v>6</v>
      </c>
      <c r="C11" s="264">
        <f t="shared" si="1"/>
        <v>43928.944358593872</v>
      </c>
      <c r="D11" s="298">
        <f t="shared" si="0"/>
        <v>276419.82626670209</v>
      </c>
      <c r="E11" s="285">
        <f t="shared" si="0"/>
        <v>7156671.9924417632</v>
      </c>
      <c r="F11" s="286">
        <f t="shared" si="0"/>
        <v>41827653.379108481</v>
      </c>
      <c r="G11" s="285">
        <f t="shared" si="0"/>
        <v>206854637.47960347</v>
      </c>
      <c r="H11" s="286">
        <f t="shared" si="0"/>
        <v>1214046501.7173095</v>
      </c>
      <c r="I11" s="286">
        <f t="shared" si="0"/>
        <v>1113.3606675865915</v>
      </c>
      <c r="J11" s="287">
        <f t="shared" si="0"/>
        <v>6629.7403812989987</v>
      </c>
      <c r="K11" s="264">
        <f t="shared" si="0"/>
        <v>43928.944358593872</v>
      </c>
      <c r="L11" s="283">
        <f t="shared" si="0"/>
        <v>2791799.4924417641</v>
      </c>
      <c r="M11" s="283">
        <f t="shared" si="0"/>
        <v>107780688.67960349</v>
      </c>
      <c r="N11" s="283">
        <f t="shared" si="0"/>
        <v>746.09446758659203</v>
      </c>
      <c r="O11" s="212">
        <v>0</v>
      </c>
      <c r="P11" s="213">
        <v>4526617.3000000007</v>
      </c>
      <c r="Q11" s="213">
        <v>102690608.40000001</v>
      </c>
      <c r="R11" s="214">
        <v>380.07509999999957</v>
      </c>
      <c r="S11" s="154">
        <v>7960514.7746578828</v>
      </c>
      <c r="T11" s="215"/>
      <c r="U11" s="212">
        <v>0</v>
      </c>
      <c r="V11" s="213">
        <f t="shared" ref="V11:W11" si="8">V104+V126+V149+V172+V194+V216+V238+V260+V282</f>
        <v>31510583.373653486</v>
      </c>
      <c r="W11" s="213">
        <f t="shared" si="8"/>
        <v>705644163.56742561</v>
      </c>
      <c r="X11" s="213">
        <f t="shared" si="3"/>
        <v>2580.1026895979971</v>
      </c>
      <c r="Y11" s="216">
        <v>9.8024663483966687</v>
      </c>
      <c r="Z11" s="217">
        <v>13.651026882750029</v>
      </c>
      <c r="AA11" s="233">
        <f t="shared" si="4"/>
        <v>1.3926114507888974</v>
      </c>
    </row>
    <row r="12" spans="1:27" x14ac:dyDescent="0.35">
      <c r="B12" s="88">
        <v>7</v>
      </c>
      <c r="C12" s="264">
        <f t="shared" si="1"/>
        <v>33620.315292395993</v>
      </c>
      <c r="D12" s="298">
        <f t="shared" si="0"/>
        <v>133075.30434104017</v>
      </c>
      <c r="E12" s="285">
        <f t="shared" si="0"/>
        <v>7027536.2230888261</v>
      </c>
      <c r="F12" s="286">
        <f t="shared" si="0"/>
        <v>27113546.255840629</v>
      </c>
      <c r="G12" s="285">
        <f t="shared" si="0"/>
        <v>194489544.58828259</v>
      </c>
      <c r="H12" s="286">
        <f t="shared" si="0"/>
        <v>755585337.83340788</v>
      </c>
      <c r="I12" s="286">
        <f t="shared" si="0"/>
        <v>1051.8391712901673</v>
      </c>
      <c r="J12" s="287">
        <f t="shared" si="0"/>
        <v>4101.3710278150165</v>
      </c>
      <c r="K12" s="264">
        <f t="shared" si="0"/>
        <v>33620.315292395993</v>
      </c>
      <c r="L12" s="283">
        <f t="shared" si="0"/>
        <v>3040418.6230888264</v>
      </c>
      <c r="M12" s="283">
        <f t="shared" si="0"/>
        <v>103169413.78828254</v>
      </c>
      <c r="N12" s="283">
        <f t="shared" si="0"/>
        <v>686.24347129016712</v>
      </c>
      <c r="O12" s="212">
        <v>0</v>
      </c>
      <c r="P12" s="213">
        <v>4135681.2</v>
      </c>
      <c r="Q12" s="213">
        <v>94642414.199999988</v>
      </c>
      <c r="R12" s="214">
        <v>378.31669999999997</v>
      </c>
      <c r="S12" s="154">
        <v>5625927.9434972452</v>
      </c>
      <c r="T12" s="215"/>
      <c r="U12" s="212">
        <v>0</v>
      </c>
      <c r="V12" s="213">
        <f t="shared" ref="V12:W12" si="9">V105+V127+V150+V173+V195+V217+V239+V261+V283</f>
        <v>21631592.952313066</v>
      </c>
      <c r="W12" s="213">
        <f t="shared" si="9"/>
        <v>489673323.30994433</v>
      </c>
      <c r="X12" s="213">
        <f t="shared" si="3"/>
        <v>1930.5483267526586</v>
      </c>
      <c r="Y12" s="216">
        <v>10.68045233688888</v>
      </c>
      <c r="Z12" s="217">
        <v>13.40395620901865</v>
      </c>
      <c r="AA12" s="233">
        <f t="shared" si="4"/>
        <v>1.2549989257218204</v>
      </c>
    </row>
    <row r="13" spans="1:27" x14ac:dyDescent="0.35">
      <c r="B13" s="88">
        <v>8</v>
      </c>
      <c r="C13" s="264">
        <f t="shared" si="1"/>
        <v>41523.750743972858</v>
      </c>
      <c r="D13" s="298">
        <f t="shared" si="0"/>
        <v>382303.43122965656</v>
      </c>
      <c r="E13" s="285">
        <f t="shared" si="0"/>
        <v>7624424.2263861038</v>
      </c>
      <c r="F13" s="286">
        <f t="shared" si="0"/>
        <v>64150158.925855979</v>
      </c>
      <c r="G13" s="285">
        <f t="shared" si="0"/>
        <v>226846289.6412237</v>
      </c>
      <c r="H13" s="286">
        <f t="shared" si="0"/>
        <v>1923585251.0912578</v>
      </c>
      <c r="I13" s="286">
        <f t="shared" si="0"/>
        <v>1170.8477016691149</v>
      </c>
      <c r="J13" s="287">
        <f t="shared" si="0"/>
        <v>10012.773704667765</v>
      </c>
      <c r="K13" s="264">
        <f t="shared" si="0"/>
        <v>41523.750743972858</v>
      </c>
      <c r="L13" s="283">
        <f t="shared" si="0"/>
        <v>3449342.0263861045</v>
      </c>
      <c r="M13" s="283">
        <f t="shared" si="0"/>
        <v>123725912.34122373</v>
      </c>
      <c r="N13" s="283">
        <f t="shared" si="0"/>
        <v>806.09970166911546</v>
      </c>
      <c r="O13" s="212">
        <v>0</v>
      </c>
      <c r="P13" s="213">
        <v>4333256.5999999996</v>
      </c>
      <c r="Q13" s="213">
        <v>106929779.5</v>
      </c>
      <c r="R13" s="214">
        <v>377.33359999999971</v>
      </c>
      <c r="S13" s="154">
        <v>11489334.083243661</v>
      </c>
      <c r="T13" s="215"/>
      <c r="U13" s="212">
        <v>0</v>
      </c>
      <c r="V13" s="213">
        <f t="shared" ref="V13:W13" si="10">V106+V128+V151+V174+V196+V218+V240+V262+V284</f>
        <v>43510836.383310378</v>
      </c>
      <c r="W13" s="213">
        <f t="shared" si="10"/>
        <v>1061597841.7261009</v>
      </c>
      <c r="X13" s="213">
        <f t="shared" si="3"/>
        <v>3681.4235098401746</v>
      </c>
      <c r="Y13" s="216">
        <v>9.7739961837152762</v>
      </c>
      <c r="Z13" s="217">
        <v>14.229377128501451</v>
      </c>
      <c r="AA13" s="233">
        <f t="shared" si="4"/>
        <v>1.455840258277306</v>
      </c>
    </row>
    <row r="14" spans="1:27" x14ac:dyDescent="0.35">
      <c r="B14" s="88">
        <v>9</v>
      </c>
      <c r="C14" s="264">
        <f t="shared" si="1"/>
        <v>45585.353735801553</v>
      </c>
      <c r="D14" s="298">
        <f t="shared" si="0"/>
        <v>713682.60319639754</v>
      </c>
      <c r="E14" s="285">
        <f t="shared" si="0"/>
        <v>7443059.8039408866</v>
      </c>
      <c r="F14" s="286">
        <f t="shared" si="0"/>
        <v>109260142.25819553</v>
      </c>
      <c r="G14" s="285">
        <f t="shared" si="0"/>
        <v>227179859.68898454</v>
      </c>
      <c r="H14" s="286">
        <f t="shared" si="0"/>
        <v>3342407201.0164537</v>
      </c>
      <c r="I14" s="286">
        <f t="shared" si="0"/>
        <v>1165.5764690583571</v>
      </c>
      <c r="J14" s="287">
        <f t="shared" si="0"/>
        <v>17359.394809970829</v>
      </c>
      <c r="K14" s="264">
        <f t="shared" si="0"/>
        <v>45585.353735801553</v>
      </c>
      <c r="L14" s="283">
        <f t="shared" si="0"/>
        <v>3071987.0039408859</v>
      </c>
      <c r="M14" s="283">
        <f t="shared" si="0"/>
        <v>122930391.08898456</v>
      </c>
      <c r="N14" s="283">
        <f t="shared" si="0"/>
        <v>795.29976905835736</v>
      </c>
      <c r="O14" s="212">
        <v>0</v>
      </c>
      <c r="P14" s="213">
        <v>4535837.8000000007</v>
      </c>
      <c r="Q14" s="213">
        <v>108088827.2</v>
      </c>
      <c r="R14" s="214">
        <v>383.13109999999995</v>
      </c>
      <c r="S14" s="154">
        <v>19123185.366591848</v>
      </c>
      <c r="T14" s="215"/>
      <c r="U14" s="212">
        <v>0</v>
      </c>
      <c r="V14" s="213">
        <f t="shared" ref="V14:W14" si="11">V107+V129+V152+V175+V197+V219+V241+V263+V285</f>
        <v>77328293.20579046</v>
      </c>
      <c r="W14" s="213">
        <f t="shared" si="11"/>
        <v>1819634682.4202693</v>
      </c>
      <c r="X14" s="213">
        <f t="shared" si="3"/>
        <v>6360.5001723439127</v>
      </c>
      <c r="Y14" s="216">
        <v>9.9520003143304052</v>
      </c>
      <c r="Z14" s="217">
        <v>14.653612132122694</v>
      </c>
      <c r="AA14" s="233">
        <f t="shared" si="4"/>
        <v>1.47242882529075</v>
      </c>
    </row>
    <row r="15" spans="1:27" x14ac:dyDescent="0.35">
      <c r="B15" s="88">
        <v>10</v>
      </c>
      <c r="C15" s="264">
        <f t="shared" si="1"/>
        <v>50634.086086670286</v>
      </c>
      <c r="D15" s="298">
        <f t="shared" si="0"/>
        <v>450192.04568284622</v>
      </c>
      <c r="E15" s="285">
        <f t="shared" si="0"/>
        <v>7529370.9111340111</v>
      </c>
      <c r="F15" s="286">
        <f t="shared" si="0"/>
        <v>45444159.472798526</v>
      </c>
      <c r="G15" s="285">
        <f t="shared" si="0"/>
        <v>226451929.04528847</v>
      </c>
      <c r="H15" s="286">
        <f t="shared" si="0"/>
        <v>1422960182.6360464</v>
      </c>
      <c r="I15" s="286">
        <f t="shared" si="0"/>
        <v>1198.0523914225787</v>
      </c>
      <c r="J15" s="287">
        <f t="shared" si="0"/>
        <v>8157.3195721616275</v>
      </c>
      <c r="K15" s="264">
        <f t="shared" si="0"/>
        <v>50634.086086670286</v>
      </c>
      <c r="L15" s="283">
        <f t="shared" si="0"/>
        <v>3159235.6111340104</v>
      </c>
      <c r="M15" s="283">
        <f t="shared" si="0"/>
        <v>124464688.44528848</v>
      </c>
      <c r="N15" s="283">
        <f t="shared" si="0"/>
        <v>825.10989142257881</v>
      </c>
      <c r="O15" s="212">
        <v>0</v>
      </c>
      <c r="P15" s="213">
        <v>4534900.3000000007</v>
      </c>
      <c r="Q15" s="213">
        <v>105722531</v>
      </c>
      <c r="R15" s="214">
        <v>385.89239999999995</v>
      </c>
      <c r="S15" s="154">
        <v>10007443.488344058</v>
      </c>
      <c r="T15" s="215"/>
      <c r="U15" s="212">
        <v>0</v>
      </c>
      <c r="V15" s="213">
        <f t="shared" ref="V15:W15" si="12">V108+V130+V153+V176+V198+V220+V242+V264+V286</f>
        <v>35369130.998807564</v>
      </c>
      <c r="W15" s="213">
        <f t="shared" si="12"/>
        <v>806104454.01825488</v>
      </c>
      <c r="X15" s="213">
        <f t="shared" si="3"/>
        <v>2866.8994138115818</v>
      </c>
      <c r="Y15" s="216">
        <v>8.6849955263845526</v>
      </c>
      <c r="Z15" s="217">
        <v>12.404775111985453</v>
      </c>
      <c r="AA15" s="233">
        <f t="shared" si="4"/>
        <v>1.4282995396256002</v>
      </c>
    </row>
    <row r="16" spans="1:27" x14ac:dyDescent="0.35">
      <c r="B16" s="88">
        <v>11</v>
      </c>
      <c r="C16" s="264">
        <f t="shared" si="1"/>
        <v>95576.083357442811</v>
      </c>
      <c r="D16" s="298">
        <f t="shared" si="0"/>
        <v>190621.95455481956</v>
      </c>
      <c r="E16" s="285">
        <f t="shared" si="0"/>
        <v>7539241.4387705512</v>
      </c>
      <c r="F16" s="286">
        <f t="shared" si="0"/>
        <v>10045260.449260551</v>
      </c>
      <c r="G16" s="285">
        <f t="shared" si="0"/>
        <v>232906652.1812768</v>
      </c>
      <c r="H16" s="286">
        <f t="shared" si="0"/>
        <v>332952839.38678026</v>
      </c>
      <c r="I16" s="286">
        <f t="shared" si="0"/>
        <v>1467.6440401287714</v>
      </c>
      <c r="J16" s="287">
        <f t="shared" si="0"/>
        <v>2344.0206560962238</v>
      </c>
      <c r="K16" s="264">
        <f t="shared" si="0"/>
        <v>95576.083357442811</v>
      </c>
      <c r="L16" s="283">
        <f t="shared" si="0"/>
        <v>3603412.7387705524</v>
      </c>
      <c r="M16" s="283">
        <f t="shared" si="0"/>
        <v>140564493.28127679</v>
      </c>
      <c r="N16" s="283">
        <f t="shared" si="0"/>
        <v>1156.6433401287713</v>
      </c>
      <c r="O16" s="212">
        <v>0</v>
      </c>
      <c r="P16" s="213">
        <v>4083842.0999999996</v>
      </c>
      <c r="Q16" s="213">
        <v>95733906.900000006</v>
      </c>
      <c r="R16" s="214">
        <v>321.73809999999992</v>
      </c>
      <c r="S16" s="154">
        <v>2143283.0958253299</v>
      </c>
      <c r="T16" s="215"/>
      <c r="U16" s="212">
        <v>0</v>
      </c>
      <c r="V16" s="213">
        <f t="shared" ref="V16:W16" si="13">V109+V131+V154+V177+V199+V221+V243+V265+V287</f>
        <v>7154241.5025902865</v>
      </c>
      <c r="W16" s="213">
        <f t="shared" si="13"/>
        <v>165312649.7206679</v>
      </c>
      <c r="X16" s="213">
        <f t="shared" si="3"/>
        <v>544.85505974852254</v>
      </c>
      <c r="Y16" s="216">
        <v>9.3485446741165799</v>
      </c>
      <c r="Z16" s="217">
        <v>11.878107986093873</v>
      </c>
      <c r="AA16" s="233">
        <f t="shared" si="4"/>
        <v>1.2705836469906298</v>
      </c>
    </row>
    <row r="17" spans="2:27" x14ac:dyDescent="0.35">
      <c r="B17" s="88">
        <v>12</v>
      </c>
      <c r="C17" s="264">
        <f t="shared" si="1"/>
        <v>90641.758649554584</v>
      </c>
      <c r="D17" s="298">
        <f t="shared" si="0"/>
        <v>992312.36263228534</v>
      </c>
      <c r="E17" s="285">
        <f t="shared" si="0"/>
        <v>7232797.1574037084</v>
      </c>
      <c r="F17" s="286">
        <f t="shared" si="0"/>
        <v>60305140.460134186</v>
      </c>
      <c r="G17" s="285">
        <f t="shared" si="0"/>
        <v>223630274.0040682</v>
      </c>
      <c r="H17" s="286">
        <f t="shared" si="0"/>
        <v>1944983941.2556999</v>
      </c>
      <c r="I17" s="286">
        <f t="shared" si="0"/>
        <v>1397.2977612094714</v>
      </c>
      <c r="J17" s="287">
        <f t="shared" si="0"/>
        <v>13083.783366681935</v>
      </c>
      <c r="K17" s="264">
        <f t="shared" si="0"/>
        <v>90641.758649554584</v>
      </c>
      <c r="L17" s="283">
        <f t="shared" si="0"/>
        <v>3192441.8574037096</v>
      </c>
      <c r="M17" s="283">
        <f t="shared" si="0"/>
        <v>130574025.9040682</v>
      </c>
      <c r="N17" s="283">
        <f t="shared" si="0"/>
        <v>1090.8623612094714</v>
      </c>
      <c r="O17" s="212">
        <v>0</v>
      </c>
      <c r="P17" s="213">
        <v>4191939.1</v>
      </c>
      <c r="Q17" s="213">
        <v>96459257.5</v>
      </c>
      <c r="R17" s="214">
        <v>317.01319999999998</v>
      </c>
      <c r="S17" s="154">
        <v>12381582.243030308</v>
      </c>
      <c r="T17" s="215"/>
      <c r="U17" s="212">
        <v>0</v>
      </c>
      <c r="V17" s="213">
        <f t="shared" ref="V17:W17" si="14">V110+V132+V155+V178+V200+V222+V244+V266+V288</f>
        <v>44858111.176203817</v>
      </c>
      <c r="W17" s="213">
        <f t="shared" si="14"/>
        <v>1021504192.7758155</v>
      </c>
      <c r="X17" s="213">
        <f t="shared" si="3"/>
        <v>3302.9415539885704</v>
      </c>
      <c r="Y17" s="216">
        <v>9.877034761968698</v>
      </c>
      <c r="Z17" s="217">
        <v>12.705294250743078</v>
      </c>
      <c r="AA17" s="233">
        <f t="shared" si="4"/>
        <v>1.2863470218475417</v>
      </c>
    </row>
    <row r="18" spans="2:27" x14ac:dyDescent="0.35">
      <c r="B18" s="88">
        <v>13</v>
      </c>
      <c r="C18" s="264">
        <f t="shared" si="1"/>
        <v>82730.299899673613</v>
      </c>
      <c r="D18" s="298">
        <f t="shared" si="0"/>
        <v>314115.1091860896</v>
      </c>
      <c r="E18" s="285">
        <f t="shared" si="0"/>
        <v>7614858.743234613</v>
      </c>
      <c r="F18" s="286">
        <f t="shared" si="0"/>
        <v>19548769.389075451</v>
      </c>
      <c r="G18" s="285">
        <f t="shared" si="0"/>
        <v>235983741.04089499</v>
      </c>
      <c r="H18" s="286">
        <f t="shared" si="0"/>
        <v>647847365.51305616</v>
      </c>
      <c r="I18" s="286">
        <f t="shared" si="0"/>
        <v>1399.9829688736645</v>
      </c>
      <c r="J18" s="287">
        <f t="shared" si="0"/>
        <v>4243.5031158646634</v>
      </c>
      <c r="K18" s="264">
        <f t="shared" si="0"/>
        <v>82730.299899673613</v>
      </c>
      <c r="L18" s="283">
        <f t="shared" si="0"/>
        <v>3569240.6432346129</v>
      </c>
      <c r="M18" s="283">
        <f t="shared" si="0"/>
        <v>138789719.64089495</v>
      </c>
      <c r="N18" s="283">
        <f t="shared" si="0"/>
        <v>1085.3647688736642</v>
      </c>
      <c r="O18" s="212">
        <v>0</v>
      </c>
      <c r="P18" s="213">
        <v>4197201.9000000004</v>
      </c>
      <c r="Q18" s="213">
        <v>100729978.59999999</v>
      </c>
      <c r="R18" s="214">
        <v>325.43069999999994</v>
      </c>
      <c r="S18" s="154">
        <v>4100382.6658524107</v>
      </c>
      <c r="T18" s="215"/>
      <c r="U18" s="212">
        <v>0</v>
      </c>
      <c r="V18" s="213">
        <f t="shared" ref="V18:W18" si="15">V111+V133+V156+V179+V201+V223+V245+V267+V289</f>
        <v>14549209.481844122</v>
      </c>
      <c r="W18" s="213">
        <f t="shared" si="15"/>
        <v>344128861.32361084</v>
      </c>
      <c r="X18" s="213">
        <f t="shared" si="3"/>
        <v>1089.1483380543948</v>
      </c>
      <c r="Y18" s="216">
        <v>9.6845070043972292</v>
      </c>
      <c r="Z18" s="217">
        <v>12.924609472472</v>
      </c>
      <c r="AA18" s="233">
        <f t="shared" si="4"/>
        <v>1.3345655557483318</v>
      </c>
    </row>
    <row r="19" spans="2:27" x14ac:dyDescent="0.35">
      <c r="B19" s="88">
        <v>14</v>
      </c>
      <c r="C19" s="264">
        <f t="shared" si="1"/>
        <v>93429.902652428704</v>
      </c>
      <c r="D19" s="298">
        <f t="shared" si="0"/>
        <v>207000.73850488913</v>
      </c>
      <c r="E19" s="285">
        <f t="shared" si="0"/>
        <v>7595525.5495879464</v>
      </c>
      <c r="F19" s="286">
        <f t="shared" si="0"/>
        <v>12026572.144921793</v>
      </c>
      <c r="G19" s="285">
        <f t="shared" si="0"/>
        <v>245419612.49477705</v>
      </c>
      <c r="H19" s="286">
        <f t="shared" si="0"/>
        <v>407615165.60346633</v>
      </c>
      <c r="I19" s="286">
        <f t="shared" si="0"/>
        <v>1449.2286656273525</v>
      </c>
      <c r="J19" s="287">
        <f t="shared" si="0"/>
        <v>2649.9981654748153</v>
      </c>
      <c r="K19" s="264">
        <f t="shared" si="0"/>
        <v>93429.902652428704</v>
      </c>
      <c r="L19" s="283">
        <f t="shared" si="0"/>
        <v>2852839.8495879471</v>
      </c>
      <c r="M19" s="283">
        <f t="shared" si="0"/>
        <v>136980744.19477707</v>
      </c>
      <c r="N19" s="283">
        <f t="shared" si="0"/>
        <v>1057.2714656273527</v>
      </c>
      <c r="O19" s="212">
        <v>0</v>
      </c>
      <c r="P19" s="213">
        <v>4920631.9000000004</v>
      </c>
      <c r="Q19" s="213">
        <v>112441072.09999999</v>
      </c>
      <c r="R19" s="214">
        <v>405.66039999999992</v>
      </c>
      <c r="S19" s="154">
        <v>2377842.5182399885</v>
      </c>
      <c r="T19" s="215"/>
      <c r="U19" s="212">
        <v>0</v>
      </c>
      <c r="V19" s="213">
        <f t="shared" ref="V19:W19" si="16">V112+V134+V157+V180+V202+V224+V246+V268+V290</f>
        <v>9365376.5395670943</v>
      </c>
      <c r="W19" s="213">
        <f t="shared" si="16"/>
        <v>211627115.44554755</v>
      </c>
      <c r="X19" s="213">
        <f t="shared" si="3"/>
        <v>748.86539486331844</v>
      </c>
      <c r="Y19" s="216">
        <v>8.9480955275128515</v>
      </c>
      <c r="Z19" s="217">
        <v>13.705943740436156</v>
      </c>
      <c r="AA19" s="233">
        <f t="shared" si="4"/>
        <v>1.5317162963106812</v>
      </c>
    </row>
    <row r="20" spans="2:27" x14ac:dyDescent="0.35">
      <c r="B20" s="88">
        <v>15</v>
      </c>
      <c r="C20" s="264">
        <f t="shared" si="1"/>
        <v>27887.8351633692</v>
      </c>
      <c r="D20" s="298">
        <f t="shared" si="0"/>
        <v>34101.585243736336</v>
      </c>
      <c r="E20" s="285">
        <f t="shared" si="0"/>
        <v>8777840.6789927669</v>
      </c>
      <c r="F20" s="286">
        <f t="shared" si="0"/>
        <v>7303663.171537946</v>
      </c>
      <c r="G20" s="285">
        <f t="shared" si="0"/>
        <v>254749324.55332765</v>
      </c>
      <c r="H20" s="286">
        <f t="shared" si="0"/>
        <v>218539007.27697739</v>
      </c>
      <c r="I20" s="286">
        <f t="shared" si="0"/>
        <v>1225.6128801312375</v>
      </c>
      <c r="J20" s="287">
        <f t="shared" si="0"/>
        <v>1095.6511738157424</v>
      </c>
      <c r="K20" s="264">
        <f t="shared" si="0"/>
        <v>27887.8351633692</v>
      </c>
      <c r="L20" s="283">
        <f t="shared" si="0"/>
        <v>3521132.0789927673</v>
      </c>
      <c r="M20" s="283">
        <f t="shared" si="0"/>
        <v>130107753.75332765</v>
      </c>
      <c r="N20" s="283">
        <f t="shared" si="0"/>
        <v>766.75218013123788</v>
      </c>
      <c r="O20" s="212">
        <v>0</v>
      </c>
      <c r="P20" s="213">
        <v>5454145.5999999996</v>
      </c>
      <c r="Q20" s="213">
        <v>129161598.40000001</v>
      </c>
      <c r="R20" s="214">
        <v>474.74139999999966</v>
      </c>
      <c r="S20" s="154">
        <v>1452522.5181819582</v>
      </c>
      <c r="T20" s="215"/>
      <c r="U20" s="212">
        <v>0</v>
      </c>
      <c r="V20" s="213">
        <f t="shared" ref="V20:W20" si="17">V113+V135+V158+V181+V203+V225+V247+V269+V291</f>
        <v>6167137.7792086946</v>
      </c>
      <c r="W20" s="213">
        <f t="shared" si="17"/>
        <v>142820632.06537434</v>
      </c>
      <c r="X20" s="213">
        <f t="shared" si="3"/>
        <v>517.1309794644842</v>
      </c>
      <c r="Y20" s="216">
        <v>10.538235378746418</v>
      </c>
      <c r="Z20" s="217">
        <v>15.142193709738001</v>
      </c>
      <c r="AA20" s="233">
        <f t="shared" si="4"/>
        <v>1.4368813340682138</v>
      </c>
    </row>
    <row r="21" spans="2:27" x14ac:dyDescent="0.35">
      <c r="B21" s="88">
        <v>16</v>
      </c>
      <c r="C21" s="264">
        <f t="shared" si="1"/>
        <v>173855.05115432348</v>
      </c>
      <c r="D21" s="298">
        <f t="shared" si="0"/>
        <v>123849.67257008699</v>
      </c>
      <c r="E21" s="285">
        <f t="shared" si="0"/>
        <v>6840903.8195576482</v>
      </c>
      <c r="F21" s="286">
        <f t="shared" si="0"/>
        <v>3247462.2508884855</v>
      </c>
      <c r="G21" s="285">
        <f t="shared" si="0"/>
        <v>217112310.71142226</v>
      </c>
      <c r="H21" s="286">
        <f t="shared" si="0"/>
        <v>115699511.69843507</v>
      </c>
      <c r="I21" s="286">
        <f t="shared" si="0"/>
        <v>1830.8933986102386</v>
      </c>
      <c r="J21" s="287">
        <f t="shared" si="0"/>
        <v>1110.5929525238259</v>
      </c>
      <c r="K21" s="264">
        <f t="shared" si="0"/>
        <v>173855.05115432348</v>
      </c>
      <c r="L21" s="283">
        <f t="shared" si="0"/>
        <v>3278148.8195576468</v>
      </c>
      <c r="M21" s="283">
        <f t="shared" si="0"/>
        <v>142911724.6114223</v>
      </c>
      <c r="N21" s="283">
        <f t="shared" si="0"/>
        <v>1545.5490986102386</v>
      </c>
      <c r="O21" s="212">
        <v>0</v>
      </c>
      <c r="P21" s="213">
        <v>3704728</v>
      </c>
      <c r="Q21" s="213">
        <v>77192484.700000003</v>
      </c>
      <c r="R21" s="214">
        <v>295.87009999999992</v>
      </c>
      <c r="S21" s="154">
        <v>747327.37618836027</v>
      </c>
      <c r="T21" s="215"/>
      <c r="U21" s="212">
        <v>0</v>
      </c>
      <c r="V21" s="213">
        <f t="shared" ref="V21:W21" si="18">V114+V136+V159+V182+V204+V226+V248+V270+V292</f>
        <v>2303891.8736450835</v>
      </c>
      <c r="W21" s="213">
        <f t="shared" si="18"/>
        <v>48318315.682595462</v>
      </c>
      <c r="X21" s="213">
        <f t="shared" si="3"/>
        <v>178.78890855701468</v>
      </c>
      <c r="Y21" s="216">
        <v>8.0386165782610011</v>
      </c>
      <c r="Z21" s="217">
        <v>9.9568420108889839</v>
      </c>
      <c r="AA21" s="233">
        <f t="shared" si="4"/>
        <v>1.2386263126189498</v>
      </c>
    </row>
    <row r="22" spans="2:27" ht="15" thickBot="1" x14ac:dyDescent="0.4">
      <c r="B22" s="282" t="s">
        <v>12</v>
      </c>
      <c r="C22" s="265">
        <f>SUM(C6:C21)</f>
        <v>1266955.6062429002</v>
      </c>
      <c r="D22" s="299">
        <f t="shared" ref="D22:N22" si="19">SUM(D6:D21)</f>
        <v>5287491.6513099298</v>
      </c>
      <c r="E22" s="288">
        <f t="shared" si="19"/>
        <v>115590896.80485657</v>
      </c>
      <c r="F22" s="289">
        <f t="shared" si="19"/>
        <v>503357437.86999553</v>
      </c>
      <c r="G22" s="288">
        <f t="shared" si="19"/>
        <v>3502537332.9850602</v>
      </c>
      <c r="H22" s="289">
        <f t="shared" si="19"/>
        <v>15486072340.486862</v>
      </c>
      <c r="I22" s="289">
        <f t="shared" si="19"/>
        <v>21281.920660495001</v>
      </c>
      <c r="J22" s="290">
        <f t="shared" si="19"/>
        <v>91798.546970241398</v>
      </c>
      <c r="K22" s="265">
        <f t="shared" si="19"/>
        <v>1266955.6062429002</v>
      </c>
      <c r="L22" s="284">
        <f t="shared" si="19"/>
        <v>50942007.204856575</v>
      </c>
      <c r="M22" s="288">
        <f t="shared" si="19"/>
        <v>2006089002.0850596</v>
      </c>
      <c r="N22" s="284">
        <f t="shared" si="19"/>
        <v>15929.220660495004</v>
      </c>
      <c r="O22" s="219"/>
      <c r="P22" s="220"/>
      <c r="Q22" s="221"/>
      <c r="R22" s="222"/>
      <c r="S22" s="223">
        <v>97850318.877000019</v>
      </c>
      <c r="T22" s="224"/>
      <c r="U22" s="225">
        <v>0</v>
      </c>
      <c r="V22" s="227">
        <f t="shared" ref="V22:W22" si="20">SUM(V6:V21)</f>
        <v>363116456.21127141</v>
      </c>
      <c r="W22" s="227">
        <f t="shared" si="20"/>
        <v>8398509627.8168125</v>
      </c>
      <c r="X22" s="227">
        <f>SUM(X6:X21)</f>
        <v>29207.707467300483</v>
      </c>
      <c r="Y22" s="228">
        <v>9.5985997600686126</v>
      </c>
      <c r="Z22" s="229">
        <v>13.217846375233419</v>
      </c>
      <c r="AA22" s="233">
        <f t="shared" si="4"/>
        <v>1.3770598530653742</v>
      </c>
    </row>
    <row r="23" spans="2:27" x14ac:dyDescent="0.35">
      <c r="AA23" s="231"/>
    </row>
    <row r="25" spans="2:27" ht="15" thickBot="1" x14ac:dyDescent="0.4">
      <c r="B25" s="157" t="s">
        <v>175</v>
      </c>
      <c r="C25" s="157"/>
      <c r="D25" s="157"/>
      <c r="E25" s="157"/>
      <c r="F25" s="157"/>
      <c r="G25" s="157"/>
      <c r="H25" s="157"/>
      <c r="I25" s="157"/>
      <c r="K25" s="157"/>
      <c r="L25" s="157"/>
      <c r="M25" s="157"/>
      <c r="N25" s="157"/>
      <c r="O25" s="83"/>
      <c r="P25" s="83"/>
      <c r="Q25" s="83"/>
      <c r="R25" s="83"/>
      <c r="S25" s="83"/>
      <c r="T25" s="83"/>
      <c r="U25" s="83"/>
      <c r="V25" s="152"/>
      <c r="W25" s="83"/>
      <c r="X25" s="83"/>
      <c r="Y25" s="83"/>
      <c r="Z25" s="83"/>
    </row>
    <row r="26" spans="2:27" ht="15" thickBot="1" x14ac:dyDescent="0.4">
      <c r="B26" s="281"/>
      <c r="C26" s="1209" t="s">
        <v>586</v>
      </c>
      <c r="D26" s="1210"/>
      <c r="E26" s="1210"/>
      <c r="F26" s="1210"/>
      <c r="G26" s="1210"/>
      <c r="H26" s="1210"/>
      <c r="I26" s="1210"/>
      <c r="J26" s="1211"/>
      <c r="K26" s="1208" t="s">
        <v>587</v>
      </c>
      <c r="L26" s="1203"/>
      <c r="M26" s="1204"/>
      <c r="N26" s="1205"/>
      <c r="O26" s="1197" t="s">
        <v>163</v>
      </c>
      <c r="P26" s="1199"/>
      <c r="Q26" s="1200"/>
      <c r="R26" s="1201"/>
      <c r="S26" s="1212" t="s">
        <v>164</v>
      </c>
      <c r="T26" s="1207"/>
      <c r="U26" s="1209" t="s">
        <v>165</v>
      </c>
      <c r="V26" s="1210"/>
      <c r="W26" s="1210"/>
      <c r="X26" s="1210"/>
      <c r="Y26" s="1210"/>
      <c r="Z26" s="1213"/>
      <c r="AA26" s="56"/>
    </row>
    <row r="27" spans="2:27" ht="43.5" x14ac:dyDescent="0.35">
      <c r="B27" s="86" t="s">
        <v>5</v>
      </c>
      <c r="C27" s="300" t="s">
        <v>6</v>
      </c>
      <c r="D27" s="301" t="s">
        <v>166</v>
      </c>
      <c r="E27" s="301" t="s">
        <v>7</v>
      </c>
      <c r="F27" s="301" t="s">
        <v>167</v>
      </c>
      <c r="G27" s="301" t="s">
        <v>8</v>
      </c>
      <c r="H27" s="301" t="s">
        <v>168</v>
      </c>
      <c r="I27" s="301" t="s">
        <v>9</v>
      </c>
      <c r="J27" s="302" t="s">
        <v>169</v>
      </c>
      <c r="K27" s="210" t="s">
        <v>6</v>
      </c>
      <c r="L27" s="259" t="s">
        <v>7</v>
      </c>
      <c r="M27" s="209" t="s">
        <v>8</v>
      </c>
      <c r="N27" s="260" t="s">
        <v>9</v>
      </c>
      <c r="O27" s="205" t="s">
        <v>6</v>
      </c>
      <c r="P27" s="206" t="s">
        <v>7</v>
      </c>
      <c r="Q27" s="206" t="s">
        <v>170</v>
      </c>
      <c r="R27" s="208" t="s">
        <v>9</v>
      </c>
      <c r="S27" s="210" t="s">
        <v>171</v>
      </c>
      <c r="T27" s="209" t="s">
        <v>11</v>
      </c>
      <c r="U27" s="205" t="s">
        <v>6</v>
      </c>
      <c r="V27" s="206" t="s">
        <v>7</v>
      </c>
      <c r="W27" s="206" t="s">
        <v>170</v>
      </c>
      <c r="X27" s="206" t="s">
        <v>9</v>
      </c>
      <c r="Y27" s="207" t="s">
        <v>172</v>
      </c>
      <c r="Z27" s="208" t="s">
        <v>173</v>
      </c>
      <c r="AA27" s="18" t="s">
        <v>174</v>
      </c>
    </row>
    <row r="28" spans="2:27" x14ac:dyDescent="0.35">
      <c r="B28" s="88">
        <v>1</v>
      </c>
      <c r="C28" s="264">
        <v>44062.504001800196</v>
      </c>
      <c r="D28" s="285">
        <v>27717.208625333005</v>
      </c>
      <c r="E28" s="285">
        <v>1078672.7484999993</v>
      </c>
      <c r="F28" s="285">
        <v>712477.06915381062</v>
      </c>
      <c r="G28" s="285">
        <v>42663995.595510788</v>
      </c>
      <c r="H28" s="285">
        <v>27527171.080292359</v>
      </c>
      <c r="I28" s="285">
        <v>440.03243725991001</v>
      </c>
      <c r="J28" s="291">
        <v>278.56788097170994</v>
      </c>
      <c r="K28" s="283">
        <v>44062.504001800196</v>
      </c>
      <c r="L28" s="264">
        <v>636049.64849999931</v>
      </c>
      <c r="M28" s="264">
        <v>33146694.69551079</v>
      </c>
      <c r="N28" s="264">
        <v>404.21683725990999</v>
      </c>
      <c r="O28" s="212">
        <v>0</v>
      </c>
      <c r="P28" s="213">
        <v>442623.1</v>
      </c>
      <c r="Q28" s="213">
        <v>9517300.9000000004</v>
      </c>
      <c r="R28" s="214">
        <v>35.815600000000003</v>
      </c>
      <c r="S28" s="154">
        <v>150103.23413385678</v>
      </c>
      <c r="T28" s="215"/>
      <c r="U28" s="212">
        <v>0</v>
      </c>
      <c r="V28" s="213">
        <f>V54+V76</f>
        <v>303615.83202478546</v>
      </c>
      <c r="W28" s="213">
        <f>W54+W76</f>
        <v>6502833.7873417232</v>
      </c>
      <c r="X28" s="213">
        <f>X54+X76</f>
        <v>24.23088676774158</v>
      </c>
      <c r="Y28" s="216">
        <v>6.0011746382653444</v>
      </c>
      <c r="Z28" s="217">
        <v>6.6716510742039024</v>
      </c>
      <c r="AA28" s="233">
        <f>Z28/Y28</f>
        <v>1.1117242000696652</v>
      </c>
    </row>
    <row r="29" spans="2:27" x14ac:dyDescent="0.35">
      <c r="B29" s="88">
        <v>2</v>
      </c>
      <c r="C29" s="264">
        <v>35434.333407499973</v>
      </c>
      <c r="D29" s="285">
        <v>130496.83013123961</v>
      </c>
      <c r="E29" s="285">
        <v>1222256.3781999997</v>
      </c>
      <c r="F29" s="285">
        <v>4828887.956973373</v>
      </c>
      <c r="G29" s="285">
        <v>47481842.440832525</v>
      </c>
      <c r="H29" s="285">
        <v>184802635.23816699</v>
      </c>
      <c r="I29" s="285">
        <v>408.06987549506658</v>
      </c>
      <c r="J29" s="291">
        <v>1529.8324527343136</v>
      </c>
      <c r="K29" s="283">
        <v>35434.333407499973</v>
      </c>
      <c r="L29" s="264">
        <v>574336.57819999964</v>
      </c>
      <c r="M29" s="264">
        <v>32493099.440832525</v>
      </c>
      <c r="N29" s="264">
        <v>360.84117549506658</v>
      </c>
      <c r="O29" s="212">
        <v>0</v>
      </c>
      <c r="P29" s="213">
        <v>647919.80000000005</v>
      </c>
      <c r="Q29" s="213">
        <v>14988743</v>
      </c>
      <c r="R29" s="214">
        <v>47.228700000000003</v>
      </c>
      <c r="S29" s="154">
        <v>890990.14072662895</v>
      </c>
      <c r="T29" s="215"/>
      <c r="U29" s="212">
        <v>0</v>
      </c>
      <c r="V29" s="213">
        <f t="shared" ref="V29:X29" si="21">V55+V77</f>
        <v>2617600.5225089481</v>
      </c>
      <c r="W29" s="213">
        <f t="shared" si="21"/>
        <v>60341131.791940883</v>
      </c>
      <c r="X29" s="213">
        <f t="shared" si="21"/>
        <v>188.12846761272678</v>
      </c>
      <c r="Y29" s="216">
        <v>6.6585711311849796</v>
      </c>
      <c r="Z29" s="217">
        <v>10.429446826853278</v>
      </c>
      <c r="AA29" s="233">
        <f t="shared" ref="AA29:AA44" si="22">Z29/Y29</f>
        <v>1.5663190527480664</v>
      </c>
    </row>
    <row r="30" spans="2:27" x14ac:dyDescent="0.35">
      <c r="B30" s="88">
        <v>3</v>
      </c>
      <c r="C30" s="264">
        <v>33524.023982299957</v>
      </c>
      <c r="D30" s="285">
        <v>603989.20541464677</v>
      </c>
      <c r="E30" s="285">
        <v>1150836.7800999992</v>
      </c>
      <c r="F30" s="285">
        <v>21948722.606950831</v>
      </c>
      <c r="G30" s="285">
        <v>43655656.144952536</v>
      </c>
      <c r="H30" s="285">
        <v>818525421.58092022</v>
      </c>
      <c r="I30" s="285">
        <v>388.63891875220042</v>
      </c>
      <c r="J30" s="291">
        <v>7081.9117719594697</v>
      </c>
      <c r="K30" s="283">
        <v>33524.023982299957</v>
      </c>
      <c r="L30" s="264">
        <v>595205.48009999911</v>
      </c>
      <c r="M30" s="264">
        <v>31369608.444952536</v>
      </c>
      <c r="N30" s="264">
        <v>347.81781875220042</v>
      </c>
      <c r="O30" s="212">
        <v>0</v>
      </c>
      <c r="P30" s="213">
        <v>555631.30000000005</v>
      </c>
      <c r="Q30" s="213">
        <v>12286047.699999999</v>
      </c>
      <c r="R30" s="214">
        <v>40.821099999999994</v>
      </c>
      <c r="S30" s="154">
        <v>4321840.2884578379</v>
      </c>
      <c r="T30" s="215"/>
      <c r="U30" s="212">
        <v>0</v>
      </c>
      <c r="V30" s="213">
        <f t="shared" ref="V30:X30" si="23">V56+V78</f>
        <v>10935485.981353194</v>
      </c>
      <c r="W30" s="213">
        <f t="shared" si="23"/>
        <v>241877243.67630762</v>
      </c>
      <c r="X30" s="213">
        <f t="shared" si="23"/>
        <v>796.54062112387248</v>
      </c>
      <c r="Y30" s="216">
        <v>6.0011746382653453</v>
      </c>
      <c r="Z30" s="217">
        <v>8.6188042685499067</v>
      </c>
      <c r="AA30" s="233">
        <f t="shared" si="22"/>
        <v>1.4361862115449442</v>
      </c>
    </row>
    <row r="31" spans="2:27" x14ac:dyDescent="0.35">
      <c r="B31" s="88">
        <v>4</v>
      </c>
      <c r="C31" s="264">
        <v>30569.404770299974</v>
      </c>
      <c r="D31" s="285">
        <v>285128.26694539655</v>
      </c>
      <c r="E31" s="285">
        <v>1261778.3189000008</v>
      </c>
      <c r="F31" s="285">
        <v>12549977.460468171</v>
      </c>
      <c r="G31" s="285">
        <v>47394947.592367113</v>
      </c>
      <c r="H31" s="285">
        <v>464892874.14750075</v>
      </c>
      <c r="I31" s="285">
        <v>386.99538616156275</v>
      </c>
      <c r="J31" s="291">
        <v>3670.785294619498</v>
      </c>
      <c r="K31" s="283">
        <v>30569.404770299974</v>
      </c>
      <c r="L31" s="264">
        <v>583729.11890000082</v>
      </c>
      <c r="M31" s="264">
        <v>31359001.392367113</v>
      </c>
      <c r="N31" s="264">
        <v>337.62398616156281</v>
      </c>
      <c r="O31" s="212">
        <v>0</v>
      </c>
      <c r="P31" s="213">
        <v>678049.2</v>
      </c>
      <c r="Q31" s="213">
        <v>16035946.199999999</v>
      </c>
      <c r="R31" s="214">
        <v>49.371399999999966</v>
      </c>
      <c r="S31" s="154">
        <v>2251548.5120078512</v>
      </c>
      <c r="T31" s="215"/>
      <c r="U31" s="212">
        <v>0</v>
      </c>
      <c r="V31" s="213">
        <f t="shared" ref="V31:X31" si="24">V57+V79</f>
        <v>6856926.4487357121</v>
      </c>
      <c r="W31" s="213">
        <f t="shared" si="24"/>
        <v>163010743.83702809</v>
      </c>
      <c r="X31" s="213">
        <f t="shared" si="24"/>
        <v>497.89676966788051</v>
      </c>
      <c r="Y31" s="216">
        <v>6.6585711311849787</v>
      </c>
      <c r="Z31" s="217">
        <v>11.14950640282486</v>
      </c>
      <c r="AA31" s="233">
        <f t="shared" si="22"/>
        <v>1.6744593071337606</v>
      </c>
    </row>
    <row r="32" spans="2:27" x14ac:dyDescent="0.35">
      <c r="B32" s="88">
        <v>5</v>
      </c>
      <c r="C32" s="264">
        <v>32740.46738160013</v>
      </c>
      <c r="D32" s="285">
        <v>54343.15278609746</v>
      </c>
      <c r="E32" s="285">
        <v>1169778.8134999946</v>
      </c>
      <c r="F32" s="285">
        <v>2067624.23600337</v>
      </c>
      <c r="G32" s="285">
        <v>42474637.934901386</v>
      </c>
      <c r="H32" s="285">
        <v>73376539.123951554</v>
      </c>
      <c r="I32" s="285">
        <v>384.86456711922187</v>
      </c>
      <c r="J32" s="291">
        <v>647.73514444731495</v>
      </c>
      <c r="K32" s="283">
        <v>32740.46738160013</v>
      </c>
      <c r="L32" s="264">
        <v>572708.11349999462</v>
      </c>
      <c r="M32" s="264">
        <v>29736557.434901386</v>
      </c>
      <c r="N32" s="264">
        <v>339.7326671192219</v>
      </c>
      <c r="O32" s="212">
        <v>0</v>
      </c>
      <c r="P32" s="213">
        <v>597070.69999999995</v>
      </c>
      <c r="Q32" s="213">
        <v>12738080.5</v>
      </c>
      <c r="R32" s="214">
        <v>45.131900000000002</v>
      </c>
      <c r="S32" s="154">
        <v>399897.67282453913</v>
      </c>
      <c r="T32" s="215"/>
      <c r="U32" s="212">
        <v>0</v>
      </c>
      <c r="V32" s="213">
        <f t="shared" ref="V32:X32" si="25">V58+V80</f>
        <v>1091834.4628526345</v>
      </c>
      <c r="W32" s="213">
        <f t="shared" si="25"/>
        <v>23192683.816052802</v>
      </c>
      <c r="X32" s="213">
        <f t="shared" si="25"/>
        <v>81.693561022159173</v>
      </c>
      <c r="Y32" s="216">
        <v>6.0011746382653453</v>
      </c>
      <c r="Z32" s="217">
        <v>8.9314680989385362</v>
      </c>
      <c r="AA32" s="233">
        <f t="shared" si="22"/>
        <v>1.4882866500815912</v>
      </c>
    </row>
    <row r="33" spans="2:27" x14ac:dyDescent="0.35">
      <c r="B33" s="88">
        <v>6</v>
      </c>
      <c r="C33" s="264">
        <v>26746.444715199999</v>
      </c>
      <c r="D33" s="285">
        <v>209212.08244995977</v>
      </c>
      <c r="E33" s="285">
        <v>1289805.8676000009</v>
      </c>
      <c r="F33" s="285">
        <v>10876341.599841075</v>
      </c>
      <c r="G33" s="285">
        <v>45173944.077069595</v>
      </c>
      <c r="H33" s="285">
        <v>374972752.89807987</v>
      </c>
      <c r="I33" s="285">
        <v>367.4254231313663</v>
      </c>
      <c r="J33" s="291">
        <v>2942.6282607487747</v>
      </c>
      <c r="K33" s="283">
        <v>26746.444715199999</v>
      </c>
      <c r="L33" s="264">
        <v>579726.96760000091</v>
      </c>
      <c r="M33" s="264">
        <v>29006170.277069595</v>
      </c>
      <c r="N33" s="264">
        <v>311.17852313136632</v>
      </c>
      <c r="O33" s="212">
        <v>0</v>
      </c>
      <c r="P33" s="213">
        <v>710078.9</v>
      </c>
      <c r="Q33" s="213">
        <v>16167773.800000001</v>
      </c>
      <c r="R33" s="214">
        <v>56.246899999999997</v>
      </c>
      <c r="S33" s="154">
        <v>1908859.9963437633</v>
      </c>
      <c r="T33" s="215"/>
      <c r="U33" s="212">
        <v>0</v>
      </c>
      <c r="V33" s="213">
        <f t="shared" ref="V33:X33" si="26">V59+V81</f>
        <v>6180613.3459184859</v>
      </c>
      <c r="W33" s="213">
        <f t="shared" si="26"/>
        <v>139198090.39281455</v>
      </c>
      <c r="X33" s="213">
        <f t="shared" si="26"/>
        <v>482.13200581267313</v>
      </c>
      <c r="Y33" s="216">
        <v>6.6585711311849805</v>
      </c>
      <c r="Z33" s="217">
        <v>11.230004275616333</v>
      </c>
      <c r="AA33" s="233">
        <f t="shared" si="22"/>
        <v>1.6865486685306019</v>
      </c>
    </row>
    <row r="34" spans="2:27" x14ac:dyDescent="0.35">
      <c r="B34" s="88">
        <v>7</v>
      </c>
      <c r="C34" s="264">
        <v>26121.437056100021</v>
      </c>
      <c r="D34" s="285">
        <v>219372.83490690088</v>
      </c>
      <c r="E34" s="285">
        <v>1270335.4037000015</v>
      </c>
      <c r="F34" s="285">
        <v>11501520.897890747</v>
      </c>
      <c r="G34" s="285">
        <v>44050106.750576131</v>
      </c>
      <c r="H34" s="285">
        <v>391716774.27948415</v>
      </c>
      <c r="I34" s="285">
        <v>363.91794707090003</v>
      </c>
      <c r="J34" s="291">
        <v>3129.913924611938</v>
      </c>
      <c r="K34" s="283">
        <v>26121.437056100021</v>
      </c>
      <c r="L34" s="264">
        <v>611105.60370000149</v>
      </c>
      <c r="M34" s="264">
        <v>29251641.65057613</v>
      </c>
      <c r="N34" s="264">
        <v>308.22734707090007</v>
      </c>
      <c r="O34" s="212">
        <v>0</v>
      </c>
      <c r="P34" s="213">
        <v>659229.80000000005</v>
      </c>
      <c r="Q34" s="213">
        <v>14798465.1</v>
      </c>
      <c r="R34" s="214">
        <v>55.690599999999968</v>
      </c>
      <c r="S34" s="154">
        <v>2052166.1028942</v>
      </c>
      <c r="T34" s="215"/>
      <c r="U34" s="212">
        <v>0</v>
      </c>
      <c r="V34" s="213">
        <f t="shared" ref="V34:X34" si="27">V60+V82</f>
        <v>6218647.3647423321</v>
      </c>
      <c r="W34" s="213">
        <f t="shared" si="27"/>
        <v>136785008.22603047</v>
      </c>
      <c r="X34" s="213">
        <f t="shared" si="27"/>
        <v>513.70931053844868</v>
      </c>
      <c r="Y34" s="216">
        <v>6.6585711311849796</v>
      </c>
      <c r="Z34" s="217">
        <v>10.264710657241908</v>
      </c>
      <c r="AA34" s="233">
        <f t="shared" si="22"/>
        <v>1.5415785842052225</v>
      </c>
    </row>
    <row r="35" spans="2:27" x14ac:dyDescent="0.35">
      <c r="B35" s="88">
        <v>8</v>
      </c>
      <c r="C35" s="264">
        <v>25845.15566119998</v>
      </c>
      <c r="D35" s="285">
        <v>283319.58766199765</v>
      </c>
      <c r="E35" s="285">
        <v>1354594.9865999976</v>
      </c>
      <c r="F35" s="285">
        <v>16051261.212962167</v>
      </c>
      <c r="G35" s="285">
        <v>47668473.384240657</v>
      </c>
      <c r="H35" s="285">
        <v>558366379.61112893</v>
      </c>
      <c r="I35" s="285">
        <v>371.9571289776398</v>
      </c>
      <c r="J35" s="291">
        <v>4188.2159532351779</v>
      </c>
      <c r="K35" s="283">
        <v>25845.15566119998</v>
      </c>
      <c r="L35" s="264">
        <v>665235.78659999766</v>
      </c>
      <c r="M35" s="264">
        <v>30575914.284240656</v>
      </c>
      <c r="N35" s="264">
        <v>317.12652897763979</v>
      </c>
      <c r="O35" s="212">
        <v>0</v>
      </c>
      <c r="P35" s="213">
        <v>689359.2</v>
      </c>
      <c r="Q35" s="213">
        <v>17092559.100000001</v>
      </c>
      <c r="R35" s="214">
        <v>54.830600000000004</v>
      </c>
      <c r="S35" s="154">
        <v>2683732.5408536349</v>
      </c>
      <c r="T35" s="215"/>
      <c r="U35" s="212">
        <v>0</v>
      </c>
      <c r="V35" s="213">
        <f t="shared" ref="V35:X35" si="28">V61+V83</f>
        <v>8421165.6280991416</v>
      </c>
      <c r="W35" s="213">
        <f t="shared" si="28"/>
        <v>206869282.99642846</v>
      </c>
      <c r="X35" s="213">
        <f t="shared" si="28"/>
        <v>662.25573355086908</v>
      </c>
      <c r="Y35" s="216">
        <v>6.6585711311849787</v>
      </c>
      <c r="Z35" s="217">
        <v>11.870731936393598</v>
      </c>
      <c r="AA35" s="233">
        <f t="shared" si="22"/>
        <v>1.7827746677958891</v>
      </c>
    </row>
    <row r="36" spans="2:27" x14ac:dyDescent="0.35">
      <c r="B36" s="88">
        <v>9</v>
      </c>
      <c r="C36" s="264">
        <v>26986.504907400049</v>
      </c>
      <c r="D36" s="285">
        <v>697321.78801465139</v>
      </c>
      <c r="E36" s="285">
        <v>1344331.0885000026</v>
      </c>
      <c r="F36" s="285">
        <v>37463513.345096797</v>
      </c>
      <c r="G36" s="285">
        <v>48272472.984385639</v>
      </c>
      <c r="H36" s="285">
        <v>1332769969.4572499</v>
      </c>
      <c r="I36" s="285">
        <v>378.0296287332261</v>
      </c>
      <c r="J36" s="291">
        <v>10016.491740602238</v>
      </c>
      <c r="K36" s="283">
        <v>26986.504907400049</v>
      </c>
      <c r="L36" s="264">
        <v>624842.48850000266</v>
      </c>
      <c r="M36" s="264">
        <v>31193124.184385639</v>
      </c>
      <c r="N36" s="264">
        <v>322.05262873322613</v>
      </c>
      <c r="O36" s="212">
        <v>0</v>
      </c>
      <c r="P36" s="213">
        <v>719488.6</v>
      </c>
      <c r="Q36" s="213">
        <v>17079348.800000001</v>
      </c>
      <c r="R36" s="214">
        <v>55.977000000000004</v>
      </c>
      <c r="S36" s="154">
        <v>6300937.2698302744</v>
      </c>
      <c r="T36" s="215"/>
      <c r="U36" s="212">
        <v>0</v>
      </c>
      <c r="V36" s="213">
        <f t="shared" ref="V36:X36" si="29">V62+V84</f>
        <v>20449231.432767581</v>
      </c>
      <c r="W36" s="213">
        <f t="shared" si="29"/>
        <v>484576027.83969522</v>
      </c>
      <c r="X36" s="213">
        <f t="shared" si="29"/>
        <v>1587.2460781196908</v>
      </c>
      <c r="Y36" s="216">
        <v>6.6585711311849796</v>
      </c>
      <c r="Z36" s="217">
        <v>11.84342980918507</v>
      </c>
      <c r="AA36" s="233">
        <f t="shared" si="22"/>
        <v>1.7786743695981779</v>
      </c>
    </row>
    <row r="37" spans="2:27" x14ac:dyDescent="0.35">
      <c r="B37" s="88">
        <v>10</v>
      </c>
      <c r="C37" s="264">
        <v>28086.139702200031</v>
      </c>
      <c r="D37" s="285">
        <v>256912.40999116865</v>
      </c>
      <c r="E37" s="285">
        <v>1381346.9054999938</v>
      </c>
      <c r="F37" s="285">
        <v>13615364.102706036</v>
      </c>
      <c r="G37" s="285">
        <v>49226739.271117322</v>
      </c>
      <c r="H37" s="285">
        <v>479114672.26016706</v>
      </c>
      <c r="I37" s="285">
        <v>388.54991844257984</v>
      </c>
      <c r="J37" s="291">
        <v>3640.0025463230718</v>
      </c>
      <c r="K37" s="283">
        <v>28086.139702200031</v>
      </c>
      <c r="L37" s="264">
        <v>661858.30549999385</v>
      </c>
      <c r="M37" s="264">
        <v>32588113.271117322</v>
      </c>
      <c r="N37" s="264">
        <v>332.26431844257985</v>
      </c>
      <c r="O37" s="212">
        <v>0</v>
      </c>
      <c r="P37" s="213">
        <v>719488.6</v>
      </c>
      <c r="Q37" s="213">
        <v>16638626</v>
      </c>
      <c r="R37" s="214">
        <v>56.285600000000002</v>
      </c>
      <c r="S37" s="154">
        <v>2226059.283570027</v>
      </c>
      <c r="T37" s="215"/>
      <c r="U37" s="212">
        <v>0</v>
      </c>
      <c r="V37" s="213">
        <f t="shared" ref="V37:X37" si="30">V63+V85</f>
        <v>7224512.7230112003</v>
      </c>
      <c r="W37" s="213">
        <f t="shared" si="30"/>
        <v>166882171.92212218</v>
      </c>
      <c r="X37" s="213">
        <f t="shared" si="30"/>
        <v>564.10099497833914</v>
      </c>
      <c r="Y37" s="216">
        <v>6.6585711311849796</v>
      </c>
      <c r="Z37" s="217">
        <v>11.54500002119928</v>
      </c>
      <c r="AA37" s="233">
        <f t="shared" si="22"/>
        <v>1.7338554764593612</v>
      </c>
    </row>
    <row r="38" spans="2:27" x14ac:dyDescent="0.35">
      <c r="B38" s="88">
        <v>11</v>
      </c>
      <c r="C38" s="264">
        <v>35700.191891900002</v>
      </c>
      <c r="D38" s="285">
        <v>93593.920889909772</v>
      </c>
      <c r="E38" s="285">
        <v>1384849.2783999962</v>
      </c>
      <c r="F38" s="285">
        <v>3895600.2938115047</v>
      </c>
      <c r="G38" s="285">
        <v>53262270.025246575</v>
      </c>
      <c r="H38" s="285">
        <v>147580945.18665561</v>
      </c>
      <c r="I38" s="285">
        <v>435.80654826882216</v>
      </c>
      <c r="J38" s="291">
        <v>1165.6865851562709</v>
      </c>
      <c r="K38" s="283">
        <v>35700.191891900002</v>
      </c>
      <c r="L38" s="264">
        <v>736929.47839999618</v>
      </c>
      <c r="M38" s="264">
        <v>38275427.325246572</v>
      </c>
      <c r="N38" s="264">
        <v>389.19864826882218</v>
      </c>
      <c r="O38" s="212">
        <v>0</v>
      </c>
      <c r="P38" s="213">
        <v>647919.80000000005</v>
      </c>
      <c r="Q38" s="213">
        <v>14986842.699999999</v>
      </c>
      <c r="R38" s="214">
        <v>46.607899999999972</v>
      </c>
      <c r="S38" s="154">
        <v>635531.42904976325</v>
      </c>
      <c r="T38" s="215"/>
      <c r="U38" s="212">
        <v>0</v>
      </c>
      <c r="V38" s="213">
        <f t="shared" ref="V38:X38" si="31">V64+V86</f>
        <v>1867099.6733979909</v>
      </c>
      <c r="W38" s="213">
        <f t="shared" si="31"/>
        <v>42986597.840630412</v>
      </c>
      <c r="X38" s="213">
        <f t="shared" si="31"/>
        <v>133.08918845074655</v>
      </c>
      <c r="Y38" s="216">
        <v>6.6585711311849787</v>
      </c>
      <c r="Z38" s="217">
        <v>10.416378742047595</v>
      </c>
      <c r="AA38" s="233">
        <f t="shared" si="22"/>
        <v>1.5643564567874289</v>
      </c>
    </row>
    <row r="39" spans="2:27" x14ac:dyDescent="0.35">
      <c r="B39" s="88">
        <v>12</v>
      </c>
      <c r="C39" s="264">
        <v>34301.3071786</v>
      </c>
      <c r="D39" s="285">
        <v>510490.36583363183</v>
      </c>
      <c r="E39" s="285">
        <v>1306746.150100003</v>
      </c>
      <c r="F39" s="285">
        <v>20816072.654924769</v>
      </c>
      <c r="G39" s="285">
        <v>50022608.26829271</v>
      </c>
      <c r="H39" s="285">
        <v>784451213.49765754</v>
      </c>
      <c r="I39" s="285">
        <v>414.80707081001094</v>
      </c>
      <c r="J39" s="291">
        <v>6283.920002976949</v>
      </c>
      <c r="K39" s="283">
        <v>34301.3071786</v>
      </c>
      <c r="L39" s="264">
        <v>638106.650100003</v>
      </c>
      <c r="M39" s="264">
        <v>34871908.26829271</v>
      </c>
      <c r="N39" s="264">
        <v>368.69367081001093</v>
      </c>
      <c r="O39" s="212">
        <v>0</v>
      </c>
      <c r="P39" s="213">
        <v>668639.5</v>
      </c>
      <c r="Q39" s="213">
        <v>15150700</v>
      </c>
      <c r="R39" s="214">
        <v>46.113399999999999</v>
      </c>
      <c r="S39" s="154">
        <v>3588316.9367471039</v>
      </c>
      <c r="T39" s="215"/>
      <c r="U39" s="212">
        <v>0</v>
      </c>
      <c r="V39" s="213">
        <f t="shared" ref="V39:X39" si="32">V65+V87</f>
        <v>10900789.297040375</v>
      </c>
      <c r="W39" s="213">
        <f t="shared" si="32"/>
        <v>245275691.40409118</v>
      </c>
      <c r="X39" s="213">
        <f t="shared" si="32"/>
        <v>742.42853338922316</v>
      </c>
      <c r="Y39" s="216">
        <v>6.6585711311849796</v>
      </c>
      <c r="Z39" s="217">
        <v>10.526510657241911</v>
      </c>
      <c r="AA39" s="233">
        <f t="shared" si="22"/>
        <v>1.5808963289348508</v>
      </c>
    </row>
    <row r="40" spans="2:27" x14ac:dyDescent="0.35">
      <c r="B40" s="88">
        <v>13</v>
      </c>
      <c r="C40" s="264">
        <v>31686.92403749999</v>
      </c>
      <c r="D40" s="285">
        <v>137998.16195736904</v>
      </c>
      <c r="E40" s="285">
        <v>1420892.3652000041</v>
      </c>
      <c r="F40" s="285">
        <v>6594813.4165445827</v>
      </c>
      <c r="G40" s="285">
        <v>53160698.677075356</v>
      </c>
      <c r="H40" s="285">
        <v>243699373.21460748</v>
      </c>
      <c r="I40" s="285">
        <v>418.28455448043388</v>
      </c>
      <c r="J40" s="291">
        <v>1853.4136965019734</v>
      </c>
      <c r="K40" s="283">
        <v>31686.92403749999</v>
      </c>
      <c r="L40" s="264">
        <v>752252.86520000407</v>
      </c>
      <c r="M40" s="264">
        <v>37578685.577075355</v>
      </c>
      <c r="N40" s="264">
        <v>371.4658544804339</v>
      </c>
      <c r="O40" s="212">
        <v>0</v>
      </c>
      <c r="P40" s="213">
        <v>668639.5</v>
      </c>
      <c r="Q40" s="213">
        <v>15582013.1</v>
      </c>
      <c r="R40" s="214">
        <v>46.818699999999964</v>
      </c>
      <c r="S40" s="154">
        <v>1047324.0751452872</v>
      </c>
      <c r="T40" s="215"/>
      <c r="U40" s="212">
        <v>0</v>
      </c>
      <c r="V40" s="213">
        <f t="shared" ref="V40:X40" si="33">V66+V88</f>
        <v>3181619.4806989185</v>
      </c>
      <c r="W40" s="213">
        <f t="shared" si="33"/>
        <v>73610387.044407874</v>
      </c>
      <c r="X40" s="213">
        <f t="shared" si="33"/>
        <v>220.42099847226817</v>
      </c>
      <c r="Y40" s="216">
        <v>6.6585711311849796</v>
      </c>
      <c r="Z40" s="217">
        <v>10.823774487630542</v>
      </c>
      <c r="AA40" s="233">
        <f t="shared" si="22"/>
        <v>1.6255401157972327</v>
      </c>
    </row>
    <row r="41" spans="2:27" x14ac:dyDescent="0.35">
      <c r="B41" s="88">
        <v>14</v>
      </c>
      <c r="C41" s="264">
        <v>34004.157832199926</v>
      </c>
      <c r="D41" s="285">
        <v>66730.279881065857</v>
      </c>
      <c r="E41" s="285">
        <v>1389027.7578999971</v>
      </c>
      <c r="F41" s="285">
        <v>2922755.6521754321</v>
      </c>
      <c r="G41" s="285">
        <v>52533384.127980649</v>
      </c>
      <c r="H41" s="285">
        <v>109332333.05648237</v>
      </c>
      <c r="I41" s="285">
        <v>424.12267741556036</v>
      </c>
      <c r="J41" s="291">
        <v>848.38471639953048</v>
      </c>
      <c r="K41" s="283">
        <v>34004.157832199926</v>
      </c>
      <c r="L41" s="264">
        <v>607380.0578999971</v>
      </c>
      <c r="M41" s="264">
        <v>34969972.827980652</v>
      </c>
      <c r="N41" s="264">
        <v>364.32917741556037</v>
      </c>
      <c r="O41" s="212">
        <v>0</v>
      </c>
      <c r="P41" s="213">
        <v>781647.7</v>
      </c>
      <c r="Q41" s="213">
        <v>17563411.300000001</v>
      </c>
      <c r="R41" s="214">
        <v>59.793499999999995</v>
      </c>
      <c r="S41" s="154">
        <v>475798.93083939503</v>
      </c>
      <c r="T41" s="215"/>
      <c r="U41" s="212">
        <v>0</v>
      </c>
      <c r="V41" s="213">
        <f t="shared" ref="V41:X41" si="34">V67+V89</f>
        <v>1686910.3376053574</v>
      </c>
      <c r="W41" s="213">
        <f t="shared" si="34"/>
        <v>37649066.250548437</v>
      </c>
      <c r="X41" s="213">
        <f t="shared" si="34"/>
        <v>128.01344187096612</v>
      </c>
      <c r="Y41" s="216">
        <v>6.6585711311849796</v>
      </c>
      <c r="Z41" s="217">
        <v>12.185727681976545</v>
      </c>
      <c r="AA41" s="233">
        <f t="shared" si="22"/>
        <v>1.8300814757246477</v>
      </c>
    </row>
    <row r="42" spans="2:27" x14ac:dyDescent="0.35">
      <c r="B42" s="88">
        <v>15</v>
      </c>
      <c r="C42" s="264">
        <v>22008.696926499935</v>
      </c>
      <c r="D42" s="285">
        <v>27648.868715976296</v>
      </c>
      <c r="E42" s="285">
        <v>1659269.2804000084</v>
      </c>
      <c r="F42" s="285">
        <v>2271844.3437845707</v>
      </c>
      <c r="G42" s="285">
        <v>56552531.066523544</v>
      </c>
      <c r="H42" s="285">
        <v>76699529.142677903</v>
      </c>
      <c r="I42" s="285">
        <v>394.77782522691564</v>
      </c>
      <c r="J42" s="291">
        <v>514.11420515810698</v>
      </c>
      <c r="K42" s="283">
        <v>22008.696926499935</v>
      </c>
      <c r="L42" s="264">
        <v>766513.68040000845</v>
      </c>
      <c r="M42" s="264">
        <v>35989022.866523549</v>
      </c>
      <c r="N42" s="264">
        <v>323.55652522691594</v>
      </c>
      <c r="O42" s="212">
        <v>0</v>
      </c>
      <c r="P42" s="213">
        <v>892755.6</v>
      </c>
      <c r="Q42" s="213">
        <v>20563508.199999999</v>
      </c>
      <c r="R42" s="214">
        <v>71.221299999999673</v>
      </c>
      <c r="S42" s="154">
        <v>309835.73234422505</v>
      </c>
      <c r="T42" s="215"/>
      <c r="U42" s="212">
        <v>0</v>
      </c>
      <c r="V42" s="213">
        <f t="shared" ref="V42:X42" si="35">V68+V90</f>
        <v>1229471.6803891005</v>
      </c>
      <c r="W42" s="213">
        <f t="shared" si="35"/>
        <v>28311178.035988916</v>
      </c>
      <c r="X42" s="213">
        <f t="shared" si="35"/>
        <v>97.975715047162851</v>
      </c>
      <c r="Y42" s="216">
        <v>8.0711316906204882</v>
      </c>
      <c r="Z42" s="217">
        <v>14.071719180208868</v>
      </c>
      <c r="AA42" s="233">
        <f t="shared" si="22"/>
        <v>1.7434629640056176</v>
      </c>
    </row>
    <row r="43" spans="2:27" x14ac:dyDescent="0.35">
      <c r="B43" s="88">
        <v>16</v>
      </c>
      <c r="C43" s="264">
        <v>51228.459150100025</v>
      </c>
      <c r="D43" s="285">
        <v>40784.543689313985</v>
      </c>
      <c r="E43" s="285">
        <v>1224125.2870000005</v>
      </c>
      <c r="F43" s="285">
        <v>1033655.3406075066</v>
      </c>
      <c r="G43" s="285">
        <v>48915551.007562637</v>
      </c>
      <c r="H43" s="285">
        <v>40161293.23051963</v>
      </c>
      <c r="I43" s="285">
        <v>502.4655011866941</v>
      </c>
      <c r="J43" s="291">
        <v>404.54230696830348</v>
      </c>
      <c r="K43" s="283">
        <v>51228.459150100025</v>
      </c>
      <c r="L43" s="264">
        <v>647774.28700000048</v>
      </c>
      <c r="M43" s="264">
        <v>36439317.20756264</v>
      </c>
      <c r="N43" s="264">
        <v>460.11030118669407</v>
      </c>
      <c r="O43" s="212">
        <v>0</v>
      </c>
      <c r="P43" s="213">
        <v>576351</v>
      </c>
      <c r="Q43" s="213">
        <v>12476233.800000001</v>
      </c>
      <c r="R43" s="214">
        <v>42.355199999999996</v>
      </c>
      <c r="S43" s="154">
        <v>192018.85423161299</v>
      </c>
      <c r="T43" s="215"/>
      <c r="U43" s="212">
        <v>0</v>
      </c>
      <c r="V43" s="213">
        <f t="shared" ref="V43:X43" si="36">V69+V91</f>
        <v>505064.23767463339</v>
      </c>
      <c r="W43" s="213">
        <f t="shared" si="36"/>
        <v>10871965.347517608</v>
      </c>
      <c r="X43" s="213">
        <f t="shared" si="36"/>
        <v>36.856349014460427</v>
      </c>
      <c r="Y43" s="216">
        <v>6.0011746382653444</v>
      </c>
      <c r="Z43" s="217">
        <v>8.7193659717300118</v>
      </c>
      <c r="AA43" s="233">
        <f t="shared" si="22"/>
        <v>1.4529432148387482</v>
      </c>
    </row>
    <row r="44" spans="2:27" ht="15" thickBot="1" x14ac:dyDescent="0.4">
      <c r="B44" s="282" t="s">
        <v>12</v>
      </c>
      <c r="C44" s="265">
        <v>519046.15260240022</v>
      </c>
      <c r="D44" s="288">
        <v>3645059.5078946585</v>
      </c>
      <c r="E44" s="288">
        <v>20908647.410099998</v>
      </c>
      <c r="F44" s="288">
        <v>169150432.18989474</v>
      </c>
      <c r="G44" s="288">
        <v>772509859.3486352</v>
      </c>
      <c r="H44" s="288">
        <v>6107989877.0055428</v>
      </c>
      <c r="I44" s="288">
        <f>SUM(I28:I43)</f>
        <v>6468.7454085321115</v>
      </c>
      <c r="J44" s="292">
        <v>48196.146483414632</v>
      </c>
      <c r="K44" s="284">
        <v>519046.15260240022</v>
      </c>
      <c r="L44" s="265">
        <v>10253755.110099999</v>
      </c>
      <c r="M44" s="265">
        <v>528844259.14863521</v>
      </c>
      <c r="N44" s="265">
        <v>5658.4360085321114</v>
      </c>
      <c r="O44" s="219"/>
      <c r="P44" s="220"/>
      <c r="Q44" s="221"/>
      <c r="R44" s="222"/>
      <c r="S44" s="223">
        <v>29434961</v>
      </c>
      <c r="T44" s="224"/>
      <c r="U44" s="225">
        <v>0</v>
      </c>
      <c r="V44" s="226">
        <f>SUM(V28:V43)</f>
        <v>89670588.448820382</v>
      </c>
      <c r="W44" s="226">
        <f t="shared" ref="W44:X44" si="37">SUM(W28:W43)</f>
        <v>2067940104.208946</v>
      </c>
      <c r="X44" s="226">
        <f t="shared" si="37"/>
        <v>6756.7186554392292</v>
      </c>
      <c r="Y44" s="228">
        <v>6.5603443286469671</v>
      </c>
      <c r="Z44" s="229">
        <v>10.819201562664807</v>
      </c>
      <c r="AA44" s="233">
        <f t="shared" si="22"/>
        <v>1.6491819667788998</v>
      </c>
    </row>
    <row r="48" spans="2:27" x14ac:dyDescent="0.35"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</row>
    <row r="49" spans="2:26" x14ac:dyDescent="0.35">
      <c r="B49" s="83"/>
      <c r="C49" s="83"/>
      <c r="D49" s="83"/>
      <c r="E49" s="83"/>
      <c r="F49" s="83"/>
      <c r="G49" s="83"/>
      <c r="H49" s="83"/>
      <c r="I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2:26" x14ac:dyDescent="0.35">
      <c r="B50" s="83"/>
      <c r="C50" s="83"/>
      <c r="D50" s="83"/>
      <c r="E50" s="83"/>
      <c r="F50" s="83"/>
      <c r="G50" s="83"/>
      <c r="H50" s="83"/>
      <c r="I50" s="83"/>
      <c r="K50" s="83"/>
      <c r="L50" s="83"/>
      <c r="M50" s="83"/>
      <c r="N50" s="83"/>
      <c r="O50" s="83"/>
      <c r="P50" s="83"/>
      <c r="Q50" s="83" t="s">
        <v>176</v>
      </c>
      <c r="R50" s="83">
        <v>94097</v>
      </c>
      <c r="S50" s="83"/>
      <c r="T50" s="83"/>
      <c r="U50" s="83"/>
      <c r="V50" s="83"/>
      <c r="W50" s="83" t="s">
        <v>177</v>
      </c>
      <c r="X50" s="83">
        <v>1</v>
      </c>
      <c r="Y50" s="83"/>
      <c r="Z50" s="83"/>
    </row>
    <row r="51" spans="2:26" ht="15" thickBot="1" x14ac:dyDescent="0.4">
      <c r="B51" s="83"/>
      <c r="C51" s="83"/>
      <c r="D51" s="83"/>
      <c r="E51" s="83"/>
      <c r="F51" s="83"/>
      <c r="G51" s="83"/>
      <c r="H51" s="83"/>
      <c r="I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2:26" x14ac:dyDescent="0.35">
      <c r="B52" s="203"/>
      <c r="C52" s="1197" t="str">
        <f>C26</f>
        <v>2019 Energy Code</v>
      </c>
      <c r="D52" s="1198"/>
      <c r="E52" s="1199"/>
      <c r="F52" s="1200"/>
      <c r="G52" s="1200"/>
      <c r="H52" s="1200"/>
      <c r="I52" s="1201"/>
      <c r="J52" s="263"/>
      <c r="K52" s="1202" t="str">
        <f>K26</f>
        <v>2022 Energy Code</v>
      </c>
      <c r="L52" s="1203"/>
      <c r="M52" s="1204"/>
      <c r="N52" s="1205"/>
      <c r="O52" s="1197" t="s">
        <v>163</v>
      </c>
      <c r="P52" s="1199"/>
      <c r="Q52" s="1200"/>
      <c r="R52" s="1201"/>
      <c r="S52" s="1206" t="s">
        <v>164</v>
      </c>
      <c r="T52" s="1207"/>
      <c r="U52" s="1197" t="s">
        <v>165</v>
      </c>
      <c r="V52" s="1199"/>
      <c r="W52" s="1199"/>
      <c r="X52" s="1199"/>
      <c r="Y52" s="267"/>
      <c r="Z52" s="83"/>
    </row>
    <row r="53" spans="2:26" ht="43.5" x14ac:dyDescent="0.35">
      <c r="B53" s="204" t="s">
        <v>5</v>
      </c>
      <c r="C53" s="205" t="s">
        <v>6</v>
      </c>
      <c r="D53" s="293" t="s">
        <v>166</v>
      </c>
      <c r="E53" s="206" t="s">
        <v>7</v>
      </c>
      <c r="F53" s="207" t="s">
        <v>167</v>
      </c>
      <c r="G53" s="207" t="s">
        <v>8</v>
      </c>
      <c r="H53" s="207" t="s">
        <v>168</v>
      </c>
      <c r="I53" s="208" t="s">
        <v>9</v>
      </c>
      <c r="J53" s="208" t="s">
        <v>169</v>
      </c>
      <c r="K53" s="258" t="s">
        <v>6</v>
      </c>
      <c r="L53" s="259" t="s">
        <v>7</v>
      </c>
      <c r="M53" s="209" t="s">
        <v>8</v>
      </c>
      <c r="N53" s="260" t="s">
        <v>9</v>
      </c>
      <c r="O53" s="205" t="s">
        <v>6</v>
      </c>
      <c r="P53" s="206" t="s">
        <v>7</v>
      </c>
      <c r="Q53" s="206" t="s">
        <v>170</v>
      </c>
      <c r="R53" s="208" t="s">
        <v>9</v>
      </c>
      <c r="S53" s="258" t="s">
        <v>171</v>
      </c>
      <c r="T53" s="209" t="s">
        <v>11</v>
      </c>
      <c r="U53" s="205" t="s">
        <v>6</v>
      </c>
      <c r="V53" s="206" t="s">
        <v>7</v>
      </c>
      <c r="W53" s="206" t="s">
        <v>170</v>
      </c>
      <c r="X53" s="206" t="s">
        <v>9</v>
      </c>
      <c r="Y53" s="208" t="s">
        <v>172</v>
      </c>
      <c r="Z53" s="83"/>
    </row>
    <row r="54" spans="2:26" x14ac:dyDescent="0.35">
      <c r="B54" s="211">
        <v>1</v>
      </c>
      <c r="C54" s="268">
        <v>23811.801398100139</v>
      </c>
      <c r="D54" s="303">
        <v>2875.8654252979145</v>
      </c>
      <c r="E54" s="269">
        <v>552230.61510000005</v>
      </c>
      <c r="F54" s="294">
        <v>66695.539165877766</v>
      </c>
      <c r="G54" s="270">
        <v>22432402.025629554</v>
      </c>
      <c r="H54" s="294">
        <v>2709268.7492781701</v>
      </c>
      <c r="I54" s="271">
        <v>236.19857747498531</v>
      </c>
      <c r="J54" s="296">
        <v>28.526834703024953</v>
      </c>
      <c r="K54" s="272">
        <f>C54-O54</f>
        <v>23811.801398100139</v>
      </c>
      <c r="L54" s="148">
        <f t="shared" ref="L54:L69" si="38">E54-P54</f>
        <v>335807.51510000008</v>
      </c>
      <c r="M54" s="273">
        <f t="shared" ref="M54:M69" si="39">G54-Q54</f>
        <v>17755781.125629552</v>
      </c>
      <c r="N54" s="91">
        <f t="shared" ref="N54:N69" si="40">I54-R54</f>
        <v>218.38187747498532</v>
      </c>
      <c r="O54" s="212">
        <v>0</v>
      </c>
      <c r="P54" s="213">
        <v>216423.09999999998</v>
      </c>
      <c r="Q54" s="274">
        <v>4676620.9000000004</v>
      </c>
      <c r="R54" s="275">
        <v>17.816700000000001</v>
      </c>
      <c r="S54" s="154">
        <v>11364.545856906439</v>
      </c>
      <c r="T54" s="215"/>
      <c r="U54" s="212">
        <v>0</v>
      </c>
      <c r="V54" s="276">
        <f>($S54*P54/$R$50)*$X$50</f>
        <v>26138.455470884808</v>
      </c>
      <c r="W54" s="276">
        <f>($S54*Q54/$R$50)*$X$50</f>
        <v>564817.92908825004</v>
      </c>
      <c r="X54" s="276">
        <f>($S54*R54/$R$50)*$X$50</f>
        <v>2.1518082847353792</v>
      </c>
      <c r="Y54" s="217">
        <v>6.9007881983485104</v>
      </c>
      <c r="Z54" s="83"/>
    </row>
    <row r="55" spans="2:26" x14ac:dyDescent="0.35">
      <c r="B55" s="211">
        <v>2</v>
      </c>
      <c r="C55" s="268">
        <v>19425.018253499962</v>
      </c>
      <c r="D55" s="303">
        <v>13925.814062677473</v>
      </c>
      <c r="E55" s="269">
        <v>620135.56079999905</v>
      </c>
      <c r="F55" s="294">
        <v>444575.77339980158</v>
      </c>
      <c r="G55" s="270">
        <v>24515622.982808426</v>
      </c>
      <c r="H55" s="294">
        <v>17575273.435214397</v>
      </c>
      <c r="I55" s="271">
        <v>219.58976816575347</v>
      </c>
      <c r="J55" s="296">
        <v>157.42411366804032</v>
      </c>
      <c r="K55" s="272">
        <f t="shared" ref="K55:K69" si="41">C55-O55</f>
        <v>19425.018253499962</v>
      </c>
      <c r="L55" s="148">
        <f t="shared" si="38"/>
        <v>300205.76079999906</v>
      </c>
      <c r="M55" s="273">
        <f t="shared" si="39"/>
        <v>17081959.982808426</v>
      </c>
      <c r="N55" s="91">
        <f t="shared" si="40"/>
        <v>195.86156816575345</v>
      </c>
      <c r="O55" s="212">
        <v>0</v>
      </c>
      <c r="P55" s="213">
        <v>319929.8</v>
      </c>
      <c r="Q55" s="274">
        <v>7433663</v>
      </c>
      <c r="R55" s="275">
        <v>23.728200000000001</v>
      </c>
      <c r="S55" s="154">
        <v>67458.228803448408</v>
      </c>
      <c r="T55" s="215"/>
      <c r="U55" s="212">
        <v>0</v>
      </c>
      <c r="V55" s="276">
        <f t="shared" ref="V55:V69" si="42">($S55*P55/$R$50)*$X$50</f>
        <v>229357.97793172457</v>
      </c>
      <c r="W55" s="276">
        <f t="shared" ref="W55:W69" si="43">($S55*Q55/$R$50)*$X$50</f>
        <v>5329200.0754724238</v>
      </c>
      <c r="X55" s="276">
        <f t="shared" ref="X55:X69" si="44">($S55*R55/$R$50)*$X$50</f>
        <v>17.010769149855836</v>
      </c>
      <c r="Y55" s="217">
        <v>7.8134991955110156</v>
      </c>
      <c r="Z55" s="83"/>
    </row>
    <row r="56" spans="2:26" x14ac:dyDescent="0.35">
      <c r="B56" s="211">
        <v>3</v>
      </c>
      <c r="C56" s="268">
        <v>18216.809872599912</v>
      </c>
      <c r="D56" s="303">
        <v>63347.181640907656</v>
      </c>
      <c r="E56" s="269">
        <v>587216.83370000031</v>
      </c>
      <c r="F56" s="294">
        <v>2041989.3322234903</v>
      </c>
      <c r="G56" s="270">
        <v>22717378.734819036</v>
      </c>
      <c r="H56" s="294">
        <v>78997471.411523715</v>
      </c>
      <c r="I56" s="271">
        <v>208.67366885300152</v>
      </c>
      <c r="J56" s="296">
        <v>725.64235433934937</v>
      </c>
      <c r="K56" s="272">
        <f t="shared" si="41"/>
        <v>18216.809872599912</v>
      </c>
      <c r="L56" s="148">
        <f t="shared" si="38"/>
        <v>314335.53370000032</v>
      </c>
      <c r="M56" s="273">
        <f t="shared" si="39"/>
        <v>16685761.034819037</v>
      </c>
      <c r="N56" s="91">
        <f t="shared" si="40"/>
        <v>188.40996885300152</v>
      </c>
      <c r="O56" s="212">
        <v>0</v>
      </c>
      <c r="P56" s="213">
        <v>272881.3</v>
      </c>
      <c r="Q56" s="274">
        <v>6031617.6999999993</v>
      </c>
      <c r="R56" s="275">
        <v>20.263699999999996</v>
      </c>
      <c r="S56" s="154">
        <v>327213.1505214948</v>
      </c>
      <c r="T56" s="215"/>
      <c r="U56" s="212">
        <v>0</v>
      </c>
      <c r="V56" s="276">
        <f t="shared" si="42"/>
        <v>948918.13651233481</v>
      </c>
      <c r="W56" s="276">
        <f t="shared" si="43"/>
        <v>20974362.948427811</v>
      </c>
      <c r="X56" s="276">
        <f t="shared" si="44"/>
        <v>70.465042649844449</v>
      </c>
      <c r="Y56" s="217">
        <v>6.9007881983485131</v>
      </c>
      <c r="Z56" s="83"/>
    </row>
    <row r="57" spans="2:26" x14ac:dyDescent="0.35">
      <c r="B57" s="211">
        <v>4</v>
      </c>
      <c r="C57" s="268">
        <v>16719.761111499956</v>
      </c>
      <c r="D57" s="303">
        <v>30289.885735171505</v>
      </c>
      <c r="E57" s="269">
        <v>643038.40669999807</v>
      </c>
      <c r="F57" s="294">
        <v>1164942.4733032158</v>
      </c>
      <c r="G57" s="270">
        <v>24546239.902053606</v>
      </c>
      <c r="H57" s="294">
        <v>44468506.272492453</v>
      </c>
      <c r="I57" s="271">
        <v>207.97654965260006</v>
      </c>
      <c r="J57" s="296">
        <v>376.77487630128786</v>
      </c>
      <c r="K57" s="272">
        <f t="shared" si="41"/>
        <v>16719.761111499956</v>
      </c>
      <c r="L57" s="148">
        <f t="shared" si="38"/>
        <v>304289.20669999806</v>
      </c>
      <c r="M57" s="273">
        <f t="shared" si="39"/>
        <v>16585633.702053607</v>
      </c>
      <c r="N57" s="91">
        <f t="shared" si="40"/>
        <v>183.22754965260009</v>
      </c>
      <c r="O57" s="212">
        <v>0</v>
      </c>
      <c r="P57" s="213">
        <v>338749.2</v>
      </c>
      <c r="Q57" s="274">
        <v>7960606.1999999993</v>
      </c>
      <c r="R57" s="275">
        <v>24.748999999999967</v>
      </c>
      <c r="S57" s="154">
        <v>170468.18785359658</v>
      </c>
      <c r="T57" s="215"/>
      <c r="U57" s="212">
        <v>0</v>
      </c>
      <c r="V57" s="276">
        <f t="shared" si="42"/>
        <v>613685.47627294774</v>
      </c>
      <c r="W57" s="276">
        <f t="shared" si="43"/>
        <v>14421608.692414269</v>
      </c>
      <c r="X57" s="276">
        <f t="shared" si="44"/>
        <v>44.835830910535471</v>
      </c>
      <c r="Y57" s="217">
        <v>7.8134991955110156</v>
      </c>
      <c r="Z57" s="83"/>
    </row>
    <row r="58" spans="2:26" x14ac:dyDescent="0.35">
      <c r="B58" s="211">
        <v>5</v>
      </c>
      <c r="C58" s="268">
        <v>17871.609590900109</v>
      </c>
      <c r="D58" s="303">
        <v>5750.4099071253177</v>
      </c>
      <c r="E58" s="269">
        <v>595764.45789999689</v>
      </c>
      <c r="F58" s="294">
        <v>191694.53224659103</v>
      </c>
      <c r="G58" s="270">
        <v>22208788.662224196</v>
      </c>
      <c r="H58" s="294">
        <v>7145950.5479312744</v>
      </c>
      <c r="I58" s="271">
        <v>207.04982179300222</v>
      </c>
      <c r="J58" s="296">
        <v>66.620823404359385</v>
      </c>
      <c r="K58" s="272">
        <f t="shared" si="41"/>
        <v>17871.609590900109</v>
      </c>
      <c r="L58" s="148">
        <f t="shared" si="38"/>
        <v>304063.75789999688</v>
      </c>
      <c r="M58" s="273">
        <f t="shared" si="39"/>
        <v>15951338.162224196</v>
      </c>
      <c r="N58" s="91">
        <f t="shared" si="40"/>
        <v>184.71642179300221</v>
      </c>
      <c r="O58" s="212">
        <v>0</v>
      </c>
      <c r="P58" s="213">
        <v>291700.7</v>
      </c>
      <c r="Q58" s="274">
        <v>6257450.5</v>
      </c>
      <c r="R58" s="275">
        <v>22.333399999999997</v>
      </c>
      <c r="S58" s="154">
        <v>30276.865565946966</v>
      </c>
      <c r="T58" s="215"/>
      <c r="U58" s="212">
        <v>0</v>
      </c>
      <c r="V58" s="276">
        <f t="shared" si="42"/>
        <v>93858.283254435592</v>
      </c>
      <c r="W58" s="276">
        <f t="shared" si="43"/>
        <v>2013411.5601354733</v>
      </c>
      <c r="X58" s="276">
        <f t="shared" si="44"/>
        <v>7.1860457764914916</v>
      </c>
      <c r="Y58" s="217">
        <v>6.9007881983485131</v>
      </c>
      <c r="Z58" s="83"/>
    </row>
    <row r="59" spans="2:26" x14ac:dyDescent="0.35">
      <c r="B59" s="211">
        <v>6</v>
      </c>
      <c r="C59" s="268">
        <v>14791.55561880003</v>
      </c>
      <c r="D59" s="303">
        <v>22718.213977134161</v>
      </c>
      <c r="E59" s="269">
        <v>657311.65350000141</v>
      </c>
      <c r="F59" s="294">
        <v>1009558.911768358</v>
      </c>
      <c r="G59" s="270">
        <v>23445239.57638856</v>
      </c>
      <c r="H59" s="294">
        <v>36009327.427643456</v>
      </c>
      <c r="I59" s="271">
        <v>198.31859439637583</v>
      </c>
      <c r="J59" s="296">
        <v>304.59570171341124</v>
      </c>
      <c r="K59" s="272">
        <f t="shared" si="41"/>
        <v>14791.55561880003</v>
      </c>
      <c r="L59" s="148">
        <f t="shared" si="38"/>
        <v>309152.75350000139</v>
      </c>
      <c r="M59" s="273">
        <f t="shared" si="39"/>
        <v>15409355.776388559</v>
      </c>
      <c r="N59" s="91">
        <f t="shared" si="40"/>
        <v>170.21059439637582</v>
      </c>
      <c r="O59" s="212">
        <v>0</v>
      </c>
      <c r="P59" s="213">
        <v>348158.9</v>
      </c>
      <c r="Q59" s="274">
        <v>8035883.8000000007</v>
      </c>
      <c r="R59" s="275">
        <v>28.108000000000001</v>
      </c>
      <c r="S59" s="154">
        <v>144522.71523688568</v>
      </c>
      <c r="T59" s="215"/>
      <c r="U59" s="212">
        <v>0</v>
      </c>
      <c r="V59" s="276">
        <f t="shared" si="42"/>
        <v>534734.046376477</v>
      </c>
      <c r="W59" s="276">
        <f t="shared" si="43"/>
        <v>12342239.881230038</v>
      </c>
      <c r="X59" s="276">
        <f t="shared" si="44"/>
        <v>43.170818196949774</v>
      </c>
      <c r="Y59" s="217">
        <v>7.8134991955110156</v>
      </c>
      <c r="Z59" s="83"/>
    </row>
    <row r="60" spans="2:26" x14ac:dyDescent="0.35">
      <c r="B60" s="211">
        <v>7</v>
      </c>
      <c r="C60" s="268">
        <v>14465.075712400043</v>
      </c>
      <c r="D60" s="303">
        <v>23884.682863380578</v>
      </c>
      <c r="E60" s="269">
        <v>648370.70660000155</v>
      </c>
      <c r="F60" s="294">
        <v>1070587.4627238684</v>
      </c>
      <c r="G60" s="270">
        <v>22953097.817266226</v>
      </c>
      <c r="H60" s="294">
        <v>37900075.533486091</v>
      </c>
      <c r="I60" s="271">
        <v>196.65230148078277</v>
      </c>
      <c r="J60" s="296">
        <v>324.71159837732239</v>
      </c>
      <c r="K60" s="272">
        <f t="shared" si="41"/>
        <v>14465.075712400043</v>
      </c>
      <c r="L60" s="148">
        <f t="shared" si="38"/>
        <v>328440.90660000156</v>
      </c>
      <c r="M60" s="273">
        <f t="shared" si="39"/>
        <v>15585302.717266226</v>
      </c>
      <c r="N60" s="91">
        <f t="shared" si="40"/>
        <v>168.85590148078279</v>
      </c>
      <c r="O60" s="212">
        <v>0</v>
      </c>
      <c r="P60" s="213">
        <v>319929.8</v>
      </c>
      <c r="Q60" s="274">
        <v>7367795.0999999996</v>
      </c>
      <c r="R60" s="275">
        <v>27.796399999999966</v>
      </c>
      <c r="S60" s="154">
        <v>155372.64014932842</v>
      </c>
      <c r="T60" s="215"/>
      <c r="U60" s="212">
        <v>0</v>
      </c>
      <c r="V60" s="276">
        <f t="shared" si="42"/>
        <v>528266.97650771658</v>
      </c>
      <c r="W60" s="276">
        <f t="shared" si="43"/>
        <v>12165677.723692415</v>
      </c>
      <c r="X60" s="276">
        <f t="shared" si="44"/>
        <v>45.897319305044661</v>
      </c>
      <c r="Y60" s="217">
        <v>7.8134991955110156</v>
      </c>
      <c r="Z60" s="83"/>
    </row>
    <row r="61" spans="2:26" x14ac:dyDescent="0.35">
      <c r="B61" s="211">
        <v>8</v>
      </c>
      <c r="C61" s="268">
        <v>14338.997727100013</v>
      </c>
      <c r="D61" s="303">
        <v>30963.089368801069</v>
      </c>
      <c r="E61" s="269">
        <v>690748.23349999834</v>
      </c>
      <c r="F61" s="294">
        <v>1491575.610252047</v>
      </c>
      <c r="G61" s="270">
        <v>24635330.614174977</v>
      </c>
      <c r="H61" s="294">
        <v>53196601.18189656</v>
      </c>
      <c r="I61" s="271">
        <v>200.76223791992214</v>
      </c>
      <c r="J61" s="296">
        <v>433.51838342555129</v>
      </c>
      <c r="K61" s="272">
        <f t="shared" si="41"/>
        <v>14338.997727100013</v>
      </c>
      <c r="L61" s="148">
        <f t="shared" si="38"/>
        <v>351999.03349999833</v>
      </c>
      <c r="M61" s="273">
        <f t="shared" si="39"/>
        <v>16138371.514174977</v>
      </c>
      <c r="N61" s="91">
        <f t="shared" si="40"/>
        <v>173.43673791992214</v>
      </c>
      <c r="O61" s="212">
        <v>0</v>
      </c>
      <c r="P61" s="213">
        <v>338749.2</v>
      </c>
      <c r="Q61" s="274">
        <v>8496959.0999999996</v>
      </c>
      <c r="R61" s="275">
        <v>27.325499999999998</v>
      </c>
      <c r="S61" s="154">
        <v>203189.50290574605</v>
      </c>
      <c r="T61" s="215"/>
      <c r="U61" s="212">
        <v>0</v>
      </c>
      <c r="V61" s="276">
        <f t="shared" si="42"/>
        <v>731482.21046068578</v>
      </c>
      <c r="W61" s="276">
        <f t="shared" si="43"/>
        <v>18348012.112388868</v>
      </c>
      <c r="X61" s="276">
        <f t="shared" si="44"/>
        <v>59.005651207275086</v>
      </c>
      <c r="Y61" s="217">
        <v>7.8134991955110156</v>
      </c>
      <c r="Z61" s="83"/>
    </row>
    <row r="62" spans="2:26" x14ac:dyDescent="0.35">
      <c r="B62" s="211">
        <v>9</v>
      </c>
      <c r="C62" s="268">
        <v>14912.740139400035</v>
      </c>
      <c r="D62" s="303">
        <v>75604.712167006219</v>
      </c>
      <c r="E62" s="269">
        <v>684146.7215000001</v>
      </c>
      <c r="F62" s="294">
        <v>3468491.7376351091</v>
      </c>
      <c r="G62" s="270">
        <v>24835209.684285674</v>
      </c>
      <c r="H62" s="294">
        <v>125909716.27184843</v>
      </c>
      <c r="I62" s="271">
        <v>203.54970017277304</v>
      </c>
      <c r="J62" s="296">
        <v>1031.9576650158176</v>
      </c>
      <c r="K62" s="272">
        <f t="shared" si="41"/>
        <v>14912.740139400035</v>
      </c>
      <c r="L62" s="148">
        <f t="shared" si="38"/>
        <v>326578.12150000012</v>
      </c>
      <c r="M62" s="273">
        <f t="shared" si="39"/>
        <v>16328840.884285673</v>
      </c>
      <c r="N62" s="91">
        <f t="shared" si="40"/>
        <v>175.65020017277305</v>
      </c>
      <c r="O62" s="212">
        <v>0</v>
      </c>
      <c r="P62" s="213">
        <v>357568.6</v>
      </c>
      <c r="Q62" s="274">
        <v>8506368.8000000007</v>
      </c>
      <c r="R62" s="275">
        <v>27.8995</v>
      </c>
      <c r="S62" s="154">
        <v>477053.61551783863</v>
      </c>
      <c r="T62" s="215"/>
      <c r="U62" s="212">
        <v>0</v>
      </c>
      <c r="V62" s="276">
        <f t="shared" si="42"/>
        <v>1812803.7389677868</v>
      </c>
      <c r="W62" s="276">
        <f t="shared" si="43"/>
        <v>43125646.842812613</v>
      </c>
      <c r="X62" s="276">
        <f t="shared" si="44"/>
        <v>141.44507631635375</v>
      </c>
      <c r="Y62" s="217">
        <v>7.8134991955110156</v>
      </c>
      <c r="Z62" s="83"/>
    </row>
    <row r="63" spans="2:26" x14ac:dyDescent="0.35">
      <c r="B63" s="211">
        <v>10</v>
      </c>
      <c r="C63" s="268">
        <v>15488.874531100057</v>
      </c>
      <c r="D63" s="303">
        <v>27742.324421169895</v>
      </c>
      <c r="E63" s="269">
        <v>702043.32109999785</v>
      </c>
      <c r="F63" s="294">
        <v>1257438.9141422294</v>
      </c>
      <c r="G63" s="270">
        <v>25390052.06339692</v>
      </c>
      <c r="H63" s="294">
        <v>45476452.14626997</v>
      </c>
      <c r="I63" s="271">
        <v>209.0439775459659</v>
      </c>
      <c r="J63" s="296">
        <v>374.42138431216648</v>
      </c>
      <c r="K63" s="272">
        <f t="shared" si="41"/>
        <v>15488.874531100057</v>
      </c>
      <c r="L63" s="148">
        <f t="shared" si="38"/>
        <v>344474.72109999787</v>
      </c>
      <c r="M63" s="273">
        <f t="shared" si="39"/>
        <v>17109516.06339692</v>
      </c>
      <c r="N63" s="91">
        <f t="shared" si="40"/>
        <v>181.00597754596589</v>
      </c>
      <c r="O63" s="212">
        <v>0</v>
      </c>
      <c r="P63" s="213">
        <v>357568.6</v>
      </c>
      <c r="Q63" s="274">
        <v>8280536</v>
      </c>
      <c r="R63" s="275">
        <v>28.038</v>
      </c>
      <c r="S63" s="154">
        <v>168538.35931185776</v>
      </c>
      <c r="T63" s="215"/>
      <c r="U63" s="212">
        <v>0</v>
      </c>
      <c r="V63" s="276">
        <f t="shared" si="42"/>
        <v>640445.76538505941</v>
      </c>
      <c r="W63" s="276">
        <f t="shared" si="43"/>
        <v>14831375.619443484</v>
      </c>
      <c r="X63" s="276">
        <f t="shared" si="44"/>
        <v>50.219226100575654</v>
      </c>
      <c r="Y63" s="217">
        <v>7.8134991955110156</v>
      </c>
      <c r="Z63" s="83"/>
    </row>
    <row r="64" spans="2:26" x14ac:dyDescent="0.35">
      <c r="B64" s="211">
        <v>11</v>
      </c>
      <c r="C64" s="268">
        <v>19610.508313300008</v>
      </c>
      <c r="D64" s="303">
        <v>10027.949583386533</v>
      </c>
      <c r="E64" s="269">
        <v>704120.17649999866</v>
      </c>
      <c r="F64" s="294">
        <v>360056.02291290258</v>
      </c>
      <c r="G64" s="270">
        <v>27560741.520456266</v>
      </c>
      <c r="H64" s="294">
        <v>14093348.424856568</v>
      </c>
      <c r="I64" s="271">
        <v>234.44970132021115</v>
      </c>
      <c r="J64" s="296">
        <v>119.88724346755495</v>
      </c>
      <c r="K64" s="272">
        <f t="shared" si="41"/>
        <v>19610.508313300008</v>
      </c>
      <c r="L64" s="148">
        <f t="shared" si="38"/>
        <v>384190.37649999867</v>
      </c>
      <c r="M64" s="273">
        <f t="shared" si="39"/>
        <v>20117668.820456266</v>
      </c>
      <c r="N64" s="91">
        <f t="shared" si="40"/>
        <v>211.17510132021118</v>
      </c>
      <c r="O64" s="212">
        <v>0</v>
      </c>
      <c r="P64" s="213">
        <v>319929.8</v>
      </c>
      <c r="Q64" s="274">
        <v>7443072.6999999993</v>
      </c>
      <c r="R64" s="275">
        <v>23.274599999999968</v>
      </c>
      <c r="S64" s="154">
        <v>48117.058307354804</v>
      </c>
      <c r="T64" s="215"/>
      <c r="U64" s="212">
        <v>0</v>
      </c>
      <c r="V64" s="276">
        <f t="shared" si="42"/>
        <v>163597.99824500634</v>
      </c>
      <c r="W64" s="276">
        <f t="shared" si="43"/>
        <v>3806059.3121117647</v>
      </c>
      <c r="X64" s="276">
        <f t="shared" si="44"/>
        <v>11.901604570606485</v>
      </c>
      <c r="Y64" s="217">
        <v>7.8134991955110156</v>
      </c>
      <c r="Z64" s="83"/>
    </row>
    <row r="65" spans="2:26" x14ac:dyDescent="0.35">
      <c r="B65" s="211">
        <v>12</v>
      </c>
      <c r="C65" s="268">
        <v>18738.059783399978</v>
      </c>
      <c r="D65" s="303">
        <v>54100.549146676138</v>
      </c>
      <c r="E65" s="269">
        <v>662088.33749999932</v>
      </c>
      <c r="F65" s="294">
        <v>1911582.2585907276</v>
      </c>
      <c r="G65" s="270">
        <v>25813723.223408651</v>
      </c>
      <c r="H65" s="294">
        <v>74529413.293040335</v>
      </c>
      <c r="I65" s="271">
        <v>222.41895278204157</v>
      </c>
      <c r="J65" s="296">
        <v>642.16827276840513</v>
      </c>
      <c r="K65" s="272">
        <f t="shared" si="41"/>
        <v>18738.059783399978</v>
      </c>
      <c r="L65" s="148">
        <f t="shared" si="38"/>
        <v>332748.83749999932</v>
      </c>
      <c r="M65" s="273">
        <f t="shared" si="39"/>
        <v>18285963.223408651</v>
      </c>
      <c r="N65" s="91">
        <f t="shared" si="40"/>
        <v>199.35185278204156</v>
      </c>
      <c r="O65" s="212">
        <v>0</v>
      </c>
      <c r="P65" s="213">
        <v>329339.5</v>
      </c>
      <c r="Q65" s="274">
        <v>7527760</v>
      </c>
      <c r="R65" s="275">
        <v>23.0671</v>
      </c>
      <c r="S65" s="154">
        <v>271676.97359812184</v>
      </c>
      <c r="T65" s="215"/>
      <c r="U65" s="212">
        <v>0</v>
      </c>
      <c r="V65" s="276">
        <f t="shared" si="42"/>
        <v>950869.40759342641</v>
      </c>
      <c r="W65" s="276">
        <f t="shared" si="43"/>
        <v>21734157.887849744</v>
      </c>
      <c r="X65" s="276">
        <f t="shared" si="44"/>
        <v>66.599359359865204</v>
      </c>
      <c r="Y65" s="217">
        <v>7.8134991955110156</v>
      </c>
      <c r="Z65" s="83"/>
    </row>
    <row r="66" spans="2:26" x14ac:dyDescent="0.35">
      <c r="B66" s="211">
        <v>13</v>
      </c>
      <c r="C66" s="268">
        <v>17263.569531999954</v>
      </c>
      <c r="D66" s="303">
        <v>14547.820822911019</v>
      </c>
      <c r="E66" s="269">
        <v>721412.80770000315</v>
      </c>
      <c r="F66" s="294">
        <v>607926.66582187312</v>
      </c>
      <c r="G66" s="270">
        <v>27384143.377157319</v>
      </c>
      <c r="H66" s="294">
        <v>23076317.473124489</v>
      </c>
      <c r="I66" s="271">
        <v>223.77212065074389</v>
      </c>
      <c r="J66" s="296">
        <v>188.57031336164903</v>
      </c>
      <c r="K66" s="272">
        <f t="shared" si="41"/>
        <v>17263.569531999954</v>
      </c>
      <c r="L66" s="148">
        <f t="shared" si="38"/>
        <v>392073.30770000315</v>
      </c>
      <c r="M66" s="273">
        <f t="shared" si="39"/>
        <v>19639960.277157322</v>
      </c>
      <c r="N66" s="91">
        <f t="shared" si="40"/>
        <v>200.40582065074392</v>
      </c>
      <c r="O66" s="212">
        <v>0</v>
      </c>
      <c r="P66" s="213">
        <v>329339.5</v>
      </c>
      <c r="Q66" s="274">
        <v>7744183.0999999996</v>
      </c>
      <c r="R66" s="275">
        <v>23.366299999999967</v>
      </c>
      <c r="S66" s="154">
        <v>79294.510526113227</v>
      </c>
      <c r="T66" s="215"/>
      <c r="U66" s="212">
        <v>0</v>
      </c>
      <c r="V66" s="276">
        <f t="shared" si="42"/>
        <v>277530.7868413963</v>
      </c>
      <c r="W66" s="276">
        <f t="shared" si="43"/>
        <v>6525938.2162991185</v>
      </c>
      <c r="X66" s="276">
        <f t="shared" si="44"/>
        <v>19.690524897779067</v>
      </c>
      <c r="Y66" s="217">
        <v>7.8134991955110156</v>
      </c>
      <c r="Z66" s="83"/>
    </row>
    <row r="67" spans="2:26" x14ac:dyDescent="0.35">
      <c r="B67" s="211">
        <v>14</v>
      </c>
      <c r="C67" s="268">
        <v>18682.04041469999</v>
      </c>
      <c r="D67" s="303">
        <v>7152.1073975846057</v>
      </c>
      <c r="E67" s="269">
        <v>706968.25119999982</v>
      </c>
      <c r="F67" s="294">
        <v>270650.99673408282</v>
      </c>
      <c r="G67" s="270">
        <v>27082040.280194279</v>
      </c>
      <c r="H67" s="294">
        <v>10367907.162713001</v>
      </c>
      <c r="I67" s="271">
        <v>228.42795977781262</v>
      </c>
      <c r="J67" s="296">
        <v>87.449832281517857</v>
      </c>
      <c r="K67" s="272">
        <f t="shared" si="41"/>
        <v>18682.04041469999</v>
      </c>
      <c r="L67" s="148">
        <f t="shared" si="38"/>
        <v>321170.55119999987</v>
      </c>
      <c r="M67" s="273">
        <f t="shared" si="39"/>
        <v>18340428.980194278</v>
      </c>
      <c r="N67" s="91">
        <f t="shared" si="40"/>
        <v>198.62195977781261</v>
      </c>
      <c r="O67" s="212">
        <v>0</v>
      </c>
      <c r="P67" s="213">
        <v>385797.69999999995</v>
      </c>
      <c r="Q67" s="274">
        <v>8741611.3000000007</v>
      </c>
      <c r="R67" s="275">
        <v>29.805999999999997</v>
      </c>
      <c r="S67" s="154">
        <v>36023.466112458147</v>
      </c>
      <c r="T67" s="215"/>
      <c r="U67" s="212">
        <v>0</v>
      </c>
      <c r="V67" s="276">
        <f t="shared" si="42"/>
        <v>147696.21106107839</v>
      </c>
      <c r="W67" s="276">
        <f t="shared" si="43"/>
        <v>3346580.0018473621</v>
      </c>
      <c r="X67" s="276">
        <f t="shared" si="44"/>
        <v>11.41072968264586</v>
      </c>
      <c r="Y67" s="217">
        <v>7.8134991955110156</v>
      </c>
      <c r="Z67" s="83"/>
    </row>
    <row r="68" spans="2:26" x14ac:dyDescent="0.35">
      <c r="B68" s="211">
        <v>15</v>
      </c>
      <c r="C68" s="268">
        <v>12300.276234299938</v>
      </c>
      <c r="D68" s="303">
        <v>3066.426963447514</v>
      </c>
      <c r="E68" s="269">
        <v>845263.80930000416</v>
      </c>
      <c r="F68" s="294">
        <v>210722.07539828547</v>
      </c>
      <c r="G68" s="270">
        <v>29129293.960555322</v>
      </c>
      <c r="H68" s="294">
        <v>7261857.4351813663</v>
      </c>
      <c r="I68" s="271">
        <v>212.67630977108345</v>
      </c>
      <c r="J68" s="296">
        <v>53.019652432682399</v>
      </c>
      <c r="K68" s="272">
        <f t="shared" si="41"/>
        <v>12300.276234299938</v>
      </c>
      <c r="L68" s="148">
        <f t="shared" si="38"/>
        <v>393598.20930000418</v>
      </c>
      <c r="M68" s="273">
        <f t="shared" si="39"/>
        <v>18722165.760555323</v>
      </c>
      <c r="N68" s="91">
        <f t="shared" si="40"/>
        <v>176.59660977108345</v>
      </c>
      <c r="O68" s="212">
        <v>0</v>
      </c>
      <c r="P68" s="213">
        <v>451665.6</v>
      </c>
      <c r="Q68" s="274">
        <v>10407128.199999999</v>
      </c>
      <c r="R68" s="275">
        <v>36.079700000000003</v>
      </c>
      <c r="S68" s="154">
        <v>23458.1380518031</v>
      </c>
      <c r="T68" s="215"/>
      <c r="U68" s="212">
        <v>0</v>
      </c>
      <c r="V68" s="276">
        <f t="shared" si="42"/>
        <v>112599.06264865487</v>
      </c>
      <c r="W68" s="276">
        <f t="shared" si="43"/>
        <v>2594470.0685294229</v>
      </c>
      <c r="X68" s="276">
        <f t="shared" si="44"/>
        <v>8.9945756343734686</v>
      </c>
      <c r="Y68" s="217">
        <v>9.7620805402935265</v>
      </c>
      <c r="Z68" s="83"/>
    </row>
    <row r="69" spans="2:26" x14ac:dyDescent="0.35">
      <c r="B69" s="211">
        <v>16</v>
      </c>
      <c r="C69" s="268">
        <v>27994.665039699943</v>
      </c>
      <c r="D69" s="303">
        <v>4325.1921654842117</v>
      </c>
      <c r="E69" s="269">
        <v>627175.43220000004</v>
      </c>
      <c r="F69" s="294">
        <v>96898.972068025483</v>
      </c>
      <c r="G69" s="270">
        <v>25869710.365128752</v>
      </c>
      <c r="H69" s="294">
        <v>3996885.4221304115</v>
      </c>
      <c r="I69" s="271">
        <v>271.39003801997774</v>
      </c>
      <c r="J69" s="296">
        <v>41.929920024756662</v>
      </c>
      <c r="K69" s="272">
        <f t="shared" si="41"/>
        <v>27994.665039699943</v>
      </c>
      <c r="L69" s="148">
        <f t="shared" si="38"/>
        <v>344884.43220000004</v>
      </c>
      <c r="M69" s="273">
        <f t="shared" si="39"/>
        <v>19715766.565128751</v>
      </c>
      <c r="N69" s="91">
        <f t="shared" si="40"/>
        <v>250.46103801997774</v>
      </c>
      <c r="O69" s="212">
        <v>0</v>
      </c>
      <c r="P69" s="213">
        <v>282291</v>
      </c>
      <c r="Q69" s="274">
        <v>6153943.8000000007</v>
      </c>
      <c r="R69" s="275">
        <v>20.928999999999998</v>
      </c>
      <c r="S69" s="154">
        <v>14538.041681099181</v>
      </c>
      <c r="T69" s="215"/>
      <c r="U69" s="212">
        <v>0</v>
      </c>
      <c r="V69" s="276">
        <f t="shared" si="42"/>
        <v>43614.125043297543</v>
      </c>
      <c r="W69" s="276">
        <f t="shared" si="43"/>
        <v>950787.92594388651</v>
      </c>
      <c r="X69" s="276">
        <f t="shared" si="44"/>
        <v>3.2335427733479785</v>
      </c>
      <c r="Y69" s="217">
        <v>6.9007881983485131</v>
      </c>
      <c r="Z69" s="83"/>
    </row>
    <row r="70" spans="2:26" ht="15" thickBot="1" x14ac:dyDescent="0.4">
      <c r="B70" s="218" t="s">
        <v>12</v>
      </c>
      <c r="C70" s="219"/>
      <c r="D70" s="304">
        <v>390322.22564816184</v>
      </c>
      <c r="E70" s="277"/>
      <c r="F70" s="278">
        <v>15665387.278386483</v>
      </c>
      <c r="G70" s="278"/>
      <c r="H70" s="278">
        <v>582714372.18863082</v>
      </c>
      <c r="I70" s="99"/>
      <c r="J70" s="297">
        <v>4957.2189695968973</v>
      </c>
      <c r="K70" s="279">
        <f>SUM(K54:K69)</f>
        <v>284631.36327280011</v>
      </c>
      <c r="L70" s="277">
        <f t="shared" ref="L70:N70" si="45">SUM(L54:L69)</f>
        <v>5388013.0247999988</v>
      </c>
      <c r="M70" s="278">
        <f t="shared" si="45"/>
        <v>279453814.58994776</v>
      </c>
      <c r="N70" s="99">
        <f t="shared" si="45"/>
        <v>3076.3691797770325</v>
      </c>
      <c r="O70" s="219"/>
      <c r="P70" s="220"/>
      <c r="Q70" s="221"/>
      <c r="R70" s="222"/>
      <c r="S70" s="280">
        <f>SUM(S54:S69)</f>
        <v>2228566.0000000005</v>
      </c>
      <c r="T70" s="224"/>
      <c r="U70" s="225">
        <f>SUM(U54:U69)</f>
        <v>0</v>
      </c>
      <c r="V70" s="226">
        <f>SUM(V54:V69)</f>
        <v>7855598.6585729131</v>
      </c>
      <c r="W70" s="226">
        <f>SUM(W54:W69)</f>
        <v>183074346.79768693</v>
      </c>
      <c r="X70" s="227">
        <f>SUM(X54:X69)</f>
        <v>603.21792481627961</v>
      </c>
      <c r="Y70" s="229">
        <f>SUMPRODUCT(Y54:Y69,S54:S69)/SUM(S54:S69)</f>
        <v>7.6769914343010539</v>
      </c>
      <c r="Z70" s="83"/>
    </row>
    <row r="71" spans="2:26" x14ac:dyDescent="0.35">
      <c r="B71" s="83"/>
      <c r="C71" s="83"/>
      <c r="D71" s="83"/>
      <c r="E71" s="83"/>
      <c r="F71" s="83"/>
      <c r="G71" s="83"/>
      <c r="H71" s="83"/>
      <c r="I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2:26" x14ac:dyDescent="0.35">
      <c r="B72" s="83"/>
      <c r="C72" s="83"/>
      <c r="D72" s="83"/>
      <c r="E72" s="83"/>
      <c r="F72" s="83"/>
      <c r="G72" s="83"/>
      <c r="H72" s="83"/>
      <c r="I72" s="83"/>
      <c r="K72" s="83"/>
      <c r="L72" s="83"/>
      <c r="M72" s="83"/>
      <c r="N72" s="83"/>
      <c r="O72" s="83"/>
      <c r="P72" s="83"/>
      <c r="Q72" s="83" t="s">
        <v>178</v>
      </c>
      <c r="R72" s="83">
        <v>113100</v>
      </c>
      <c r="S72" s="83"/>
      <c r="T72" s="83"/>
      <c r="U72" s="83"/>
      <c r="V72" s="83"/>
      <c r="W72" s="83"/>
      <c r="X72" s="83"/>
      <c r="Y72" s="83"/>
      <c r="Z72" s="83"/>
    </row>
    <row r="73" spans="2:26" ht="15" thickBot="1" x14ac:dyDescent="0.4">
      <c r="B73" s="83"/>
      <c r="C73" s="83"/>
      <c r="D73" s="83"/>
      <c r="E73" s="83"/>
      <c r="F73" s="83"/>
      <c r="G73" s="83"/>
      <c r="H73" s="83"/>
      <c r="I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2:26" x14ac:dyDescent="0.35">
      <c r="B74" s="203"/>
      <c r="C74" s="1197" t="str">
        <f>C52</f>
        <v>2019 Energy Code</v>
      </c>
      <c r="D74" s="1198"/>
      <c r="E74" s="1199"/>
      <c r="F74" s="1200"/>
      <c r="G74" s="1200"/>
      <c r="H74" s="1200"/>
      <c r="I74" s="1201"/>
      <c r="J74" s="263"/>
      <c r="K74" s="1202" t="str">
        <f>K52</f>
        <v>2022 Energy Code</v>
      </c>
      <c r="L74" s="1203"/>
      <c r="M74" s="1204"/>
      <c r="N74" s="1205"/>
      <c r="O74" s="1197" t="s">
        <v>163</v>
      </c>
      <c r="P74" s="1199"/>
      <c r="Q74" s="1200"/>
      <c r="R74" s="1201"/>
      <c r="S74" s="1206" t="s">
        <v>164</v>
      </c>
      <c r="T74" s="1207"/>
      <c r="U74" s="1197" t="s">
        <v>165</v>
      </c>
      <c r="V74" s="1199"/>
      <c r="W74" s="1199"/>
      <c r="X74" s="1199"/>
      <c r="Y74" s="267"/>
      <c r="Z74" s="83"/>
    </row>
    <row r="75" spans="2:26" ht="43.5" x14ac:dyDescent="0.35">
      <c r="B75" s="204" t="s">
        <v>5</v>
      </c>
      <c r="C75" s="205" t="s">
        <v>6</v>
      </c>
      <c r="D75" s="293" t="s">
        <v>166</v>
      </c>
      <c r="E75" s="206" t="s">
        <v>7</v>
      </c>
      <c r="F75" s="207" t="s">
        <v>167</v>
      </c>
      <c r="G75" s="207" t="s">
        <v>8</v>
      </c>
      <c r="H75" s="207" t="s">
        <v>168</v>
      </c>
      <c r="I75" s="208" t="s">
        <v>9</v>
      </c>
      <c r="J75" s="208" t="s">
        <v>169</v>
      </c>
      <c r="K75" s="258" t="s">
        <v>6</v>
      </c>
      <c r="L75" s="259" t="s">
        <v>7</v>
      </c>
      <c r="M75" s="209" t="s">
        <v>8</v>
      </c>
      <c r="N75" s="260" t="s">
        <v>9</v>
      </c>
      <c r="O75" s="205" t="s">
        <v>6</v>
      </c>
      <c r="P75" s="206" t="s">
        <v>7</v>
      </c>
      <c r="Q75" s="206" t="s">
        <v>170</v>
      </c>
      <c r="R75" s="208" t="s">
        <v>9</v>
      </c>
      <c r="S75" s="258" t="s">
        <v>171</v>
      </c>
      <c r="T75" s="209" t="s">
        <v>11</v>
      </c>
      <c r="U75" s="205" t="s">
        <v>6</v>
      </c>
      <c r="V75" s="206" t="s">
        <v>7</v>
      </c>
      <c r="W75" s="206" t="s">
        <v>170</v>
      </c>
      <c r="X75" s="206" t="s">
        <v>9</v>
      </c>
      <c r="Y75" s="208" t="s">
        <v>172</v>
      </c>
      <c r="Z75" s="83"/>
    </row>
    <row r="76" spans="2:26" x14ac:dyDescent="0.35">
      <c r="B76" s="211">
        <v>1</v>
      </c>
      <c r="C76" s="268">
        <v>20250.702603700058</v>
      </c>
      <c r="D76" s="303">
        <v>24841.343200035091</v>
      </c>
      <c r="E76" s="269">
        <v>526442.13339999935</v>
      </c>
      <c r="F76" s="294">
        <v>645781.52998793288</v>
      </c>
      <c r="G76" s="270">
        <v>20231593.569881234</v>
      </c>
      <c r="H76" s="294">
        <v>24817902.33101419</v>
      </c>
      <c r="I76" s="271">
        <v>203.83385978492473</v>
      </c>
      <c r="J76" s="296">
        <v>250.04104626868499</v>
      </c>
      <c r="K76" s="272">
        <f>C76-O76</f>
        <v>20250.702603700058</v>
      </c>
      <c r="L76" s="148">
        <f t="shared" ref="L76:L91" si="46">E76-P76</f>
        <v>300242.13339999935</v>
      </c>
      <c r="M76" s="273">
        <f t="shared" ref="M76:M91" si="47">G76-Q76</f>
        <v>15390913.569881234</v>
      </c>
      <c r="N76" s="91">
        <f t="shared" ref="N76:N91" si="48">I76-R76</f>
        <v>185.83495978492473</v>
      </c>
      <c r="O76" s="212">
        <v>0</v>
      </c>
      <c r="P76" s="213">
        <v>226200</v>
      </c>
      <c r="Q76" s="274">
        <v>4840680</v>
      </c>
      <c r="R76" s="275">
        <v>17.998899999999999</v>
      </c>
      <c r="S76" s="154">
        <v>138738.68827695033</v>
      </c>
      <c r="T76" s="215"/>
      <c r="U76" s="212">
        <v>0</v>
      </c>
      <c r="V76" s="276">
        <f>$S76*P76/$R$72</f>
        <v>277477.37655390066</v>
      </c>
      <c r="W76" s="276">
        <f t="shared" ref="W76:X91" si="49">$S76*Q76/$R$72</f>
        <v>5938015.8582534734</v>
      </c>
      <c r="X76" s="276">
        <f t="shared" si="49"/>
        <v>22.079078483006199</v>
      </c>
      <c r="Y76" s="217">
        <v>5.9274843094606542</v>
      </c>
      <c r="Z76" s="83"/>
    </row>
    <row r="77" spans="2:26" x14ac:dyDescent="0.35">
      <c r="B77" s="211">
        <v>2</v>
      </c>
      <c r="C77" s="268">
        <v>16009.315154000011</v>
      </c>
      <c r="D77" s="303">
        <v>116571.01606856214</v>
      </c>
      <c r="E77" s="269">
        <v>602120.81740000076</v>
      </c>
      <c r="F77" s="294">
        <v>4384312.183573571</v>
      </c>
      <c r="G77" s="270">
        <v>22966219.458024099</v>
      </c>
      <c r="H77" s="294">
        <v>167227361.80295259</v>
      </c>
      <c r="I77" s="271">
        <v>188.48010732931311</v>
      </c>
      <c r="J77" s="296">
        <v>1372.4083390662734</v>
      </c>
      <c r="K77" s="272">
        <f t="shared" ref="K77:K91" si="50">C77-O77</f>
        <v>16009.315154000011</v>
      </c>
      <c r="L77" s="148">
        <f t="shared" si="46"/>
        <v>274130.81740000076</v>
      </c>
      <c r="M77" s="273">
        <f t="shared" si="47"/>
        <v>15411139.458024099</v>
      </c>
      <c r="N77" s="91">
        <f t="shared" si="48"/>
        <v>164.97960732931313</v>
      </c>
      <c r="O77" s="212">
        <v>0</v>
      </c>
      <c r="P77" s="213">
        <v>327990</v>
      </c>
      <c r="Q77" s="274">
        <v>7555080</v>
      </c>
      <c r="R77" s="275">
        <v>23.500499999999999</v>
      </c>
      <c r="S77" s="154">
        <v>823531.91192318057</v>
      </c>
      <c r="T77" s="215"/>
      <c r="U77" s="212">
        <v>0</v>
      </c>
      <c r="V77" s="276">
        <f t="shared" ref="V77:V91" si="51">$S77*P77/$R$72</f>
        <v>2388242.5445772237</v>
      </c>
      <c r="W77" s="276">
        <f t="shared" si="49"/>
        <v>55011931.716468461</v>
      </c>
      <c r="X77" s="276">
        <f t="shared" si="49"/>
        <v>171.11769846287095</v>
      </c>
      <c r="Y77" s="217">
        <v>6.5639671450044208</v>
      </c>
      <c r="Z77" s="83"/>
    </row>
    <row r="78" spans="2:26" x14ac:dyDescent="0.35">
      <c r="B78" s="211">
        <v>3</v>
      </c>
      <c r="C78" s="268">
        <v>15307.214109700044</v>
      </c>
      <c r="D78" s="303">
        <v>540642.02377373911</v>
      </c>
      <c r="E78" s="269">
        <v>563619.94639999873</v>
      </c>
      <c r="F78" s="294">
        <v>19906733.274727341</v>
      </c>
      <c r="G78" s="270">
        <v>20938277.410133496</v>
      </c>
      <c r="H78" s="294">
        <v>739527950.16939652</v>
      </c>
      <c r="I78" s="271">
        <v>179.96524989919891</v>
      </c>
      <c r="J78" s="296">
        <v>6356.2694176201203</v>
      </c>
      <c r="K78" s="272">
        <f t="shared" si="50"/>
        <v>15307.214109700044</v>
      </c>
      <c r="L78" s="148">
        <f t="shared" si="46"/>
        <v>280869.94639999873</v>
      </c>
      <c r="M78" s="273">
        <f t="shared" si="47"/>
        <v>14683847.410133496</v>
      </c>
      <c r="N78" s="91">
        <f t="shared" si="48"/>
        <v>159.40784989919891</v>
      </c>
      <c r="O78" s="212">
        <v>0</v>
      </c>
      <c r="P78" s="213">
        <v>282750</v>
      </c>
      <c r="Q78" s="274">
        <v>6254430</v>
      </c>
      <c r="R78" s="275">
        <v>20.557399999999998</v>
      </c>
      <c r="S78" s="154">
        <v>3994627.137936343</v>
      </c>
      <c r="T78" s="215"/>
      <c r="U78" s="212">
        <v>0</v>
      </c>
      <c r="V78" s="276">
        <f t="shared" si="51"/>
        <v>9986567.8448408581</v>
      </c>
      <c r="W78" s="276">
        <f t="shared" si="49"/>
        <v>220902880.72787979</v>
      </c>
      <c r="X78" s="276">
        <f t="shared" si="49"/>
        <v>726.07557847402802</v>
      </c>
      <c r="Y78" s="217">
        <v>5.9274843094606542</v>
      </c>
      <c r="Z78" s="83"/>
    </row>
    <row r="79" spans="2:26" x14ac:dyDescent="0.35">
      <c r="B79" s="211">
        <v>4</v>
      </c>
      <c r="C79" s="268">
        <v>13849.643658800016</v>
      </c>
      <c r="D79" s="303">
        <v>254838.38121022505</v>
      </c>
      <c r="E79" s="269">
        <v>618739.91220000258</v>
      </c>
      <c r="F79" s="294">
        <v>11385034.987164956</v>
      </c>
      <c r="G79" s="270">
        <v>22848707.690313507</v>
      </c>
      <c r="H79" s="294">
        <v>420424367.87500829</v>
      </c>
      <c r="I79" s="271">
        <v>179.01883650896269</v>
      </c>
      <c r="J79" s="296">
        <v>3294.0104183182102</v>
      </c>
      <c r="K79" s="272">
        <f t="shared" si="50"/>
        <v>13849.643658800016</v>
      </c>
      <c r="L79" s="148">
        <f t="shared" si="46"/>
        <v>279439.91220000258</v>
      </c>
      <c r="M79" s="273">
        <f t="shared" si="47"/>
        <v>14773367.690313507</v>
      </c>
      <c r="N79" s="91">
        <f t="shared" si="48"/>
        <v>154.39643650896269</v>
      </c>
      <c r="O79" s="212">
        <v>0</v>
      </c>
      <c r="P79" s="213">
        <v>339300</v>
      </c>
      <c r="Q79" s="274">
        <v>8075340.0000000009</v>
      </c>
      <c r="R79" s="275">
        <v>24.622400000000003</v>
      </c>
      <c r="S79" s="154">
        <v>2081080.3241542545</v>
      </c>
      <c r="T79" s="215"/>
      <c r="U79" s="212">
        <v>0</v>
      </c>
      <c r="V79" s="276">
        <f t="shared" si="51"/>
        <v>6243240.972462764</v>
      </c>
      <c r="W79" s="276">
        <f t="shared" si="49"/>
        <v>148589135.1446138</v>
      </c>
      <c r="X79" s="276">
        <f t="shared" si="49"/>
        <v>453.06093875734501</v>
      </c>
      <c r="Y79" s="217">
        <v>6.5639671450044208</v>
      </c>
      <c r="Z79" s="83"/>
    </row>
    <row r="80" spans="2:26" x14ac:dyDescent="0.35">
      <c r="B80" s="211">
        <v>5</v>
      </c>
      <c r="C80" s="268">
        <v>14868.857790700022</v>
      </c>
      <c r="D80" s="303">
        <v>48592.742878972145</v>
      </c>
      <c r="E80" s="269">
        <v>574014.35559999757</v>
      </c>
      <c r="F80" s="294">
        <v>1875929.703756779</v>
      </c>
      <c r="G80" s="270">
        <v>20265849.272677187</v>
      </c>
      <c r="H80" s="294">
        <v>66230588.576020285</v>
      </c>
      <c r="I80" s="271">
        <v>177.81474532621962</v>
      </c>
      <c r="J80" s="296">
        <v>581.11432104295557</v>
      </c>
      <c r="K80" s="272">
        <f t="shared" si="50"/>
        <v>14868.857790700022</v>
      </c>
      <c r="L80" s="148">
        <f t="shared" si="46"/>
        <v>268644.35559999757</v>
      </c>
      <c r="M80" s="273">
        <f t="shared" si="47"/>
        <v>13785219.272677187</v>
      </c>
      <c r="N80" s="91">
        <f t="shared" si="48"/>
        <v>155.01624532621963</v>
      </c>
      <c r="O80" s="212">
        <v>0</v>
      </c>
      <c r="P80" s="213">
        <v>305370</v>
      </c>
      <c r="Q80" s="274">
        <v>6480630</v>
      </c>
      <c r="R80" s="275">
        <v>22.798500000000001</v>
      </c>
      <c r="S80" s="154">
        <v>369620.80725859216</v>
      </c>
      <c r="T80" s="215"/>
      <c r="U80" s="212">
        <v>0</v>
      </c>
      <c r="V80" s="276">
        <f t="shared" si="51"/>
        <v>997976.17959819885</v>
      </c>
      <c r="W80" s="276">
        <f t="shared" si="49"/>
        <v>21179272.255917329</v>
      </c>
      <c r="X80" s="276">
        <f t="shared" si="49"/>
        <v>74.507515245667676</v>
      </c>
      <c r="Y80" s="217">
        <v>5.9274843094606542</v>
      </c>
      <c r="Z80" s="83"/>
    </row>
    <row r="81" spans="2:26" x14ac:dyDescent="0.35">
      <c r="B81" s="211">
        <v>6</v>
      </c>
      <c r="C81" s="268">
        <v>11954.889096399969</v>
      </c>
      <c r="D81" s="303">
        <v>186493.86847282562</v>
      </c>
      <c r="E81" s="269">
        <v>632494.2140999994</v>
      </c>
      <c r="F81" s="294">
        <v>9866782.6880727168</v>
      </c>
      <c r="G81" s="270">
        <v>21728704.500681039</v>
      </c>
      <c r="H81" s="294">
        <v>338963425.47043639</v>
      </c>
      <c r="I81" s="271">
        <v>169.1068287349905</v>
      </c>
      <c r="J81" s="296">
        <v>2638.0325590353632</v>
      </c>
      <c r="K81" s="272">
        <f t="shared" si="50"/>
        <v>11954.889096399969</v>
      </c>
      <c r="L81" s="148">
        <f t="shared" si="46"/>
        <v>270574.2140999994</v>
      </c>
      <c r="M81" s="273">
        <f t="shared" si="47"/>
        <v>13596814.500681039</v>
      </c>
      <c r="N81" s="91">
        <f t="shared" si="48"/>
        <v>140.96792873499049</v>
      </c>
      <c r="O81" s="212">
        <v>0</v>
      </c>
      <c r="P81" s="213">
        <v>361920</v>
      </c>
      <c r="Q81" s="274">
        <v>8131890.0000000009</v>
      </c>
      <c r="R81" s="275">
        <v>28.1389</v>
      </c>
      <c r="S81" s="154">
        <v>1764337.2811068776</v>
      </c>
      <c r="T81" s="215"/>
      <c r="U81" s="212">
        <v>0</v>
      </c>
      <c r="V81" s="276">
        <f t="shared" si="51"/>
        <v>5645879.2995420089</v>
      </c>
      <c r="W81" s="276">
        <f t="shared" si="49"/>
        <v>126855850.51158452</v>
      </c>
      <c r="X81" s="276">
        <f t="shared" si="49"/>
        <v>438.96118761572336</v>
      </c>
      <c r="Y81" s="217">
        <v>6.5639671450044208</v>
      </c>
      <c r="Z81" s="83"/>
    </row>
    <row r="82" spans="2:26" x14ac:dyDescent="0.35">
      <c r="B82" s="211">
        <v>7</v>
      </c>
      <c r="C82" s="268">
        <v>11656.361343699979</v>
      </c>
      <c r="D82" s="303">
        <v>195488.1520435203</v>
      </c>
      <c r="E82" s="269">
        <v>621964.69709999987</v>
      </c>
      <c r="F82" s="294">
        <v>10430933.435166879</v>
      </c>
      <c r="G82" s="270">
        <v>21097008.933309905</v>
      </c>
      <c r="H82" s="294">
        <v>353816698.74599808</v>
      </c>
      <c r="I82" s="271">
        <v>167.26564559011726</v>
      </c>
      <c r="J82" s="296">
        <v>2805.2023262346156</v>
      </c>
      <c r="K82" s="272">
        <f t="shared" si="50"/>
        <v>11656.361343699979</v>
      </c>
      <c r="L82" s="148">
        <f t="shared" si="46"/>
        <v>282664.69709999987</v>
      </c>
      <c r="M82" s="273">
        <f t="shared" si="47"/>
        <v>13666338.933309905</v>
      </c>
      <c r="N82" s="91">
        <f t="shared" si="48"/>
        <v>139.37144559011725</v>
      </c>
      <c r="O82" s="212">
        <v>0</v>
      </c>
      <c r="P82" s="213">
        <v>339300</v>
      </c>
      <c r="Q82" s="274">
        <v>7430670</v>
      </c>
      <c r="R82" s="275">
        <v>27.894200000000001</v>
      </c>
      <c r="S82" s="154">
        <v>1896793.4627448716</v>
      </c>
      <c r="T82" s="215"/>
      <c r="U82" s="212">
        <v>0</v>
      </c>
      <c r="V82" s="276">
        <f t="shared" si="51"/>
        <v>5690380.3882346153</v>
      </c>
      <c r="W82" s="276">
        <f t="shared" si="49"/>
        <v>124619330.50233807</v>
      </c>
      <c r="X82" s="276">
        <f t="shared" si="49"/>
        <v>467.81199123340406</v>
      </c>
      <c r="Y82" s="217">
        <v>6.5639671450044208</v>
      </c>
      <c r="Z82" s="83"/>
    </row>
    <row r="83" spans="2:26" x14ac:dyDescent="0.35">
      <c r="B83" s="211">
        <v>8</v>
      </c>
      <c r="C83" s="268">
        <v>11506.157934099967</v>
      </c>
      <c r="D83" s="303">
        <v>252356.49829319661</v>
      </c>
      <c r="E83" s="269">
        <v>663846.75309999939</v>
      </c>
      <c r="F83" s="294">
        <v>14559685.60271012</v>
      </c>
      <c r="G83" s="270">
        <v>23033142.77006568</v>
      </c>
      <c r="H83" s="294">
        <v>505169778.42923236</v>
      </c>
      <c r="I83" s="271">
        <v>171.19489105771765</v>
      </c>
      <c r="J83" s="296">
        <v>3754.6975698096271</v>
      </c>
      <c r="K83" s="272">
        <f t="shared" si="50"/>
        <v>11506.157934099967</v>
      </c>
      <c r="L83" s="148">
        <f t="shared" si="46"/>
        <v>313236.75309999939</v>
      </c>
      <c r="M83" s="273">
        <f t="shared" si="47"/>
        <v>14437542.77006568</v>
      </c>
      <c r="N83" s="91">
        <f t="shared" si="48"/>
        <v>143.68979105771766</v>
      </c>
      <c r="O83" s="212">
        <v>0</v>
      </c>
      <c r="P83" s="213">
        <v>350610</v>
      </c>
      <c r="Q83" s="274">
        <v>8595600</v>
      </c>
      <c r="R83" s="275">
        <v>27.505100000000002</v>
      </c>
      <c r="S83" s="154">
        <v>2480543.037947889</v>
      </c>
      <c r="T83" s="215"/>
      <c r="U83" s="212">
        <v>0</v>
      </c>
      <c r="V83" s="276">
        <f t="shared" si="51"/>
        <v>7689683.4176384555</v>
      </c>
      <c r="W83" s="276">
        <f t="shared" si="49"/>
        <v>188521270.88403958</v>
      </c>
      <c r="X83" s="276">
        <f t="shared" si="49"/>
        <v>603.25008234359404</v>
      </c>
      <c r="Y83" s="217">
        <v>6.5639671450044208</v>
      </c>
      <c r="Z83" s="83"/>
    </row>
    <row r="84" spans="2:26" x14ac:dyDescent="0.35">
      <c r="B84" s="211">
        <v>9</v>
      </c>
      <c r="C84" s="268">
        <v>12073.764768000015</v>
      </c>
      <c r="D84" s="303">
        <v>621717.07584764517</v>
      </c>
      <c r="E84" s="269">
        <v>660184.36700000253</v>
      </c>
      <c r="F84" s="294">
        <v>33995021.607461691</v>
      </c>
      <c r="G84" s="270">
        <v>23437263.300099961</v>
      </c>
      <c r="H84" s="294">
        <v>1206860253.1854014</v>
      </c>
      <c r="I84" s="271">
        <v>174.47992856045306</v>
      </c>
      <c r="J84" s="296">
        <v>8984.5340755864199</v>
      </c>
      <c r="K84" s="272">
        <f t="shared" si="50"/>
        <v>12073.764768000015</v>
      </c>
      <c r="L84" s="148">
        <f t="shared" si="46"/>
        <v>298264.36700000253</v>
      </c>
      <c r="M84" s="273">
        <f t="shared" si="47"/>
        <v>14864283.300099961</v>
      </c>
      <c r="N84" s="91">
        <f t="shared" si="48"/>
        <v>146.40242856045307</v>
      </c>
      <c r="O84" s="212">
        <v>0</v>
      </c>
      <c r="P84" s="213">
        <v>361920</v>
      </c>
      <c r="Q84" s="274">
        <v>8572980</v>
      </c>
      <c r="R84" s="275">
        <v>28.077500000000001</v>
      </c>
      <c r="S84" s="154">
        <v>5823883.6543124355</v>
      </c>
      <c r="T84" s="215"/>
      <c r="U84" s="212">
        <v>0</v>
      </c>
      <c r="V84" s="276">
        <f t="shared" si="51"/>
        <v>18636427.693799794</v>
      </c>
      <c r="W84" s="276">
        <f t="shared" si="49"/>
        <v>441450380.99688262</v>
      </c>
      <c r="X84" s="276">
        <f t="shared" si="49"/>
        <v>1445.8010018033369</v>
      </c>
      <c r="Y84" s="217">
        <v>6.5639671450044208</v>
      </c>
      <c r="Z84" s="83"/>
    </row>
    <row r="85" spans="2:26" x14ac:dyDescent="0.35">
      <c r="B85" s="211">
        <v>10</v>
      </c>
      <c r="C85" s="268">
        <v>12597.265171099973</v>
      </c>
      <c r="D85" s="303">
        <v>229170.08556999874</v>
      </c>
      <c r="E85" s="269">
        <v>679303.58439999586</v>
      </c>
      <c r="F85" s="294">
        <v>12357925.188563807</v>
      </c>
      <c r="G85" s="270">
        <v>23836687.207720403</v>
      </c>
      <c r="H85" s="294">
        <v>433638220.11389709</v>
      </c>
      <c r="I85" s="271">
        <v>179.50594089661394</v>
      </c>
      <c r="J85" s="296">
        <v>3265.5811620109052</v>
      </c>
      <c r="K85" s="272">
        <f t="shared" si="50"/>
        <v>12597.265171099973</v>
      </c>
      <c r="L85" s="148">
        <f t="shared" si="46"/>
        <v>317383.58439999586</v>
      </c>
      <c r="M85" s="273">
        <f t="shared" si="47"/>
        <v>15478597.207720403</v>
      </c>
      <c r="N85" s="91">
        <f t="shared" si="48"/>
        <v>151.25834089661393</v>
      </c>
      <c r="O85" s="212">
        <v>0</v>
      </c>
      <c r="P85" s="213">
        <v>361920</v>
      </c>
      <c r="Q85" s="274">
        <v>8358090.0000000009</v>
      </c>
      <c r="R85" s="275">
        <v>28.247599999999998</v>
      </c>
      <c r="S85" s="154">
        <v>2057520.924258169</v>
      </c>
      <c r="T85" s="215"/>
      <c r="U85" s="212">
        <v>0</v>
      </c>
      <c r="V85" s="276">
        <f t="shared" si="51"/>
        <v>6584066.9576261407</v>
      </c>
      <c r="W85" s="276">
        <f t="shared" si="49"/>
        <v>152050796.3026787</v>
      </c>
      <c r="X85" s="276">
        <f t="shared" si="49"/>
        <v>513.88176887776353</v>
      </c>
      <c r="Y85" s="217">
        <v>6.5639671450044208</v>
      </c>
      <c r="Z85" s="83"/>
    </row>
    <row r="86" spans="2:26" x14ac:dyDescent="0.35">
      <c r="B86" s="211">
        <v>11</v>
      </c>
      <c r="C86" s="268">
        <v>16089.683578599996</v>
      </c>
      <c r="D86" s="303">
        <v>83565.971306523235</v>
      </c>
      <c r="E86" s="269">
        <v>680729.10189999756</v>
      </c>
      <c r="F86" s="294">
        <v>3535544.270898602</v>
      </c>
      <c r="G86" s="270">
        <v>25701528.504790306</v>
      </c>
      <c r="H86" s="294">
        <v>133487596.76179904</v>
      </c>
      <c r="I86" s="271">
        <v>201.35684694861101</v>
      </c>
      <c r="J86" s="296">
        <v>1045.7993416887159</v>
      </c>
      <c r="K86" s="272">
        <f t="shared" si="50"/>
        <v>16089.683578599996</v>
      </c>
      <c r="L86" s="148">
        <f t="shared" si="46"/>
        <v>352739.10189999756</v>
      </c>
      <c r="M86" s="273">
        <f t="shared" si="47"/>
        <v>18157758.504790306</v>
      </c>
      <c r="N86" s="91">
        <f t="shared" si="48"/>
        <v>178.023546948611</v>
      </c>
      <c r="O86" s="212">
        <v>0</v>
      </c>
      <c r="P86" s="213">
        <v>327990</v>
      </c>
      <c r="Q86" s="274">
        <v>7543770</v>
      </c>
      <c r="R86" s="275">
        <v>23.333300000000001</v>
      </c>
      <c r="S86" s="154">
        <v>587414.37074240844</v>
      </c>
      <c r="T86" s="215"/>
      <c r="U86" s="212">
        <v>0</v>
      </c>
      <c r="V86" s="276">
        <f t="shared" si="51"/>
        <v>1703501.6751529844</v>
      </c>
      <c r="W86" s="276">
        <f t="shared" si="49"/>
        <v>39180538.528518647</v>
      </c>
      <c r="X86" s="276">
        <f t="shared" si="49"/>
        <v>121.18758388014005</v>
      </c>
      <c r="Y86" s="217">
        <v>6.5639671450044208</v>
      </c>
      <c r="Z86" s="83"/>
    </row>
    <row r="87" spans="2:26" x14ac:dyDescent="0.35">
      <c r="B87" s="211">
        <v>12</v>
      </c>
      <c r="C87" s="268">
        <v>15563.24739520002</v>
      </c>
      <c r="D87" s="303">
        <v>456389.81668695569</v>
      </c>
      <c r="E87" s="269">
        <v>644657.81260000379</v>
      </c>
      <c r="F87" s="294">
        <v>18904490.396334041</v>
      </c>
      <c r="G87" s="270">
        <v>24208885.044884056</v>
      </c>
      <c r="H87" s="294">
        <v>709921800.20461714</v>
      </c>
      <c r="I87" s="271">
        <v>192.38811802796937</v>
      </c>
      <c r="J87" s="296">
        <v>5641.7517302085444</v>
      </c>
      <c r="K87" s="272">
        <f t="shared" si="50"/>
        <v>15563.24739520002</v>
      </c>
      <c r="L87" s="148">
        <f t="shared" si="46"/>
        <v>305357.81260000379</v>
      </c>
      <c r="M87" s="273">
        <f t="shared" si="47"/>
        <v>16585945.044884056</v>
      </c>
      <c r="N87" s="91">
        <f t="shared" si="48"/>
        <v>169.34181802796937</v>
      </c>
      <c r="O87" s="212">
        <v>0</v>
      </c>
      <c r="P87" s="213">
        <v>339300</v>
      </c>
      <c r="Q87" s="274">
        <v>7622940.0000000009</v>
      </c>
      <c r="R87" s="275">
        <v>23.046299999999999</v>
      </c>
      <c r="S87" s="154">
        <v>3316639.9631489823</v>
      </c>
      <c r="T87" s="215"/>
      <c r="U87" s="212">
        <v>0</v>
      </c>
      <c r="V87" s="276">
        <f t="shared" si="51"/>
        <v>9949919.8894469477</v>
      </c>
      <c r="W87" s="276">
        <f t="shared" si="49"/>
        <v>223541533.51624143</v>
      </c>
      <c r="X87" s="276">
        <f t="shared" si="49"/>
        <v>675.829174029358</v>
      </c>
      <c r="Y87" s="217">
        <v>6.5639671450044208</v>
      </c>
      <c r="Z87" s="83"/>
    </row>
    <row r="88" spans="2:26" x14ac:dyDescent="0.35">
      <c r="B88" s="211">
        <v>13</v>
      </c>
      <c r="C88" s="268">
        <v>14423.354505500036</v>
      </c>
      <c r="D88" s="303">
        <v>123450.34113445801</v>
      </c>
      <c r="E88" s="269">
        <v>699479.55750000093</v>
      </c>
      <c r="F88" s="294">
        <v>5986886.7507227091</v>
      </c>
      <c r="G88" s="270">
        <v>25776555.299918041</v>
      </c>
      <c r="H88" s="294">
        <v>220623055.74148297</v>
      </c>
      <c r="I88" s="271">
        <v>194.51243382969</v>
      </c>
      <c r="J88" s="296">
        <v>1664.8433831403245</v>
      </c>
      <c r="K88" s="272">
        <f t="shared" si="50"/>
        <v>14423.354505500036</v>
      </c>
      <c r="L88" s="148">
        <f t="shared" si="46"/>
        <v>360179.55750000093</v>
      </c>
      <c r="M88" s="273">
        <f t="shared" si="47"/>
        <v>17938725.299918041</v>
      </c>
      <c r="N88" s="91">
        <f t="shared" si="48"/>
        <v>171.06003382968998</v>
      </c>
      <c r="O88" s="212">
        <v>0</v>
      </c>
      <c r="P88" s="213">
        <v>339300</v>
      </c>
      <c r="Q88" s="274">
        <v>7837830</v>
      </c>
      <c r="R88" s="275">
        <v>23.452400000000001</v>
      </c>
      <c r="S88" s="154">
        <v>968029.56461917399</v>
      </c>
      <c r="T88" s="215"/>
      <c r="U88" s="212">
        <v>0</v>
      </c>
      <c r="V88" s="276">
        <f t="shared" si="51"/>
        <v>2904088.6938575222</v>
      </c>
      <c r="W88" s="276">
        <f t="shared" si="49"/>
        <v>67084448.828108758</v>
      </c>
      <c r="X88" s="276">
        <f t="shared" si="49"/>
        <v>200.73047357448911</v>
      </c>
      <c r="Y88" s="217">
        <v>6.5639671450044208</v>
      </c>
      <c r="Z88" s="83"/>
    </row>
    <row r="89" spans="2:26" x14ac:dyDescent="0.35">
      <c r="B89" s="211">
        <v>14</v>
      </c>
      <c r="C89" s="268">
        <v>15322.117417499938</v>
      </c>
      <c r="D89" s="303">
        <v>59578.172483481248</v>
      </c>
      <c r="E89" s="269">
        <v>682059.50669999723</v>
      </c>
      <c r="F89" s="294">
        <v>2652104.6554413494</v>
      </c>
      <c r="G89" s="270">
        <v>25451343.847786371</v>
      </c>
      <c r="H89" s="294">
        <v>98964425.893769369</v>
      </c>
      <c r="I89" s="271">
        <v>195.69471763774777</v>
      </c>
      <c r="J89" s="296">
        <v>760.93488411801263</v>
      </c>
      <c r="K89" s="272">
        <f t="shared" si="50"/>
        <v>15322.117417499938</v>
      </c>
      <c r="L89" s="148">
        <f t="shared" si="46"/>
        <v>286209.50669999723</v>
      </c>
      <c r="M89" s="273">
        <f t="shared" si="47"/>
        <v>16629543.847786371</v>
      </c>
      <c r="N89" s="91">
        <f t="shared" si="48"/>
        <v>165.70721763774776</v>
      </c>
      <c r="O89" s="212">
        <v>0</v>
      </c>
      <c r="P89" s="213">
        <v>395850</v>
      </c>
      <c r="Q89" s="274">
        <v>8821800</v>
      </c>
      <c r="R89" s="275">
        <v>29.987500000000001</v>
      </c>
      <c r="S89" s="154">
        <v>439775.46472693689</v>
      </c>
      <c r="T89" s="215"/>
      <c r="U89" s="212">
        <v>0</v>
      </c>
      <c r="V89" s="276">
        <f t="shared" si="51"/>
        <v>1539214.126544279</v>
      </c>
      <c r="W89" s="276">
        <f t="shared" si="49"/>
        <v>34302486.248701073</v>
      </c>
      <c r="X89" s="276">
        <f t="shared" si="49"/>
        <v>116.60271218832025</v>
      </c>
      <c r="Y89" s="217">
        <v>6.5639671450044208</v>
      </c>
      <c r="Z89" s="83"/>
    </row>
    <row r="90" spans="2:26" x14ac:dyDescent="0.35">
      <c r="B90" s="211">
        <v>15</v>
      </c>
      <c r="C90" s="268">
        <v>9708.4206921999976</v>
      </c>
      <c r="D90" s="303">
        <v>24582.441752528783</v>
      </c>
      <c r="E90" s="269">
        <v>814005.47110000439</v>
      </c>
      <c r="F90" s="294">
        <v>2061122.2683862853</v>
      </c>
      <c r="G90" s="270">
        <v>27423237.105968222</v>
      </c>
      <c r="H90" s="294">
        <v>69437671.707496539</v>
      </c>
      <c r="I90" s="271">
        <v>182.10151545583219</v>
      </c>
      <c r="J90" s="296">
        <v>461.09455272542453</v>
      </c>
      <c r="K90" s="272">
        <f t="shared" si="50"/>
        <v>9708.4206921999976</v>
      </c>
      <c r="L90" s="148">
        <f t="shared" si="46"/>
        <v>372915.47110000439</v>
      </c>
      <c r="M90" s="273">
        <f t="shared" si="47"/>
        <v>17266857.105968222</v>
      </c>
      <c r="N90" s="91">
        <f t="shared" si="48"/>
        <v>146.95991545583252</v>
      </c>
      <c r="O90" s="212">
        <v>0</v>
      </c>
      <c r="P90" s="213">
        <v>441090</v>
      </c>
      <c r="Q90" s="274">
        <v>10156380</v>
      </c>
      <c r="R90" s="275">
        <v>35.14159999999967</v>
      </c>
      <c r="S90" s="154">
        <v>286377.59429242194</v>
      </c>
      <c r="T90" s="215"/>
      <c r="U90" s="212">
        <v>0</v>
      </c>
      <c r="V90" s="276">
        <f t="shared" si="51"/>
        <v>1116872.6177404455</v>
      </c>
      <c r="W90" s="276">
        <f t="shared" si="49"/>
        <v>25716707.967459492</v>
      </c>
      <c r="X90" s="276">
        <f t="shared" si="49"/>
        <v>88.981139412789389</v>
      </c>
      <c r="Y90" s="217">
        <v>7.9326204650751544</v>
      </c>
      <c r="Z90" s="83"/>
    </row>
    <row r="91" spans="2:26" x14ac:dyDescent="0.35">
      <c r="B91" s="211">
        <v>16</v>
      </c>
      <c r="C91" s="268">
        <v>23233.794110400078</v>
      </c>
      <c r="D91" s="303">
        <v>36459.351523829777</v>
      </c>
      <c r="E91" s="269">
        <v>596949.85480000044</v>
      </c>
      <c r="F91" s="294">
        <v>936756.36853948107</v>
      </c>
      <c r="G91" s="270">
        <v>23045840.642433885</v>
      </c>
      <c r="H91" s="294">
        <v>36164407.808389217</v>
      </c>
      <c r="I91" s="271">
        <v>231.07546316671636</v>
      </c>
      <c r="J91" s="296">
        <v>362.61238694354682</v>
      </c>
      <c r="K91" s="272">
        <f t="shared" si="50"/>
        <v>23233.794110400078</v>
      </c>
      <c r="L91" s="148">
        <f t="shared" si="46"/>
        <v>302889.85480000044</v>
      </c>
      <c r="M91" s="273">
        <f t="shared" si="47"/>
        <v>16723550.642433885</v>
      </c>
      <c r="N91" s="91">
        <f t="shared" si="48"/>
        <v>209.64926316671637</v>
      </c>
      <c r="O91" s="212">
        <v>0</v>
      </c>
      <c r="P91" s="213">
        <v>294060</v>
      </c>
      <c r="Q91" s="274">
        <v>6322290</v>
      </c>
      <c r="R91" s="275">
        <v>21.426199999999998</v>
      </c>
      <c r="S91" s="154">
        <v>177480.8125505138</v>
      </c>
      <c r="T91" s="215"/>
      <c r="U91" s="212">
        <v>0</v>
      </c>
      <c r="V91" s="276">
        <f t="shared" si="51"/>
        <v>461450.11263133585</v>
      </c>
      <c r="W91" s="276">
        <f t="shared" si="49"/>
        <v>9921177.4215737209</v>
      </c>
      <c r="X91" s="276">
        <f t="shared" si="49"/>
        <v>33.62280624111245</v>
      </c>
      <c r="Y91" s="217">
        <v>5.9274843094606542</v>
      </c>
      <c r="Z91" s="83"/>
    </row>
    <row r="92" spans="2:26" ht="15" thickBot="1" x14ac:dyDescent="0.4">
      <c r="B92" s="218" t="s">
        <v>12</v>
      </c>
      <c r="C92" s="219"/>
      <c r="D92" s="304">
        <v>3254737.2822464965</v>
      </c>
      <c r="E92" s="277"/>
      <c r="F92" s="278">
        <v>153485044.91150826</v>
      </c>
      <c r="G92" s="278"/>
      <c r="H92" s="278">
        <v>5525275504.8169117</v>
      </c>
      <c r="I92" s="99"/>
      <c r="J92" s="297">
        <v>43238.927513817747</v>
      </c>
      <c r="K92" s="279">
        <f>SUM(K76:K91)</f>
        <v>234414.78932960011</v>
      </c>
      <c r="L92" s="277">
        <f t="shared" ref="L92:N92" si="52">SUM(L76:L91)</f>
        <v>4865742.0853000004</v>
      </c>
      <c r="M92" s="278">
        <f t="shared" si="52"/>
        <v>249390444.55868739</v>
      </c>
      <c r="N92" s="99">
        <f t="shared" si="52"/>
        <v>2582.0668287550784</v>
      </c>
      <c r="O92" s="219"/>
      <c r="P92" s="220"/>
      <c r="Q92" s="221"/>
      <c r="R92" s="222"/>
      <c r="S92" s="280">
        <f>SUM(S76:S91)</f>
        <v>27206394.999999996</v>
      </c>
      <c r="T92" s="224"/>
      <c r="U92" s="225">
        <f>SUM(U76:U91)</f>
        <v>0</v>
      </c>
      <c r="V92" s="226">
        <f>SUM(V76:V91)</f>
        <v>81814989.790247485</v>
      </c>
      <c r="W92" s="226">
        <f>SUM(W76:W91)</f>
        <v>1884865757.4112594</v>
      </c>
      <c r="X92" s="227">
        <f>SUM(X76:X91)</f>
        <v>6153.500730622949</v>
      </c>
      <c r="Y92" s="229">
        <f>SUMPRODUCT(Y76:Y91,S76:S91)/SUM(S76:S91)</f>
        <v>6.468876062687472</v>
      </c>
      <c r="Z92" s="83"/>
    </row>
    <row r="93" spans="2:26" x14ac:dyDescent="0.35">
      <c r="B93" s="83"/>
      <c r="C93" s="83"/>
      <c r="D93" s="83"/>
      <c r="E93" s="83"/>
      <c r="F93" s="83"/>
      <c r="G93" s="83"/>
      <c r="H93" s="83"/>
      <c r="I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2:26" x14ac:dyDescent="0.35">
      <c r="B94" s="83"/>
      <c r="C94" s="83"/>
      <c r="D94" s="83"/>
      <c r="E94" s="83"/>
      <c r="F94" s="83"/>
      <c r="G94" s="83"/>
      <c r="H94" s="83"/>
      <c r="I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2:26" x14ac:dyDescent="0.35">
      <c r="B95" s="83"/>
      <c r="C95" s="83"/>
      <c r="D95" s="83"/>
      <c r="E95" s="83"/>
      <c r="F95" s="83"/>
      <c r="G95" s="83"/>
      <c r="H95" s="83"/>
      <c r="I95" s="83"/>
      <c r="K95" s="83"/>
      <c r="L95" s="83"/>
      <c r="M95" s="83"/>
      <c r="N95" s="83"/>
      <c r="O95" s="83"/>
      <c r="P95" s="83"/>
      <c r="Q95" s="83" t="s">
        <v>179</v>
      </c>
      <c r="R95" s="83">
        <v>498589</v>
      </c>
      <c r="S95" s="83"/>
      <c r="T95" s="83"/>
      <c r="U95" s="83"/>
      <c r="V95" s="83"/>
      <c r="W95" s="83" t="s">
        <v>177</v>
      </c>
      <c r="X95" s="83">
        <v>1</v>
      </c>
      <c r="Y95" s="83"/>
      <c r="Z95" s="83"/>
    </row>
    <row r="96" spans="2:26" ht="15" thickBot="1" x14ac:dyDescent="0.4">
      <c r="B96" s="83"/>
      <c r="C96" s="83"/>
      <c r="D96" s="83"/>
      <c r="E96" s="83"/>
      <c r="F96" s="83"/>
      <c r="G96" s="83"/>
      <c r="H96" s="83"/>
      <c r="I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2:26" x14ac:dyDescent="0.35">
      <c r="B97" s="203"/>
      <c r="C97" s="1197" t="str">
        <f>C74</f>
        <v>2019 Energy Code</v>
      </c>
      <c r="D97" s="1198"/>
      <c r="E97" s="1199"/>
      <c r="F97" s="1200"/>
      <c r="G97" s="1200"/>
      <c r="H97" s="1200"/>
      <c r="I97" s="1201"/>
      <c r="J97" s="263"/>
      <c r="K97" s="1202" t="str">
        <f>K74</f>
        <v>2022 Energy Code</v>
      </c>
      <c r="L97" s="1203"/>
      <c r="M97" s="1204"/>
      <c r="N97" s="1205"/>
      <c r="O97" s="1197" t="s">
        <v>163</v>
      </c>
      <c r="P97" s="1199"/>
      <c r="Q97" s="1200"/>
      <c r="R97" s="1201"/>
      <c r="S97" s="1206" t="s">
        <v>164</v>
      </c>
      <c r="T97" s="1207"/>
      <c r="U97" s="1197" t="s">
        <v>165</v>
      </c>
      <c r="V97" s="1199"/>
      <c r="W97" s="1199"/>
      <c r="X97" s="1199"/>
      <c r="Y97" s="267"/>
      <c r="Z97" s="83"/>
    </row>
    <row r="98" spans="2:26" ht="43.5" x14ac:dyDescent="0.35">
      <c r="B98" s="204" t="s">
        <v>5</v>
      </c>
      <c r="C98" s="205" t="s">
        <v>6</v>
      </c>
      <c r="D98" s="293" t="s">
        <v>166</v>
      </c>
      <c r="E98" s="206" t="s">
        <v>7</v>
      </c>
      <c r="F98" s="207" t="s">
        <v>167</v>
      </c>
      <c r="G98" s="207" t="s">
        <v>8</v>
      </c>
      <c r="H98" s="207" t="s">
        <v>168</v>
      </c>
      <c r="I98" s="208" t="s">
        <v>9</v>
      </c>
      <c r="J98" s="208" t="s">
        <v>169</v>
      </c>
      <c r="K98" s="258" t="s">
        <v>6</v>
      </c>
      <c r="L98" s="259" t="s">
        <v>7</v>
      </c>
      <c r="M98" s="209" t="s">
        <v>8</v>
      </c>
      <c r="N98" s="260" t="s">
        <v>9</v>
      </c>
      <c r="O98" s="205" t="s">
        <v>6</v>
      </c>
      <c r="P98" s="206" t="s">
        <v>7</v>
      </c>
      <c r="Q98" s="206" t="s">
        <v>170</v>
      </c>
      <c r="R98" s="208" t="s">
        <v>9</v>
      </c>
      <c r="S98" s="258" t="s">
        <v>171</v>
      </c>
      <c r="T98" s="209" t="s">
        <v>11</v>
      </c>
      <c r="U98" s="205" t="s">
        <v>6</v>
      </c>
      <c r="V98" s="206" t="s">
        <v>7</v>
      </c>
      <c r="W98" s="206" t="s">
        <v>170</v>
      </c>
      <c r="X98" s="206" t="s">
        <v>9</v>
      </c>
      <c r="Y98" s="208" t="s">
        <v>172</v>
      </c>
      <c r="Z98" s="83"/>
    </row>
    <row r="99" spans="2:26" x14ac:dyDescent="0.35">
      <c r="B99" s="211">
        <v>1</v>
      </c>
      <c r="C99" s="268">
        <v>52659.431275267809</v>
      </c>
      <c r="D99" s="303">
        <v>6062.2572498952004</v>
      </c>
      <c r="E99" s="269">
        <v>3225770.0605754592</v>
      </c>
      <c r="F99" s="294">
        <v>371356.99081131036</v>
      </c>
      <c r="G99" s="270">
        <v>92873142.137647033</v>
      </c>
      <c r="H99" s="294">
        <v>10691738.699216228</v>
      </c>
      <c r="I99" s="271">
        <v>676.817020553156</v>
      </c>
      <c r="J99" s="296">
        <v>77.916505938944397</v>
      </c>
      <c r="K99" s="272">
        <f>C99-O99</f>
        <v>52659.431275267809</v>
      </c>
      <c r="L99" s="148">
        <f t="shared" ref="L99:L114" si="53">E99-P99</f>
        <v>1829720.8605754592</v>
      </c>
      <c r="M99" s="273">
        <f t="shared" ref="M99:M114" si="54">G99-Q99</f>
        <v>62608789.837647036</v>
      </c>
      <c r="N99" s="91">
        <f t="shared" ref="N99:N114" si="55">I99-R99</f>
        <v>555.83732055315636</v>
      </c>
      <c r="O99" s="212">
        <v>0</v>
      </c>
      <c r="P99" s="213">
        <v>1396049.2</v>
      </c>
      <c r="Q99" s="213">
        <v>30264352.300000001</v>
      </c>
      <c r="R99" s="275">
        <v>120.97969999999967</v>
      </c>
      <c r="S99" s="154">
        <v>57398.545840117913</v>
      </c>
      <c r="T99" s="215"/>
      <c r="U99" s="212">
        <v>0</v>
      </c>
      <c r="V99" s="276">
        <f>($S99*P99/$R$95)*$X$95</f>
        <v>160715.92835233014</v>
      </c>
      <c r="W99" s="276">
        <f>($S99*Q99/$R$95)*$X$95</f>
        <v>3484091.7324951575</v>
      </c>
      <c r="X99" s="276">
        <f>($S99*R99/$R$95)*$X$95</f>
        <v>13.927420894110568</v>
      </c>
      <c r="Y99" s="217">
        <v>8.7322903654111901</v>
      </c>
      <c r="Z99" s="83"/>
    </row>
    <row r="100" spans="2:26" x14ac:dyDescent="0.35">
      <c r="B100" s="211">
        <v>2</v>
      </c>
      <c r="C100" s="268">
        <v>36922.916264539992</v>
      </c>
      <c r="D100" s="303">
        <v>25238.679567704203</v>
      </c>
      <c r="E100" s="269">
        <v>3498644.3012873102</v>
      </c>
      <c r="F100" s="294">
        <v>2391500.2219466455</v>
      </c>
      <c r="G100" s="270">
        <v>104897361.41867545</v>
      </c>
      <c r="H100" s="294">
        <v>71702648.657960534</v>
      </c>
      <c r="I100" s="271">
        <v>616.6283496512691</v>
      </c>
      <c r="J100" s="296">
        <v>421.49664500246757</v>
      </c>
      <c r="K100" s="272">
        <f t="shared" ref="K100:K114" si="56">C100-O100</f>
        <v>36922.916264539992</v>
      </c>
      <c r="L100" s="148">
        <f t="shared" si="53"/>
        <v>1554147.2012873103</v>
      </c>
      <c r="M100" s="273">
        <f t="shared" si="54"/>
        <v>56434510.618675448</v>
      </c>
      <c r="N100" s="91">
        <f t="shared" si="55"/>
        <v>457.39184965126913</v>
      </c>
      <c r="O100" s="212">
        <v>0</v>
      </c>
      <c r="P100" s="213">
        <v>1944497.0999999999</v>
      </c>
      <c r="Q100" s="213">
        <v>48462850.800000004</v>
      </c>
      <c r="R100" s="275">
        <v>159.23650000000001</v>
      </c>
      <c r="S100" s="154">
        <v>340810.7831143128</v>
      </c>
      <c r="T100" s="215"/>
      <c r="U100" s="212">
        <v>0</v>
      </c>
      <c r="V100" s="276">
        <f t="shared" ref="V100:V114" si="57">($S100*P100/$R$95)*$X$95</f>
        <v>1329162.0541458197</v>
      </c>
      <c r="W100" s="276">
        <f t="shared" ref="W100:W114" si="58">($S100*Q100/$R$95)*$X$95</f>
        <v>33126808.118711207</v>
      </c>
      <c r="X100" s="276">
        <f t="shared" ref="X100:X114" si="59">($S100*R100/$R$95)*$X$95</f>
        <v>108.84619649727988</v>
      </c>
      <c r="Y100" s="217">
        <v>10.31997952221168</v>
      </c>
      <c r="Z100" s="83"/>
    </row>
    <row r="101" spans="2:26" x14ac:dyDescent="0.35">
      <c r="B101" s="211">
        <v>3</v>
      </c>
      <c r="C101" s="268">
        <v>30037.177420968706</v>
      </c>
      <c r="D101" s="303">
        <v>115733.30350853367</v>
      </c>
      <c r="E101" s="269">
        <v>3376733.911931558</v>
      </c>
      <c r="F101" s="294">
        <v>13010562.384743866</v>
      </c>
      <c r="G101" s="270">
        <v>94442104.504379705</v>
      </c>
      <c r="H101" s="294">
        <v>363885613.864631</v>
      </c>
      <c r="I101" s="271">
        <v>566.23484144148779</v>
      </c>
      <c r="J101" s="296">
        <v>2181.7039545102743</v>
      </c>
      <c r="K101" s="272">
        <f t="shared" si="56"/>
        <v>30037.177420968706</v>
      </c>
      <c r="L101" s="148">
        <f t="shared" si="53"/>
        <v>1681531.3119315582</v>
      </c>
      <c r="M101" s="273">
        <f t="shared" si="54"/>
        <v>54804279.004379705</v>
      </c>
      <c r="N101" s="91">
        <f t="shared" si="55"/>
        <v>423.1118414414878</v>
      </c>
      <c r="O101" s="212">
        <v>0</v>
      </c>
      <c r="P101" s="213">
        <v>1695202.5999999999</v>
      </c>
      <c r="Q101" s="213">
        <v>39637825.5</v>
      </c>
      <c r="R101" s="275">
        <v>143.12299999999999</v>
      </c>
      <c r="S101" s="154">
        <v>1921064.3947767895</v>
      </c>
      <c r="T101" s="215"/>
      <c r="U101" s="212">
        <v>0</v>
      </c>
      <c r="V101" s="276">
        <f t="shared" si="57"/>
        <v>6531618.9422410838</v>
      </c>
      <c r="W101" s="276">
        <f t="shared" si="58"/>
        <v>152724619.38475478</v>
      </c>
      <c r="X101" s="276">
        <f t="shared" si="59"/>
        <v>551.4531996767646</v>
      </c>
      <c r="Y101" s="217">
        <v>8.7322903654111901</v>
      </c>
      <c r="Z101" s="83"/>
    </row>
    <row r="102" spans="2:26" x14ac:dyDescent="0.35">
      <c r="B102" s="211">
        <v>4</v>
      </c>
      <c r="C102" s="268">
        <v>24875.739027622712</v>
      </c>
      <c r="D102" s="303">
        <v>50297.72581088388</v>
      </c>
      <c r="E102" s="269">
        <v>3546399.8741728482</v>
      </c>
      <c r="F102" s="294">
        <v>7170675.3431054056</v>
      </c>
      <c r="G102" s="270">
        <v>99744324.787979931</v>
      </c>
      <c r="H102" s="294">
        <v>201678940.82690945</v>
      </c>
      <c r="I102" s="271">
        <v>556.83289242087153</v>
      </c>
      <c r="J102" s="296">
        <v>1125.8933097169966</v>
      </c>
      <c r="K102" s="272">
        <f t="shared" si="56"/>
        <v>24875.739027622712</v>
      </c>
      <c r="L102" s="148">
        <f t="shared" si="53"/>
        <v>1502184.9741728483</v>
      </c>
      <c r="M102" s="273">
        <f t="shared" si="54"/>
        <v>51331332.887979932</v>
      </c>
      <c r="N102" s="91">
        <f t="shared" si="55"/>
        <v>389.12139242087153</v>
      </c>
      <c r="O102" s="212">
        <v>0</v>
      </c>
      <c r="P102" s="213">
        <v>2044214.9</v>
      </c>
      <c r="Q102" s="213">
        <v>48412991.899999999</v>
      </c>
      <c r="R102" s="275">
        <v>167.7115</v>
      </c>
      <c r="S102" s="154">
        <v>1008126.5439581752</v>
      </c>
      <c r="T102" s="215"/>
      <c r="U102" s="212">
        <v>0</v>
      </c>
      <c r="V102" s="276">
        <f t="shared" si="57"/>
        <v>4133318.8302285182</v>
      </c>
      <c r="W102" s="276">
        <f t="shared" si="58"/>
        <v>97889087.41833882</v>
      </c>
      <c r="X102" s="276">
        <f t="shared" si="59"/>
        <v>339.10578628297361</v>
      </c>
      <c r="Y102" s="217">
        <v>10.31997952221168</v>
      </c>
      <c r="Z102" s="83"/>
    </row>
    <row r="103" spans="2:26" x14ac:dyDescent="0.35">
      <c r="B103" s="211">
        <v>5</v>
      </c>
      <c r="C103" s="268">
        <v>34196.433864212318</v>
      </c>
      <c r="D103" s="303">
        <v>12096.09942641156</v>
      </c>
      <c r="E103" s="269">
        <v>3394198.1322810589</v>
      </c>
      <c r="F103" s="294">
        <v>1200609.3455253278</v>
      </c>
      <c r="G103" s="270">
        <v>91835671.523229972</v>
      </c>
      <c r="H103" s="294">
        <v>32484481.219511222</v>
      </c>
      <c r="I103" s="271">
        <v>586.27505553024412</v>
      </c>
      <c r="J103" s="296">
        <v>207.37955867206449</v>
      </c>
      <c r="K103" s="272">
        <f t="shared" si="56"/>
        <v>34196.433864212318</v>
      </c>
      <c r="L103" s="148">
        <f t="shared" si="53"/>
        <v>1549418.8322810589</v>
      </c>
      <c r="M103" s="273">
        <f t="shared" si="54"/>
        <v>52147987.123229973</v>
      </c>
      <c r="N103" s="91">
        <f t="shared" si="55"/>
        <v>428.41095553024411</v>
      </c>
      <c r="O103" s="212">
        <v>0</v>
      </c>
      <c r="P103" s="213">
        <v>1844779.3</v>
      </c>
      <c r="Q103" s="213">
        <v>39687684.399999999</v>
      </c>
      <c r="R103" s="275">
        <v>157.86409999999998</v>
      </c>
      <c r="S103" s="154">
        <v>176362.89622663645</v>
      </c>
      <c r="T103" s="215"/>
      <c r="U103" s="212">
        <v>0</v>
      </c>
      <c r="V103" s="276">
        <f t="shared" si="57"/>
        <v>652542.71603855479</v>
      </c>
      <c r="W103" s="276">
        <f t="shared" si="58"/>
        <v>14038486.539640261</v>
      </c>
      <c r="X103" s="276">
        <f t="shared" si="59"/>
        <v>55.840321158732657</v>
      </c>
      <c r="Y103" s="217">
        <v>8.7322903654111901</v>
      </c>
      <c r="Z103" s="83"/>
    </row>
    <row r="104" spans="2:26" x14ac:dyDescent="0.35">
      <c r="B104" s="211">
        <v>6</v>
      </c>
      <c r="C104" s="268">
        <v>13967.840161040738</v>
      </c>
      <c r="D104" s="303">
        <v>38610.286577637664</v>
      </c>
      <c r="E104" s="269">
        <v>3632754.8107340643</v>
      </c>
      <c r="F104" s="294">
        <v>10041760.407593558</v>
      </c>
      <c r="G104" s="270">
        <v>100231848.06189269</v>
      </c>
      <c r="H104" s="294">
        <v>277063621.38006902</v>
      </c>
      <c r="I104" s="271">
        <v>504.86191131801263</v>
      </c>
      <c r="J104" s="296">
        <v>1395.5531315780718</v>
      </c>
      <c r="K104" s="272">
        <f t="shared" si="56"/>
        <v>13967.840161040738</v>
      </c>
      <c r="L104" s="148">
        <f t="shared" si="53"/>
        <v>1438963.2107340642</v>
      </c>
      <c r="M104" s="273">
        <f t="shared" si="54"/>
        <v>49724782.361892693</v>
      </c>
      <c r="N104" s="91">
        <f t="shared" si="55"/>
        <v>314.55561131801295</v>
      </c>
      <c r="O104" s="212">
        <v>0</v>
      </c>
      <c r="P104" s="213">
        <v>2193791.6</v>
      </c>
      <c r="Q104" s="213">
        <v>50507065.699999996</v>
      </c>
      <c r="R104" s="275">
        <v>190.30629999999968</v>
      </c>
      <c r="S104" s="154">
        <v>1378213.3781965778</v>
      </c>
      <c r="T104" s="215"/>
      <c r="U104" s="212">
        <v>0</v>
      </c>
      <c r="V104" s="276">
        <f t="shared" si="57"/>
        <v>6064138.8640649421</v>
      </c>
      <c r="W104" s="276">
        <f t="shared" si="58"/>
        <v>139613015.21131331</v>
      </c>
      <c r="X104" s="276">
        <f t="shared" si="59"/>
        <v>526.04989001981778</v>
      </c>
      <c r="Y104" s="217">
        <v>10.31997952221168</v>
      </c>
      <c r="Z104" s="83"/>
    </row>
    <row r="105" spans="2:26" x14ac:dyDescent="0.35">
      <c r="B105" s="211">
        <v>7</v>
      </c>
      <c r="C105" s="268">
        <v>8990.2523439311044</v>
      </c>
      <c r="D105" s="303">
        <v>13975.605971705136</v>
      </c>
      <c r="E105" s="269">
        <v>3601419.4049974601</v>
      </c>
      <c r="F105" s="294">
        <v>5598510.0993382055</v>
      </c>
      <c r="G105" s="270">
        <v>94594531.393066823</v>
      </c>
      <c r="H105" s="294">
        <v>147049921.09815741</v>
      </c>
      <c r="I105" s="271">
        <v>477.73313472955124</v>
      </c>
      <c r="J105" s="296">
        <v>742.64990516253931</v>
      </c>
      <c r="K105" s="272">
        <f t="shared" si="56"/>
        <v>8990.2523439311044</v>
      </c>
      <c r="L105" s="148">
        <f t="shared" si="53"/>
        <v>1607063.4049974601</v>
      </c>
      <c r="M105" s="273">
        <f t="shared" si="54"/>
        <v>47926600.993066825</v>
      </c>
      <c r="N105" s="91">
        <f t="shared" si="55"/>
        <v>287.98183472955122</v>
      </c>
      <c r="O105" s="212">
        <v>0</v>
      </c>
      <c r="P105" s="213">
        <v>1994356</v>
      </c>
      <c r="Q105" s="213">
        <v>46667930.399999999</v>
      </c>
      <c r="R105" s="275">
        <v>189.75129999999999</v>
      </c>
      <c r="S105" s="154">
        <v>775070.94787281659</v>
      </c>
      <c r="T105" s="215"/>
      <c r="U105" s="212">
        <v>0</v>
      </c>
      <c r="V105" s="276">
        <f t="shared" si="57"/>
        <v>3100283.7914912668</v>
      </c>
      <c r="W105" s="276">
        <f t="shared" si="58"/>
        <v>72546640.720895633</v>
      </c>
      <c r="X105" s="276">
        <f t="shared" si="59"/>
        <v>294.97385612418077</v>
      </c>
      <c r="Y105" s="217">
        <v>10.31997952221168</v>
      </c>
      <c r="Z105" s="83"/>
    </row>
    <row r="106" spans="2:26" x14ac:dyDescent="0.35">
      <c r="B106" s="211">
        <v>8</v>
      </c>
      <c r="C106" s="268">
        <v>12269.456285550143</v>
      </c>
      <c r="D106" s="303">
        <v>50774.681580751603</v>
      </c>
      <c r="E106" s="269">
        <v>3953573.6280167354</v>
      </c>
      <c r="F106" s="294">
        <v>16361070.726909207</v>
      </c>
      <c r="G106" s="270">
        <v>112444238.18231189</v>
      </c>
      <c r="H106" s="294">
        <v>465327905.03691667</v>
      </c>
      <c r="I106" s="271">
        <v>547.39405568879181</v>
      </c>
      <c r="J106" s="296">
        <v>2265.2804028103178</v>
      </c>
      <c r="K106" s="272">
        <f t="shared" si="56"/>
        <v>12269.456285550143</v>
      </c>
      <c r="L106" s="148">
        <f t="shared" si="53"/>
        <v>1859499.8280167354</v>
      </c>
      <c r="M106" s="273">
        <f t="shared" si="54"/>
        <v>59992675.382311888</v>
      </c>
      <c r="N106" s="91">
        <f t="shared" si="55"/>
        <v>356.86885568879177</v>
      </c>
      <c r="O106" s="212">
        <v>0</v>
      </c>
      <c r="P106" s="213">
        <v>2094073.8</v>
      </c>
      <c r="Q106" s="213">
        <v>52451562.800000004</v>
      </c>
      <c r="R106" s="275">
        <v>190.52520000000001</v>
      </c>
      <c r="S106" s="154">
        <v>2063310.4781081376</v>
      </c>
      <c r="T106" s="215"/>
      <c r="U106" s="212">
        <v>0</v>
      </c>
      <c r="V106" s="276">
        <f t="shared" si="57"/>
        <v>8665904.0080541782</v>
      </c>
      <c r="W106" s="276">
        <f t="shared" si="58"/>
        <v>217060262.29697609</v>
      </c>
      <c r="X106" s="276">
        <f t="shared" si="59"/>
        <v>788.45028972490081</v>
      </c>
      <c r="Y106" s="217">
        <v>10.31997952221168</v>
      </c>
      <c r="Z106" s="83"/>
    </row>
    <row r="107" spans="2:26" x14ac:dyDescent="0.35">
      <c r="B107" s="211">
        <v>9</v>
      </c>
      <c r="C107" s="268">
        <v>14458.144933235819</v>
      </c>
      <c r="D107" s="303">
        <v>111335.76006651889</v>
      </c>
      <c r="E107" s="269">
        <v>3722623.3726609652</v>
      </c>
      <c r="F107" s="294">
        <v>28666271.126100663</v>
      </c>
      <c r="G107" s="270">
        <v>108550210.26124351</v>
      </c>
      <c r="H107" s="294">
        <v>835897013.11087716</v>
      </c>
      <c r="I107" s="271">
        <v>521.24969796891935</v>
      </c>
      <c r="J107" s="296">
        <v>4013.9126821455061</v>
      </c>
      <c r="K107" s="272">
        <f t="shared" si="56"/>
        <v>14458.144933235819</v>
      </c>
      <c r="L107" s="148">
        <f t="shared" si="53"/>
        <v>1528831.7726609651</v>
      </c>
      <c r="M107" s="273">
        <f t="shared" si="54"/>
        <v>55550199.561243512</v>
      </c>
      <c r="N107" s="91">
        <f t="shared" si="55"/>
        <v>328.94529796891936</v>
      </c>
      <c r="O107" s="212">
        <v>0</v>
      </c>
      <c r="P107" s="213">
        <v>2193791.6</v>
      </c>
      <c r="Q107" s="213">
        <v>53000010.699999996</v>
      </c>
      <c r="R107" s="275">
        <v>192.30439999999999</v>
      </c>
      <c r="S107" s="154">
        <v>3839412.7000483694</v>
      </c>
      <c r="T107" s="215"/>
      <c r="U107" s="212">
        <v>0</v>
      </c>
      <c r="V107" s="276">
        <f t="shared" si="57"/>
        <v>16893415.880212825</v>
      </c>
      <c r="W107" s="276">
        <f t="shared" si="58"/>
        <v>408129570.01514161</v>
      </c>
      <c r="X107" s="276">
        <f t="shared" si="59"/>
        <v>1480.8508724323672</v>
      </c>
      <c r="Y107" s="217">
        <v>10.31997952221168</v>
      </c>
      <c r="Z107" s="83"/>
    </row>
    <row r="108" spans="2:26" x14ac:dyDescent="0.35">
      <c r="B108" s="211">
        <v>10</v>
      </c>
      <c r="C108" s="268">
        <v>16924.519702696416</v>
      </c>
      <c r="D108" s="303">
        <v>25594.877445491336</v>
      </c>
      <c r="E108" s="269">
        <v>3726698.8256498547</v>
      </c>
      <c r="F108" s="294">
        <v>5635870.405443049</v>
      </c>
      <c r="G108" s="270">
        <v>106687082.55969736</v>
      </c>
      <c r="H108" s="294">
        <v>161342410.36674285</v>
      </c>
      <c r="I108" s="271">
        <v>532.22732160144437</v>
      </c>
      <c r="J108" s="296">
        <v>804.88506077727959</v>
      </c>
      <c r="K108" s="272">
        <f t="shared" si="56"/>
        <v>16924.519702696416</v>
      </c>
      <c r="L108" s="148">
        <f t="shared" si="53"/>
        <v>1532907.2256498546</v>
      </c>
      <c r="M108" s="273">
        <f t="shared" si="54"/>
        <v>54783967.659697361</v>
      </c>
      <c r="N108" s="91">
        <f t="shared" si="55"/>
        <v>338.58732160144439</v>
      </c>
      <c r="O108" s="212">
        <v>0</v>
      </c>
      <c r="P108" s="213">
        <v>2193791.6</v>
      </c>
      <c r="Q108" s="213">
        <v>51903114.899999999</v>
      </c>
      <c r="R108" s="275">
        <v>193.64</v>
      </c>
      <c r="S108" s="154">
        <v>754013.97350359929</v>
      </c>
      <c r="T108" s="215"/>
      <c r="U108" s="212">
        <v>0</v>
      </c>
      <c r="V108" s="276">
        <f t="shared" si="57"/>
        <v>3317661.4834158374</v>
      </c>
      <c r="W108" s="276">
        <f t="shared" si="58"/>
        <v>78492854.641724676</v>
      </c>
      <c r="X108" s="276">
        <f t="shared" si="59"/>
        <v>292.84092875943304</v>
      </c>
      <c r="Y108" s="217">
        <v>10.31997952221168</v>
      </c>
      <c r="Z108" s="83"/>
    </row>
    <row r="109" spans="2:26" x14ac:dyDescent="0.35">
      <c r="B109" s="211">
        <v>11</v>
      </c>
      <c r="C109" s="268">
        <v>32574.537880412154</v>
      </c>
      <c r="D109" s="303">
        <v>10534.625107983989</v>
      </c>
      <c r="E109" s="269">
        <v>3694885.1546640573</v>
      </c>
      <c r="F109" s="294">
        <v>1194928.0773940727</v>
      </c>
      <c r="G109" s="270">
        <v>105731271.0099472</v>
      </c>
      <c r="H109" s="294">
        <v>34193556.52471827</v>
      </c>
      <c r="I109" s="271">
        <v>620.70311425248451</v>
      </c>
      <c r="J109" s="296">
        <v>200.73575981380412</v>
      </c>
      <c r="K109" s="272">
        <f t="shared" si="56"/>
        <v>32574.537880412154</v>
      </c>
      <c r="L109" s="148">
        <f t="shared" si="53"/>
        <v>1700529.1546640573</v>
      </c>
      <c r="M109" s="273">
        <f t="shared" si="54"/>
        <v>58913763.909947194</v>
      </c>
      <c r="N109" s="91">
        <f t="shared" si="55"/>
        <v>459.29181425248453</v>
      </c>
      <c r="O109" s="212">
        <v>0</v>
      </c>
      <c r="P109" s="213">
        <v>1994356</v>
      </c>
      <c r="Q109" s="213">
        <v>46817507.100000001</v>
      </c>
      <c r="R109" s="275">
        <v>161.41130000000001</v>
      </c>
      <c r="S109" s="154">
        <v>161243.98194833798</v>
      </c>
      <c r="T109" s="215"/>
      <c r="U109" s="212">
        <v>0</v>
      </c>
      <c r="V109" s="276">
        <f t="shared" si="57"/>
        <v>644975.92779335193</v>
      </c>
      <c r="W109" s="276">
        <f t="shared" si="58"/>
        <v>15140809.904948939</v>
      </c>
      <c r="X109" s="276">
        <f t="shared" si="59"/>
        <v>52.200511329888478</v>
      </c>
      <c r="Y109" s="217">
        <v>10.31997952221168</v>
      </c>
      <c r="Z109" s="83"/>
    </row>
    <row r="110" spans="2:26" x14ac:dyDescent="0.35">
      <c r="B110" s="211">
        <v>12</v>
      </c>
      <c r="C110" s="268">
        <v>30791.892536959491</v>
      </c>
      <c r="D110" s="303">
        <v>99298.201855311825</v>
      </c>
      <c r="E110" s="269">
        <v>3608579.4848347786</v>
      </c>
      <c r="F110" s="294">
        <v>11637006.516113393</v>
      </c>
      <c r="G110" s="270">
        <v>103501279.74729273</v>
      </c>
      <c r="H110" s="294">
        <v>333772630.45113915</v>
      </c>
      <c r="I110" s="271">
        <v>597.85990701954734</v>
      </c>
      <c r="J110" s="296">
        <v>1927.9884683011119</v>
      </c>
      <c r="K110" s="272">
        <f t="shared" si="56"/>
        <v>30791.892536959491</v>
      </c>
      <c r="L110" s="148">
        <f t="shared" si="53"/>
        <v>1564364.5848347787</v>
      </c>
      <c r="M110" s="273">
        <f t="shared" si="54"/>
        <v>56185183.647292726</v>
      </c>
      <c r="N110" s="91">
        <f t="shared" si="55"/>
        <v>438.76770701954734</v>
      </c>
      <c r="O110" s="212">
        <v>0</v>
      </c>
      <c r="P110" s="213">
        <v>2044214.9</v>
      </c>
      <c r="Q110" s="213">
        <v>47316096.100000001</v>
      </c>
      <c r="R110" s="275">
        <v>159.09219999999999</v>
      </c>
      <c r="S110" s="154">
        <v>1607858.0134498863</v>
      </c>
      <c r="T110" s="215"/>
      <c r="U110" s="212">
        <v>0</v>
      </c>
      <c r="V110" s="276">
        <f t="shared" si="57"/>
        <v>6592217.8551445333</v>
      </c>
      <c r="W110" s="276">
        <f t="shared" si="58"/>
        <v>152585725.47639424</v>
      </c>
      <c r="X110" s="276">
        <f t="shared" si="59"/>
        <v>513.04314505007528</v>
      </c>
      <c r="Y110" s="217">
        <v>10.31997952221168</v>
      </c>
      <c r="Z110" s="83"/>
    </row>
    <row r="111" spans="2:26" x14ac:dyDescent="0.35">
      <c r="B111" s="211">
        <v>13</v>
      </c>
      <c r="C111" s="268">
        <v>27435.897189280506</v>
      </c>
      <c r="D111" s="303">
        <v>13614.95946124508</v>
      </c>
      <c r="E111" s="269">
        <v>3719758.2358186105</v>
      </c>
      <c r="F111" s="294">
        <v>1845915.8538504143</v>
      </c>
      <c r="G111" s="270">
        <v>107042959.85051499</v>
      </c>
      <c r="H111" s="294">
        <v>53119661.038307957</v>
      </c>
      <c r="I111" s="271">
        <v>594.03655992849679</v>
      </c>
      <c r="J111" s="296">
        <v>294.78837984142723</v>
      </c>
      <c r="K111" s="272">
        <f t="shared" si="56"/>
        <v>27435.897189280506</v>
      </c>
      <c r="L111" s="148">
        <f t="shared" si="53"/>
        <v>1675543.3358186106</v>
      </c>
      <c r="M111" s="273">
        <f t="shared" si="54"/>
        <v>57483213.250514992</v>
      </c>
      <c r="N111" s="91">
        <f t="shared" si="55"/>
        <v>430.3931599284968</v>
      </c>
      <c r="O111" s="212">
        <v>0</v>
      </c>
      <c r="P111" s="213">
        <v>2044214.9</v>
      </c>
      <c r="Q111" s="213">
        <v>49559746.600000001</v>
      </c>
      <c r="R111" s="275">
        <v>163.64339999999999</v>
      </c>
      <c r="S111" s="154">
        <v>247422.89184094814</v>
      </c>
      <c r="T111" s="215"/>
      <c r="U111" s="212">
        <v>0</v>
      </c>
      <c r="V111" s="276">
        <f t="shared" si="57"/>
        <v>1014433.8565478873</v>
      </c>
      <c r="W111" s="276">
        <f t="shared" si="58"/>
        <v>24593835.448990244</v>
      </c>
      <c r="X111" s="276">
        <f t="shared" si="59"/>
        <v>81.207413839224301</v>
      </c>
      <c r="Y111" s="217">
        <v>10.31997952221168</v>
      </c>
      <c r="Z111" s="83"/>
    </row>
    <row r="112" spans="2:26" x14ac:dyDescent="0.35">
      <c r="B112" s="211">
        <v>14</v>
      </c>
      <c r="C112" s="268">
        <v>33583.96774687821</v>
      </c>
      <c r="D112" s="303">
        <v>17480.802571829634</v>
      </c>
      <c r="E112" s="269">
        <v>3722006.2555582644</v>
      </c>
      <c r="F112" s="294">
        <v>1937342.7527953982</v>
      </c>
      <c r="G112" s="270">
        <v>113615388.74895132</v>
      </c>
      <c r="H112" s="294">
        <v>59137984.969828591</v>
      </c>
      <c r="I112" s="271">
        <v>626.44224027557391</v>
      </c>
      <c r="J112" s="296">
        <v>326.06966536674008</v>
      </c>
      <c r="K112" s="272">
        <f t="shared" si="56"/>
        <v>33583.96774687821</v>
      </c>
      <c r="L112" s="148">
        <f t="shared" si="53"/>
        <v>1328779.0555582647</v>
      </c>
      <c r="M112" s="273">
        <f t="shared" si="54"/>
        <v>58571163.148951314</v>
      </c>
      <c r="N112" s="91">
        <f t="shared" si="55"/>
        <v>423.84404027557389</v>
      </c>
      <c r="O112" s="212">
        <v>0</v>
      </c>
      <c r="P112" s="213">
        <v>2393227.1999999997</v>
      </c>
      <c r="Q112" s="213">
        <v>55044225.600000001</v>
      </c>
      <c r="R112" s="275">
        <v>202.59819999999999</v>
      </c>
      <c r="S112" s="154">
        <v>259520.73141495124</v>
      </c>
      <c r="T112" s="215"/>
      <c r="U112" s="212">
        <v>0</v>
      </c>
      <c r="V112" s="276">
        <f t="shared" si="57"/>
        <v>1245699.510791766</v>
      </c>
      <c r="W112" s="276">
        <f t="shared" si="58"/>
        <v>28651088.74821062</v>
      </c>
      <c r="X112" s="276">
        <f t="shared" si="59"/>
        <v>105.4544585768089</v>
      </c>
      <c r="Y112" s="217">
        <v>10.31997952221168</v>
      </c>
      <c r="Z112" s="83"/>
    </row>
    <row r="113" spans="2:26" x14ac:dyDescent="0.35">
      <c r="B113" s="211">
        <v>15</v>
      </c>
      <c r="C113" s="268">
        <v>8136.2989646545047</v>
      </c>
      <c r="D113" s="303">
        <v>1288.4656676706602</v>
      </c>
      <c r="E113" s="269">
        <v>4099560.1129718665</v>
      </c>
      <c r="F113" s="294">
        <v>649207.02656857204</v>
      </c>
      <c r="G113" s="270">
        <v>113728174.47876513</v>
      </c>
      <c r="H113" s="294">
        <v>18010012.771079365</v>
      </c>
      <c r="I113" s="271">
        <v>532.10336117891768</v>
      </c>
      <c r="J113" s="296">
        <v>84.263977455787767</v>
      </c>
      <c r="K113" s="272">
        <f t="shared" si="56"/>
        <v>8136.2989646545047</v>
      </c>
      <c r="L113" s="148">
        <f t="shared" si="53"/>
        <v>1556756.2129718666</v>
      </c>
      <c r="M113" s="273">
        <f t="shared" si="54"/>
        <v>52651021.97876513</v>
      </c>
      <c r="N113" s="91">
        <f t="shared" si="55"/>
        <v>303.67706117891771</v>
      </c>
      <c r="O113" s="212">
        <v>0</v>
      </c>
      <c r="P113" s="213">
        <v>2542803.9</v>
      </c>
      <c r="Q113" s="213">
        <v>61077152.5</v>
      </c>
      <c r="R113" s="275">
        <v>228.4263</v>
      </c>
      <c r="S113" s="154">
        <v>78956.637602552248</v>
      </c>
      <c r="T113" s="215"/>
      <c r="U113" s="212">
        <v>0</v>
      </c>
      <c r="V113" s="276">
        <f t="shared" si="57"/>
        <v>402678.85177301645</v>
      </c>
      <c r="W113" s="276">
        <f t="shared" si="58"/>
        <v>9672188.1063126512</v>
      </c>
      <c r="X113" s="276">
        <f t="shared" si="59"/>
        <v>36.173627151806159</v>
      </c>
      <c r="Y113" s="217">
        <v>11.907668679012172</v>
      </c>
      <c r="Z113" s="83"/>
    </row>
    <row r="114" spans="2:26" x14ac:dyDescent="0.35">
      <c r="B114" s="211">
        <v>16</v>
      </c>
      <c r="C114" s="268">
        <v>56139.074992788264</v>
      </c>
      <c r="D114" s="303">
        <v>7499.0991266234823</v>
      </c>
      <c r="E114" s="269">
        <v>3497447.7019135831</v>
      </c>
      <c r="F114" s="294">
        <v>467191.6487794058</v>
      </c>
      <c r="G114" s="270">
        <v>99510490.986081138</v>
      </c>
      <c r="H114" s="294">
        <v>13292684.928268917</v>
      </c>
      <c r="I114" s="271">
        <v>732.29681819944108</v>
      </c>
      <c r="J114" s="296">
        <v>97.820750172567699</v>
      </c>
      <c r="K114" s="272">
        <f t="shared" si="56"/>
        <v>56139.074992788264</v>
      </c>
      <c r="L114" s="148">
        <f t="shared" si="53"/>
        <v>1702527.301913583</v>
      </c>
      <c r="M114" s="273">
        <f t="shared" si="54"/>
        <v>62565046.08608114</v>
      </c>
      <c r="N114" s="91">
        <f t="shared" si="55"/>
        <v>584.25881819944107</v>
      </c>
      <c r="O114" s="212">
        <v>0</v>
      </c>
      <c r="P114" s="213">
        <v>1794920.4000000001</v>
      </c>
      <c r="Q114" s="213">
        <v>36945444.899999999</v>
      </c>
      <c r="R114" s="275">
        <v>148.03800000000001</v>
      </c>
      <c r="S114" s="154">
        <v>66601.887097790459</v>
      </c>
      <c r="T114" s="215"/>
      <c r="U114" s="212">
        <v>0</v>
      </c>
      <c r="V114" s="276">
        <f t="shared" si="57"/>
        <v>239766.79355204565</v>
      </c>
      <c r="W114" s="276">
        <f t="shared" si="58"/>
        <v>4935199.8339462727</v>
      </c>
      <c r="X114" s="276">
        <f t="shared" si="59"/>
        <v>19.775025446174517</v>
      </c>
      <c r="Y114" s="217">
        <v>8.7322903654111901</v>
      </c>
      <c r="Z114" s="83"/>
    </row>
    <row r="115" spans="2:26" ht="15" thickBot="1" x14ac:dyDescent="0.4">
      <c r="B115" s="218" t="s">
        <v>12</v>
      </c>
      <c r="C115" s="219"/>
      <c r="D115" s="304">
        <v>599435.43099619797</v>
      </c>
      <c r="E115" s="277"/>
      <c r="F115" s="278">
        <v>108179778.92701848</v>
      </c>
      <c r="G115" s="278"/>
      <c r="H115" s="278">
        <v>3078650824.9443345</v>
      </c>
      <c r="I115" s="99"/>
      <c r="J115" s="297">
        <v>16168.338157265904</v>
      </c>
      <c r="K115" s="279">
        <f>SUM(K99:K114)</f>
        <v>433963.58059003885</v>
      </c>
      <c r="L115" s="277">
        <f t="shared" ref="L115:N115" si="60">SUM(L99:L114)</f>
        <v>25612768.26806847</v>
      </c>
      <c r="M115" s="278">
        <f t="shared" si="60"/>
        <v>891674517.45167685</v>
      </c>
      <c r="N115" s="99">
        <f t="shared" si="60"/>
        <v>6521.044881758211</v>
      </c>
      <c r="O115" s="219"/>
      <c r="P115" s="220"/>
      <c r="Q115" s="221"/>
      <c r="R115" s="222"/>
      <c r="S115" s="280">
        <f>SUM(S99:S114)</f>
        <v>14735388.785000002</v>
      </c>
      <c r="T115" s="224"/>
      <c r="U115" s="225">
        <f>SUM(U99:U114)</f>
        <v>0</v>
      </c>
      <c r="V115" s="226">
        <f>SUM(V99:V114)</f>
        <v>60988535.293847948</v>
      </c>
      <c r="W115" s="226">
        <f>SUM(W99:W114)</f>
        <v>1452684283.5987945</v>
      </c>
      <c r="X115" s="227">
        <f>SUM(X99:X114)</f>
        <v>5260.1929429645379</v>
      </c>
      <c r="Y115" s="229">
        <f>SUMPRODUCT(Y99:Y114,S99:S114)/SUM(S99:S114)</f>
        <v>10.089135384865175</v>
      </c>
      <c r="Z115" s="83"/>
    </row>
    <row r="116" spans="2:26" x14ac:dyDescent="0.35">
      <c r="B116" s="83"/>
      <c r="C116" s="83"/>
      <c r="D116" s="83"/>
      <c r="E116" s="83"/>
      <c r="F116" s="83"/>
      <c r="G116" s="83"/>
      <c r="H116" s="83"/>
      <c r="I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2:26" x14ac:dyDescent="0.35">
      <c r="B117" s="83"/>
      <c r="C117" s="83"/>
      <c r="D117" s="83"/>
      <c r="E117" s="83"/>
      <c r="F117" s="83"/>
      <c r="G117" s="83"/>
      <c r="H117" s="83"/>
      <c r="I117" s="83"/>
      <c r="K117" s="83"/>
      <c r="L117" s="83"/>
      <c r="M117" s="83"/>
      <c r="N117" s="83"/>
      <c r="O117" s="83"/>
      <c r="P117" s="83"/>
      <c r="Q117" s="83" t="s">
        <v>180</v>
      </c>
      <c r="R117" s="83">
        <v>52628</v>
      </c>
      <c r="S117" s="83"/>
      <c r="T117" s="83"/>
      <c r="U117" s="83"/>
      <c r="V117" s="83"/>
      <c r="W117" s="83"/>
      <c r="X117" s="83"/>
      <c r="Y117" s="83"/>
      <c r="Z117" s="83"/>
    </row>
    <row r="118" spans="2:26" ht="15" thickBot="1" x14ac:dyDescent="0.4">
      <c r="B118" s="83"/>
      <c r="C118" s="83"/>
      <c r="D118" s="83"/>
      <c r="E118" s="83"/>
      <c r="F118" s="83"/>
      <c r="G118" s="83"/>
      <c r="H118" s="83"/>
      <c r="I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2:26" x14ac:dyDescent="0.35">
      <c r="B119" s="203"/>
      <c r="C119" s="1197" t="str">
        <f>C97</f>
        <v>2019 Energy Code</v>
      </c>
      <c r="D119" s="1198"/>
      <c r="E119" s="1199"/>
      <c r="F119" s="1200"/>
      <c r="G119" s="1200"/>
      <c r="H119" s="1200"/>
      <c r="I119" s="1201"/>
      <c r="J119" s="263"/>
      <c r="K119" s="1202" t="str">
        <f>K97</f>
        <v>2022 Energy Code</v>
      </c>
      <c r="L119" s="1203"/>
      <c r="M119" s="1204"/>
      <c r="N119" s="1205"/>
      <c r="O119" s="1197" t="s">
        <v>163</v>
      </c>
      <c r="P119" s="1199"/>
      <c r="Q119" s="1200"/>
      <c r="R119" s="1201"/>
      <c r="S119" s="1206" t="s">
        <v>164</v>
      </c>
      <c r="T119" s="1207"/>
      <c r="U119" s="1197" t="s">
        <v>165</v>
      </c>
      <c r="V119" s="1199"/>
      <c r="W119" s="1199"/>
      <c r="X119" s="1199"/>
      <c r="Y119" s="267"/>
      <c r="Z119" s="83"/>
    </row>
    <row r="120" spans="2:26" ht="43.5" x14ac:dyDescent="0.35">
      <c r="B120" s="204" t="s">
        <v>5</v>
      </c>
      <c r="C120" s="205" t="s">
        <v>6</v>
      </c>
      <c r="D120" s="293" t="s">
        <v>166</v>
      </c>
      <c r="E120" s="206" t="s">
        <v>7</v>
      </c>
      <c r="F120" s="207" t="s">
        <v>167</v>
      </c>
      <c r="G120" s="207" t="s">
        <v>8</v>
      </c>
      <c r="H120" s="207" t="s">
        <v>168</v>
      </c>
      <c r="I120" s="208" t="s">
        <v>9</v>
      </c>
      <c r="J120" s="208" t="s">
        <v>169</v>
      </c>
      <c r="K120" s="258" t="s">
        <v>6</v>
      </c>
      <c r="L120" s="259" t="s">
        <v>7</v>
      </c>
      <c r="M120" s="209" t="s">
        <v>8</v>
      </c>
      <c r="N120" s="260" t="s">
        <v>9</v>
      </c>
      <c r="O120" s="205" t="s">
        <v>6</v>
      </c>
      <c r="P120" s="206" t="s">
        <v>7</v>
      </c>
      <c r="Q120" s="206" t="s">
        <v>170</v>
      </c>
      <c r="R120" s="208" t="s">
        <v>9</v>
      </c>
      <c r="S120" s="258" t="s">
        <v>171</v>
      </c>
      <c r="T120" s="209" t="s">
        <v>11</v>
      </c>
      <c r="U120" s="205" t="s">
        <v>6</v>
      </c>
      <c r="V120" s="206" t="s">
        <v>7</v>
      </c>
      <c r="W120" s="206" t="s">
        <v>170</v>
      </c>
      <c r="X120" s="206" t="s">
        <v>9</v>
      </c>
      <c r="Y120" s="208" t="s">
        <v>172</v>
      </c>
      <c r="Z120" s="83"/>
    </row>
    <row r="121" spans="2:26" x14ac:dyDescent="0.35">
      <c r="B121" s="211">
        <v>1</v>
      </c>
      <c r="C121" s="268">
        <v>6043.0767453785584</v>
      </c>
      <c r="D121" s="303">
        <v>6590.8607126427332</v>
      </c>
      <c r="E121" s="269">
        <v>375672.90698127321</v>
      </c>
      <c r="F121" s="294">
        <v>409726.35426493431</v>
      </c>
      <c r="G121" s="270">
        <v>10864219.573410077</v>
      </c>
      <c r="H121" s="294">
        <v>11849023.432421612</v>
      </c>
      <c r="I121" s="271">
        <v>78.872868894443087</v>
      </c>
      <c r="J121" s="296">
        <v>86.022421159445571</v>
      </c>
      <c r="K121" s="272">
        <f>C121-O121</f>
        <v>6043.0767453785584</v>
      </c>
      <c r="L121" s="148">
        <f t="shared" ref="L121:L136" si="61">E121-P121</f>
        <v>196737.70698127322</v>
      </c>
      <c r="M121" s="273">
        <f t="shared" ref="M121:M136" si="62">G121-Q121</f>
        <v>7022375.573410077</v>
      </c>
      <c r="N121" s="91">
        <f t="shared" ref="N121:N136" si="63">I121-R121</f>
        <v>63.756468894443088</v>
      </c>
      <c r="O121" s="212">
        <v>0</v>
      </c>
      <c r="P121" s="213">
        <v>178935.19999999998</v>
      </c>
      <c r="Q121" s="213">
        <v>3841844</v>
      </c>
      <c r="R121" s="275">
        <v>15.116400000000001</v>
      </c>
      <c r="S121" s="154">
        <v>57398.545840117913</v>
      </c>
      <c r="T121" s="215"/>
      <c r="U121" s="212">
        <v>0</v>
      </c>
      <c r="V121" s="276">
        <f>$S121*P121/$R$117</f>
        <v>195155.0558564009</v>
      </c>
      <c r="W121" s="276">
        <f t="shared" ref="W121:X136" si="64">$S121*Q121/$R$117</f>
        <v>4190093.8463286078</v>
      </c>
      <c r="X121" s="276">
        <f t="shared" si="64"/>
        <v>16.486649280564688</v>
      </c>
      <c r="Y121" s="217">
        <v>12.680312643459756</v>
      </c>
      <c r="Z121" s="83"/>
    </row>
    <row r="122" spans="2:26" x14ac:dyDescent="0.35">
      <c r="B122" s="211">
        <v>2</v>
      </c>
      <c r="C122" s="268">
        <v>4431.0327513562534</v>
      </c>
      <c r="D122" s="303">
        <v>28694.682336301834</v>
      </c>
      <c r="E122" s="269">
        <v>427070.19671352394</v>
      </c>
      <c r="F122" s="294">
        <v>2765640.4991016132</v>
      </c>
      <c r="G122" s="270">
        <v>13098448.693395942</v>
      </c>
      <c r="H122" s="294">
        <v>84823526.578606784</v>
      </c>
      <c r="I122" s="271">
        <v>74.924818789379088</v>
      </c>
      <c r="J122" s="296">
        <v>485.20153086391775</v>
      </c>
      <c r="K122" s="272">
        <f t="shared" ref="K122:K136" si="65">C122-O122</f>
        <v>4431.0327513562534</v>
      </c>
      <c r="L122" s="148">
        <f t="shared" si="61"/>
        <v>174455.79671352395</v>
      </c>
      <c r="M122" s="273">
        <f t="shared" si="62"/>
        <v>6898870.293395943</v>
      </c>
      <c r="N122" s="91">
        <f t="shared" si="63"/>
        <v>54.814518789379093</v>
      </c>
      <c r="O122" s="212">
        <v>0</v>
      </c>
      <c r="P122" s="213">
        <v>252614.39999999999</v>
      </c>
      <c r="Q122" s="213">
        <v>6199578.3999999994</v>
      </c>
      <c r="R122" s="275">
        <v>20.110299999999999</v>
      </c>
      <c r="S122" s="154">
        <v>340810.7831143128</v>
      </c>
      <c r="T122" s="215"/>
      <c r="U122" s="212">
        <v>0</v>
      </c>
      <c r="V122" s="276">
        <f t="shared" ref="V122:V136" si="66">$S122*P122/$R$117</f>
        <v>1635891.7589487014</v>
      </c>
      <c r="W122" s="276">
        <f t="shared" si="64"/>
        <v>40147510.250866041</v>
      </c>
      <c r="X122" s="276">
        <f t="shared" si="64"/>
        <v>130.23119046256298</v>
      </c>
      <c r="Y122" s="217">
        <v>15.071422402523371</v>
      </c>
      <c r="Z122" s="83"/>
    </row>
    <row r="123" spans="2:26" x14ac:dyDescent="0.35">
      <c r="B123" s="211">
        <v>3</v>
      </c>
      <c r="C123" s="268">
        <v>3332.7610498600079</v>
      </c>
      <c r="D123" s="303">
        <v>121654.7957206235</v>
      </c>
      <c r="E123" s="269">
        <v>400691.42556000687</v>
      </c>
      <c r="F123" s="294">
        <v>14626321.177618066</v>
      </c>
      <c r="G123" s="270">
        <v>11190998.779522492</v>
      </c>
      <c r="H123" s="294">
        <v>408501734.76725632</v>
      </c>
      <c r="I123" s="271">
        <v>65.947067050419093</v>
      </c>
      <c r="J123" s="296">
        <v>2407.2463793136299</v>
      </c>
      <c r="K123" s="272">
        <f t="shared" si="65"/>
        <v>3332.7610498600079</v>
      </c>
      <c r="L123" s="148">
        <f t="shared" si="61"/>
        <v>184916.62556000688</v>
      </c>
      <c r="M123" s="273">
        <f t="shared" si="62"/>
        <v>6180813.1795224911</v>
      </c>
      <c r="N123" s="91">
        <f t="shared" si="63"/>
        <v>47.9947670504191</v>
      </c>
      <c r="O123" s="212">
        <v>0</v>
      </c>
      <c r="P123" s="213">
        <v>215774.8</v>
      </c>
      <c r="Q123" s="213">
        <v>5010185.6000000006</v>
      </c>
      <c r="R123" s="275">
        <v>17.952299999999997</v>
      </c>
      <c r="S123" s="154">
        <v>1921064.3947767895</v>
      </c>
      <c r="T123" s="215"/>
      <c r="U123" s="212">
        <v>0</v>
      </c>
      <c r="V123" s="276">
        <f t="shared" si="66"/>
        <v>7876364.0185848363</v>
      </c>
      <c r="W123" s="276">
        <f t="shared" si="64"/>
        <v>182885330.38275036</v>
      </c>
      <c r="X123" s="276">
        <f t="shared" si="64"/>
        <v>655.30752326425772</v>
      </c>
      <c r="Y123" s="217">
        <v>12.680312643459756</v>
      </c>
      <c r="Z123" s="83"/>
    </row>
    <row r="124" spans="2:26" x14ac:dyDescent="0.35">
      <c r="B124" s="211">
        <v>4</v>
      </c>
      <c r="C124" s="268">
        <v>2850.1547223004795</v>
      </c>
      <c r="D124" s="303">
        <v>54596.728546379403</v>
      </c>
      <c r="E124" s="269">
        <v>433879.98918502679</v>
      </c>
      <c r="F124" s="294">
        <v>8311277.9127025818</v>
      </c>
      <c r="G124" s="270">
        <v>12330041.289311837</v>
      </c>
      <c r="H124" s="294">
        <v>236190657.28995106</v>
      </c>
      <c r="I124" s="271">
        <v>66.87606070242245</v>
      </c>
      <c r="J124" s="296">
        <v>1281.0582189988272</v>
      </c>
      <c r="K124" s="272">
        <f t="shared" si="65"/>
        <v>2850.1547223004795</v>
      </c>
      <c r="L124" s="148">
        <f t="shared" si="61"/>
        <v>170739.98918502679</v>
      </c>
      <c r="M124" s="273">
        <f t="shared" si="62"/>
        <v>6093623.2893118374</v>
      </c>
      <c r="N124" s="91">
        <f t="shared" si="63"/>
        <v>45.70056070242245</v>
      </c>
      <c r="O124" s="212">
        <v>0</v>
      </c>
      <c r="P124" s="213">
        <v>263140</v>
      </c>
      <c r="Q124" s="213">
        <v>6236418</v>
      </c>
      <c r="R124" s="275">
        <v>21.1755</v>
      </c>
      <c r="S124" s="154">
        <v>1008126.5439581752</v>
      </c>
      <c r="T124" s="215"/>
      <c r="U124" s="212">
        <v>0</v>
      </c>
      <c r="V124" s="276">
        <f t="shared" si="66"/>
        <v>5040632.7197908759</v>
      </c>
      <c r="W124" s="276">
        <f t="shared" si="64"/>
        <v>119462995.45904377</v>
      </c>
      <c r="X124" s="276">
        <f t="shared" si="64"/>
        <v>405.63167195383329</v>
      </c>
      <c r="Y124" s="217">
        <v>15.071422402523371</v>
      </c>
      <c r="Z124" s="83"/>
    </row>
    <row r="125" spans="2:26" x14ac:dyDescent="0.35">
      <c r="B125" s="211">
        <v>5</v>
      </c>
      <c r="C125" s="268">
        <v>3814.1371633627778</v>
      </c>
      <c r="D125" s="303">
        <v>12781.642409673694</v>
      </c>
      <c r="E125" s="269">
        <v>403153.55803092424</v>
      </c>
      <c r="F125" s="294">
        <v>1351017.1224140599</v>
      </c>
      <c r="G125" s="270">
        <v>10855698.978599431</v>
      </c>
      <c r="H125" s="294">
        <v>36378781.493317902</v>
      </c>
      <c r="I125" s="271">
        <v>68.105166525409345</v>
      </c>
      <c r="J125" s="296">
        <v>228.2287834692286</v>
      </c>
      <c r="K125" s="272">
        <f t="shared" si="65"/>
        <v>3814.1371633627778</v>
      </c>
      <c r="L125" s="148">
        <f t="shared" si="61"/>
        <v>171590.35803092422</v>
      </c>
      <c r="M125" s="273">
        <f t="shared" si="62"/>
        <v>5834987.7785994308</v>
      </c>
      <c r="N125" s="91">
        <f t="shared" si="63"/>
        <v>48.293466525409343</v>
      </c>
      <c r="O125" s="212">
        <v>0</v>
      </c>
      <c r="P125" s="213">
        <v>231563.2</v>
      </c>
      <c r="Q125" s="213">
        <v>5020711.2</v>
      </c>
      <c r="R125" s="275">
        <v>19.811699999999998</v>
      </c>
      <c r="S125" s="154">
        <v>176362.89622663645</v>
      </c>
      <c r="T125" s="215"/>
      <c r="U125" s="212">
        <v>0</v>
      </c>
      <c r="V125" s="276">
        <f t="shared" si="66"/>
        <v>775996.74339720048</v>
      </c>
      <c r="W125" s="276">
        <f t="shared" si="64"/>
        <v>16825020.300021119</v>
      </c>
      <c r="X125" s="276">
        <f t="shared" si="64"/>
        <v>66.391441650324026</v>
      </c>
      <c r="Y125" s="217">
        <v>12.680312643459756</v>
      </c>
      <c r="Z125" s="83"/>
    </row>
    <row r="126" spans="2:26" x14ac:dyDescent="0.35">
      <c r="B126" s="211">
        <v>6</v>
      </c>
      <c r="C126" s="268">
        <v>1483.9356928279769</v>
      </c>
      <c r="D126" s="303">
        <v>38861.063012824452</v>
      </c>
      <c r="E126" s="269">
        <v>443884.98150635534</v>
      </c>
      <c r="F126" s="294">
        <v>11624386.636250656</v>
      </c>
      <c r="G126" s="270">
        <v>12246388.967954114</v>
      </c>
      <c r="H126" s="294">
        <v>320706413.13052636</v>
      </c>
      <c r="I126" s="271">
        <v>59.496445625284096</v>
      </c>
      <c r="J126" s="296">
        <v>1558.0830986530325</v>
      </c>
      <c r="K126" s="272">
        <f t="shared" si="65"/>
        <v>1483.9356928279769</v>
      </c>
      <c r="L126" s="148">
        <f t="shared" si="61"/>
        <v>164956.58150635537</v>
      </c>
      <c r="M126" s="273">
        <f t="shared" si="62"/>
        <v>5809984.5679541146</v>
      </c>
      <c r="N126" s="91">
        <f t="shared" si="63"/>
        <v>35.512345625284098</v>
      </c>
      <c r="O126" s="212">
        <v>0</v>
      </c>
      <c r="P126" s="213">
        <v>278928.39999999997</v>
      </c>
      <c r="Q126" s="213">
        <v>6436404.3999999994</v>
      </c>
      <c r="R126" s="275">
        <v>23.984100000000002</v>
      </c>
      <c r="S126" s="154">
        <v>1378213.3781965778</v>
      </c>
      <c r="T126" s="215"/>
      <c r="U126" s="212">
        <v>0</v>
      </c>
      <c r="V126" s="276">
        <f t="shared" si="66"/>
        <v>7304530.9044418605</v>
      </c>
      <c r="W126" s="276">
        <f t="shared" si="64"/>
        <v>168555496.15344146</v>
      </c>
      <c r="X126" s="276">
        <f t="shared" si="64"/>
        <v>628.09165242845143</v>
      </c>
      <c r="Y126" s="217">
        <v>15.071422402523371</v>
      </c>
      <c r="Z126" s="83"/>
    </row>
    <row r="127" spans="2:26" x14ac:dyDescent="0.35">
      <c r="B127" s="211">
        <v>7</v>
      </c>
      <c r="C127" s="268">
        <v>813.56186620231449</v>
      </c>
      <c r="D127" s="303">
        <v>11981.60991849596</v>
      </c>
      <c r="E127" s="269">
        <v>434434.2484963031</v>
      </c>
      <c r="F127" s="294">
        <v>6398064.9990583798</v>
      </c>
      <c r="G127" s="270">
        <v>11353107.021388082</v>
      </c>
      <c r="H127" s="294">
        <v>167201174.66688433</v>
      </c>
      <c r="I127" s="271">
        <v>55.447076839022117</v>
      </c>
      <c r="J127" s="296">
        <v>816.5884776620386</v>
      </c>
      <c r="K127" s="272">
        <f t="shared" si="65"/>
        <v>813.56186620231449</v>
      </c>
      <c r="L127" s="148">
        <f t="shared" si="61"/>
        <v>176557.04849630309</v>
      </c>
      <c r="M127" s="273">
        <f t="shared" si="62"/>
        <v>5432457.0213880818</v>
      </c>
      <c r="N127" s="91">
        <f t="shared" si="63"/>
        <v>31.564476839022117</v>
      </c>
      <c r="O127" s="212">
        <v>0</v>
      </c>
      <c r="P127" s="213">
        <v>257877.2</v>
      </c>
      <c r="Q127" s="213">
        <v>5920650</v>
      </c>
      <c r="R127" s="275">
        <v>23.8826</v>
      </c>
      <c r="S127" s="154">
        <v>775070.94787281659</v>
      </c>
      <c r="T127" s="215"/>
      <c r="U127" s="212">
        <v>0</v>
      </c>
      <c r="V127" s="276">
        <f t="shared" si="66"/>
        <v>3797847.6445768015</v>
      </c>
      <c r="W127" s="276">
        <f t="shared" si="64"/>
        <v>87195481.635691866</v>
      </c>
      <c r="X127" s="276">
        <f t="shared" si="64"/>
        <v>351.72739643663698</v>
      </c>
      <c r="Y127" s="217">
        <v>15.071422402523371</v>
      </c>
      <c r="Z127" s="83"/>
    </row>
    <row r="128" spans="2:26" x14ac:dyDescent="0.35">
      <c r="B128" s="211">
        <v>8</v>
      </c>
      <c r="C128" s="268">
        <v>1430.0247869756586</v>
      </c>
      <c r="D128" s="303">
        <v>56064.929826731655</v>
      </c>
      <c r="E128" s="269">
        <v>458008.26324184227</v>
      </c>
      <c r="F128" s="294">
        <v>17956472.763680995</v>
      </c>
      <c r="G128" s="270">
        <v>13174057.399009144</v>
      </c>
      <c r="H128" s="294">
        <v>516496364.49368405</v>
      </c>
      <c r="I128" s="271">
        <v>61.255271248720241</v>
      </c>
      <c r="J128" s="296">
        <v>2401.5475223614922</v>
      </c>
      <c r="K128" s="272">
        <f t="shared" si="65"/>
        <v>1430.0247869756586</v>
      </c>
      <c r="L128" s="148">
        <f t="shared" si="61"/>
        <v>189605.46324184228</v>
      </c>
      <c r="M128" s="273">
        <f t="shared" si="62"/>
        <v>6511352.5990091441</v>
      </c>
      <c r="N128" s="91">
        <f t="shared" si="63"/>
        <v>37.431771248720274</v>
      </c>
      <c r="O128" s="212">
        <v>0</v>
      </c>
      <c r="P128" s="213">
        <v>268402.8</v>
      </c>
      <c r="Q128" s="213">
        <v>6662704.7999999998</v>
      </c>
      <c r="R128" s="275">
        <v>23.823499999999967</v>
      </c>
      <c r="S128" s="154">
        <v>2063310.4781081376</v>
      </c>
      <c r="T128" s="215"/>
      <c r="U128" s="212">
        <v>0</v>
      </c>
      <c r="V128" s="276">
        <f t="shared" si="66"/>
        <v>10522883.438351503</v>
      </c>
      <c r="W128" s="276">
        <f t="shared" si="64"/>
        <v>261215106.52849022</v>
      </c>
      <c r="X128" s="276">
        <f t="shared" si="64"/>
        <v>934.01377926596388</v>
      </c>
      <c r="Y128" s="217">
        <v>15.071422402523371</v>
      </c>
      <c r="Z128" s="83"/>
    </row>
    <row r="129" spans="2:26" x14ac:dyDescent="0.35">
      <c r="B129" s="211">
        <v>9</v>
      </c>
      <c r="C129" s="268">
        <v>1677.0703348869185</v>
      </c>
      <c r="D129" s="303">
        <v>122348.65741884941</v>
      </c>
      <c r="E129" s="269">
        <v>464026.08726398868</v>
      </c>
      <c r="F129" s="294">
        <v>33852467.367088072</v>
      </c>
      <c r="G129" s="270">
        <v>13704565.858993277</v>
      </c>
      <c r="H129" s="294">
        <v>999800186.35836589</v>
      </c>
      <c r="I129" s="271">
        <v>63.9432984752507</v>
      </c>
      <c r="J129" s="296">
        <v>4664.9067463871152</v>
      </c>
      <c r="K129" s="272">
        <f t="shared" si="65"/>
        <v>1677.0703348869185</v>
      </c>
      <c r="L129" s="148">
        <f t="shared" si="61"/>
        <v>179834.88726398867</v>
      </c>
      <c r="M129" s="273">
        <f t="shared" si="62"/>
        <v>6894502.6589932768</v>
      </c>
      <c r="N129" s="91">
        <f t="shared" si="63"/>
        <v>39.598998475250703</v>
      </c>
      <c r="O129" s="212">
        <v>0</v>
      </c>
      <c r="P129" s="213">
        <v>284191.2</v>
      </c>
      <c r="Q129" s="213">
        <v>6810063.2000000002</v>
      </c>
      <c r="R129" s="275">
        <v>24.344299999999997</v>
      </c>
      <c r="S129" s="154">
        <v>3839412.7000483694</v>
      </c>
      <c r="T129" s="215"/>
      <c r="U129" s="212">
        <v>0</v>
      </c>
      <c r="V129" s="276">
        <f t="shared" si="66"/>
        <v>20732828.580261197</v>
      </c>
      <c r="W129" s="276">
        <f t="shared" si="64"/>
        <v>496820003.38625902</v>
      </c>
      <c r="X129" s="276">
        <f t="shared" si="64"/>
        <v>1776.0092459106845</v>
      </c>
      <c r="Y129" s="217">
        <v>15.071422402523371</v>
      </c>
      <c r="Z129" s="83"/>
    </row>
    <row r="130" spans="2:26" x14ac:dyDescent="0.35">
      <c r="B130" s="211">
        <v>10</v>
      </c>
      <c r="C130" s="268">
        <v>2002.3012742061535</v>
      </c>
      <c r="D130" s="303">
        <v>28687.450405022075</v>
      </c>
      <c r="E130" s="269">
        <v>471785.85791259108</v>
      </c>
      <c r="F130" s="294">
        <v>6759389.0964406263</v>
      </c>
      <c r="G130" s="270">
        <v>13763901.425352903</v>
      </c>
      <c r="H130" s="294">
        <v>197198715.60086259</v>
      </c>
      <c r="I130" s="271">
        <v>66.3408705656054</v>
      </c>
      <c r="J130" s="296">
        <v>950.48155774226836</v>
      </c>
      <c r="K130" s="272">
        <f t="shared" si="65"/>
        <v>2002.3012742061535</v>
      </c>
      <c r="L130" s="148">
        <f t="shared" si="61"/>
        <v>187594.65791259106</v>
      </c>
      <c r="M130" s="273">
        <f t="shared" si="62"/>
        <v>7080145.4253529031</v>
      </c>
      <c r="N130" s="91">
        <f t="shared" si="63"/>
        <v>41.750370565605436</v>
      </c>
      <c r="O130" s="212">
        <v>0</v>
      </c>
      <c r="P130" s="213">
        <v>284191.2</v>
      </c>
      <c r="Q130" s="213">
        <v>6683756</v>
      </c>
      <c r="R130" s="275">
        <v>24.590499999999967</v>
      </c>
      <c r="S130" s="154">
        <v>754013.97350359929</v>
      </c>
      <c r="T130" s="215"/>
      <c r="U130" s="212">
        <v>0</v>
      </c>
      <c r="V130" s="276">
        <f t="shared" si="66"/>
        <v>4071675.4569194363</v>
      </c>
      <c r="W130" s="276">
        <f t="shared" si="64"/>
        <v>95759774.634957105</v>
      </c>
      <c r="X130" s="276">
        <f t="shared" si="64"/>
        <v>352.31398904461952</v>
      </c>
      <c r="Y130" s="217">
        <v>15.071422402523371</v>
      </c>
      <c r="Z130" s="83"/>
    </row>
    <row r="131" spans="2:26" x14ac:dyDescent="0.35">
      <c r="B131" s="211">
        <v>11</v>
      </c>
      <c r="C131" s="268">
        <v>4019.9569028737578</v>
      </c>
      <c r="D131" s="303">
        <v>12316.520830737876</v>
      </c>
      <c r="E131" s="269">
        <v>473982.02923993469</v>
      </c>
      <c r="F131" s="294">
        <v>1452206.9956411156</v>
      </c>
      <c r="G131" s="270">
        <v>13879024.906177193</v>
      </c>
      <c r="H131" s="294">
        <v>42523167.162578255</v>
      </c>
      <c r="I131" s="271">
        <v>79.226664410229091</v>
      </c>
      <c r="J131" s="296">
        <v>242.7381402673484</v>
      </c>
      <c r="K131" s="272">
        <f t="shared" si="65"/>
        <v>4019.9569028737578</v>
      </c>
      <c r="L131" s="148">
        <f t="shared" si="61"/>
        <v>221367.6292399347</v>
      </c>
      <c r="M131" s="273">
        <f t="shared" si="62"/>
        <v>7784702.5061771935</v>
      </c>
      <c r="N131" s="91">
        <f t="shared" si="63"/>
        <v>58.697964410229091</v>
      </c>
      <c r="O131" s="212">
        <v>0</v>
      </c>
      <c r="P131" s="213">
        <v>252614.39999999999</v>
      </c>
      <c r="Q131" s="213">
        <v>6094322.3999999994</v>
      </c>
      <c r="R131" s="275">
        <v>20.528700000000001</v>
      </c>
      <c r="S131" s="154">
        <v>161243.98194833798</v>
      </c>
      <c r="T131" s="215"/>
      <c r="U131" s="212">
        <v>0</v>
      </c>
      <c r="V131" s="276">
        <f t="shared" si="66"/>
        <v>773971.11335202225</v>
      </c>
      <c r="W131" s="276">
        <f t="shared" si="64"/>
        <v>18672053.109617539</v>
      </c>
      <c r="X131" s="276">
        <f t="shared" si="64"/>
        <v>62.896734290165803</v>
      </c>
      <c r="Y131" s="217">
        <v>15.071422402523371</v>
      </c>
      <c r="Z131" s="83"/>
    </row>
    <row r="132" spans="2:26" x14ac:dyDescent="0.35">
      <c r="B132" s="211">
        <v>12</v>
      </c>
      <c r="C132" s="268">
        <v>3765.0544978586308</v>
      </c>
      <c r="D132" s="303">
        <v>115027.60974115561</v>
      </c>
      <c r="E132" s="269">
        <v>452658.17166588246</v>
      </c>
      <c r="F132" s="294">
        <v>13829331.699220251</v>
      </c>
      <c r="G132" s="270">
        <v>13265559.006513035</v>
      </c>
      <c r="H132" s="294">
        <v>405281130.79566574</v>
      </c>
      <c r="I132" s="271">
        <v>74.571318480081814</v>
      </c>
      <c r="J132" s="296">
        <v>2278.2566692962519</v>
      </c>
      <c r="K132" s="272">
        <f t="shared" si="65"/>
        <v>3765.0544978586308</v>
      </c>
      <c r="L132" s="148">
        <f t="shared" si="61"/>
        <v>194780.97166588245</v>
      </c>
      <c r="M132" s="273">
        <f t="shared" si="62"/>
        <v>7144922.6065130355</v>
      </c>
      <c r="N132" s="91">
        <f t="shared" si="63"/>
        <v>54.370618480081816</v>
      </c>
      <c r="O132" s="212">
        <v>0</v>
      </c>
      <c r="P132" s="213">
        <v>257877.2</v>
      </c>
      <c r="Q132" s="213">
        <v>6120636.3999999994</v>
      </c>
      <c r="R132" s="275">
        <v>20.200699999999998</v>
      </c>
      <c r="S132" s="154">
        <v>1607858.0134498863</v>
      </c>
      <c r="T132" s="215"/>
      <c r="U132" s="212">
        <v>0</v>
      </c>
      <c r="V132" s="276">
        <f t="shared" si="66"/>
        <v>7878504.2659044433</v>
      </c>
      <c r="W132" s="276">
        <f t="shared" si="64"/>
        <v>186993886.96422175</v>
      </c>
      <c r="X132" s="276">
        <f t="shared" si="64"/>
        <v>617.15925690311462</v>
      </c>
      <c r="Y132" s="217">
        <v>15.071422402523371</v>
      </c>
      <c r="Z132" s="83"/>
    </row>
    <row r="133" spans="2:26" x14ac:dyDescent="0.35">
      <c r="B133" s="211">
        <v>13</v>
      </c>
      <c r="C133" s="268">
        <v>3449.1378742591378</v>
      </c>
      <c r="D133" s="303">
        <v>16215.620339122452</v>
      </c>
      <c r="E133" s="269">
        <v>480235.99954947847</v>
      </c>
      <c r="F133" s="294">
        <v>2257759.7433810942</v>
      </c>
      <c r="G133" s="270">
        <v>14209064.069114489</v>
      </c>
      <c r="H133" s="294">
        <v>66801849.250087723</v>
      </c>
      <c r="I133" s="271">
        <v>76.478730182388958</v>
      </c>
      <c r="J133" s="296">
        <v>359.5536327819845</v>
      </c>
      <c r="K133" s="272">
        <f t="shared" si="65"/>
        <v>3449.1378742591378</v>
      </c>
      <c r="L133" s="148">
        <f t="shared" si="61"/>
        <v>217095.99954947847</v>
      </c>
      <c r="M133" s="273">
        <f t="shared" si="62"/>
        <v>7735820.0691144895</v>
      </c>
      <c r="N133" s="91">
        <f t="shared" si="63"/>
        <v>55.620030182388959</v>
      </c>
      <c r="O133" s="212">
        <v>0</v>
      </c>
      <c r="P133" s="213">
        <v>263140</v>
      </c>
      <c r="Q133" s="213">
        <v>6473244</v>
      </c>
      <c r="R133" s="275">
        <v>20.858699999999999</v>
      </c>
      <c r="S133" s="154">
        <v>247422.89184094814</v>
      </c>
      <c r="T133" s="215"/>
      <c r="U133" s="212">
        <v>0</v>
      </c>
      <c r="V133" s="276">
        <f t="shared" si="66"/>
        <v>1237114.4592047406</v>
      </c>
      <c r="W133" s="276">
        <f t="shared" si="64"/>
        <v>30433015.696436621</v>
      </c>
      <c r="X133" s="276">
        <f t="shared" si="64"/>
        <v>98.064145968738785</v>
      </c>
      <c r="Y133" s="217">
        <v>15.071422402523371</v>
      </c>
      <c r="Z133" s="83"/>
    </row>
    <row r="134" spans="2:26" x14ac:dyDescent="0.35">
      <c r="B134" s="211">
        <v>14</v>
      </c>
      <c r="C134" s="268">
        <v>4084.1371587756898</v>
      </c>
      <c r="D134" s="303">
        <v>20139.816497766358</v>
      </c>
      <c r="E134" s="269">
        <v>476640.88052763452</v>
      </c>
      <c r="F134" s="294">
        <v>2350425.4377289293</v>
      </c>
      <c r="G134" s="270">
        <v>14847002.950205851</v>
      </c>
      <c r="H134" s="294">
        <v>73213974.784475207</v>
      </c>
      <c r="I134" s="271">
        <v>78.81253886762704</v>
      </c>
      <c r="J134" s="296">
        <v>388.64269460355411</v>
      </c>
      <c r="K134" s="272">
        <f t="shared" si="65"/>
        <v>4084.1371587756898</v>
      </c>
      <c r="L134" s="148">
        <f t="shared" si="61"/>
        <v>171398.48052763456</v>
      </c>
      <c r="M134" s="273">
        <f t="shared" si="62"/>
        <v>7736960.1502058515</v>
      </c>
      <c r="N134" s="91">
        <f t="shared" si="63"/>
        <v>53.080238867627074</v>
      </c>
      <c r="O134" s="212">
        <v>0</v>
      </c>
      <c r="P134" s="213">
        <v>305242.39999999997</v>
      </c>
      <c r="Q134" s="213">
        <v>7110042.7999999998</v>
      </c>
      <c r="R134" s="275">
        <v>25.732299999999967</v>
      </c>
      <c r="S134" s="154">
        <v>259520.73141495124</v>
      </c>
      <c r="T134" s="215"/>
      <c r="U134" s="212">
        <v>0</v>
      </c>
      <c r="V134" s="276">
        <f t="shared" si="66"/>
        <v>1505220.2422067169</v>
      </c>
      <c r="W134" s="276">
        <f t="shared" si="64"/>
        <v>35061250.814159915</v>
      </c>
      <c r="X134" s="276">
        <f t="shared" si="64"/>
        <v>126.89186966992744</v>
      </c>
      <c r="Y134" s="217">
        <v>15.071422402523371</v>
      </c>
      <c r="Z134" s="83"/>
    </row>
    <row r="135" spans="2:26" x14ac:dyDescent="0.35">
      <c r="B135" s="211">
        <v>15</v>
      </c>
      <c r="C135" s="268">
        <v>854.76928676185662</v>
      </c>
      <c r="D135" s="303">
        <v>1282.3916699978713</v>
      </c>
      <c r="E135" s="269">
        <v>563203.02866413048</v>
      </c>
      <c r="F135" s="294">
        <v>844961.18854779948</v>
      </c>
      <c r="G135" s="270">
        <v>15997449.235574957</v>
      </c>
      <c r="H135" s="294">
        <v>24000623.277694732</v>
      </c>
      <c r="I135" s="271">
        <v>71.890533167122527</v>
      </c>
      <c r="J135" s="296">
        <v>107.85579490633799</v>
      </c>
      <c r="K135" s="272">
        <f t="shared" si="65"/>
        <v>854.76928676185662</v>
      </c>
      <c r="L135" s="148">
        <f t="shared" si="61"/>
        <v>215858.2286641305</v>
      </c>
      <c r="M135" s="273">
        <f t="shared" si="62"/>
        <v>7608546.0355749559</v>
      </c>
      <c r="N135" s="91">
        <f t="shared" si="63"/>
        <v>41.270033167122527</v>
      </c>
      <c r="O135" s="212">
        <v>0</v>
      </c>
      <c r="P135" s="213">
        <v>347344.8</v>
      </c>
      <c r="Q135" s="213">
        <v>8388903.2000000011</v>
      </c>
      <c r="R135" s="275">
        <v>30.6205</v>
      </c>
      <c r="S135" s="154">
        <v>78956.637602552248</v>
      </c>
      <c r="T135" s="215"/>
      <c r="U135" s="212">
        <v>0</v>
      </c>
      <c r="V135" s="276">
        <f t="shared" si="66"/>
        <v>521113.80817684479</v>
      </c>
      <c r="W135" s="276">
        <f t="shared" si="64"/>
        <v>12585688.033846831</v>
      </c>
      <c r="X135" s="276">
        <f t="shared" si="64"/>
        <v>45.939266582597689</v>
      </c>
      <c r="Y135" s="217">
        <v>17.432007001976135</v>
      </c>
      <c r="Z135" s="83"/>
    </row>
    <row r="136" spans="2:26" x14ac:dyDescent="0.35">
      <c r="B136" s="211">
        <v>16</v>
      </c>
      <c r="C136" s="268">
        <v>7414.4154916380339</v>
      </c>
      <c r="D136" s="303">
        <v>9383.1052570909942</v>
      </c>
      <c r="E136" s="269">
        <v>417701.78052050935</v>
      </c>
      <c r="F136" s="294">
        <v>528610.75524004363</v>
      </c>
      <c r="G136" s="270">
        <v>12077513.293968191</v>
      </c>
      <c r="H136" s="294">
        <v>15284357.696035055</v>
      </c>
      <c r="I136" s="271">
        <v>91.344653563798204</v>
      </c>
      <c r="J136" s="296">
        <v>115.59866047812706</v>
      </c>
      <c r="K136" s="272">
        <f t="shared" si="65"/>
        <v>7414.4154916380339</v>
      </c>
      <c r="L136" s="148">
        <f t="shared" si="61"/>
        <v>191401.38052050935</v>
      </c>
      <c r="M136" s="273">
        <f t="shared" si="62"/>
        <v>7393621.2939681914</v>
      </c>
      <c r="N136" s="91">
        <f t="shared" si="63"/>
        <v>72.751753563798204</v>
      </c>
      <c r="O136" s="212">
        <v>0</v>
      </c>
      <c r="P136" s="213">
        <v>226300.4</v>
      </c>
      <c r="Q136" s="213">
        <v>4683892</v>
      </c>
      <c r="R136" s="275">
        <v>18.5929</v>
      </c>
      <c r="S136" s="154">
        <v>66601.887097790459</v>
      </c>
      <c r="T136" s="215"/>
      <c r="U136" s="212">
        <v>0</v>
      </c>
      <c r="V136" s="276">
        <f t="shared" si="66"/>
        <v>286388.11452049896</v>
      </c>
      <c r="W136" s="276">
        <f t="shared" si="64"/>
        <v>5927567.951703351</v>
      </c>
      <c r="X136" s="276">
        <f t="shared" si="64"/>
        <v>23.529722326907883</v>
      </c>
      <c r="Y136" s="217">
        <v>12.680312643459756</v>
      </c>
      <c r="Z136" s="83"/>
    </row>
    <row r="137" spans="2:26" ht="15" thickBot="1" x14ac:dyDescent="0.4">
      <c r="B137" s="218" t="s">
        <v>12</v>
      </c>
      <c r="C137" s="219"/>
      <c r="D137" s="304">
        <v>656627.4846434159</v>
      </c>
      <c r="E137" s="277"/>
      <c r="F137" s="278">
        <v>125318059.74837923</v>
      </c>
      <c r="G137" s="278"/>
      <c r="H137" s="278">
        <v>3606251680.7784133</v>
      </c>
      <c r="I137" s="99"/>
      <c r="J137" s="297">
        <v>18372.010328944601</v>
      </c>
      <c r="K137" s="279">
        <f>SUM(K121:K136)</f>
        <v>51465.527599524205</v>
      </c>
      <c r="L137" s="277">
        <f t="shared" ref="L137:N137" si="67">SUM(L121:L136)</f>
        <v>3008891.8050594055</v>
      </c>
      <c r="M137" s="278">
        <f t="shared" si="67"/>
        <v>109163685.048491</v>
      </c>
      <c r="N137" s="99">
        <f t="shared" si="67"/>
        <v>782.20838338720318</v>
      </c>
      <c r="O137" s="219"/>
      <c r="P137" s="220"/>
      <c r="Q137" s="221"/>
      <c r="R137" s="222"/>
      <c r="S137" s="280">
        <f>SUM(S121:S136)</f>
        <v>14735388.785000002</v>
      </c>
      <c r="T137" s="224"/>
      <c r="U137" s="225">
        <f>SUM(U121:U136)</f>
        <v>0</v>
      </c>
      <c r="V137" s="226">
        <f>SUM(V121:V136)</f>
        <v>74156118.324494094</v>
      </c>
      <c r="W137" s="226">
        <f>SUM(W121:W136)</f>
        <v>1762730275.1478355</v>
      </c>
      <c r="X137" s="227">
        <f>SUM(X121:X136)</f>
        <v>6290.685535439351</v>
      </c>
      <c r="Y137" s="229">
        <f>SUMPRODUCT(Y121:Y136,S121:S136)/SUM(S121:S136)</f>
        <v>14.723600315043818</v>
      </c>
      <c r="Z137" s="83"/>
    </row>
    <row r="138" spans="2:26" x14ac:dyDescent="0.35">
      <c r="B138" s="83"/>
      <c r="C138" s="83"/>
      <c r="D138" s="83"/>
      <c r="E138" s="83"/>
      <c r="F138" s="83"/>
      <c r="G138" s="83"/>
      <c r="H138" s="83"/>
      <c r="I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2:26" x14ac:dyDescent="0.35">
      <c r="B139" s="83"/>
      <c r="C139" s="83"/>
      <c r="D139" s="83"/>
      <c r="E139" s="83"/>
      <c r="F139" s="83"/>
      <c r="G139" s="83"/>
      <c r="H139" s="83"/>
      <c r="I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2:26" x14ac:dyDescent="0.35">
      <c r="B140" s="83"/>
      <c r="C140" s="83"/>
      <c r="D140" s="83"/>
      <c r="E140" s="83"/>
      <c r="F140" s="83"/>
      <c r="G140" s="83"/>
      <c r="H140" s="83"/>
      <c r="I140" s="83"/>
      <c r="K140" s="83"/>
      <c r="L140" s="83"/>
      <c r="M140" s="83"/>
      <c r="N140" s="83"/>
      <c r="O140" s="83"/>
      <c r="P140" s="83"/>
      <c r="Q140" s="83" t="s">
        <v>124</v>
      </c>
      <c r="R140" s="83">
        <v>5502</v>
      </c>
      <c r="S140" s="83"/>
      <c r="T140" s="83"/>
      <c r="U140" s="83"/>
      <c r="V140" s="83"/>
      <c r="W140" s="83"/>
      <c r="X140" s="83"/>
      <c r="Y140" s="83"/>
      <c r="Z140" s="83"/>
    </row>
    <row r="141" spans="2:26" ht="15" thickBot="1" x14ac:dyDescent="0.4">
      <c r="B141" s="83"/>
      <c r="C141" s="83"/>
      <c r="D141" s="83"/>
      <c r="E141" s="83"/>
      <c r="F141" s="83"/>
      <c r="G141" s="83"/>
      <c r="H141" s="83"/>
      <c r="I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2:26" x14ac:dyDescent="0.35">
      <c r="B142" s="203"/>
      <c r="C142" s="1197" t="str">
        <f>C119</f>
        <v>2019 Energy Code</v>
      </c>
      <c r="D142" s="1198"/>
      <c r="E142" s="1199"/>
      <c r="F142" s="1200"/>
      <c r="G142" s="1200"/>
      <c r="H142" s="1200"/>
      <c r="I142" s="1201"/>
      <c r="J142" s="263"/>
      <c r="K142" s="1202" t="str">
        <f>K119</f>
        <v>2022 Energy Code</v>
      </c>
      <c r="L142" s="1203"/>
      <c r="M142" s="1204"/>
      <c r="N142" s="1205"/>
      <c r="O142" s="1197" t="s">
        <v>163</v>
      </c>
      <c r="P142" s="1199"/>
      <c r="Q142" s="1200"/>
      <c r="R142" s="1201"/>
      <c r="S142" s="1206" t="s">
        <v>164</v>
      </c>
      <c r="T142" s="1207"/>
      <c r="U142" s="1197" t="s">
        <v>165</v>
      </c>
      <c r="V142" s="1199"/>
      <c r="W142" s="1199"/>
      <c r="X142" s="1199"/>
      <c r="Y142" s="267"/>
      <c r="Z142" s="83"/>
    </row>
    <row r="143" spans="2:26" ht="43.5" x14ac:dyDescent="0.35">
      <c r="B143" s="204" t="s">
        <v>5</v>
      </c>
      <c r="C143" s="205" t="s">
        <v>6</v>
      </c>
      <c r="D143" s="293" t="s">
        <v>166</v>
      </c>
      <c r="E143" s="206" t="s">
        <v>7</v>
      </c>
      <c r="F143" s="207" t="s">
        <v>167</v>
      </c>
      <c r="G143" s="207" t="s">
        <v>8</v>
      </c>
      <c r="H143" s="207" t="s">
        <v>168</v>
      </c>
      <c r="I143" s="208" t="s">
        <v>9</v>
      </c>
      <c r="J143" s="208" t="s">
        <v>169</v>
      </c>
      <c r="K143" s="258" t="s">
        <v>6</v>
      </c>
      <c r="L143" s="259" t="s">
        <v>7</v>
      </c>
      <c r="M143" s="209" t="s">
        <v>8</v>
      </c>
      <c r="N143" s="260" t="s">
        <v>9</v>
      </c>
      <c r="O143" s="205" t="s">
        <v>6</v>
      </c>
      <c r="P143" s="206" t="s">
        <v>7</v>
      </c>
      <c r="Q143" s="206" t="s">
        <v>170</v>
      </c>
      <c r="R143" s="208" t="s">
        <v>9</v>
      </c>
      <c r="S143" s="258" t="s">
        <v>171</v>
      </c>
      <c r="T143" s="209" t="s">
        <v>11</v>
      </c>
      <c r="U143" s="205" t="s">
        <v>6</v>
      </c>
      <c r="V143" s="206" t="s">
        <v>7</v>
      </c>
      <c r="W143" s="206" t="s">
        <v>170</v>
      </c>
      <c r="X143" s="206" t="s">
        <v>9</v>
      </c>
      <c r="Y143" s="208" t="s">
        <v>172</v>
      </c>
      <c r="Z143" s="83"/>
    </row>
    <row r="144" spans="2:26" x14ac:dyDescent="0.35">
      <c r="B144" s="211">
        <v>1</v>
      </c>
      <c r="C144" s="268">
        <v>735.13495772971862</v>
      </c>
      <c r="D144" s="303">
        <v>4699.9038698877303</v>
      </c>
      <c r="E144" s="269">
        <v>47378.728778476536</v>
      </c>
      <c r="F144" s="294">
        <v>302904.20608482667</v>
      </c>
      <c r="G144" s="270">
        <v>1406151.98942259</v>
      </c>
      <c r="H144" s="294">
        <v>8989885.6084155384</v>
      </c>
      <c r="I144" s="271">
        <v>10.278760823234087</v>
      </c>
      <c r="J144" s="296">
        <v>65.714719811392428</v>
      </c>
      <c r="K144" s="272">
        <f>C144-O144</f>
        <v>735.13495772971862</v>
      </c>
      <c r="L144" s="148">
        <f t="shared" ref="L144:L159" si="68">E144-P144</f>
        <v>19318.528778476539</v>
      </c>
      <c r="M144" s="273">
        <f t="shared" ref="M144:M159" si="69">G144-Q144</f>
        <v>791028.38942259003</v>
      </c>
      <c r="N144" s="91">
        <f t="shared" ref="N144:N159" si="70">I144-R144</f>
        <v>7.9412608232340869</v>
      </c>
      <c r="O144" s="212">
        <v>0</v>
      </c>
      <c r="P144" s="213">
        <v>28060.199999999997</v>
      </c>
      <c r="Q144" s="213">
        <v>615123.6</v>
      </c>
      <c r="R144" s="275">
        <v>2.3374999999999999</v>
      </c>
      <c r="S144" s="154">
        <v>35175.678724327001</v>
      </c>
      <c r="T144" s="215"/>
      <c r="U144" s="212">
        <v>0</v>
      </c>
      <c r="V144" s="276">
        <f>$S144*P144/$R$140</f>
        <v>179395.96149406768</v>
      </c>
      <c r="W144" s="276">
        <f t="shared" ref="W144:X159" si="71">$S144*Q144/$R$140</f>
        <v>3932640.8813797589</v>
      </c>
      <c r="X144" s="276">
        <f t="shared" si="71"/>
        <v>14.944229192678002</v>
      </c>
      <c r="Y144" s="217">
        <v>19.918636732097422</v>
      </c>
      <c r="Z144" s="83"/>
    </row>
    <row r="145" spans="2:26" x14ac:dyDescent="0.35">
      <c r="B145" s="211">
        <v>2</v>
      </c>
      <c r="C145" s="268">
        <v>388.74126248157262</v>
      </c>
      <c r="D145" s="303">
        <v>14768.395932612992</v>
      </c>
      <c r="E145" s="269">
        <v>54131.296277139423</v>
      </c>
      <c r="F145" s="294">
        <v>2056464.0106972691</v>
      </c>
      <c r="G145" s="270">
        <v>1611971.0184662875</v>
      </c>
      <c r="H145" s="294">
        <v>61239257.393562697</v>
      </c>
      <c r="I145" s="271">
        <v>9.1702489788418422</v>
      </c>
      <c r="J145" s="296">
        <v>348.38048025991588</v>
      </c>
      <c r="K145" s="272">
        <f t="shared" ref="K145:K159" si="72">C145-O145</f>
        <v>388.74126248157262</v>
      </c>
      <c r="L145" s="148">
        <f t="shared" si="68"/>
        <v>17267.896277139422</v>
      </c>
      <c r="M145" s="273">
        <f t="shared" si="69"/>
        <v>720647.01846628753</v>
      </c>
      <c r="N145" s="91">
        <f t="shared" si="70"/>
        <v>6.3046489788418416</v>
      </c>
      <c r="O145" s="212">
        <v>0</v>
      </c>
      <c r="P145" s="213">
        <v>36863.4</v>
      </c>
      <c r="Q145" s="213">
        <v>891324</v>
      </c>
      <c r="R145" s="275">
        <v>2.8656000000000001</v>
      </c>
      <c r="S145" s="154">
        <v>209022.61288789331</v>
      </c>
      <c r="T145" s="215"/>
      <c r="U145" s="212">
        <v>0</v>
      </c>
      <c r="V145" s="276">
        <f t="shared" ref="V145:V159" si="73">$S145*P145/$R$140</f>
        <v>1400451.5063488851</v>
      </c>
      <c r="W145" s="276">
        <f t="shared" si="71"/>
        <v>33861663.28783872</v>
      </c>
      <c r="X145" s="276">
        <f t="shared" si="71"/>
        <v>108.86499445502491</v>
      </c>
      <c r="Y145" s="217">
        <v>21.906293838604146</v>
      </c>
      <c r="Z145" s="83"/>
    </row>
    <row r="146" spans="2:26" x14ac:dyDescent="0.35">
      <c r="B146" s="211">
        <v>3</v>
      </c>
      <c r="C146" s="268">
        <v>307.67463713620481</v>
      </c>
      <c r="D146" s="303">
        <v>41607.010200748926</v>
      </c>
      <c r="E146" s="269">
        <v>51939.035440103602</v>
      </c>
      <c r="F146" s="294">
        <v>7023744.2952334825</v>
      </c>
      <c r="G146" s="270">
        <v>1449660.2103887985</v>
      </c>
      <c r="H146" s="294">
        <v>196038346.62057373</v>
      </c>
      <c r="I146" s="271">
        <v>8.4235249556849361</v>
      </c>
      <c r="J146" s="296">
        <v>1139.1179072140837</v>
      </c>
      <c r="K146" s="272">
        <f t="shared" si="72"/>
        <v>307.67463713620481</v>
      </c>
      <c r="L146" s="148">
        <f t="shared" si="68"/>
        <v>17276.435440103603</v>
      </c>
      <c r="M146" s="273">
        <f t="shared" si="69"/>
        <v>665625.2103887985</v>
      </c>
      <c r="N146" s="91">
        <f t="shared" si="70"/>
        <v>5.7070249556849362</v>
      </c>
      <c r="O146" s="212">
        <v>0</v>
      </c>
      <c r="P146" s="213">
        <v>34662.6</v>
      </c>
      <c r="Q146" s="213">
        <v>784035</v>
      </c>
      <c r="R146" s="275">
        <v>2.7165000000000004</v>
      </c>
      <c r="S146" s="154">
        <v>744038.48251937306</v>
      </c>
      <c r="T146" s="215"/>
      <c r="U146" s="212">
        <v>0</v>
      </c>
      <c r="V146" s="276">
        <f t="shared" si="73"/>
        <v>4687442.4398720507</v>
      </c>
      <c r="W146" s="276">
        <f t="shared" si="71"/>
        <v>106025483.75901066</v>
      </c>
      <c r="X146" s="276">
        <f t="shared" si="71"/>
        <v>367.35378730713876</v>
      </c>
      <c r="Y146" s="217">
        <v>19.918636732097422</v>
      </c>
      <c r="Z146" s="83"/>
    </row>
    <row r="147" spans="2:26" x14ac:dyDescent="0.35">
      <c r="B147" s="211">
        <v>4</v>
      </c>
      <c r="C147" s="268">
        <v>259.71135632940991</v>
      </c>
      <c r="D147" s="303">
        <v>17558.09419666828</v>
      </c>
      <c r="E147" s="269">
        <v>54962.602255334285</v>
      </c>
      <c r="F147" s="294">
        <v>3715811.8972246493</v>
      </c>
      <c r="G147" s="270">
        <v>1548004.2353592056</v>
      </c>
      <c r="H147" s="294">
        <v>104654661.87317625</v>
      </c>
      <c r="I147" s="271">
        <v>8.5287775964709471</v>
      </c>
      <c r="J147" s="296">
        <v>576.59812238373524</v>
      </c>
      <c r="K147" s="272">
        <f t="shared" si="72"/>
        <v>259.71135632940991</v>
      </c>
      <c r="L147" s="148">
        <f t="shared" si="68"/>
        <v>16448.602255334285</v>
      </c>
      <c r="M147" s="273">
        <f t="shared" si="69"/>
        <v>640174.23535920563</v>
      </c>
      <c r="N147" s="91">
        <f t="shared" si="70"/>
        <v>5.5275775964709473</v>
      </c>
      <c r="O147" s="212">
        <v>0</v>
      </c>
      <c r="P147" s="213">
        <v>38514</v>
      </c>
      <c r="Q147" s="213">
        <v>907830</v>
      </c>
      <c r="R147" s="275">
        <v>3.0011999999999999</v>
      </c>
      <c r="S147" s="154">
        <v>371969.23398119916</v>
      </c>
      <c r="T147" s="215"/>
      <c r="U147" s="212">
        <v>0</v>
      </c>
      <c r="V147" s="276">
        <f t="shared" si="73"/>
        <v>2603784.6378683941</v>
      </c>
      <c r="W147" s="276">
        <f t="shared" si="71"/>
        <v>61374923.606897861</v>
      </c>
      <c r="X147" s="276">
        <f t="shared" si="71"/>
        <v>202.89968466455375</v>
      </c>
      <c r="Y147" s="217">
        <v>21.906293838604146</v>
      </c>
      <c r="Z147" s="83"/>
    </row>
    <row r="148" spans="2:26" x14ac:dyDescent="0.35">
      <c r="B148" s="211">
        <v>5</v>
      </c>
      <c r="C148" s="268">
        <v>336.08216520231406</v>
      </c>
      <c r="D148" s="303">
        <v>4966.0162342212689</v>
      </c>
      <c r="E148" s="269">
        <v>51384.567201428021</v>
      </c>
      <c r="F148" s="294">
        <v>759268.48054288921</v>
      </c>
      <c r="G148" s="270">
        <v>1394437.7397526784</v>
      </c>
      <c r="H148" s="294">
        <v>20604486.551834837</v>
      </c>
      <c r="I148" s="271">
        <v>8.4618702387149991</v>
      </c>
      <c r="J148" s="296">
        <v>125.03426045245898</v>
      </c>
      <c r="K148" s="272">
        <f t="shared" si="72"/>
        <v>336.08216520231406</v>
      </c>
      <c r="L148" s="148">
        <f t="shared" si="68"/>
        <v>14521.167201428019</v>
      </c>
      <c r="M148" s="273">
        <f t="shared" si="69"/>
        <v>602149.73975267843</v>
      </c>
      <c r="N148" s="91">
        <f t="shared" si="70"/>
        <v>5.4618702387149991</v>
      </c>
      <c r="O148" s="212">
        <v>0</v>
      </c>
      <c r="P148" s="213">
        <v>36863.4</v>
      </c>
      <c r="Q148" s="213">
        <v>792288</v>
      </c>
      <c r="R148" s="275">
        <v>3</v>
      </c>
      <c r="S148" s="154">
        <v>81298.635124650435</v>
      </c>
      <c r="T148" s="215"/>
      <c r="U148" s="212">
        <v>0</v>
      </c>
      <c r="V148" s="276">
        <f t="shared" si="73"/>
        <v>544700.85533515795</v>
      </c>
      <c r="W148" s="276">
        <f t="shared" si="71"/>
        <v>11707003.457949663</v>
      </c>
      <c r="X148" s="276">
        <f t="shared" si="71"/>
        <v>44.328590580507324</v>
      </c>
      <c r="Y148" s="217">
        <v>19.918636732097422</v>
      </c>
      <c r="Z148" s="83"/>
    </row>
    <row r="149" spans="2:26" x14ac:dyDescent="0.35">
      <c r="B149" s="211">
        <v>6</v>
      </c>
      <c r="C149" s="268">
        <v>134.81662156888976</v>
      </c>
      <c r="D149" s="303">
        <v>13676.177968450955</v>
      </c>
      <c r="E149" s="269">
        <v>55845.713864338402</v>
      </c>
      <c r="F149" s="294">
        <v>5665146.5724025005</v>
      </c>
      <c r="G149" s="270">
        <v>1543717.7533011844</v>
      </c>
      <c r="H149" s="294">
        <v>156599078.67084616</v>
      </c>
      <c r="I149" s="271">
        <v>7.8609017377319823</v>
      </c>
      <c r="J149" s="296">
        <v>797.43202215457575</v>
      </c>
      <c r="K149" s="272">
        <f t="shared" si="72"/>
        <v>134.81662156888976</v>
      </c>
      <c r="L149" s="148">
        <f t="shared" si="68"/>
        <v>15130.913864338399</v>
      </c>
      <c r="M149" s="273">
        <f t="shared" si="69"/>
        <v>609478.1533011843</v>
      </c>
      <c r="N149" s="91">
        <f t="shared" si="70"/>
        <v>4.4563017377320158</v>
      </c>
      <c r="O149" s="212">
        <v>0</v>
      </c>
      <c r="P149" s="213">
        <v>40714.800000000003</v>
      </c>
      <c r="Q149" s="213">
        <v>934239.60000000009</v>
      </c>
      <c r="R149" s="275">
        <v>3.4045999999999665</v>
      </c>
      <c r="S149" s="154">
        <v>558138.3831367346</v>
      </c>
      <c r="T149" s="215"/>
      <c r="U149" s="212">
        <v>0</v>
      </c>
      <c r="V149" s="276">
        <f t="shared" si="73"/>
        <v>4130224.0352118365</v>
      </c>
      <c r="W149" s="276">
        <f t="shared" si="71"/>
        <v>94771897.456617549</v>
      </c>
      <c r="X149" s="276">
        <f t="shared" si="71"/>
        <v>345.37221723506144</v>
      </c>
      <c r="Y149" s="217">
        <v>21.906293838604146</v>
      </c>
      <c r="Z149" s="83"/>
    </row>
    <row r="150" spans="2:26" x14ac:dyDescent="0.35">
      <c r="B150" s="211">
        <v>7</v>
      </c>
      <c r="C150" s="268">
        <v>51.437794897009361</v>
      </c>
      <c r="D150" s="303">
        <v>7226.6163701215228</v>
      </c>
      <c r="E150" s="269">
        <v>55178.029631474274</v>
      </c>
      <c r="F150" s="294">
        <v>7752090.7147022001</v>
      </c>
      <c r="G150" s="270">
        <v>1455846.6915362889</v>
      </c>
      <c r="H150" s="294">
        <v>204535314.05280161</v>
      </c>
      <c r="I150" s="271">
        <v>7.3231488488879979</v>
      </c>
      <c r="J150" s="296">
        <v>1028.8463465078964</v>
      </c>
      <c r="K150" s="272">
        <f t="shared" si="72"/>
        <v>51.437794897009361</v>
      </c>
      <c r="L150" s="148">
        <f t="shared" si="68"/>
        <v>17764.429631474275</v>
      </c>
      <c r="M150" s="273">
        <f t="shared" si="69"/>
        <v>593683.29153628903</v>
      </c>
      <c r="N150" s="91">
        <f t="shared" si="70"/>
        <v>3.940648848887998</v>
      </c>
      <c r="O150" s="212">
        <v>0</v>
      </c>
      <c r="P150" s="213">
        <v>37413.599999999999</v>
      </c>
      <c r="Q150" s="213">
        <v>862163.39999999991</v>
      </c>
      <c r="R150" s="275">
        <v>3.3824999999999998</v>
      </c>
      <c r="S150" s="154">
        <v>772988.87613707467</v>
      </c>
      <c r="T150" s="215"/>
      <c r="U150" s="212">
        <v>0</v>
      </c>
      <c r="V150" s="276">
        <f t="shared" si="73"/>
        <v>5256324.3577321069</v>
      </c>
      <c r="W150" s="276">
        <f t="shared" si="71"/>
        <v>121127356.89067958</v>
      </c>
      <c r="X150" s="276">
        <f t="shared" si="71"/>
        <v>475.21535324130406</v>
      </c>
      <c r="Y150" s="217">
        <v>21.906293838604146</v>
      </c>
      <c r="Z150" s="83"/>
    </row>
    <row r="151" spans="2:26" x14ac:dyDescent="0.35">
      <c r="B151" s="211">
        <v>8</v>
      </c>
      <c r="C151" s="268">
        <v>105.58381737624049</v>
      </c>
      <c r="D151" s="303">
        <v>14051.072067939267</v>
      </c>
      <c r="E151" s="269">
        <v>57874.052442554392</v>
      </c>
      <c r="F151" s="294">
        <v>7701866.6490933392</v>
      </c>
      <c r="G151" s="270">
        <v>1636406.08640739</v>
      </c>
      <c r="H151" s="294">
        <v>217772575.60777357</v>
      </c>
      <c r="I151" s="271">
        <v>8.0123523010170885</v>
      </c>
      <c r="J151" s="296">
        <v>1066.2821482778145</v>
      </c>
      <c r="K151" s="272">
        <f t="shared" si="72"/>
        <v>105.58381737624049</v>
      </c>
      <c r="L151" s="148">
        <f t="shared" si="68"/>
        <v>18259.65244255439</v>
      </c>
      <c r="M151" s="273">
        <f t="shared" si="69"/>
        <v>667503.88640739</v>
      </c>
      <c r="N151" s="91">
        <f t="shared" si="70"/>
        <v>4.6603523010170882</v>
      </c>
      <c r="O151" s="212">
        <v>0</v>
      </c>
      <c r="P151" s="213">
        <v>39614.400000000001</v>
      </c>
      <c r="Q151" s="213">
        <v>968902.2</v>
      </c>
      <c r="R151" s="275">
        <v>3.3519999999999999</v>
      </c>
      <c r="S151" s="154">
        <v>732204.99541437009</v>
      </c>
      <c r="T151" s="215"/>
      <c r="U151" s="212">
        <v>0</v>
      </c>
      <c r="V151" s="276">
        <f t="shared" si="73"/>
        <v>5271875.9669834655</v>
      </c>
      <c r="W151" s="276">
        <f t="shared" si="71"/>
        <v>128941299.69247057</v>
      </c>
      <c r="X151" s="276">
        <f t="shared" si="71"/>
        <v>446.08345049599575</v>
      </c>
      <c r="Y151" s="217">
        <v>21.906293838604146</v>
      </c>
      <c r="Z151" s="83"/>
    </row>
    <row r="152" spans="2:26" x14ac:dyDescent="0.35">
      <c r="B152" s="211">
        <v>9</v>
      </c>
      <c r="C152" s="268">
        <v>117.16254306339144</v>
      </c>
      <c r="D152" s="303">
        <v>25074.375326418398</v>
      </c>
      <c r="E152" s="269">
        <v>59071.732984933704</v>
      </c>
      <c r="F152" s="294">
        <v>12642153.074850833</v>
      </c>
      <c r="G152" s="270">
        <v>1700574.8376835769</v>
      </c>
      <c r="H152" s="294">
        <v>363946109.70222777</v>
      </c>
      <c r="I152" s="271">
        <v>8.294223925673581</v>
      </c>
      <c r="J152" s="296">
        <v>1775.0765587357907</v>
      </c>
      <c r="K152" s="272">
        <f t="shared" si="72"/>
        <v>117.16254306339144</v>
      </c>
      <c r="L152" s="148">
        <f t="shared" si="68"/>
        <v>17806.732984933704</v>
      </c>
      <c r="M152" s="273">
        <f t="shared" si="69"/>
        <v>714066.23768357676</v>
      </c>
      <c r="N152" s="91">
        <f t="shared" si="70"/>
        <v>4.8685239256735811</v>
      </c>
      <c r="O152" s="212">
        <v>0</v>
      </c>
      <c r="P152" s="213">
        <v>41265</v>
      </c>
      <c r="Q152" s="213">
        <v>986508.60000000009</v>
      </c>
      <c r="R152" s="275">
        <v>3.4257</v>
      </c>
      <c r="S152" s="154">
        <v>1177502.7192036146</v>
      </c>
      <c r="T152" s="215"/>
      <c r="U152" s="212">
        <v>0</v>
      </c>
      <c r="V152" s="276">
        <f t="shared" si="73"/>
        <v>8831270.3940271102</v>
      </c>
      <c r="W152" s="276">
        <f t="shared" si="71"/>
        <v>211126237.55320811</v>
      </c>
      <c r="X152" s="276">
        <f t="shared" si="71"/>
        <v>733.14632227841196</v>
      </c>
      <c r="Y152" s="217">
        <v>21.906293838604146</v>
      </c>
      <c r="Z152" s="83"/>
    </row>
    <row r="153" spans="2:26" x14ac:dyDescent="0.35">
      <c r="B153" s="211">
        <v>10</v>
      </c>
      <c r="C153" s="268">
        <v>141.40305133475172</v>
      </c>
      <c r="D153" s="303">
        <v>25333.091538219225</v>
      </c>
      <c r="E153" s="269">
        <v>59540.741693847121</v>
      </c>
      <c r="F153" s="294">
        <v>10667033.316083735</v>
      </c>
      <c r="G153" s="270">
        <v>1702632.6017791496</v>
      </c>
      <c r="H153" s="294">
        <v>305035479.43047142</v>
      </c>
      <c r="I153" s="271">
        <v>8.4584448760071496</v>
      </c>
      <c r="J153" s="296">
        <v>1515.3743592675119</v>
      </c>
      <c r="K153" s="272">
        <f t="shared" si="72"/>
        <v>141.40305133475172</v>
      </c>
      <c r="L153" s="148">
        <f t="shared" si="68"/>
        <v>18275.741693847121</v>
      </c>
      <c r="M153" s="273">
        <f t="shared" si="69"/>
        <v>738682.20177914971</v>
      </c>
      <c r="N153" s="91">
        <f t="shared" si="70"/>
        <v>5.0058448760071492</v>
      </c>
      <c r="O153" s="212">
        <v>0</v>
      </c>
      <c r="P153" s="213">
        <v>41265</v>
      </c>
      <c r="Q153" s="213">
        <v>963950.39999999991</v>
      </c>
      <c r="R153" s="275">
        <v>3.4525999999999999</v>
      </c>
      <c r="S153" s="154">
        <v>985711.89466989238</v>
      </c>
      <c r="T153" s="215"/>
      <c r="U153" s="212">
        <v>0</v>
      </c>
      <c r="V153" s="276">
        <f t="shared" si="73"/>
        <v>7392839.2100241929</v>
      </c>
      <c r="W153" s="276">
        <f t="shared" si="71"/>
        <v>172696723.94616511</v>
      </c>
      <c r="X153" s="276">
        <f t="shared" si="71"/>
        <v>618.55123364908582</v>
      </c>
      <c r="Y153" s="217">
        <v>21.906293838604146</v>
      </c>
      <c r="Z153" s="83"/>
    </row>
    <row r="154" spans="2:26" x14ac:dyDescent="0.35">
      <c r="B154" s="211">
        <v>11</v>
      </c>
      <c r="C154" s="268">
        <v>381.92144760302818</v>
      </c>
      <c r="D154" s="303">
        <v>18675.583289361304</v>
      </c>
      <c r="E154" s="269">
        <v>60975.636910940295</v>
      </c>
      <c r="F154" s="294">
        <v>2981648.6947749248</v>
      </c>
      <c r="G154" s="270">
        <v>1779885.7730231306</v>
      </c>
      <c r="H154" s="294">
        <v>87034664.348552138</v>
      </c>
      <c r="I154" s="271">
        <v>10.185860778324631</v>
      </c>
      <c r="J154" s="296">
        <v>498.07857750152687</v>
      </c>
      <c r="K154" s="272">
        <f t="shared" si="72"/>
        <v>381.92144760302818</v>
      </c>
      <c r="L154" s="148">
        <f t="shared" si="68"/>
        <v>24112.236910940293</v>
      </c>
      <c r="M154" s="273">
        <f t="shared" si="69"/>
        <v>905067.7730231306</v>
      </c>
      <c r="N154" s="91">
        <f t="shared" si="70"/>
        <v>7.2911607783246311</v>
      </c>
      <c r="O154" s="212">
        <v>0</v>
      </c>
      <c r="P154" s="213">
        <v>36863.4</v>
      </c>
      <c r="Q154" s="213">
        <v>874818</v>
      </c>
      <c r="R154" s="275">
        <v>2.8946999999999998</v>
      </c>
      <c r="S154" s="154">
        <v>269042.39053070446</v>
      </c>
      <c r="T154" s="215"/>
      <c r="U154" s="212">
        <v>0</v>
      </c>
      <c r="V154" s="276">
        <f t="shared" si="73"/>
        <v>1802584.01655572</v>
      </c>
      <c r="W154" s="276">
        <f t="shared" si="71"/>
        <v>42777740.09438201</v>
      </c>
      <c r="X154" s="276">
        <f t="shared" si="71"/>
        <v>141.54798398204838</v>
      </c>
      <c r="Y154" s="217">
        <v>21.906293838604146</v>
      </c>
      <c r="Z154" s="83"/>
    </row>
    <row r="155" spans="2:26" x14ac:dyDescent="0.35">
      <c r="B155" s="211">
        <v>12</v>
      </c>
      <c r="C155" s="268">
        <v>378.9092326528247</v>
      </c>
      <c r="D155" s="303">
        <v>97041.491451953101</v>
      </c>
      <c r="E155" s="269">
        <v>57219.664762815766</v>
      </c>
      <c r="F155" s="294">
        <v>14654384.560885189</v>
      </c>
      <c r="G155" s="270">
        <v>1666985.458615944</v>
      </c>
      <c r="H155" s="294">
        <v>426927457.00664389</v>
      </c>
      <c r="I155" s="271">
        <v>9.5665345346850685</v>
      </c>
      <c r="J155" s="296">
        <v>2450.0611208992518</v>
      </c>
      <c r="K155" s="272">
        <f t="shared" si="72"/>
        <v>378.9092326528247</v>
      </c>
      <c r="L155" s="148">
        <f t="shared" si="68"/>
        <v>19255.864762815763</v>
      </c>
      <c r="M155" s="273">
        <f t="shared" si="69"/>
        <v>788316.05861594412</v>
      </c>
      <c r="N155" s="91">
        <f t="shared" si="70"/>
        <v>6.7263345346850718</v>
      </c>
      <c r="O155" s="212">
        <v>0</v>
      </c>
      <c r="P155" s="213">
        <v>37963.800000000003</v>
      </c>
      <c r="Q155" s="213">
        <v>878669.39999999991</v>
      </c>
      <c r="R155" s="275">
        <v>2.8401999999999967</v>
      </c>
      <c r="S155" s="154">
        <v>1409103.394579598</v>
      </c>
      <c r="T155" s="215"/>
      <c r="U155" s="212">
        <v>0</v>
      </c>
      <c r="V155" s="276">
        <f t="shared" si="73"/>
        <v>9722813.4225992262</v>
      </c>
      <c r="W155" s="276">
        <f t="shared" si="71"/>
        <v>225033812.11436179</v>
      </c>
      <c r="X155" s="276">
        <f t="shared" si="71"/>
        <v>727.39648514812245</v>
      </c>
      <c r="Y155" s="217">
        <v>21.906293838604146</v>
      </c>
      <c r="Z155" s="83"/>
    </row>
    <row r="156" spans="2:26" x14ac:dyDescent="0.35">
      <c r="B156" s="211">
        <v>13</v>
      </c>
      <c r="C156" s="268">
        <v>349.30088832648505</v>
      </c>
      <c r="D156" s="303">
        <v>36476.426435883775</v>
      </c>
      <c r="E156" s="269">
        <v>61089.518938064444</v>
      </c>
      <c r="F156" s="294">
        <v>6379392.1459056251</v>
      </c>
      <c r="G156" s="270">
        <v>1801342.3049580012</v>
      </c>
      <c r="H156" s="294">
        <v>188108682.99662378</v>
      </c>
      <c r="I156" s="271">
        <v>9.9551603356073546</v>
      </c>
      <c r="J156" s="296">
        <v>1039.587031624724</v>
      </c>
      <c r="K156" s="272">
        <f t="shared" si="72"/>
        <v>349.30088832648505</v>
      </c>
      <c r="L156" s="148">
        <f t="shared" si="68"/>
        <v>23125.718938064441</v>
      </c>
      <c r="M156" s="273">
        <f t="shared" si="69"/>
        <v>873705.10495800129</v>
      </c>
      <c r="N156" s="91">
        <f t="shared" si="70"/>
        <v>7.0303603356073552</v>
      </c>
      <c r="O156" s="212">
        <v>0</v>
      </c>
      <c r="P156" s="213">
        <v>37963.800000000003</v>
      </c>
      <c r="Q156" s="213">
        <v>927637.2</v>
      </c>
      <c r="R156" s="275">
        <v>2.9247999999999998</v>
      </c>
      <c r="S156" s="154">
        <v>574557.07946167106</v>
      </c>
      <c r="T156" s="215"/>
      <c r="U156" s="212">
        <v>0</v>
      </c>
      <c r="V156" s="276">
        <f t="shared" si="73"/>
        <v>3964443.8482855307</v>
      </c>
      <c r="W156" s="276">
        <f t="shared" si="71"/>
        <v>96870323.597237736</v>
      </c>
      <c r="X156" s="276">
        <f t="shared" si="71"/>
        <v>305.42794365857787</v>
      </c>
      <c r="Y156" s="217">
        <v>21.906293838604146</v>
      </c>
      <c r="Z156" s="83"/>
    </row>
    <row r="157" spans="2:26" x14ac:dyDescent="0.35">
      <c r="B157" s="211">
        <v>14</v>
      </c>
      <c r="C157" s="268">
        <v>390.4500364462923</v>
      </c>
      <c r="D157" s="303">
        <v>13676.876624832388</v>
      </c>
      <c r="E157" s="269">
        <v>62071.655597883262</v>
      </c>
      <c r="F157" s="294">
        <v>2174276.5943578323</v>
      </c>
      <c r="G157" s="270">
        <v>1886455.4738086171</v>
      </c>
      <c r="H157" s="294">
        <v>66079693.597542197</v>
      </c>
      <c r="I157" s="271">
        <v>10.291921016496687</v>
      </c>
      <c r="J157" s="296">
        <v>360.51049003937516</v>
      </c>
      <c r="K157" s="272">
        <f t="shared" si="72"/>
        <v>390.4500364462923</v>
      </c>
      <c r="L157" s="148">
        <f t="shared" si="68"/>
        <v>17505.455597883265</v>
      </c>
      <c r="M157" s="273">
        <f t="shared" si="69"/>
        <v>858131.67380861705</v>
      </c>
      <c r="N157" s="91">
        <f t="shared" si="70"/>
        <v>6.640621016496687</v>
      </c>
      <c r="O157" s="212">
        <v>0</v>
      </c>
      <c r="P157" s="213">
        <v>44566.2</v>
      </c>
      <c r="Q157" s="213">
        <v>1028323.8</v>
      </c>
      <c r="R157" s="275">
        <v>3.6513</v>
      </c>
      <c r="S157" s="154">
        <v>192726.7720979678</v>
      </c>
      <c r="T157" s="215"/>
      <c r="U157" s="212">
        <v>0</v>
      </c>
      <c r="V157" s="276">
        <f t="shared" si="73"/>
        <v>1561086.853993539</v>
      </c>
      <c r="W157" s="276">
        <f t="shared" si="71"/>
        <v>36020633.705110185</v>
      </c>
      <c r="X157" s="276">
        <f t="shared" si="71"/>
        <v>127.89953888791528</v>
      </c>
      <c r="Y157" s="217">
        <v>21.906293838604146</v>
      </c>
      <c r="Z157" s="83"/>
    </row>
    <row r="158" spans="2:26" x14ac:dyDescent="0.35">
      <c r="B158" s="211">
        <v>15</v>
      </c>
      <c r="C158" s="268">
        <v>43.149885300967249</v>
      </c>
      <c r="D158" s="303">
        <v>1482.0936934984268</v>
      </c>
      <c r="E158" s="269">
        <v>71878.521361173873</v>
      </c>
      <c r="F158" s="294">
        <v>2468852.5233460991</v>
      </c>
      <c r="G158" s="270">
        <v>2040716.9067658209</v>
      </c>
      <c r="H158" s="294">
        <v>70093666.220369816</v>
      </c>
      <c r="I158" s="271">
        <v>9.6814395899400356</v>
      </c>
      <c r="J158" s="296">
        <v>332.53392124114123</v>
      </c>
      <c r="K158" s="272">
        <f t="shared" si="72"/>
        <v>43.149885300967249</v>
      </c>
      <c r="L158" s="148">
        <f t="shared" si="68"/>
        <v>25111.521361173873</v>
      </c>
      <c r="M158" s="273">
        <f t="shared" si="69"/>
        <v>919409.30676582083</v>
      </c>
      <c r="N158" s="91">
        <f t="shared" si="70"/>
        <v>5.5996395899400362</v>
      </c>
      <c r="O158" s="212">
        <v>0</v>
      </c>
      <c r="P158" s="213">
        <v>46767</v>
      </c>
      <c r="Q158" s="213">
        <v>1121307.6000000001</v>
      </c>
      <c r="R158" s="275">
        <v>4.0817999999999994</v>
      </c>
      <c r="S158" s="154">
        <v>188980.3285629024</v>
      </c>
      <c r="T158" s="215"/>
      <c r="U158" s="212">
        <v>0</v>
      </c>
      <c r="V158" s="276">
        <f t="shared" si="73"/>
        <v>1606332.7927846704</v>
      </c>
      <c r="W158" s="276">
        <f t="shared" si="71"/>
        <v>38514190.96111951</v>
      </c>
      <c r="X158" s="276">
        <f t="shared" si="71"/>
        <v>140.19991005598962</v>
      </c>
      <c r="Y158" s="217">
        <v>24.886345456197745</v>
      </c>
      <c r="Z158" s="83"/>
    </row>
    <row r="159" spans="2:26" x14ac:dyDescent="0.35">
      <c r="B159" s="211">
        <v>16</v>
      </c>
      <c r="C159" s="268">
        <v>921.0892201093269</v>
      </c>
      <c r="D159" s="303">
        <v>13076.472124660393</v>
      </c>
      <c r="E159" s="269">
        <v>57315.664621468059</v>
      </c>
      <c r="F159" s="294">
        <v>813696.08325244777</v>
      </c>
      <c r="G159" s="270">
        <v>1699964.4345413931</v>
      </c>
      <c r="H159" s="294">
        <v>24133967.758906249</v>
      </c>
      <c r="I159" s="271">
        <v>12.791849339223569</v>
      </c>
      <c r="J159" s="296">
        <v>181.6026695951978</v>
      </c>
      <c r="K159" s="272">
        <f t="shared" si="72"/>
        <v>921.0892201093269</v>
      </c>
      <c r="L159" s="148">
        <f t="shared" si="68"/>
        <v>21552.664621468059</v>
      </c>
      <c r="M159" s="273">
        <f t="shared" si="69"/>
        <v>933535.83454139298</v>
      </c>
      <c r="N159" s="91">
        <f t="shared" si="70"/>
        <v>9.9600493392235698</v>
      </c>
      <c r="O159" s="212">
        <v>0</v>
      </c>
      <c r="P159" s="213">
        <v>35763</v>
      </c>
      <c r="Q159" s="213">
        <v>766428.60000000009</v>
      </c>
      <c r="R159" s="275">
        <v>2.8317999999999999</v>
      </c>
      <c r="S159" s="154">
        <v>78110.51096802752</v>
      </c>
      <c r="T159" s="215"/>
      <c r="U159" s="212">
        <v>0</v>
      </c>
      <c r="V159" s="276">
        <f t="shared" si="73"/>
        <v>507718.32129217882</v>
      </c>
      <c r="W159" s="276">
        <f t="shared" si="71"/>
        <v>10880794.177846236</v>
      </c>
      <c r="X159" s="276">
        <f t="shared" si="71"/>
        <v>40.202352773402453</v>
      </c>
      <c r="Y159" s="217">
        <v>19.918636732097422</v>
      </c>
      <c r="Z159" s="83"/>
    </row>
    <row r="160" spans="2:26" ht="15" thickBot="1" x14ac:dyDescent="0.4">
      <c r="B160" s="218" t="s">
        <v>12</v>
      </c>
      <c r="C160" s="219"/>
      <c r="D160" s="304">
        <v>349389.6973254779</v>
      </c>
      <c r="E160" s="277"/>
      <c r="F160" s="278">
        <v>87758733.819437847</v>
      </c>
      <c r="G160" s="278"/>
      <c r="H160" s="278">
        <v>2501793327.4403224</v>
      </c>
      <c r="I160" s="99"/>
      <c r="J160" s="297">
        <v>13300.230735966394</v>
      </c>
      <c r="K160" s="279">
        <f>SUM(K144:K159)</f>
        <v>5042.5689175584275</v>
      </c>
      <c r="L160" s="277">
        <f t="shared" ref="L160:N160" si="74">SUM(L144:L159)</f>
        <v>302733.56276197545</v>
      </c>
      <c r="M160" s="278">
        <f t="shared" si="74"/>
        <v>12021204.115810057</v>
      </c>
      <c r="N160" s="99">
        <f t="shared" si="74"/>
        <v>97.122219876542005</v>
      </c>
      <c r="O160" s="219"/>
      <c r="P160" s="220"/>
      <c r="Q160" s="221"/>
      <c r="R160" s="222"/>
      <c r="S160" s="280">
        <f>SUM(S144:S159)</f>
        <v>8380571.9880000008</v>
      </c>
      <c r="T160" s="224"/>
      <c r="U160" s="225">
        <f>SUM(U144:U159)</f>
        <v>0</v>
      </c>
      <c r="V160" s="226">
        <f>SUM(V144:V159)</f>
        <v>59463288.620408133</v>
      </c>
      <c r="W160" s="226">
        <f>SUM(W144:W159)</f>
        <v>1395662725.1822751</v>
      </c>
      <c r="X160" s="227">
        <f>SUM(X144:X159)</f>
        <v>4839.4340776058179</v>
      </c>
      <c r="Y160" s="229">
        <f>SUMPRODUCT(Y144:Y159,S144:S159)/SUM(S144:S159)</f>
        <v>21.750876027600579</v>
      </c>
      <c r="Z160" s="83"/>
    </row>
    <row r="161" spans="2:26" x14ac:dyDescent="0.35">
      <c r="B161" s="83"/>
      <c r="C161" s="83"/>
      <c r="D161" s="83"/>
      <c r="E161" s="83"/>
      <c r="F161" s="83"/>
      <c r="G161" s="83"/>
      <c r="H161" s="83"/>
      <c r="I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2:26" x14ac:dyDescent="0.35">
      <c r="B162" s="83"/>
      <c r="C162" s="83"/>
      <c r="D162" s="83"/>
      <c r="E162" s="83"/>
      <c r="F162" s="83"/>
      <c r="G162" s="83"/>
      <c r="H162" s="83"/>
      <c r="I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2:26" x14ac:dyDescent="0.35">
      <c r="B163" s="83"/>
      <c r="C163" s="83"/>
      <c r="D163" s="83"/>
      <c r="E163" s="83"/>
      <c r="F163" s="83"/>
      <c r="G163" s="83"/>
      <c r="H163" s="83"/>
      <c r="I163" s="83"/>
      <c r="K163" s="83"/>
      <c r="L163" s="83"/>
      <c r="M163" s="83"/>
      <c r="N163" s="83"/>
      <c r="O163" s="83"/>
      <c r="P163" s="83"/>
      <c r="Q163" s="83" t="s">
        <v>125</v>
      </c>
      <c r="R163" s="83">
        <v>240000</v>
      </c>
      <c r="S163" s="83"/>
      <c r="T163" s="83"/>
      <c r="U163" s="83"/>
      <c r="V163" s="83"/>
      <c r="W163" s="83"/>
      <c r="X163" s="83"/>
      <c r="Y163" s="83"/>
      <c r="Z163" s="83"/>
    </row>
    <row r="164" spans="2:26" ht="15" thickBot="1" x14ac:dyDescent="0.4">
      <c r="B164" s="83"/>
      <c r="C164" s="83"/>
      <c r="D164" s="83"/>
      <c r="E164" s="83"/>
      <c r="F164" s="83"/>
      <c r="G164" s="83"/>
      <c r="H164" s="83"/>
      <c r="I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2:26" x14ac:dyDescent="0.35">
      <c r="B165" s="203"/>
      <c r="C165" s="1197" t="str">
        <f>C142</f>
        <v>2019 Energy Code</v>
      </c>
      <c r="D165" s="1198"/>
      <c r="E165" s="1199"/>
      <c r="F165" s="1200"/>
      <c r="G165" s="1200"/>
      <c r="H165" s="1200"/>
      <c r="I165" s="1201"/>
      <c r="J165" s="263"/>
      <c r="K165" s="1202" t="str">
        <f>K142</f>
        <v>2022 Energy Code</v>
      </c>
      <c r="L165" s="1203"/>
      <c r="M165" s="1204"/>
      <c r="N165" s="1205"/>
      <c r="O165" s="1197" t="s">
        <v>163</v>
      </c>
      <c r="P165" s="1199"/>
      <c r="Q165" s="1200"/>
      <c r="R165" s="1201"/>
      <c r="S165" s="1206" t="s">
        <v>164</v>
      </c>
      <c r="T165" s="1207"/>
      <c r="U165" s="1197" t="s">
        <v>165</v>
      </c>
      <c r="V165" s="1199"/>
      <c r="W165" s="1199"/>
      <c r="X165" s="1199"/>
      <c r="Y165" s="267"/>
      <c r="Z165" s="83"/>
    </row>
    <row r="166" spans="2:26" ht="43.5" x14ac:dyDescent="0.35">
      <c r="B166" s="204" t="s">
        <v>5</v>
      </c>
      <c r="C166" s="205" t="s">
        <v>6</v>
      </c>
      <c r="D166" s="293" t="s">
        <v>166</v>
      </c>
      <c r="E166" s="206" t="s">
        <v>7</v>
      </c>
      <c r="F166" s="207" t="s">
        <v>167</v>
      </c>
      <c r="G166" s="207" t="s">
        <v>8</v>
      </c>
      <c r="H166" s="207" t="s">
        <v>168</v>
      </c>
      <c r="I166" s="208" t="s">
        <v>9</v>
      </c>
      <c r="J166" s="208" t="s">
        <v>169</v>
      </c>
      <c r="K166" s="258" t="s">
        <v>6</v>
      </c>
      <c r="L166" s="259" t="s">
        <v>7</v>
      </c>
      <c r="M166" s="209" t="s">
        <v>8</v>
      </c>
      <c r="N166" s="260" t="s">
        <v>9</v>
      </c>
      <c r="O166" s="205" t="s">
        <v>6</v>
      </c>
      <c r="P166" s="206" t="s">
        <v>7</v>
      </c>
      <c r="Q166" s="207" t="s">
        <v>8</v>
      </c>
      <c r="R166" s="208" t="s">
        <v>9</v>
      </c>
      <c r="S166" s="258" t="s">
        <v>171</v>
      </c>
      <c r="T166" s="209" t="s">
        <v>11</v>
      </c>
      <c r="U166" s="205" t="s">
        <v>6</v>
      </c>
      <c r="V166" s="206" t="s">
        <v>7</v>
      </c>
      <c r="W166" s="206" t="s">
        <v>170</v>
      </c>
      <c r="X166" s="206" t="s">
        <v>9</v>
      </c>
      <c r="Y166" s="208" t="s">
        <v>172</v>
      </c>
      <c r="Z166" s="83"/>
    </row>
    <row r="167" spans="2:26" x14ac:dyDescent="0.35">
      <c r="B167" s="211">
        <v>1</v>
      </c>
      <c r="C167" s="268">
        <v>20346.178811291906</v>
      </c>
      <c r="D167" s="303">
        <v>7480.5592560115565</v>
      </c>
      <c r="E167" s="269">
        <v>1471390.965650361</v>
      </c>
      <c r="F167" s="294">
        <v>540977.61596388428</v>
      </c>
      <c r="G167" s="270">
        <v>45112075.171918824</v>
      </c>
      <c r="H167" s="294">
        <v>16586089.929471077</v>
      </c>
      <c r="I167" s="271">
        <v>315.74034129230654</v>
      </c>
      <c r="J167" s="296">
        <v>116.08638430129076</v>
      </c>
      <c r="K167" s="272">
        <f>C167-O167</f>
        <v>20346.178811291906</v>
      </c>
      <c r="L167" s="148">
        <f t="shared" ref="L167:L182" si="75">E167-P167</f>
        <v>679390.96565036103</v>
      </c>
      <c r="M167" s="273">
        <f t="shared" ref="M167:M182" si="76">G167-Q167</f>
        <v>28480075.171918824</v>
      </c>
      <c r="N167" s="91">
        <f t="shared" ref="N167:N182" si="77">I167-R167</f>
        <v>254.22484129230654</v>
      </c>
      <c r="O167" s="212">
        <v>0</v>
      </c>
      <c r="P167" s="213">
        <v>792000</v>
      </c>
      <c r="Q167" s="213">
        <v>16632000</v>
      </c>
      <c r="R167" s="275">
        <v>61.515499999999996</v>
      </c>
      <c r="S167" s="154">
        <v>88239.380873148664</v>
      </c>
      <c r="T167" s="215"/>
      <c r="U167" s="212">
        <v>0</v>
      </c>
      <c r="V167" s="276">
        <f>$S167*P167/$R$163</f>
        <v>291189.95688139059</v>
      </c>
      <c r="W167" s="276">
        <f t="shared" ref="W167:X182" si="78">$S167*Q167/$R$163</f>
        <v>6114989.0945092021</v>
      </c>
      <c r="X167" s="276">
        <f t="shared" si="78"/>
        <v>22.617040142092399</v>
      </c>
      <c r="Y167" s="217">
        <v>8.5904399458333334</v>
      </c>
      <c r="Z167" s="83"/>
    </row>
    <row r="168" spans="2:26" x14ac:dyDescent="0.35">
      <c r="B168" s="211">
        <v>2</v>
      </c>
      <c r="C168" s="268">
        <v>15492.076408767449</v>
      </c>
      <c r="D168" s="303">
        <v>33835.113494879559</v>
      </c>
      <c r="E168" s="269">
        <v>1668236.5666705077</v>
      </c>
      <c r="F168" s="294">
        <v>3643473.7397538829</v>
      </c>
      <c r="G168" s="270">
        <v>54235646.964791082</v>
      </c>
      <c r="H168" s="294">
        <v>118452118.49609801</v>
      </c>
      <c r="I168" s="271">
        <v>311.10463668619877</v>
      </c>
      <c r="J168" s="296">
        <v>679.46093301629139</v>
      </c>
      <c r="K168" s="272">
        <f t="shared" ref="K168:K182" si="79">C168-O168</f>
        <v>15492.076408767449</v>
      </c>
      <c r="L168" s="148">
        <f t="shared" si="75"/>
        <v>612236.56667050766</v>
      </c>
      <c r="M168" s="273">
        <f t="shared" si="76"/>
        <v>29851646.964791082</v>
      </c>
      <c r="N168" s="91">
        <f t="shared" si="77"/>
        <v>234.96653668619876</v>
      </c>
      <c r="O168" s="212">
        <v>0</v>
      </c>
      <c r="P168" s="213">
        <v>1056000</v>
      </c>
      <c r="Q168" s="213">
        <v>24384000</v>
      </c>
      <c r="R168" s="275">
        <v>76.138099999999994</v>
      </c>
      <c r="S168" s="154">
        <v>524166.48514433426</v>
      </c>
      <c r="T168" s="215"/>
      <c r="U168" s="212">
        <v>0</v>
      </c>
      <c r="V168" s="276">
        <f t="shared" ref="V168:V182" si="80">$S168*P168/$R$163</f>
        <v>2306332.5346350707</v>
      </c>
      <c r="W168" s="276">
        <f t="shared" si="78"/>
        <v>53255314.890664361</v>
      </c>
      <c r="X168" s="276">
        <f t="shared" si="78"/>
        <v>166.28766776069929</v>
      </c>
      <c r="Y168" s="217">
        <v>9.5098248541666663</v>
      </c>
      <c r="Z168" s="83"/>
    </row>
    <row r="169" spans="2:26" x14ac:dyDescent="0.35">
      <c r="B169" s="211">
        <v>3</v>
      </c>
      <c r="C169" s="268">
        <v>10832.583160086813</v>
      </c>
      <c r="D169" s="303">
        <v>108127.49326072348</v>
      </c>
      <c r="E169" s="269">
        <v>1540789.5273390606</v>
      </c>
      <c r="F169" s="294">
        <v>15379684.307192747</v>
      </c>
      <c r="G169" s="270">
        <v>45646317.423376523</v>
      </c>
      <c r="H169" s="294">
        <v>455627416.52965397</v>
      </c>
      <c r="I169" s="271">
        <v>269.1989157699935</v>
      </c>
      <c r="J169" s="296">
        <v>2687.0602810568012</v>
      </c>
      <c r="K169" s="272">
        <f t="shared" si="79"/>
        <v>10832.583160086813</v>
      </c>
      <c r="L169" s="148">
        <f t="shared" si="75"/>
        <v>556789.52733906067</v>
      </c>
      <c r="M169" s="273">
        <f t="shared" si="76"/>
        <v>24334317.423376523</v>
      </c>
      <c r="N169" s="91">
        <f t="shared" si="77"/>
        <v>198.0644157699935</v>
      </c>
      <c r="O169" s="212">
        <v>0</v>
      </c>
      <c r="P169" s="213">
        <v>983999.99999999988</v>
      </c>
      <c r="Q169" s="213">
        <v>21312000</v>
      </c>
      <c r="R169" s="275">
        <v>71.134499999999989</v>
      </c>
      <c r="S169" s="154">
        <v>2395605.7386376588</v>
      </c>
      <c r="T169" s="215"/>
      <c r="U169" s="212">
        <v>0</v>
      </c>
      <c r="V169" s="276">
        <f t="shared" si="80"/>
        <v>9821983.5284144003</v>
      </c>
      <c r="W169" s="276">
        <f t="shared" si="78"/>
        <v>212729789.5910241</v>
      </c>
      <c r="X169" s="276">
        <f t="shared" si="78"/>
        <v>710.04256839633547</v>
      </c>
      <c r="Y169" s="217">
        <v>8.5904399458333334</v>
      </c>
      <c r="Z169" s="83"/>
    </row>
    <row r="170" spans="2:26" x14ac:dyDescent="0.35">
      <c r="B170" s="211">
        <v>4</v>
      </c>
      <c r="C170" s="268">
        <v>9983.9666019655288</v>
      </c>
      <c r="D170" s="303">
        <v>51077.665066947382</v>
      </c>
      <c r="E170" s="269">
        <v>1688761.8681660902</v>
      </c>
      <c r="F170" s="294">
        <v>8639653.6085205264</v>
      </c>
      <c r="G170" s="270">
        <v>51520600.186496615</v>
      </c>
      <c r="H170" s="294">
        <v>263577800.81675264</v>
      </c>
      <c r="I170" s="271">
        <v>282.08095120161988</v>
      </c>
      <c r="J170" s="296">
        <v>1443.1174423606126</v>
      </c>
      <c r="K170" s="272">
        <f t="shared" si="79"/>
        <v>9983.9666019655288</v>
      </c>
      <c r="L170" s="148">
        <f t="shared" si="75"/>
        <v>584761.86816609022</v>
      </c>
      <c r="M170" s="273">
        <f t="shared" si="76"/>
        <v>25744600.186496615</v>
      </c>
      <c r="N170" s="91">
        <f t="shared" si="77"/>
        <v>202.20345120161988</v>
      </c>
      <c r="O170" s="212">
        <v>0</v>
      </c>
      <c r="P170" s="213">
        <v>1104000</v>
      </c>
      <c r="Q170" s="213">
        <v>25776000</v>
      </c>
      <c r="R170" s="275">
        <v>79.877499999999998</v>
      </c>
      <c r="S170" s="154">
        <v>1227832.5944774325</v>
      </c>
      <c r="T170" s="215"/>
      <c r="U170" s="212">
        <v>0</v>
      </c>
      <c r="V170" s="276">
        <f t="shared" si="80"/>
        <v>5648029.9345961893</v>
      </c>
      <c r="W170" s="276">
        <f t="shared" si="78"/>
        <v>131869220.64687626</v>
      </c>
      <c r="X170" s="276">
        <f t="shared" si="78"/>
        <v>408.65082527237962</v>
      </c>
      <c r="Y170" s="217">
        <v>9.5098248541666663</v>
      </c>
      <c r="Z170" s="83"/>
    </row>
    <row r="171" spans="2:26" x14ac:dyDescent="0.35">
      <c r="B171" s="211">
        <v>5</v>
      </c>
      <c r="C171" s="268">
        <v>10421.06408553855</v>
      </c>
      <c r="D171" s="303">
        <v>10791.156383017618</v>
      </c>
      <c r="E171" s="269">
        <v>1552073.0496588077</v>
      </c>
      <c r="F171" s="294">
        <v>1607193.1675362792</v>
      </c>
      <c r="G171" s="270">
        <v>44263809.490978174</v>
      </c>
      <c r="H171" s="294">
        <v>45835788.591694482</v>
      </c>
      <c r="I171" s="271">
        <v>265.24807851182487</v>
      </c>
      <c r="J171" s="296">
        <v>274.66806383890639</v>
      </c>
      <c r="K171" s="272">
        <f t="shared" si="79"/>
        <v>10421.06408553855</v>
      </c>
      <c r="L171" s="148">
        <f t="shared" si="75"/>
        <v>520073.04965880769</v>
      </c>
      <c r="M171" s="273">
        <f t="shared" si="76"/>
        <v>22327809.490978174</v>
      </c>
      <c r="N171" s="91">
        <f t="shared" si="77"/>
        <v>186.21707851182487</v>
      </c>
      <c r="O171" s="212">
        <v>0</v>
      </c>
      <c r="P171" s="213">
        <v>1032000</v>
      </c>
      <c r="Q171" s="213">
        <v>21936000</v>
      </c>
      <c r="R171" s="275">
        <v>79.030999999999992</v>
      </c>
      <c r="S171" s="154">
        <v>248523.328391986</v>
      </c>
      <c r="T171" s="215"/>
      <c r="U171" s="212">
        <v>0</v>
      </c>
      <c r="V171" s="276">
        <f t="shared" si="80"/>
        <v>1068650.3120855398</v>
      </c>
      <c r="W171" s="276">
        <f t="shared" si="78"/>
        <v>22715032.215027519</v>
      </c>
      <c r="X171" s="276">
        <f t="shared" si="78"/>
        <v>81.837696525612671</v>
      </c>
      <c r="Y171" s="217">
        <v>8.5904399458333334</v>
      </c>
      <c r="Z171" s="83"/>
    </row>
    <row r="172" spans="2:26" x14ac:dyDescent="0.35">
      <c r="B172" s="211">
        <v>6</v>
      </c>
      <c r="C172" s="268">
        <v>5316.4855769731303</v>
      </c>
      <c r="D172" s="303">
        <v>38790.686275145184</v>
      </c>
      <c r="E172" s="269">
        <v>1676505.7989497748</v>
      </c>
      <c r="F172" s="294">
        <v>12232293.221520951</v>
      </c>
      <c r="G172" s="270">
        <v>49169306.128300242</v>
      </c>
      <c r="H172" s="294">
        <v>358754124.46343362</v>
      </c>
      <c r="I172" s="271">
        <v>251.09173725924882</v>
      </c>
      <c r="J172" s="296">
        <v>1832.0412357537236</v>
      </c>
      <c r="K172" s="272">
        <f t="shared" si="79"/>
        <v>5316.4855769731303</v>
      </c>
      <c r="L172" s="148">
        <f t="shared" si="75"/>
        <v>500505.79894977482</v>
      </c>
      <c r="M172" s="273">
        <f t="shared" si="76"/>
        <v>23345306.128300242</v>
      </c>
      <c r="N172" s="91">
        <f t="shared" si="77"/>
        <v>159.93473725924883</v>
      </c>
      <c r="O172" s="212">
        <v>0</v>
      </c>
      <c r="P172" s="213">
        <v>1176000</v>
      </c>
      <c r="Q172" s="213">
        <v>25824000</v>
      </c>
      <c r="R172" s="275">
        <v>91.156999999999996</v>
      </c>
      <c r="S172" s="154">
        <v>1751112.566985507</v>
      </c>
      <c r="T172" s="215"/>
      <c r="U172" s="212">
        <v>0</v>
      </c>
      <c r="V172" s="276">
        <f t="shared" si="80"/>
        <v>8580451.578228984</v>
      </c>
      <c r="W172" s="276">
        <f t="shared" si="78"/>
        <v>188419712.20764056</v>
      </c>
      <c r="X172" s="276">
        <f t="shared" si="78"/>
        <v>665.10903445290774</v>
      </c>
      <c r="Y172" s="217">
        <v>9.5098248541666663</v>
      </c>
      <c r="Z172" s="83"/>
    </row>
    <row r="173" spans="2:26" x14ac:dyDescent="0.35">
      <c r="B173" s="211">
        <v>7</v>
      </c>
      <c r="C173" s="268">
        <v>2972.2590947564177</v>
      </c>
      <c r="D173" s="303">
        <v>15295.444571584872</v>
      </c>
      <c r="E173" s="269">
        <v>1649905.449900683</v>
      </c>
      <c r="F173" s="294">
        <v>8490524.0602451041</v>
      </c>
      <c r="G173" s="270">
        <v>46935790.550328784</v>
      </c>
      <c r="H173" s="294">
        <v>241534724.90086016</v>
      </c>
      <c r="I173" s="271">
        <v>236.13352968606023</v>
      </c>
      <c r="J173" s="296">
        <v>1215.158974928401</v>
      </c>
      <c r="K173" s="272">
        <f t="shared" si="79"/>
        <v>2972.2590947564177</v>
      </c>
      <c r="L173" s="148">
        <f t="shared" si="75"/>
        <v>569905.44990068302</v>
      </c>
      <c r="M173" s="273">
        <f t="shared" si="76"/>
        <v>23247790.550328784</v>
      </c>
      <c r="N173" s="91">
        <f t="shared" si="77"/>
        <v>145.59632968606024</v>
      </c>
      <c r="O173" s="212">
        <v>0</v>
      </c>
      <c r="P173" s="213">
        <v>1080000</v>
      </c>
      <c r="Q173" s="213">
        <v>23688000</v>
      </c>
      <c r="R173" s="275">
        <v>90.537199999999999</v>
      </c>
      <c r="S173" s="154">
        <v>1235056.0903847474</v>
      </c>
      <c r="T173" s="215"/>
      <c r="U173" s="212">
        <v>0</v>
      </c>
      <c r="V173" s="276">
        <f t="shared" si="80"/>
        <v>5557752.4067313625</v>
      </c>
      <c r="W173" s="276">
        <f t="shared" si="78"/>
        <v>121900036.12097456</v>
      </c>
      <c r="X173" s="276">
        <f t="shared" si="78"/>
        <v>465.91050110992478</v>
      </c>
      <c r="Y173" s="217">
        <v>9.5098248541666663</v>
      </c>
      <c r="Z173" s="83"/>
    </row>
    <row r="174" spans="2:26" x14ac:dyDescent="0.35">
      <c r="B174" s="211">
        <v>8</v>
      </c>
      <c r="C174" s="268">
        <v>5297.3409294703624</v>
      </c>
      <c r="D174" s="303">
        <v>55478.456406448153</v>
      </c>
      <c r="E174" s="269">
        <v>1753332.9689839501</v>
      </c>
      <c r="F174" s="294">
        <v>18362459.199976359</v>
      </c>
      <c r="G174" s="270">
        <v>53820413.903946519</v>
      </c>
      <c r="H174" s="294">
        <v>563655148.17745101</v>
      </c>
      <c r="I174" s="271">
        <v>261.94113172288417</v>
      </c>
      <c r="J174" s="296">
        <v>2743.2800438609238</v>
      </c>
      <c r="K174" s="272">
        <f t="shared" si="79"/>
        <v>5297.3409294703624</v>
      </c>
      <c r="L174" s="148">
        <f t="shared" si="75"/>
        <v>625332.96898395009</v>
      </c>
      <c r="M174" s="273">
        <f t="shared" si="76"/>
        <v>26532413.903946519</v>
      </c>
      <c r="N174" s="91">
        <f t="shared" si="77"/>
        <v>172.34393172288418</v>
      </c>
      <c r="O174" s="212">
        <v>0</v>
      </c>
      <c r="P174" s="213">
        <v>1128000</v>
      </c>
      <c r="Q174" s="213">
        <v>27288000</v>
      </c>
      <c r="R174" s="275">
        <v>89.597200000000001</v>
      </c>
      <c r="S174" s="154">
        <v>2513493.0363786868</v>
      </c>
      <c r="T174" s="215"/>
      <c r="U174" s="212">
        <v>0</v>
      </c>
      <c r="V174" s="276">
        <f t="shared" si="80"/>
        <v>11813417.270979827</v>
      </c>
      <c r="W174" s="276">
        <f t="shared" si="78"/>
        <v>285784158.23625666</v>
      </c>
      <c r="X174" s="276">
        <f t="shared" si="78"/>
        <v>938.34140949595201</v>
      </c>
      <c r="Y174" s="217">
        <v>9.5098248541666663</v>
      </c>
      <c r="Z174" s="83"/>
    </row>
    <row r="175" spans="2:26" x14ac:dyDescent="0.35">
      <c r="B175" s="211">
        <v>9</v>
      </c>
      <c r="C175" s="268">
        <v>6018.7896287869489</v>
      </c>
      <c r="D175" s="303">
        <v>98552.66144056218</v>
      </c>
      <c r="E175" s="269">
        <v>1815206.7595610535</v>
      </c>
      <c r="F175" s="294">
        <v>29722497.088786833</v>
      </c>
      <c r="G175" s="270">
        <v>56150541.11936228</v>
      </c>
      <c r="H175" s="294">
        <v>919418290.04516602</v>
      </c>
      <c r="I175" s="271">
        <v>274.98970949434585</v>
      </c>
      <c r="J175" s="296">
        <v>4502.7271944869171</v>
      </c>
      <c r="K175" s="272">
        <f t="shared" si="79"/>
        <v>6018.7896287869489</v>
      </c>
      <c r="L175" s="148">
        <f t="shared" si="75"/>
        <v>639206.75956105348</v>
      </c>
      <c r="M175" s="273">
        <f t="shared" si="76"/>
        <v>28742541.11936228</v>
      </c>
      <c r="N175" s="91">
        <f t="shared" si="77"/>
        <v>183.48060949434586</v>
      </c>
      <c r="O175" s="212">
        <v>0</v>
      </c>
      <c r="P175" s="213">
        <v>1176000</v>
      </c>
      <c r="Q175" s="213">
        <v>27408000</v>
      </c>
      <c r="R175" s="275">
        <v>91.509100000000004</v>
      </c>
      <c r="S175" s="154">
        <v>3929799.8774717054</v>
      </c>
      <c r="T175" s="215"/>
      <c r="U175" s="212">
        <v>0</v>
      </c>
      <c r="V175" s="276">
        <f t="shared" si="80"/>
        <v>19256019.399611358</v>
      </c>
      <c r="W175" s="276">
        <f t="shared" si="78"/>
        <v>448783146.00726873</v>
      </c>
      <c r="X175" s="276">
        <f t="shared" si="78"/>
        <v>1498.3852081981086</v>
      </c>
      <c r="Y175" s="217">
        <v>9.5098248541666663</v>
      </c>
      <c r="Z175" s="83"/>
    </row>
    <row r="176" spans="2:26" x14ac:dyDescent="0.35">
      <c r="B176" s="211">
        <v>10</v>
      </c>
      <c r="C176" s="268">
        <v>6535.2677205541313</v>
      </c>
      <c r="D176" s="303">
        <v>64067.290063849097</v>
      </c>
      <c r="E176" s="269">
        <v>1842572.8813445482</v>
      </c>
      <c r="F176" s="294">
        <v>18063322.927323613</v>
      </c>
      <c r="G176" s="270">
        <v>56490424.704999</v>
      </c>
      <c r="H176" s="294">
        <v>553793445.06766796</v>
      </c>
      <c r="I176" s="271">
        <v>280.30998162375533</v>
      </c>
      <c r="J176" s="296">
        <v>2747.9671328535273</v>
      </c>
      <c r="K176" s="272">
        <f t="shared" si="79"/>
        <v>6535.2677205541313</v>
      </c>
      <c r="L176" s="148">
        <f t="shared" si="75"/>
        <v>666572.88134454819</v>
      </c>
      <c r="M176" s="273">
        <f t="shared" si="76"/>
        <v>29874424.704999</v>
      </c>
      <c r="N176" s="91">
        <f t="shared" si="77"/>
        <v>188.07768162375532</v>
      </c>
      <c r="O176" s="212">
        <v>0</v>
      </c>
      <c r="P176" s="213">
        <v>1176000</v>
      </c>
      <c r="Q176" s="213">
        <v>26616000</v>
      </c>
      <c r="R176" s="275">
        <v>92.232299999999995</v>
      </c>
      <c r="S176" s="154">
        <v>2352795.673077648</v>
      </c>
      <c r="T176" s="215"/>
      <c r="U176" s="212">
        <v>0</v>
      </c>
      <c r="V176" s="276">
        <f t="shared" si="80"/>
        <v>11528698.798080474</v>
      </c>
      <c r="W176" s="276">
        <f t="shared" si="78"/>
        <v>260925040.14431116</v>
      </c>
      <c r="X176" s="276">
        <f t="shared" si="78"/>
        <v>904.18231815833144</v>
      </c>
      <c r="Y176" s="217">
        <v>9.5098248541666663</v>
      </c>
      <c r="Z176" s="83"/>
    </row>
    <row r="177" spans="2:26" x14ac:dyDescent="0.35">
      <c r="B177" s="211">
        <v>11</v>
      </c>
      <c r="C177" s="268">
        <v>16864.231112771195</v>
      </c>
      <c r="D177" s="303">
        <v>34081.126498343729</v>
      </c>
      <c r="E177" s="269">
        <v>1889064.0344599693</v>
      </c>
      <c r="F177" s="294">
        <v>3817632.1168384631</v>
      </c>
      <c r="G177" s="270">
        <v>59899843.471515737</v>
      </c>
      <c r="H177" s="294">
        <v>121052310.59349832</v>
      </c>
      <c r="I177" s="271">
        <v>348.23642607961278</v>
      </c>
      <c r="J177" s="296">
        <v>703.75516139378658</v>
      </c>
      <c r="K177" s="272">
        <f t="shared" si="79"/>
        <v>16864.231112771195</v>
      </c>
      <c r="L177" s="148">
        <f t="shared" si="75"/>
        <v>833064.03445996926</v>
      </c>
      <c r="M177" s="273">
        <f t="shared" si="76"/>
        <v>35683843.471515737</v>
      </c>
      <c r="N177" s="91">
        <f t="shared" si="77"/>
        <v>271.89552607961281</v>
      </c>
      <c r="O177" s="212">
        <v>0</v>
      </c>
      <c r="P177" s="213">
        <v>1056000</v>
      </c>
      <c r="Q177" s="213">
        <v>24216000</v>
      </c>
      <c r="R177" s="275">
        <v>76.340899999999991</v>
      </c>
      <c r="S177" s="154">
        <v>485018.87248261349</v>
      </c>
      <c r="T177" s="215"/>
      <c r="U177" s="212">
        <v>0</v>
      </c>
      <c r="V177" s="276">
        <f t="shared" si="80"/>
        <v>2134083.0389234992</v>
      </c>
      <c r="W177" s="276">
        <f t="shared" si="78"/>
        <v>48938404.233495705</v>
      </c>
      <c r="X177" s="276">
        <f t="shared" si="78"/>
        <v>154.27823850961644</v>
      </c>
      <c r="Y177" s="217">
        <v>9.5098248541666663</v>
      </c>
      <c r="Z177" s="83"/>
    </row>
    <row r="178" spans="2:26" x14ac:dyDescent="0.35">
      <c r="B178" s="211">
        <v>12</v>
      </c>
      <c r="C178" s="268">
        <v>15060.143541127547</v>
      </c>
      <c r="D178" s="303">
        <v>165775.56184913701</v>
      </c>
      <c r="E178" s="269">
        <v>1778969.0767980532</v>
      </c>
      <c r="F178" s="294">
        <v>19582123.995901708</v>
      </c>
      <c r="G178" s="270">
        <v>56372697.322031885</v>
      </c>
      <c r="H178" s="294">
        <v>620526328.05195069</v>
      </c>
      <c r="I178" s="271">
        <v>323.8273536655239</v>
      </c>
      <c r="J178" s="296">
        <v>3564.5517819548104</v>
      </c>
      <c r="K178" s="272">
        <f t="shared" si="79"/>
        <v>15060.143541127547</v>
      </c>
      <c r="L178" s="148">
        <f t="shared" si="75"/>
        <v>698969.07679805323</v>
      </c>
      <c r="M178" s="273">
        <f t="shared" si="76"/>
        <v>32060697.322031885</v>
      </c>
      <c r="N178" s="91">
        <f t="shared" si="77"/>
        <v>248.54895366552392</v>
      </c>
      <c r="O178" s="212">
        <v>0</v>
      </c>
      <c r="P178" s="213">
        <v>1080000</v>
      </c>
      <c r="Q178" s="213">
        <v>24312000</v>
      </c>
      <c r="R178" s="275">
        <v>75.278399999999991</v>
      </c>
      <c r="S178" s="154">
        <v>2641816.4431926864</v>
      </c>
      <c r="T178" s="215"/>
      <c r="U178" s="212">
        <v>0</v>
      </c>
      <c r="V178" s="276">
        <f t="shared" si="80"/>
        <v>11888173.994367089</v>
      </c>
      <c r="W178" s="276">
        <f t="shared" si="78"/>
        <v>267616005.69541913</v>
      </c>
      <c r="X178" s="276">
        <f t="shared" si="78"/>
        <v>828.632145571818</v>
      </c>
      <c r="Y178" s="217">
        <v>9.5098248541666663</v>
      </c>
      <c r="Z178" s="83"/>
    </row>
    <row r="179" spans="2:26" x14ac:dyDescent="0.35">
      <c r="B179" s="211">
        <v>13</v>
      </c>
      <c r="C179" s="268">
        <v>15190.22406886305</v>
      </c>
      <c r="D179" s="303">
        <v>64266.147294478978</v>
      </c>
      <c r="E179" s="269">
        <v>1900745.8297574862</v>
      </c>
      <c r="F179" s="294">
        <v>8041593.7849759553</v>
      </c>
      <c r="G179" s="270">
        <v>61177552.292181924</v>
      </c>
      <c r="H179" s="294">
        <v>258827359.55055121</v>
      </c>
      <c r="I179" s="271">
        <v>339.26084633949415</v>
      </c>
      <c r="J179" s="296">
        <v>1435.330211276826</v>
      </c>
      <c r="K179" s="272">
        <f t="shared" si="79"/>
        <v>15190.22406886305</v>
      </c>
      <c r="L179" s="148">
        <f t="shared" si="75"/>
        <v>820745.82975748624</v>
      </c>
      <c r="M179" s="273">
        <f t="shared" si="76"/>
        <v>36049552.292181924</v>
      </c>
      <c r="N179" s="91">
        <f t="shared" si="77"/>
        <v>262.47244633949413</v>
      </c>
      <c r="O179" s="212">
        <v>0</v>
      </c>
      <c r="P179" s="213">
        <v>1080000</v>
      </c>
      <c r="Q179" s="213">
        <v>25128000</v>
      </c>
      <c r="R179" s="275">
        <v>76.788399999999996</v>
      </c>
      <c r="S179" s="154">
        <v>1015381.6876402004</v>
      </c>
      <c r="T179" s="215"/>
      <c r="U179" s="212">
        <v>0</v>
      </c>
      <c r="V179" s="276">
        <f t="shared" si="80"/>
        <v>4569217.5943809012</v>
      </c>
      <c r="W179" s="276">
        <f t="shared" si="78"/>
        <v>106310462.69592898</v>
      </c>
      <c r="X179" s="276">
        <f t="shared" si="78"/>
        <v>324.87306326329485</v>
      </c>
      <c r="Y179" s="217">
        <v>9.5098248541666663</v>
      </c>
      <c r="Z179" s="83"/>
    </row>
    <row r="180" spans="2:26" x14ac:dyDescent="0.35">
      <c r="B180" s="211">
        <v>14</v>
      </c>
      <c r="C180" s="268">
        <v>17130.211502772829</v>
      </c>
      <c r="D180" s="303">
        <v>39742.638093184272</v>
      </c>
      <c r="E180" s="269">
        <v>1905732.0492613262</v>
      </c>
      <c r="F180" s="294">
        <v>4421359.2531601628</v>
      </c>
      <c r="G180" s="270">
        <v>62099357.252287447</v>
      </c>
      <c r="H180" s="294">
        <v>144072493.24957427</v>
      </c>
      <c r="I180" s="271">
        <v>346.75082777391845</v>
      </c>
      <c r="J180" s="296">
        <v>804.4730010776716</v>
      </c>
      <c r="K180" s="272">
        <f t="shared" si="79"/>
        <v>17130.211502772829</v>
      </c>
      <c r="L180" s="148">
        <f t="shared" si="75"/>
        <v>633732.0492613262</v>
      </c>
      <c r="M180" s="273">
        <f t="shared" si="76"/>
        <v>33587357.252287447</v>
      </c>
      <c r="N180" s="91">
        <f t="shared" si="77"/>
        <v>249.20542777391844</v>
      </c>
      <c r="O180" s="212">
        <v>0</v>
      </c>
      <c r="P180" s="213">
        <v>1272000</v>
      </c>
      <c r="Q180" s="213">
        <v>28512000</v>
      </c>
      <c r="R180" s="275">
        <v>97.545400000000001</v>
      </c>
      <c r="S180" s="154">
        <v>556807.66935191036</v>
      </c>
      <c r="T180" s="215"/>
      <c r="U180" s="212">
        <v>0</v>
      </c>
      <c r="V180" s="276">
        <f t="shared" si="80"/>
        <v>2951080.647565125</v>
      </c>
      <c r="W180" s="276">
        <f t="shared" si="78"/>
        <v>66148751.119006947</v>
      </c>
      <c r="X180" s="276">
        <f t="shared" si="78"/>
        <v>226.30844512499931</v>
      </c>
      <c r="Y180" s="217">
        <v>9.5098248541666663</v>
      </c>
      <c r="Z180" s="83"/>
    </row>
    <row r="181" spans="2:26" x14ac:dyDescent="0.35">
      <c r="B181" s="211">
        <v>15</v>
      </c>
      <c r="C181" s="268">
        <v>3360.602377231532</v>
      </c>
      <c r="D181" s="303">
        <v>4483.5876730575037</v>
      </c>
      <c r="E181" s="269">
        <v>2299324.8727313322</v>
      </c>
      <c r="F181" s="294">
        <v>3067671.6548137018</v>
      </c>
      <c r="G181" s="270">
        <v>68993084.883576497</v>
      </c>
      <c r="H181" s="294">
        <v>92047945.632010579</v>
      </c>
      <c r="I181" s="271">
        <v>316.95211785498998</v>
      </c>
      <c r="J181" s="296">
        <v>422.86544168155694</v>
      </c>
      <c r="K181" s="272">
        <f t="shared" si="79"/>
        <v>3360.602377231532</v>
      </c>
      <c r="L181" s="148">
        <f t="shared" si="75"/>
        <v>907324.8727313322</v>
      </c>
      <c r="M181" s="273">
        <f t="shared" si="76"/>
        <v>37121084.883576497</v>
      </c>
      <c r="N181" s="91">
        <f t="shared" si="77"/>
        <v>205.34661785498997</v>
      </c>
      <c r="O181" s="212">
        <v>0</v>
      </c>
      <c r="P181" s="213">
        <v>1392000</v>
      </c>
      <c r="Q181" s="213">
        <v>31872000.000000004</v>
      </c>
      <c r="R181" s="275">
        <v>111.60549999999999</v>
      </c>
      <c r="S181" s="154">
        <v>320198.85745015187</v>
      </c>
      <c r="T181" s="215"/>
      <c r="U181" s="212">
        <v>0</v>
      </c>
      <c r="V181" s="276">
        <f t="shared" si="80"/>
        <v>1857153.3732108807</v>
      </c>
      <c r="W181" s="276">
        <f t="shared" si="78"/>
        <v>42522408.269380175</v>
      </c>
      <c r="X181" s="276">
        <f t="shared" si="78"/>
        <v>148.89980660480384</v>
      </c>
      <c r="Y181" s="217">
        <v>11.134993150000001</v>
      </c>
      <c r="Z181" s="83"/>
    </row>
    <row r="182" spans="2:26" x14ac:dyDescent="0.35">
      <c r="B182" s="211">
        <v>16</v>
      </c>
      <c r="C182" s="268">
        <v>40037.18191040786</v>
      </c>
      <c r="D182" s="303">
        <v>29456.623811968886</v>
      </c>
      <c r="E182" s="269">
        <v>1637696.4245793356</v>
      </c>
      <c r="F182" s="294">
        <v>1204905.1705234898</v>
      </c>
      <c r="G182" s="270">
        <v>53514805.973490745</v>
      </c>
      <c r="H182" s="294">
        <v>39372539.042810068</v>
      </c>
      <c r="I182" s="271">
        <v>445.74909859842688</v>
      </c>
      <c r="J182" s="296">
        <v>327.95174099216041</v>
      </c>
      <c r="K182" s="272">
        <f t="shared" si="79"/>
        <v>40037.18191040786</v>
      </c>
      <c r="L182" s="148">
        <f t="shared" si="75"/>
        <v>629696.42457933561</v>
      </c>
      <c r="M182" s="273">
        <f t="shared" si="76"/>
        <v>32490805.973490745</v>
      </c>
      <c r="N182" s="91">
        <f t="shared" si="77"/>
        <v>371.22279859842689</v>
      </c>
      <c r="O182" s="212">
        <v>0</v>
      </c>
      <c r="P182" s="213">
        <v>1008000</v>
      </c>
      <c r="Q182" s="213">
        <v>21024000</v>
      </c>
      <c r="R182" s="275">
        <v>74.526300000000006</v>
      </c>
      <c r="S182" s="154">
        <v>176575.60741143869</v>
      </c>
      <c r="T182" s="215"/>
      <c r="U182" s="212">
        <v>0</v>
      </c>
      <c r="V182" s="276">
        <f t="shared" si="80"/>
        <v>741617.55112804251</v>
      </c>
      <c r="W182" s="276">
        <f t="shared" si="78"/>
        <v>15468023.209242029</v>
      </c>
      <c r="X182" s="276">
        <f t="shared" si="78"/>
        <v>54.831361210946262</v>
      </c>
      <c r="Y182" s="217">
        <v>8.5904399458333334</v>
      </c>
      <c r="Z182" s="83"/>
    </row>
    <row r="183" spans="2:26" ht="15" thickBot="1" x14ac:dyDescent="0.4">
      <c r="B183" s="218" t="s">
        <v>12</v>
      </c>
      <c r="C183" s="219"/>
      <c r="D183" s="304">
        <v>821302.21143933933</v>
      </c>
      <c r="E183" s="277"/>
      <c r="F183" s="278">
        <v>156817364.91303366</v>
      </c>
      <c r="G183" s="278"/>
      <c r="H183" s="278">
        <v>4813133923.1386452</v>
      </c>
      <c r="I183" s="99"/>
      <c r="J183" s="297">
        <v>25500.495024834207</v>
      </c>
      <c r="K183" s="279">
        <f>SUM(K167:K182)</f>
        <v>200858.60653136519</v>
      </c>
      <c r="L183" s="277">
        <f t="shared" ref="L183:N183" si="81">SUM(L167:L182)</f>
        <v>10478308.12381234</v>
      </c>
      <c r="M183" s="278">
        <f t="shared" si="81"/>
        <v>469474266.83958232</v>
      </c>
      <c r="N183" s="99">
        <f t="shared" si="81"/>
        <v>3533.8013835602046</v>
      </c>
      <c r="O183" s="219"/>
      <c r="P183" s="220"/>
      <c r="Q183" s="221"/>
      <c r="R183" s="222"/>
      <c r="S183" s="280">
        <f>SUM(S167:S182)</f>
        <v>21462423.909351859</v>
      </c>
      <c r="T183" s="224"/>
      <c r="U183" s="225">
        <f>SUM(U167:U182)</f>
        <v>0</v>
      </c>
      <c r="V183" s="226">
        <f>SUM(V167:V182)</f>
        <v>100013851.91982014</v>
      </c>
      <c r="W183" s="226">
        <f>SUM(W167:W182)</f>
        <v>2279500494.3770261</v>
      </c>
      <c r="X183" s="227">
        <f>SUM(X167:X182)</f>
        <v>7599.1873297978218</v>
      </c>
      <c r="Y183" s="229">
        <f>SUMPRODUCT(Y167:Y182,S167:S182)/SUM(S167:S182)</f>
        <v>9.4094605038374723</v>
      </c>
      <c r="Z183" s="83"/>
    </row>
    <row r="184" spans="2:26" x14ac:dyDescent="0.35">
      <c r="B184" s="83"/>
      <c r="C184" s="83"/>
      <c r="D184" s="83"/>
      <c r="E184" s="83"/>
      <c r="F184" s="83"/>
      <c r="G184" s="83"/>
      <c r="H184" s="83"/>
      <c r="I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2:26" x14ac:dyDescent="0.35">
      <c r="B185" s="83"/>
      <c r="C185" s="83"/>
      <c r="D185" s="83"/>
      <c r="E185" s="83"/>
      <c r="F185" s="83"/>
      <c r="G185" s="83"/>
      <c r="H185" s="83"/>
      <c r="I185" s="83"/>
      <c r="K185" s="83"/>
      <c r="L185" s="83"/>
      <c r="M185" s="83"/>
      <c r="N185" s="83"/>
      <c r="O185" s="83"/>
      <c r="P185" s="83"/>
      <c r="Q185" s="83" t="s">
        <v>126</v>
      </c>
      <c r="R185" s="83">
        <v>24700</v>
      </c>
      <c r="S185" s="83"/>
      <c r="T185" s="83"/>
      <c r="U185" s="83"/>
      <c r="V185" s="83"/>
      <c r="W185" s="83"/>
      <c r="X185" s="83"/>
      <c r="Y185" s="83"/>
      <c r="Z185" s="83"/>
    </row>
    <row r="186" spans="2:26" ht="15" thickBot="1" x14ac:dyDescent="0.4">
      <c r="B186" s="83"/>
      <c r="C186" s="83"/>
      <c r="D186" s="83"/>
      <c r="E186" s="83"/>
      <c r="F186" s="83"/>
      <c r="G186" s="83"/>
      <c r="H186" s="83"/>
      <c r="I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2:26" x14ac:dyDescent="0.35">
      <c r="B187" s="203"/>
      <c r="C187" s="1197" t="str">
        <f>C165</f>
        <v>2019 Energy Code</v>
      </c>
      <c r="D187" s="1198"/>
      <c r="E187" s="1199"/>
      <c r="F187" s="1200"/>
      <c r="G187" s="1200"/>
      <c r="H187" s="1200"/>
      <c r="I187" s="1201"/>
      <c r="J187" s="263"/>
      <c r="K187" s="1202" t="str">
        <f>K165</f>
        <v>2022 Energy Code</v>
      </c>
      <c r="L187" s="1203"/>
      <c r="M187" s="1204"/>
      <c r="N187" s="1205"/>
      <c r="O187" s="1197" t="s">
        <v>163</v>
      </c>
      <c r="P187" s="1199"/>
      <c r="Q187" s="1200"/>
      <c r="R187" s="1201"/>
      <c r="S187" s="1206" t="s">
        <v>164</v>
      </c>
      <c r="T187" s="1207"/>
      <c r="U187" s="1197" t="s">
        <v>165</v>
      </c>
      <c r="V187" s="1199"/>
      <c r="W187" s="1199"/>
      <c r="X187" s="1199"/>
      <c r="Y187" s="267"/>
      <c r="Z187" s="83"/>
    </row>
    <row r="188" spans="2:26" ht="43.5" x14ac:dyDescent="0.35">
      <c r="B188" s="204" t="s">
        <v>5</v>
      </c>
      <c r="C188" s="205" t="s">
        <v>6</v>
      </c>
      <c r="D188" s="293" t="s">
        <v>166</v>
      </c>
      <c r="E188" s="206" t="s">
        <v>7</v>
      </c>
      <c r="F188" s="207" t="s">
        <v>167</v>
      </c>
      <c r="G188" s="207" t="s">
        <v>8</v>
      </c>
      <c r="H188" s="207" t="s">
        <v>168</v>
      </c>
      <c r="I188" s="208" t="s">
        <v>9</v>
      </c>
      <c r="J188" s="208" t="s">
        <v>169</v>
      </c>
      <c r="K188" s="258" t="s">
        <v>6</v>
      </c>
      <c r="L188" s="259" t="s">
        <v>7</v>
      </c>
      <c r="M188" s="209" t="s">
        <v>8</v>
      </c>
      <c r="N188" s="260" t="s">
        <v>9</v>
      </c>
      <c r="O188" s="205" t="s">
        <v>6</v>
      </c>
      <c r="P188" s="206" t="s">
        <v>7</v>
      </c>
      <c r="Q188" s="206" t="s">
        <v>170</v>
      </c>
      <c r="R188" s="208" t="s">
        <v>9</v>
      </c>
      <c r="S188" s="258" t="s">
        <v>171</v>
      </c>
      <c r="T188" s="209" t="s">
        <v>11</v>
      </c>
      <c r="U188" s="205" t="s">
        <v>6</v>
      </c>
      <c r="V188" s="206" t="s">
        <v>7</v>
      </c>
      <c r="W188" s="206" t="s">
        <v>170</v>
      </c>
      <c r="X188" s="206" t="s">
        <v>9</v>
      </c>
      <c r="Y188" s="208" t="s">
        <v>172</v>
      </c>
      <c r="Z188" s="83"/>
    </row>
    <row r="189" spans="2:26" x14ac:dyDescent="0.35">
      <c r="B189" s="211">
        <v>1</v>
      </c>
      <c r="C189" s="268">
        <v>4761.2946226793802</v>
      </c>
      <c r="D189" s="303">
        <v>2267.9283254272868</v>
      </c>
      <c r="E189" s="269">
        <v>158091.29877252638</v>
      </c>
      <c r="F189" s="294">
        <v>75302.992757888889</v>
      </c>
      <c r="G189" s="270">
        <v>5627723.7533832099</v>
      </c>
      <c r="H189" s="294">
        <v>2680631.02988475</v>
      </c>
      <c r="I189" s="271">
        <v>49.342759667272631</v>
      </c>
      <c r="J189" s="296">
        <v>23.503238335876087</v>
      </c>
      <c r="K189" s="272">
        <f>C189-O189</f>
        <v>4761.2946226793802</v>
      </c>
      <c r="L189" s="148">
        <f t="shared" ref="L189:L204" si="82">E189-P189</f>
        <v>74111.298772526381</v>
      </c>
      <c r="M189" s="273">
        <f t="shared" ref="M189:M204" si="83">G189-Q189</f>
        <v>3886373.7533832099</v>
      </c>
      <c r="N189" s="91">
        <f t="shared" ref="N189:N204" si="84">I189-R189</f>
        <v>42.955259667272628</v>
      </c>
      <c r="O189" s="212">
        <v>0</v>
      </c>
      <c r="P189" s="213">
        <v>83980</v>
      </c>
      <c r="Q189" s="213">
        <v>1741350</v>
      </c>
      <c r="R189" s="275">
        <v>6.3875000000000002</v>
      </c>
      <c r="S189" s="154">
        <v>11765.251696718235</v>
      </c>
      <c r="T189" s="215"/>
      <c r="U189" s="212">
        <v>0</v>
      </c>
      <c r="V189" s="276">
        <f>$S189*P189/$R$185</f>
        <v>40001.855768841997</v>
      </c>
      <c r="W189" s="276">
        <f t="shared" ref="W189:X204" si="85">$S189*Q189/$R$185</f>
        <v>829450.24461863562</v>
      </c>
      <c r="X189" s="276">
        <f t="shared" si="85"/>
        <v>3.0425321948497053</v>
      </c>
      <c r="Y189" s="217">
        <v>10.543523935222673</v>
      </c>
      <c r="Z189" s="83"/>
    </row>
    <row r="190" spans="2:26" x14ac:dyDescent="0.35">
      <c r="B190" s="211">
        <v>2</v>
      </c>
      <c r="C190" s="268">
        <v>3256.2244478456673</v>
      </c>
      <c r="D190" s="303">
        <v>9213.5160929032681</v>
      </c>
      <c r="E190" s="269">
        <v>176440.18964949812</v>
      </c>
      <c r="F190" s="294">
        <v>499239.08895349118</v>
      </c>
      <c r="G190" s="270">
        <v>6231235.8453185679</v>
      </c>
      <c r="H190" s="294">
        <v>17631337.35375708</v>
      </c>
      <c r="I190" s="271">
        <v>43.044122774951987</v>
      </c>
      <c r="J190" s="296">
        <v>121.79372897783766</v>
      </c>
      <c r="K190" s="272">
        <f t="shared" ref="K190:K204" si="86">C190-O190</f>
        <v>3256.2244478456673</v>
      </c>
      <c r="L190" s="148">
        <f t="shared" si="82"/>
        <v>67760.189649498105</v>
      </c>
      <c r="M190" s="273">
        <f t="shared" si="83"/>
        <v>3699485.8453185679</v>
      </c>
      <c r="N190" s="91">
        <f t="shared" si="84"/>
        <v>35.199422774952019</v>
      </c>
      <c r="O190" s="212">
        <v>0</v>
      </c>
      <c r="P190" s="213">
        <v>108680.00000000001</v>
      </c>
      <c r="Q190" s="213">
        <v>2531750</v>
      </c>
      <c r="R190" s="275">
        <v>7.8446999999999667</v>
      </c>
      <c r="S190" s="154">
        <v>69888.870113138124</v>
      </c>
      <c r="T190" s="215"/>
      <c r="U190" s="212">
        <v>0</v>
      </c>
      <c r="V190" s="276">
        <f t="shared" ref="V190:V204" si="87">$S190*P190/$R$185</f>
        <v>307511.0284978078</v>
      </c>
      <c r="W190" s="276">
        <f t="shared" si="85"/>
        <v>7163609.1865966571</v>
      </c>
      <c r="X190" s="276">
        <f t="shared" si="85"/>
        <v>22.196648557754347</v>
      </c>
      <c r="Y190" s="217">
        <v>11.706084000000001</v>
      </c>
      <c r="Z190" s="83"/>
    </row>
    <row r="191" spans="2:26" x14ac:dyDescent="0.35">
      <c r="B191" s="211">
        <v>3</v>
      </c>
      <c r="C191" s="268">
        <v>2804.7172419474773</v>
      </c>
      <c r="D191" s="303">
        <v>36269.89064415513</v>
      </c>
      <c r="E191" s="269">
        <v>163643.29013166868</v>
      </c>
      <c r="F191" s="294">
        <v>2116193.4433020186</v>
      </c>
      <c r="G191" s="270">
        <v>5387559.024992846</v>
      </c>
      <c r="H191" s="294">
        <v>69670544.236302316</v>
      </c>
      <c r="I191" s="271">
        <v>38.99571540683398</v>
      </c>
      <c r="J191" s="296">
        <v>504.28268213389833</v>
      </c>
      <c r="K191" s="272">
        <f t="shared" si="86"/>
        <v>2804.7172419474773</v>
      </c>
      <c r="L191" s="148">
        <f t="shared" si="82"/>
        <v>62373.290131668691</v>
      </c>
      <c r="M191" s="273">
        <f t="shared" si="83"/>
        <v>3169499.024992846</v>
      </c>
      <c r="N191" s="91">
        <f t="shared" si="84"/>
        <v>31.63921540683398</v>
      </c>
      <c r="O191" s="212">
        <v>0</v>
      </c>
      <c r="P191" s="213">
        <v>101269.99999999999</v>
      </c>
      <c r="Q191" s="213">
        <v>2218060</v>
      </c>
      <c r="R191" s="275">
        <v>7.3564999999999996</v>
      </c>
      <c r="S191" s="154">
        <v>319414.12328915548</v>
      </c>
      <c r="T191" s="215"/>
      <c r="U191" s="212">
        <v>0</v>
      </c>
      <c r="V191" s="276">
        <f t="shared" si="87"/>
        <v>1309597.9054855374</v>
      </c>
      <c r="W191" s="276">
        <f t="shared" si="85"/>
        <v>28683388.271366164</v>
      </c>
      <c r="X191" s="276">
        <f t="shared" si="85"/>
        <v>95.132388582051519</v>
      </c>
      <c r="Y191" s="217">
        <v>10.543523935222673</v>
      </c>
      <c r="Z191" s="83"/>
    </row>
    <row r="192" spans="2:26" x14ac:dyDescent="0.35">
      <c r="B192" s="211">
        <v>4</v>
      </c>
      <c r="C192" s="268">
        <v>2241.3488896525078</v>
      </c>
      <c r="D192" s="303">
        <v>14855.608291595607</v>
      </c>
      <c r="E192" s="269">
        <v>177768.69230390922</v>
      </c>
      <c r="F192" s="294">
        <v>1178246.7564813141</v>
      </c>
      <c r="G192" s="270">
        <v>5773788.3782709911</v>
      </c>
      <c r="H192" s="294">
        <v>38268535.033588149</v>
      </c>
      <c r="I192" s="271">
        <v>37.500295584208935</v>
      </c>
      <c r="J192" s="296">
        <v>248.55108662017807</v>
      </c>
      <c r="K192" s="272">
        <f t="shared" si="86"/>
        <v>2241.3488896525078</v>
      </c>
      <c r="L192" s="148">
        <f t="shared" si="82"/>
        <v>61678.692303909222</v>
      </c>
      <c r="M192" s="273">
        <f t="shared" si="83"/>
        <v>3098778.3782709911</v>
      </c>
      <c r="N192" s="91">
        <f t="shared" si="84"/>
        <v>29.278695584208933</v>
      </c>
      <c r="O192" s="212">
        <v>0</v>
      </c>
      <c r="P192" s="213">
        <v>116090</v>
      </c>
      <c r="Q192" s="213">
        <v>2675010</v>
      </c>
      <c r="R192" s="275">
        <v>8.2216000000000005</v>
      </c>
      <c r="S192" s="154">
        <v>163711.02530998635</v>
      </c>
      <c r="T192" s="215"/>
      <c r="U192" s="212">
        <v>0</v>
      </c>
      <c r="V192" s="276">
        <f t="shared" si="87"/>
        <v>769441.81895693589</v>
      </c>
      <c r="W192" s="276">
        <f t="shared" si="85"/>
        <v>17729904.041071519</v>
      </c>
      <c r="X192" s="276">
        <f t="shared" si="85"/>
        <v>54.492573509659259</v>
      </c>
      <c r="Y192" s="217">
        <v>11.706084000000001</v>
      </c>
      <c r="Z192" s="83"/>
    </row>
    <row r="193" spans="2:26" x14ac:dyDescent="0.35">
      <c r="B193" s="211">
        <v>5</v>
      </c>
      <c r="C193" s="268">
        <v>2519.6262853497738</v>
      </c>
      <c r="D193" s="303">
        <v>3380.221103188082</v>
      </c>
      <c r="E193" s="269">
        <v>164343.51250188818</v>
      </c>
      <c r="F193" s="294">
        <v>220476.11281123778</v>
      </c>
      <c r="G193" s="270">
        <v>5198799.010669576</v>
      </c>
      <c r="H193" s="294">
        <v>6974482.7751942314</v>
      </c>
      <c r="I193" s="271">
        <v>37.277504828028412</v>
      </c>
      <c r="J193" s="296">
        <v>50.009880126490707</v>
      </c>
      <c r="K193" s="272">
        <f t="shared" si="86"/>
        <v>2519.6262853497738</v>
      </c>
      <c r="L193" s="148">
        <f t="shared" si="82"/>
        <v>55663.512501888166</v>
      </c>
      <c r="M193" s="273">
        <f t="shared" si="83"/>
        <v>2909109.010669576</v>
      </c>
      <c r="N193" s="91">
        <f t="shared" si="84"/>
        <v>29.105204828028448</v>
      </c>
      <c r="O193" s="212">
        <v>0</v>
      </c>
      <c r="P193" s="213">
        <v>108680.00000000001</v>
      </c>
      <c r="Q193" s="213">
        <v>2289690</v>
      </c>
      <c r="R193" s="275">
        <v>8.1722999999999661</v>
      </c>
      <c r="S193" s="154">
        <v>33136.446358812042</v>
      </c>
      <c r="T193" s="215"/>
      <c r="U193" s="212">
        <v>0</v>
      </c>
      <c r="V193" s="276">
        <f t="shared" si="87"/>
        <v>145800.36397877301</v>
      </c>
      <c r="W193" s="276">
        <f t="shared" si="85"/>
        <v>3071748.5774618764</v>
      </c>
      <c r="X193" s="276">
        <f t="shared" si="85"/>
        <v>10.963602452555406</v>
      </c>
      <c r="Y193" s="217">
        <v>10.543523935222673</v>
      </c>
      <c r="Z193" s="83"/>
    </row>
    <row r="194" spans="2:26" x14ac:dyDescent="0.35">
      <c r="B194" s="211">
        <v>6</v>
      </c>
      <c r="C194" s="268">
        <v>1281.0546104332564</v>
      </c>
      <c r="D194" s="303">
        <v>12109.425109451133</v>
      </c>
      <c r="E194" s="269">
        <v>177462.55357321521</v>
      </c>
      <c r="F194" s="294">
        <v>1677500.306954144</v>
      </c>
      <c r="G194" s="270">
        <v>5469637.4137431802</v>
      </c>
      <c r="H194" s="294">
        <v>51702842.406674944</v>
      </c>
      <c r="I194" s="271">
        <v>31.76186235817752</v>
      </c>
      <c r="J194" s="296">
        <v>300.23536110842826</v>
      </c>
      <c r="K194" s="272">
        <f t="shared" si="86"/>
        <v>1281.0546104332564</v>
      </c>
      <c r="L194" s="148">
        <f t="shared" si="82"/>
        <v>56432.553573215191</v>
      </c>
      <c r="M194" s="273">
        <f t="shared" si="83"/>
        <v>2787217.4137431802</v>
      </c>
      <c r="N194" s="91">
        <f t="shared" si="84"/>
        <v>22.357562358177553</v>
      </c>
      <c r="O194" s="212">
        <v>0</v>
      </c>
      <c r="P194" s="213">
        <v>121030.00000000001</v>
      </c>
      <c r="Q194" s="213">
        <v>2682420</v>
      </c>
      <c r="R194" s="275">
        <v>9.4042999999999672</v>
      </c>
      <c r="S194" s="154">
        <v>233481.69372911085</v>
      </c>
      <c r="T194" s="215"/>
      <c r="U194" s="212">
        <v>0</v>
      </c>
      <c r="V194" s="276">
        <f t="shared" si="87"/>
        <v>1144060.2992726434</v>
      </c>
      <c r="W194" s="276">
        <f t="shared" si="85"/>
        <v>25356111.93898144</v>
      </c>
      <c r="X194" s="276">
        <f t="shared" si="85"/>
        <v>88.896028029824677</v>
      </c>
      <c r="Y194" s="217">
        <v>11.706084000000001</v>
      </c>
      <c r="Z194" s="83"/>
    </row>
    <row r="195" spans="2:26" x14ac:dyDescent="0.35">
      <c r="B195" s="211">
        <v>7</v>
      </c>
      <c r="C195" s="268">
        <v>814.5256460296863</v>
      </c>
      <c r="D195" s="303">
        <v>5430.4180190196575</v>
      </c>
      <c r="E195" s="269">
        <v>174373.62392358863</v>
      </c>
      <c r="F195" s="294">
        <v>1162543.713647417</v>
      </c>
      <c r="G195" s="270">
        <v>5201534.9913816042</v>
      </c>
      <c r="H195" s="294">
        <v>34678477.567212723</v>
      </c>
      <c r="I195" s="271">
        <v>28.978060173831615</v>
      </c>
      <c r="J195" s="296">
        <v>193.19585686621321</v>
      </c>
      <c r="K195" s="272">
        <f t="shared" si="86"/>
        <v>814.5256460296863</v>
      </c>
      <c r="L195" s="148">
        <f t="shared" si="82"/>
        <v>63223.623923588631</v>
      </c>
      <c r="M195" s="273">
        <f t="shared" si="83"/>
        <v>2741414.9913816042</v>
      </c>
      <c r="N195" s="91">
        <f t="shared" si="84"/>
        <v>19.639560173831615</v>
      </c>
      <c r="O195" s="212">
        <v>0</v>
      </c>
      <c r="P195" s="213">
        <v>111150</v>
      </c>
      <c r="Q195" s="213">
        <v>2460120</v>
      </c>
      <c r="R195" s="275">
        <v>9.3384999999999998</v>
      </c>
      <c r="S195" s="154">
        <v>164674.15817242049</v>
      </c>
      <c r="T195" s="215"/>
      <c r="U195" s="212">
        <v>0</v>
      </c>
      <c r="V195" s="276">
        <f t="shared" si="87"/>
        <v>741033.71177589218</v>
      </c>
      <c r="W195" s="276">
        <f t="shared" si="85"/>
        <v>16401546.15397308</v>
      </c>
      <c r="X195" s="276">
        <f t="shared" si="85"/>
        <v>62.259499032111286</v>
      </c>
      <c r="Y195" s="217">
        <v>11.706084000000001</v>
      </c>
      <c r="Z195" s="83"/>
    </row>
    <row r="196" spans="2:26" x14ac:dyDescent="0.35">
      <c r="B196" s="211">
        <v>8</v>
      </c>
      <c r="C196" s="268">
        <v>1176.0838569795801</v>
      </c>
      <c r="D196" s="303">
        <v>15957.240562861782</v>
      </c>
      <c r="E196" s="269">
        <v>185529.39793420935</v>
      </c>
      <c r="F196" s="294">
        <v>2517284.1347574871</v>
      </c>
      <c r="G196" s="270">
        <v>5883294.6828433936</v>
      </c>
      <c r="H196" s="294">
        <v>79825216.543183684</v>
      </c>
      <c r="I196" s="271">
        <v>32.303786276984972</v>
      </c>
      <c r="J196" s="296">
        <v>438.30147455384417</v>
      </c>
      <c r="K196" s="272">
        <f t="shared" si="86"/>
        <v>1176.0838569795801</v>
      </c>
      <c r="L196" s="148">
        <f t="shared" si="82"/>
        <v>66969.397934209352</v>
      </c>
      <c r="M196" s="273">
        <f t="shared" si="83"/>
        <v>3042794.6828433936</v>
      </c>
      <c r="N196" s="91">
        <f t="shared" si="84"/>
        <v>23.070186276984973</v>
      </c>
      <c r="O196" s="212">
        <v>0</v>
      </c>
      <c r="P196" s="213">
        <v>118560</v>
      </c>
      <c r="Q196" s="213">
        <v>2840500</v>
      </c>
      <c r="R196" s="275">
        <v>9.2335999999999991</v>
      </c>
      <c r="S196" s="154">
        <v>335132.43087523256</v>
      </c>
      <c r="T196" s="215"/>
      <c r="U196" s="212">
        <v>0</v>
      </c>
      <c r="V196" s="276">
        <f t="shared" si="87"/>
        <v>1608635.6682011164</v>
      </c>
      <c r="W196" s="276">
        <f t="shared" si="85"/>
        <v>38540229.550651744</v>
      </c>
      <c r="X196" s="276">
        <f t="shared" si="85"/>
        <v>125.28254306597356</v>
      </c>
      <c r="Y196" s="217">
        <v>11.706084000000001</v>
      </c>
      <c r="Z196" s="83"/>
    </row>
    <row r="197" spans="2:26" x14ac:dyDescent="0.35">
      <c r="B197" s="211">
        <v>9</v>
      </c>
      <c r="C197" s="268">
        <v>1345.1948185722251</v>
      </c>
      <c r="D197" s="303">
        <v>28536.285256207684</v>
      </c>
      <c r="E197" s="269">
        <v>192111.39830866977</v>
      </c>
      <c r="F197" s="294">
        <v>4075354.4300176711</v>
      </c>
      <c r="G197" s="270">
        <v>6186694.1030488489</v>
      </c>
      <c r="H197" s="294">
        <v>131241412.232678</v>
      </c>
      <c r="I197" s="271">
        <v>34.228086281678983</v>
      </c>
      <c r="J197" s="296">
        <v>726.09738041125092</v>
      </c>
      <c r="K197" s="272">
        <f t="shared" si="86"/>
        <v>1345.1948185722251</v>
      </c>
      <c r="L197" s="148">
        <f t="shared" si="82"/>
        <v>68611.39830866977</v>
      </c>
      <c r="M197" s="273">
        <f t="shared" si="83"/>
        <v>3333844.1030488489</v>
      </c>
      <c r="N197" s="91">
        <f t="shared" si="84"/>
        <v>24.799386281678984</v>
      </c>
      <c r="O197" s="212">
        <v>0</v>
      </c>
      <c r="P197" s="213">
        <v>123500</v>
      </c>
      <c r="Q197" s="213">
        <v>2852850</v>
      </c>
      <c r="R197" s="275">
        <v>9.4286999999999992</v>
      </c>
      <c r="S197" s="154">
        <v>523973.35768542864</v>
      </c>
      <c r="T197" s="215"/>
      <c r="U197" s="212">
        <v>0</v>
      </c>
      <c r="V197" s="276">
        <f t="shared" si="87"/>
        <v>2619866.7884271434</v>
      </c>
      <c r="W197" s="276">
        <f t="shared" si="85"/>
        <v>60518922.812667005</v>
      </c>
      <c r="X197" s="276">
        <f t="shared" si="85"/>
        <v>200.01569221087453</v>
      </c>
      <c r="Y197" s="217">
        <v>11.706084000000001</v>
      </c>
      <c r="Z197" s="83"/>
    </row>
    <row r="198" spans="2:26" x14ac:dyDescent="0.35">
      <c r="B198" s="211">
        <v>10</v>
      </c>
      <c r="C198" s="268">
        <v>1444.3881869591114</v>
      </c>
      <c r="D198" s="303">
        <v>18344.672282974912</v>
      </c>
      <c r="E198" s="269">
        <v>195006.28104591207</v>
      </c>
      <c r="F198" s="294">
        <v>2476706.9899957776</v>
      </c>
      <c r="G198" s="270">
        <v>6226386.0133594573</v>
      </c>
      <c r="H198" s="294">
        <v>79079164.419676423</v>
      </c>
      <c r="I198" s="271">
        <v>35.007963439761504</v>
      </c>
      <c r="J198" s="296">
        <v>444.62397463167008</v>
      </c>
      <c r="K198" s="272">
        <f t="shared" si="86"/>
        <v>1444.3881869591114</v>
      </c>
      <c r="L198" s="148">
        <f t="shared" si="82"/>
        <v>71506.281045912066</v>
      </c>
      <c r="M198" s="273">
        <f t="shared" si="83"/>
        <v>3455046.0133594573</v>
      </c>
      <c r="N198" s="91">
        <f t="shared" si="84"/>
        <v>25.510663439761505</v>
      </c>
      <c r="O198" s="212">
        <v>0</v>
      </c>
      <c r="P198" s="213">
        <v>123500</v>
      </c>
      <c r="Q198" s="213">
        <v>2771340</v>
      </c>
      <c r="R198" s="275">
        <v>9.4972999999999992</v>
      </c>
      <c r="S198" s="154">
        <v>313706.11410456471</v>
      </c>
      <c r="T198" s="215"/>
      <c r="U198" s="212">
        <v>0</v>
      </c>
      <c r="V198" s="276">
        <f t="shared" si="87"/>
        <v>1568530.5705228236</v>
      </c>
      <c r="W198" s="276">
        <f t="shared" si="85"/>
        <v>35197826.002532162</v>
      </c>
      <c r="X198" s="276">
        <f t="shared" si="85"/>
        <v>120.62190597106405</v>
      </c>
      <c r="Y198" s="217">
        <v>11.706084000000001</v>
      </c>
      <c r="Z198" s="83"/>
    </row>
    <row r="199" spans="2:26" x14ac:dyDescent="0.35">
      <c r="B199" s="211">
        <v>11</v>
      </c>
      <c r="C199" s="268">
        <v>3311.2881643845094</v>
      </c>
      <c r="D199" s="303">
        <v>8669.5674854077388</v>
      </c>
      <c r="E199" s="269">
        <v>201780.98527060021</v>
      </c>
      <c r="F199" s="294">
        <v>528300.10021211707</v>
      </c>
      <c r="G199" s="270">
        <v>6863255.028035095</v>
      </c>
      <c r="H199" s="294">
        <v>17969276.511509579</v>
      </c>
      <c r="I199" s="271">
        <v>46.705530946899913</v>
      </c>
      <c r="J199" s="296">
        <v>122.28375556109684</v>
      </c>
      <c r="K199" s="272">
        <f t="shared" si="86"/>
        <v>3311.2881643845094</v>
      </c>
      <c r="L199" s="148">
        <f t="shared" si="82"/>
        <v>90630.985270600213</v>
      </c>
      <c r="M199" s="273">
        <f t="shared" si="83"/>
        <v>4346325.028035095</v>
      </c>
      <c r="N199" s="91">
        <f t="shared" si="84"/>
        <v>38.862830946899912</v>
      </c>
      <c r="O199" s="212">
        <v>0</v>
      </c>
      <c r="P199" s="213">
        <v>111150</v>
      </c>
      <c r="Q199" s="213">
        <v>2516930</v>
      </c>
      <c r="R199" s="275">
        <v>7.8426999999999998</v>
      </c>
      <c r="S199" s="154">
        <v>64669.188019573776</v>
      </c>
      <c r="T199" s="215"/>
      <c r="U199" s="212">
        <v>0</v>
      </c>
      <c r="V199" s="276">
        <f t="shared" si="87"/>
        <v>291011.34608808201</v>
      </c>
      <c r="W199" s="276">
        <f t="shared" si="85"/>
        <v>6589790.2591945678</v>
      </c>
      <c r="X199" s="276">
        <f t="shared" si="85"/>
        <v>20.533645379802074</v>
      </c>
      <c r="Y199" s="217">
        <v>11.706084000000001</v>
      </c>
      <c r="Z199" s="83"/>
    </row>
    <row r="200" spans="2:26" x14ac:dyDescent="0.35">
      <c r="B200" s="211">
        <v>12</v>
      </c>
      <c r="C200" s="268">
        <v>3135.423531075523</v>
      </c>
      <c r="D200" s="303">
        <v>44713.706256423073</v>
      </c>
      <c r="E200" s="269">
        <v>187960.88154778766</v>
      </c>
      <c r="F200" s="294">
        <v>2680476.0383817097</v>
      </c>
      <c r="G200" s="270">
        <v>6434779.584582475</v>
      </c>
      <c r="H200" s="294">
        <v>91765224.480264485</v>
      </c>
      <c r="I200" s="271">
        <v>43.986702285668031</v>
      </c>
      <c r="J200" s="296">
        <v>627.28638274760692</v>
      </c>
      <c r="K200" s="272">
        <f t="shared" si="86"/>
        <v>3135.423531075523</v>
      </c>
      <c r="L200" s="148">
        <f t="shared" si="82"/>
        <v>74340.881547787678</v>
      </c>
      <c r="M200" s="273">
        <f t="shared" si="83"/>
        <v>3910439.584582475</v>
      </c>
      <c r="N200" s="91">
        <f t="shared" si="84"/>
        <v>36.24910228566803</v>
      </c>
      <c r="O200" s="212">
        <v>0</v>
      </c>
      <c r="P200" s="213">
        <v>113619.99999999999</v>
      </c>
      <c r="Q200" s="213">
        <v>2524340</v>
      </c>
      <c r="R200" s="275">
        <v>7.7375999999999996</v>
      </c>
      <c r="S200" s="154">
        <v>352242.2197790948</v>
      </c>
      <c r="T200" s="215"/>
      <c r="U200" s="212">
        <v>0</v>
      </c>
      <c r="V200" s="276">
        <f t="shared" si="87"/>
        <v>1620314.2109838359</v>
      </c>
      <c r="W200" s="276">
        <f t="shared" si="85"/>
        <v>35999154.861423485</v>
      </c>
      <c r="X200" s="276">
        <f t="shared" si="85"/>
        <v>110.34451011185116</v>
      </c>
      <c r="Y200" s="217">
        <v>11.706084000000001</v>
      </c>
      <c r="Z200" s="83"/>
    </row>
    <row r="201" spans="2:26" x14ac:dyDescent="0.35">
      <c r="B201" s="211">
        <v>13</v>
      </c>
      <c r="C201" s="268">
        <v>2952.1389633447761</v>
      </c>
      <c r="D201" s="303">
        <v>16181.096224152729</v>
      </c>
      <c r="E201" s="269">
        <v>201977.91952274711</v>
      </c>
      <c r="F201" s="294">
        <v>1107069.8878107166</v>
      </c>
      <c r="G201" s="270">
        <v>6940113.2937244046</v>
      </c>
      <c r="H201" s="294">
        <v>38039754.363406271</v>
      </c>
      <c r="I201" s="271">
        <v>44.652214078201609</v>
      </c>
      <c r="J201" s="296">
        <v>244.74517683348807</v>
      </c>
      <c r="K201" s="272">
        <f t="shared" si="86"/>
        <v>2952.1389633447761</v>
      </c>
      <c r="L201" s="148">
        <f t="shared" si="82"/>
        <v>88357.919522747121</v>
      </c>
      <c r="M201" s="273">
        <f t="shared" si="83"/>
        <v>4331793.2937244046</v>
      </c>
      <c r="N201" s="91">
        <f t="shared" si="84"/>
        <v>36.764514078201607</v>
      </c>
      <c r="O201" s="212">
        <v>0</v>
      </c>
      <c r="P201" s="213">
        <v>113619.99999999999</v>
      </c>
      <c r="Q201" s="213">
        <v>2608320</v>
      </c>
      <c r="R201" s="275">
        <v>7.8876999999999997</v>
      </c>
      <c r="S201" s="154">
        <v>135384.23553196914</v>
      </c>
      <c r="T201" s="215"/>
      <c r="U201" s="212">
        <v>0</v>
      </c>
      <c r="V201" s="276">
        <f t="shared" si="87"/>
        <v>622767.48344705801</v>
      </c>
      <c r="W201" s="276">
        <f t="shared" si="85"/>
        <v>14296575.27217594</v>
      </c>
      <c r="X201" s="276">
        <f t="shared" si="85"/>
        <v>43.233612737065307</v>
      </c>
      <c r="Y201" s="217">
        <v>11.706084000000001</v>
      </c>
      <c r="Z201" s="83"/>
    </row>
    <row r="202" spans="2:26" x14ac:dyDescent="0.35">
      <c r="B202" s="211">
        <v>14</v>
      </c>
      <c r="C202" s="268">
        <v>3160.5468603132554</v>
      </c>
      <c r="D202" s="303">
        <v>9499.6861960986171</v>
      </c>
      <c r="E202" s="269">
        <v>202884.57900102827</v>
      </c>
      <c r="F202" s="294">
        <v>609812.13686112559</v>
      </c>
      <c r="G202" s="270">
        <v>7003212.3407176714</v>
      </c>
      <c r="H202" s="294">
        <v>21049622.910786156</v>
      </c>
      <c r="I202" s="271">
        <v>45.541532969370472</v>
      </c>
      <c r="J202" s="296">
        <v>136.88462510421977</v>
      </c>
      <c r="K202" s="272">
        <f t="shared" si="86"/>
        <v>3160.5468603132554</v>
      </c>
      <c r="L202" s="148">
        <f t="shared" si="82"/>
        <v>69504.579001028265</v>
      </c>
      <c r="M202" s="273">
        <f t="shared" si="83"/>
        <v>4029332.3407176714</v>
      </c>
      <c r="N202" s="91">
        <f t="shared" si="84"/>
        <v>35.489632969370476</v>
      </c>
      <c r="O202" s="212">
        <v>0</v>
      </c>
      <c r="P202" s="213">
        <v>133380</v>
      </c>
      <c r="Q202" s="213">
        <v>2973880</v>
      </c>
      <c r="R202" s="275">
        <v>10.0519</v>
      </c>
      <c r="S202" s="154">
        <v>74241.028345448882</v>
      </c>
      <c r="T202" s="215"/>
      <c r="U202" s="212">
        <v>0</v>
      </c>
      <c r="V202" s="276">
        <f t="shared" si="87"/>
        <v>400901.55306542391</v>
      </c>
      <c r="W202" s="276">
        <f t="shared" si="85"/>
        <v>8938619.812792046</v>
      </c>
      <c r="X202" s="276">
        <f t="shared" si="85"/>
        <v>30.213092826948081</v>
      </c>
      <c r="Y202" s="217">
        <v>11.706084000000001</v>
      </c>
      <c r="Z202" s="83"/>
    </row>
    <row r="203" spans="2:26" x14ac:dyDescent="0.35">
      <c r="B203" s="211">
        <v>15</v>
      </c>
      <c r="C203" s="268">
        <v>655.4254656948192</v>
      </c>
      <c r="D203" s="303">
        <v>1132.882599494834</v>
      </c>
      <c r="E203" s="269">
        <v>250968.98651534782</v>
      </c>
      <c r="F203" s="294">
        <v>433792.11324156309</v>
      </c>
      <c r="G203" s="270">
        <v>7685164.1991839241</v>
      </c>
      <c r="H203" s="294">
        <v>13283568.080905192</v>
      </c>
      <c r="I203" s="271">
        <v>37.363364429166744</v>
      </c>
      <c r="J203" s="296">
        <v>64.581417164673084</v>
      </c>
      <c r="K203" s="272">
        <f t="shared" si="86"/>
        <v>655.4254656948192</v>
      </c>
      <c r="L203" s="148">
        <f t="shared" si="82"/>
        <v>100298.98651534782</v>
      </c>
      <c r="M203" s="273">
        <f t="shared" si="83"/>
        <v>4286444.1991839241</v>
      </c>
      <c r="N203" s="91">
        <f t="shared" si="84"/>
        <v>25.564464429166744</v>
      </c>
      <c r="O203" s="212">
        <v>0</v>
      </c>
      <c r="P203" s="213">
        <v>150670</v>
      </c>
      <c r="Q203" s="213">
        <v>3398720</v>
      </c>
      <c r="R203" s="275">
        <v>11.7989</v>
      </c>
      <c r="S203" s="154">
        <v>42693.184308696887</v>
      </c>
      <c r="T203" s="215"/>
      <c r="U203" s="212">
        <v>0</v>
      </c>
      <c r="V203" s="276">
        <f t="shared" si="87"/>
        <v>260428.42428305102</v>
      </c>
      <c r="W203" s="276">
        <f t="shared" si="85"/>
        <v>5874582.1608766923</v>
      </c>
      <c r="X203" s="276">
        <f t="shared" si="85"/>
        <v>20.394032888254401</v>
      </c>
      <c r="Y203" s="217">
        <v>14.188567947368421</v>
      </c>
      <c r="Z203" s="83"/>
    </row>
    <row r="204" spans="2:26" x14ac:dyDescent="0.35">
      <c r="B204" s="211">
        <v>16</v>
      </c>
      <c r="C204" s="268">
        <v>6625.0516964310764</v>
      </c>
      <c r="D204" s="303">
        <v>6314.8319474881873</v>
      </c>
      <c r="E204" s="269">
        <v>178174.59681685135</v>
      </c>
      <c r="F204" s="294">
        <v>169831.52551337762</v>
      </c>
      <c r="G204" s="270">
        <v>6522895.1076529957</v>
      </c>
      <c r="H204" s="294">
        <v>6217458.8672434324</v>
      </c>
      <c r="I204" s="271">
        <v>62.231019111992694</v>
      </c>
      <c r="J204" s="296">
        <v>59.317035642885237</v>
      </c>
      <c r="K204" s="272">
        <f t="shared" si="86"/>
        <v>6625.0516964310764</v>
      </c>
      <c r="L204" s="148">
        <f t="shared" si="82"/>
        <v>71964.59681685135</v>
      </c>
      <c r="M204" s="273">
        <f t="shared" si="83"/>
        <v>4297425.1076529957</v>
      </c>
      <c r="N204" s="91">
        <f t="shared" si="84"/>
        <v>54.537019111992691</v>
      </c>
      <c r="O204" s="212">
        <v>0</v>
      </c>
      <c r="P204" s="213">
        <v>106210</v>
      </c>
      <c r="Q204" s="213">
        <v>2225470</v>
      </c>
      <c r="R204" s="275">
        <v>7.694</v>
      </c>
      <c r="S204" s="154">
        <v>23543.416149791388</v>
      </c>
      <c r="T204" s="215"/>
      <c r="U204" s="212">
        <v>0</v>
      </c>
      <c r="V204" s="276">
        <f t="shared" si="87"/>
        <v>101236.68944410297</v>
      </c>
      <c r="W204" s="276">
        <f t="shared" si="85"/>
        <v>2121261.7950962042</v>
      </c>
      <c r="X204" s="276">
        <f t="shared" si="85"/>
        <v>7.3337264719228719</v>
      </c>
      <c r="Y204" s="217">
        <v>10.543523935222673</v>
      </c>
      <c r="Z204" s="83"/>
    </row>
    <row r="205" spans="2:26" ht="15" thickBot="1" x14ac:dyDescent="0.4">
      <c r="B205" s="218" t="s">
        <v>12</v>
      </c>
      <c r="C205" s="219"/>
      <c r="D205" s="304">
        <v>232876.97639684973</v>
      </c>
      <c r="E205" s="277"/>
      <c r="F205" s="278">
        <v>21528129.77169906</v>
      </c>
      <c r="G205" s="278"/>
      <c r="H205" s="278">
        <v>700077548.81226754</v>
      </c>
      <c r="I205" s="99"/>
      <c r="J205" s="297">
        <v>4305.6930568196585</v>
      </c>
      <c r="K205" s="279">
        <f>SUM(K189:K204)</f>
        <v>41484.333287692622</v>
      </c>
      <c r="L205" s="277">
        <f t="shared" ref="L205:N205" si="88">SUM(L189:L204)</f>
        <v>1143428.1868194479</v>
      </c>
      <c r="M205" s="278">
        <f t="shared" si="88"/>
        <v>57325322.770908251</v>
      </c>
      <c r="N205" s="99">
        <f t="shared" si="88"/>
        <v>511.02272061303006</v>
      </c>
      <c r="O205" s="219"/>
      <c r="P205" s="220"/>
      <c r="Q205" s="221"/>
      <c r="R205" s="222"/>
      <c r="S205" s="280">
        <f>SUM(S189:S204)</f>
        <v>2861656.7434691419</v>
      </c>
      <c r="T205" s="224"/>
      <c r="U205" s="225">
        <f>SUM(U189:U204)</f>
        <v>0</v>
      </c>
      <c r="V205" s="226">
        <f>SUM(V189:V204)</f>
        <v>13551139.718199071</v>
      </c>
      <c r="W205" s="226">
        <f>SUM(W189:W204)</f>
        <v>307312720.94147933</v>
      </c>
      <c r="X205" s="227">
        <f>SUM(X189:X204)</f>
        <v>1014.9560340225624</v>
      </c>
      <c r="Y205" s="229">
        <f>SUMPRODUCT(Y189:Y204,S189:S204)/SUM(S189:S204)</f>
        <v>11.585550845090745</v>
      </c>
      <c r="Z205" s="83"/>
    </row>
    <row r="206" spans="2:26" x14ac:dyDescent="0.35">
      <c r="B206" s="83"/>
      <c r="C206" s="83"/>
      <c r="D206" s="83"/>
      <c r="E206" s="83"/>
      <c r="F206" s="83"/>
      <c r="G206" s="83"/>
      <c r="H206" s="83"/>
      <c r="I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2:26" x14ac:dyDescent="0.35">
      <c r="B207" s="83"/>
      <c r="C207" s="83"/>
      <c r="D207" s="83"/>
      <c r="E207" s="83"/>
      <c r="F207" s="83"/>
      <c r="G207" s="83"/>
      <c r="H207" s="83"/>
      <c r="I207" s="83"/>
      <c r="K207" s="83"/>
      <c r="L207" s="83"/>
      <c r="M207" s="83"/>
      <c r="N207" s="83"/>
      <c r="O207" s="83"/>
      <c r="P207" s="83"/>
      <c r="Q207" s="83" t="s">
        <v>127</v>
      </c>
      <c r="R207" s="83">
        <v>9375</v>
      </c>
      <c r="S207" s="83"/>
      <c r="T207" s="83"/>
      <c r="U207" s="83"/>
      <c r="V207" s="83"/>
      <c r="W207" s="83"/>
      <c r="X207" s="83"/>
      <c r="Y207" s="83"/>
      <c r="Z207" s="83"/>
    </row>
    <row r="208" spans="2:26" ht="15" thickBot="1" x14ac:dyDescent="0.4">
      <c r="B208" s="83"/>
      <c r="C208" s="83"/>
      <c r="D208" s="83"/>
      <c r="E208" s="83"/>
      <c r="F208" s="83"/>
      <c r="G208" s="83"/>
      <c r="H208" s="83"/>
      <c r="I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2:26" x14ac:dyDescent="0.35">
      <c r="B209" s="203"/>
      <c r="C209" s="1197"/>
      <c r="D209" s="1198"/>
      <c r="E209" s="1199"/>
      <c r="F209" s="1200"/>
      <c r="G209" s="1200"/>
      <c r="H209" s="1200"/>
      <c r="I209" s="1201"/>
      <c r="J209" s="263"/>
      <c r="K209" s="1202"/>
      <c r="L209" s="1203"/>
      <c r="M209" s="1204"/>
      <c r="N209" s="1205"/>
      <c r="O209" s="1197" t="s">
        <v>163</v>
      </c>
      <c r="P209" s="1199"/>
      <c r="Q209" s="1200"/>
      <c r="R209" s="1201"/>
      <c r="S209" s="1206" t="s">
        <v>164</v>
      </c>
      <c r="T209" s="1207"/>
      <c r="U209" s="1197" t="s">
        <v>165</v>
      </c>
      <c r="V209" s="1199"/>
      <c r="W209" s="1199"/>
      <c r="X209" s="1199"/>
      <c r="Y209" s="267"/>
      <c r="Z209" s="83"/>
    </row>
    <row r="210" spans="2:26" ht="43.5" x14ac:dyDescent="0.35">
      <c r="B210" s="204" t="s">
        <v>5</v>
      </c>
      <c r="C210" s="205" t="s">
        <v>6</v>
      </c>
      <c r="D210" s="293" t="s">
        <v>166</v>
      </c>
      <c r="E210" s="206" t="s">
        <v>7</v>
      </c>
      <c r="F210" s="207" t="s">
        <v>167</v>
      </c>
      <c r="G210" s="207" t="s">
        <v>8</v>
      </c>
      <c r="H210" s="207" t="s">
        <v>168</v>
      </c>
      <c r="I210" s="208" t="s">
        <v>9</v>
      </c>
      <c r="J210" s="208" t="s">
        <v>169</v>
      </c>
      <c r="K210" s="258" t="s">
        <v>6</v>
      </c>
      <c r="L210" s="259" t="s">
        <v>7</v>
      </c>
      <c r="M210" s="209" t="s">
        <v>8</v>
      </c>
      <c r="N210" s="260" t="s">
        <v>9</v>
      </c>
      <c r="O210" s="205" t="s">
        <v>6</v>
      </c>
      <c r="P210" s="206" t="s">
        <v>7</v>
      </c>
      <c r="Q210" s="206" t="s">
        <v>170</v>
      </c>
      <c r="R210" s="208" t="s">
        <v>9</v>
      </c>
      <c r="S210" s="258" t="s">
        <v>171</v>
      </c>
      <c r="T210" s="209" t="s">
        <v>11</v>
      </c>
      <c r="U210" s="205" t="s">
        <v>6</v>
      </c>
      <c r="V210" s="206" t="s">
        <v>7</v>
      </c>
      <c r="W210" s="206" t="s">
        <v>170</v>
      </c>
      <c r="X210" s="206" t="s">
        <v>9</v>
      </c>
      <c r="Y210" s="208" t="s">
        <v>172</v>
      </c>
      <c r="Z210" s="83"/>
    </row>
    <row r="211" spans="2:26" x14ac:dyDescent="0.35">
      <c r="B211" s="211">
        <v>1</v>
      </c>
      <c r="C211" s="268">
        <v>1678.6250190814794</v>
      </c>
      <c r="D211" s="303">
        <v>1053.3033699027476</v>
      </c>
      <c r="E211" s="269">
        <v>92838.569286254788</v>
      </c>
      <c r="F211" s="294">
        <v>58254.331238116356</v>
      </c>
      <c r="G211" s="270">
        <v>2917842.4458741485</v>
      </c>
      <c r="H211" s="294">
        <v>1830887.3310885262</v>
      </c>
      <c r="I211" s="271">
        <v>21.690263400968782</v>
      </c>
      <c r="J211" s="296">
        <v>13.610203157117187</v>
      </c>
      <c r="K211" s="272">
        <f>C211-O211</f>
        <v>1678.6250190814794</v>
      </c>
      <c r="L211" s="148">
        <f t="shared" ref="L211:L226" si="89">E211-P211</f>
        <v>40338.569286254788</v>
      </c>
      <c r="M211" s="273">
        <f t="shared" ref="M211:M226" si="90">G211-Q211</f>
        <v>1834092.4458741485</v>
      </c>
      <c r="N211" s="91">
        <f t="shared" ref="N211:N226" si="91">I211-R211</f>
        <v>17.901763400968782</v>
      </c>
      <c r="O211" s="212">
        <v>0</v>
      </c>
      <c r="P211" s="213">
        <v>52500</v>
      </c>
      <c r="Q211" s="213">
        <v>1083750</v>
      </c>
      <c r="R211" s="275">
        <v>3.7885</v>
      </c>
      <c r="S211" s="154">
        <v>5882.6235642797519</v>
      </c>
      <c r="T211" s="215"/>
      <c r="U211" s="212">
        <v>0</v>
      </c>
      <c r="V211" s="276">
        <f>$S211*P211/$R$207</f>
        <v>32942.691959966607</v>
      </c>
      <c r="W211" s="276">
        <f t="shared" ref="W211:X226" si="92">$S211*Q211/$R$207</f>
        <v>680031.28403073933</v>
      </c>
      <c r="X211" s="276">
        <f t="shared" si="92"/>
        <v>2.3772073998158763</v>
      </c>
      <c r="Y211" s="217">
        <v>17.730925098666667</v>
      </c>
      <c r="Z211" s="83"/>
    </row>
    <row r="212" spans="2:26" x14ac:dyDescent="0.35">
      <c r="B212" s="211">
        <v>2</v>
      </c>
      <c r="C212" s="268">
        <v>1023.7019523256149</v>
      </c>
      <c r="D212" s="303">
        <v>3815.7517334046388</v>
      </c>
      <c r="E212" s="269">
        <v>102450.38986135853</v>
      </c>
      <c r="F212" s="294">
        <v>381874.09119750897</v>
      </c>
      <c r="G212" s="270">
        <v>3239388.7173433392</v>
      </c>
      <c r="H212" s="294">
        <v>12074513.568420582</v>
      </c>
      <c r="I212" s="271">
        <v>19.082346521117955</v>
      </c>
      <c r="J212" s="296">
        <v>71.127633047849841</v>
      </c>
      <c r="K212" s="272">
        <f t="shared" ref="K212:K226" si="93">C212-O212</f>
        <v>1023.7019523256149</v>
      </c>
      <c r="L212" s="148">
        <f t="shared" si="89"/>
        <v>35887.889861358533</v>
      </c>
      <c r="M212" s="273">
        <f t="shared" si="90"/>
        <v>1741263.7173433392</v>
      </c>
      <c r="N212" s="91">
        <f t="shared" si="91"/>
        <v>14.617046521117956</v>
      </c>
      <c r="O212" s="212">
        <v>0</v>
      </c>
      <c r="P212" s="213">
        <v>66562.5</v>
      </c>
      <c r="Q212" s="213">
        <v>1498125</v>
      </c>
      <c r="R212" s="275">
        <v>4.4653</v>
      </c>
      <c r="S212" s="154">
        <v>34944.421488501823</v>
      </c>
      <c r="T212" s="215"/>
      <c r="U212" s="212">
        <v>0</v>
      </c>
      <c r="V212" s="276">
        <f t="shared" ref="V212:V226" si="94">$S212*P212/$R$207</f>
        <v>248105.39256836293</v>
      </c>
      <c r="W212" s="276">
        <f t="shared" si="92"/>
        <v>5584118.5538625913</v>
      </c>
      <c r="X212" s="276">
        <f t="shared" si="92"/>
        <v>16.643981362411434</v>
      </c>
      <c r="Y212" s="217">
        <v>18.829502271999999</v>
      </c>
      <c r="Z212" s="83"/>
    </row>
    <row r="213" spans="2:26" x14ac:dyDescent="0.35">
      <c r="B213" s="211">
        <v>3</v>
      </c>
      <c r="C213" s="268">
        <v>842.52569775589734</v>
      </c>
      <c r="D213" s="303">
        <v>14352.773472356326</v>
      </c>
      <c r="E213" s="269">
        <v>97302.716941765262</v>
      </c>
      <c r="F213" s="294">
        <v>1657591.9977631206</v>
      </c>
      <c r="G213" s="270">
        <v>2878695.2273269612</v>
      </c>
      <c r="H213" s="294">
        <v>49039762.945898786</v>
      </c>
      <c r="I213" s="271">
        <v>17.438165671069214</v>
      </c>
      <c r="J213" s="296">
        <v>297.06635930147223</v>
      </c>
      <c r="K213" s="272">
        <f t="shared" si="93"/>
        <v>842.52569775589734</v>
      </c>
      <c r="L213" s="148">
        <f t="shared" si="89"/>
        <v>32615.216941765262</v>
      </c>
      <c r="M213" s="273">
        <f t="shared" si="90"/>
        <v>1505257.7273269612</v>
      </c>
      <c r="N213" s="91">
        <f t="shared" si="91"/>
        <v>13.059765671069215</v>
      </c>
      <c r="O213" s="212">
        <v>0</v>
      </c>
      <c r="P213" s="213">
        <v>64687.5</v>
      </c>
      <c r="Q213" s="213">
        <v>1373437.5</v>
      </c>
      <c r="R213" s="275">
        <v>4.3784000000000001</v>
      </c>
      <c r="S213" s="154">
        <v>159706.99963424198</v>
      </c>
      <c r="T213" s="215"/>
      <c r="U213" s="212">
        <v>0</v>
      </c>
      <c r="V213" s="276">
        <f t="shared" si="94"/>
        <v>1101978.2974762698</v>
      </c>
      <c r="W213" s="276">
        <f t="shared" si="92"/>
        <v>23397075.446416449</v>
      </c>
      <c r="X213" s="276">
        <f t="shared" si="92"/>
        <v>74.587853567846935</v>
      </c>
      <c r="Y213" s="217">
        <v>17.730925098666667</v>
      </c>
      <c r="Z213" s="83"/>
    </row>
    <row r="214" spans="2:26" x14ac:dyDescent="0.35">
      <c r="B214" s="211">
        <v>4</v>
      </c>
      <c r="C214" s="268">
        <v>648.77362772843651</v>
      </c>
      <c r="D214" s="303">
        <v>5664.6055760117988</v>
      </c>
      <c r="E214" s="269">
        <v>103382.91992887066</v>
      </c>
      <c r="F214" s="294">
        <v>902662.25331001286</v>
      </c>
      <c r="G214" s="270">
        <v>3088253.3756786557</v>
      </c>
      <c r="H214" s="294">
        <v>26964316.279713351</v>
      </c>
      <c r="I214" s="271">
        <v>17.057041395408447</v>
      </c>
      <c r="J214" s="296">
        <v>148.92931473956045</v>
      </c>
      <c r="K214" s="272">
        <f t="shared" si="93"/>
        <v>648.77362772843651</v>
      </c>
      <c r="L214" s="148">
        <f t="shared" si="89"/>
        <v>33070.419928870659</v>
      </c>
      <c r="M214" s="273">
        <f t="shared" si="90"/>
        <v>1494503.3756786557</v>
      </c>
      <c r="N214" s="91">
        <f t="shared" si="91"/>
        <v>12.379341395408447</v>
      </c>
      <c r="O214" s="212">
        <v>0</v>
      </c>
      <c r="P214" s="213">
        <v>70312.5</v>
      </c>
      <c r="Q214" s="213">
        <v>1593750</v>
      </c>
      <c r="R214" s="275">
        <v>4.6776999999999997</v>
      </c>
      <c r="S214" s="154">
        <v>81855.480872504835</v>
      </c>
      <c r="T214" s="215"/>
      <c r="U214" s="212">
        <v>0</v>
      </c>
      <c r="V214" s="276">
        <f t="shared" si="94"/>
        <v>613916.10654378624</v>
      </c>
      <c r="W214" s="276">
        <f t="shared" si="92"/>
        <v>13915431.748325821</v>
      </c>
      <c r="X214" s="276">
        <f t="shared" si="92"/>
        <v>40.842174173580361</v>
      </c>
      <c r="Y214" s="217">
        <v>18.829502271999999</v>
      </c>
      <c r="Z214" s="83"/>
    </row>
    <row r="215" spans="2:26" x14ac:dyDescent="0.35">
      <c r="B215" s="211">
        <v>5</v>
      </c>
      <c r="C215" s="268">
        <v>811.3952744958807</v>
      </c>
      <c r="D215" s="303">
        <v>1433.9597626484417</v>
      </c>
      <c r="E215" s="269">
        <v>97830.823079375419</v>
      </c>
      <c r="F215" s="294">
        <v>172894.11000053227</v>
      </c>
      <c r="G215" s="270">
        <v>2808523.1400864781</v>
      </c>
      <c r="H215" s="294">
        <v>4963436.8130295398</v>
      </c>
      <c r="I215" s="271">
        <v>17.232272813390267</v>
      </c>
      <c r="J215" s="296">
        <v>30.45418997385072</v>
      </c>
      <c r="K215" s="272">
        <f t="shared" si="93"/>
        <v>811.3952744958807</v>
      </c>
      <c r="L215" s="148">
        <f t="shared" si="89"/>
        <v>29393.323079375419</v>
      </c>
      <c r="M215" s="273">
        <f t="shared" si="90"/>
        <v>1388210.6400864781</v>
      </c>
      <c r="N215" s="91">
        <f t="shared" si="91"/>
        <v>12.346172813390268</v>
      </c>
      <c r="O215" s="212">
        <v>0</v>
      </c>
      <c r="P215" s="213">
        <v>68437.5</v>
      </c>
      <c r="Q215" s="213">
        <v>1420312.5</v>
      </c>
      <c r="R215" s="275">
        <v>4.8860999999999999</v>
      </c>
      <c r="S215" s="154">
        <v>16568.216746371243</v>
      </c>
      <c r="T215" s="215"/>
      <c r="U215" s="212">
        <v>0</v>
      </c>
      <c r="V215" s="276">
        <f t="shared" si="94"/>
        <v>120947.98224851007</v>
      </c>
      <c r="W215" s="276">
        <f t="shared" si="92"/>
        <v>2510084.8370752432</v>
      </c>
      <c r="X215" s="276">
        <f t="shared" si="92"/>
        <v>8.6350894767407507</v>
      </c>
      <c r="Y215" s="217">
        <v>17.730925098666667</v>
      </c>
      <c r="Z215" s="83"/>
    </row>
    <row r="216" spans="2:26" x14ac:dyDescent="0.35">
      <c r="B216" s="211">
        <v>6</v>
      </c>
      <c r="C216" s="268">
        <v>346.32406313637273</v>
      </c>
      <c r="D216" s="303">
        <v>4312.5491970210651</v>
      </c>
      <c r="E216" s="269">
        <v>104758.62698831692</v>
      </c>
      <c r="F216" s="294">
        <v>1304491.3154694606</v>
      </c>
      <c r="G216" s="270">
        <v>3003766.5388965947</v>
      </c>
      <c r="H216" s="294">
        <v>37403958.760602705</v>
      </c>
      <c r="I216" s="271">
        <v>15.330870257369334</v>
      </c>
      <c r="J216" s="296">
        <v>190.90539542445237</v>
      </c>
      <c r="K216" s="272">
        <f t="shared" si="93"/>
        <v>346.32406313637273</v>
      </c>
      <c r="L216" s="148">
        <f t="shared" si="89"/>
        <v>30696.126988316915</v>
      </c>
      <c r="M216" s="273">
        <f t="shared" si="90"/>
        <v>1401579.0388965947</v>
      </c>
      <c r="N216" s="91">
        <f t="shared" si="91"/>
        <v>9.9390702573693339</v>
      </c>
      <c r="O216" s="212">
        <v>0</v>
      </c>
      <c r="P216" s="213">
        <v>74062.5</v>
      </c>
      <c r="Q216" s="213">
        <v>1602187.5</v>
      </c>
      <c r="R216" s="275">
        <v>5.3917999999999999</v>
      </c>
      <c r="S216" s="154">
        <v>116740.80153694726</v>
      </c>
      <c r="T216" s="215"/>
      <c r="U216" s="212">
        <v>0</v>
      </c>
      <c r="V216" s="276">
        <f t="shared" si="94"/>
        <v>922252.33214188332</v>
      </c>
      <c r="W216" s="276">
        <f t="shared" si="92"/>
        <v>19951002.982664287</v>
      </c>
      <c r="X216" s="276">
        <f t="shared" si="92"/>
        <v>67.140592397537304</v>
      </c>
      <c r="Y216" s="217">
        <v>18.829502271999999</v>
      </c>
      <c r="Z216" s="83"/>
    </row>
    <row r="217" spans="2:26" x14ac:dyDescent="0.35">
      <c r="B217" s="211">
        <v>7</v>
      </c>
      <c r="C217" s="268">
        <v>185.68316395779669</v>
      </c>
      <c r="D217" s="303">
        <v>1630.7843647550656</v>
      </c>
      <c r="E217" s="269">
        <v>103475.04560369723</v>
      </c>
      <c r="F217" s="294">
        <v>908781.8352297165</v>
      </c>
      <c r="G217" s="270">
        <v>2875355.3958302694</v>
      </c>
      <c r="H217" s="294">
        <v>25253149.088411063</v>
      </c>
      <c r="I217" s="271">
        <v>14.383785050127424</v>
      </c>
      <c r="J217" s="296">
        <v>126.32729465487182</v>
      </c>
      <c r="K217" s="272">
        <f t="shared" si="93"/>
        <v>185.68316395779669</v>
      </c>
      <c r="L217" s="148">
        <f t="shared" si="89"/>
        <v>35975.045603697232</v>
      </c>
      <c r="M217" s="273">
        <f t="shared" si="90"/>
        <v>1408167.8958302694</v>
      </c>
      <c r="N217" s="91">
        <f t="shared" si="91"/>
        <v>9.0286850501274252</v>
      </c>
      <c r="O217" s="212">
        <v>0</v>
      </c>
      <c r="P217" s="213">
        <v>67500</v>
      </c>
      <c r="Q217" s="213">
        <v>1467187.5</v>
      </c>
      <c r="R217" s="275">
        <v>5.3550999999999993</v>
      </c>
      <c r="S217" s="154">
        <v>82337.04711674148</v>
      </c>
      <c r="T217" s="215"/>
      <c r="U217" s="212">
        <v>0</v>
      </c>
      <c r="V217" s="276">
        <f t="shared" si="94"/>
        <v>592826.73924053868</v>
      </c>
      <c r="W217" s="276">
        <f t="shared" si="92"/>
        <v>12885747.873770041</v>
      </c>
      <c r="X217" s="276">
        <f t="shared" si="92"/>
        <v>47.031799574918644</v>
      </c>
      <c r="Y217" s="217">
        <v>18.829502271999999</v>
      </c>
      <c r="Z217" s="83"/>
    </row>
    <row r="218" spans="2:26" x14ac:dyDescent="0.35">
      <c r="B218" s="211">
        <v>8</v>
      </c>
      <c r="C218" s="268">
        <v>315.80365599604573</v>
      </c>
      <c r="D218" s="303">
        <v>5644.5869770506006</v>
      </c>
      <c r="E218" s="269">
        <v>107343.90516627148</v>
      </c>
      <c r="F218" s="294">
        <v>1918635.1952014053</v>
      </c>
      <c r="G218" s="270">
        <v>3195138.5013247714</v>
      </c>
      <c r="H218" s="294">
        <v>57109019.582333781</v>
      </c>
      <c r="I218" s="271">
        <v>15.547219704622767</v>
      </c>
      <c r="J218" s="296">
        <v>277.88669386131801</v>
      </c>
      <c r="K218" s="272">
        <f t="shared" si="93"/>
        <v>315.80365599604573</v>
      </c>
      <c r="L218" s="148">
        <f t="shared" si="89"/>
        <v>36093.905166271477</v>
      </c>
      <c r="M218" s="273">
        <f t="shared" si="90"/>
        <v>1501076.0013247714</v>
      </c>
      <c r="N218" s="91">
        <f t="shared" si="91"/>
        <v>10.264419704622767</v>
      </c>
      <c r="O218" s="212">
        <v>0</v>
      </c>
      <c r="P218" s="213">
        <v>71250</v>
      </c>
      <c r="Q218" s="213">
        <v>1694062.5</v>
      </c>
      <c r="R218" s="275">
        <v>5.2827999999999999</v>
      </c>
      <c r="S218" s="154">
        <v>167566.1503757638</v>
      </c>
      <c r="T218" s="215"/>
      <c r="U218" s="212">
        <v>0</v>
      </c>
      <c r="V218" s="276">
        <f t="shared" si="94"/>
        <v>1273502.7428558047</v>
      </c>
      <c r="W218" s="276">
        <f t="shared" si="92"/>
        <v>30279203.37290052</v>
      </c>
      <c r="X218" s="276">
        <f t="shared" si="92"/>
        <v>94.423302315209057</v>
      </c>
      <c r="Y218" s="217">
        <v>18.829502271999999</v>
      </c>
      <c r="Z218" s="83"/>
    </row>
    <row r="219" spans="2:26" x14ac:dyDescent="0.35">
      <c r="B219" s="211">
        <v>9</v>
      </c>
      <c r="C219" s="268">
        <v>366.86372681352748</v>
      </c>
      <c r="D219" s="303">
        <v>10252.093019440736</v>
      </c>
      <c r="E219" s="269">
        <v>109467.11694663168</v>
      </c>
      <c r="F219" s="294">
        <v>3059084.296107858</v>
      </c>
      <c r="G219" s="270">
        <v>3279962.7413612967</v>
      </c>
      <c r="H219" s="294">
        <v>91659329.246872619</v>
      </c>
      <c r="I219" s="271">
        <v>16.201364061194518</v>
      </c>
      <c r="J219" s="296">
        <v>452.75092427334994</v>
      </c>
      <c r="K219" s="272">
        <f t="shared" si="93"/>
        <v>366.86372681352748</v>
      </c>
      <c r="L219" s="148">
        <f t="shared" si="89"/>
        <v>34467.116946631679</v>
      </c>
      <c r="M219" s="273">
        <f t="shared" si="90"/>
        <v>1582150.2413612967</v>
      </c>
      <c r="N219" s="91">
        <f t="shared" si="91"/>
        <v>10.805064061194518</v>
      </c>
      <c r="O219" s="212">
        <v>0</v>
      </c>
      <c r="P219" s="213">
        <v>75000</v>
      </c>
      <c r="Q219" s="213">
        <v>1697812.5</v>
      </c>
      <c r="R219" s="275">
        <v>5.3963000000000001</v>
      </c>
      <c r="S219" s="154">
        <v>261986.57711971123</v>
      </c>
      <c r="T219" s="215"/>
      <c r="U219" s="212">
        <v>0</v>
      </c>
      <c r="V219" s="276">
        <f t="shared" si="94"/>
        <v>2095892.6169576901</v>
      </c>
      <c r="W219" s="276">
        <f t="shared" si="92"/>
        <v>47445769.116379708</v>
      </c>
      <c r="X219" s="276">
        <f t="shared" si="92"/>
        <v>150.80087105185041</v>
      </c>
      <c r="Y219" s="217">
        <v>18.829502271999999</v>
      </c>
      <c r="Z219" s="83"/>
    </row>
    <row r="220" spans="2:26" x14ac:dyDescent="0.35">
      <c r="B220" s="211">
        <v>10</v>
      </c>
      <c r="C220" s="268">
        <v>406.28887463123391</v>
      </c>
      <c r="D220" s="303">
        <v>6797.613577424635</v>
      </c>
      <c r="E220" s="269">
        <v>111258.48253312148</v>
      </c>
      <c r="F220" s="294">
        <v>1861464.1421260994</v>
      </c>
      <c r="G220" s="270">
        <v>3314125.2730985279</v>
      </c>
      <c r="H220" s="294">
        <v>55448584.39490433</v>
      </c>
      <c r="I220" s="271">
        <v>16.580547141392955</v>
      </c>
      <c r="J220" s="296">
        <v>277.4089063397588</v>
      </c>
      <c r="K220" s="272">
        <f t="shared" si="93"/>
        <v>406.28887463123391</v>
      </c>
      <c r="L220" s="148">
        <f t="shared" si="89"/>
        <v>37195.982533121482</v>
      </c>
      <c r="M220" s="273">
        <f t="shared" si="90"/>
        <v>1665062.7730985279</v>
      </c>
      <c r="N220" s="91">
        <f t="shared" si="91"/>
        <v>11.145847141392956</v>
      </c>
      <c r="O220" s="212">
        <v>0</v>
      </c>
      <c r="P220" s="213">
        <v>74062.5</v>
      </c>
      <c r="Q220" s="213">
        <v>1649062.5</v>
      </c>
      <c r="R220" s="275">
        <v>5.4347000000000003</v>
      </c>
      <c r="S220" s="154">
        <v>156852.9961500866</v>
      </c>
      <c r="T220" s="215"/>
      <c r="U220" s="212">
        <v>0</v>
      </c>
      <c r="V220" s="276">
        <f t="shared" si="94"/>
        <v>1239138.6695856843</v>
      </c>
      <c r="W220" s="276">
        <f t="shared" si="92"/>
        <v>27590442.022800233</v>
      </c>
      <c r="X220" s="276">
        <f t="shared" si="92"/>
        <v>90.927891005533411</v>
      </c>
      <c r="Y220" s="217">
        <v>18.829502271999999</v>
      </c>
      <c r="Z220" s="83"/>
    </row>
    <row r="221" spans="2:26" x14ac:dyDescent="0.35">
      <c r="B221" s="211">
        <v>11</v>
      </c>
      <c r="C221" s="268">
        <v>1076.9833176928498</v>
      </c>
      <c r="D221" s="303">
        <v>3714.5391799122031</v>
      </c>
      <c r="E221" s="269">
        <v>111878.26958231014</v>
      </c>
      <c r="F221" s="294">
        <v>385870.61555840273</v>
      </c>
      <c r="G221" s="270">
        <v>3507531.4244985459</v>
      </c>
      <c r="H221" s="294">
        <v>12097553.125506144</v>
      </c>
      <c r="I221" s="271">
        <v>20.719809914481473</v>
      </c>
      <c r="J221" s="296">
        <v>71.463080684063726</v>
      </c>
      <c r="K221" s="272">
        <f t="shared" si="93"/>
        <v>1076.9833176928498</v>
      </c>
      <c r="L221" s="148">
        <f t="shared" si="89"/>
        <v>45315.769582310139</v>
      </c>
      <c r="M221" s="273">
        <f t="shared" si="90"/>
        <v>2024406.4244985459</v>
      </c>
      <c r="N221" s="91">
        <f t="shared" si="91"/>
        <v>16.264409914481472</v>
      </c>
      <c r="O221" s="212">
        <v>0</v>
      </c>
      <c r="P221" s="213">
        <v>66562.5</v>
      </c>
      <c r="Q221" s="213">
        <v>1483125</v>
      </c>
      <c r="R221" s="275">
        <v>4.4554</v>
      </c>
      <c r="S221" s="154">
        <v>32334.58145505693</v>
      </c>
      <c r="T221" s="215"/>
      <c r="U221" s="212">
        <v>0</v>
      </c>
      <c r="V221" s="276">
        <f t="shared" si="94"/>
        <v>229575.5283309042</v>
      </c>
      <c r="W221" s="276">
        <f t="shared" si="92"/>
        <v>5115330.7861900069</v>
      </c>
      <c r="X221" s="276">
        <f t="shared" si="92"/>
        <v>15.3667727162518</v>
      </c>
      <c r="Y221" s="217">
        <v>18.829502271999999</v>
      </c>
      <c r="Z221" s="83"/>
    </row>
    <row r="222" spans="2:26" x14ac:dyDescent="0.35">
      <c r="B222" s="211">
        <v>12</v>
      </c>
      <c r="C222" s="268">
        <v>973.9029693217426</v>
      </c>
      <c r="D222" s="303">
        <v>18295.979230162076</v>
      </c>
      <c r="E222" s="269">
        <v>107390.45121625467</v>
      </c>
      <c r="F222" s="294">
        <v>2017463.265707762</v>
      </c>
      <c r="G222" s="270">
        <v>3330960.0011633276</v>
      </c>
      <c r="H222" s="294">
        <v>62576228.759449907</v>
      </c>
      <c r="I222" s="271">
        <v>19.468646125424332</v>
      </c>
      <c r="J222" s="296">
        <v>365.74274478103979</v>
      </c>
      <c r="K222" s="272">
        <f t="shared" si="93"/>
        <v>973.9029693217426</v>
      </c>
      <c r="L222" s="148">
        <f t="shared" si="89"/>
        <v>38952.951216254674</v>
      </c>
      <c r="M222" s="273">
        <f t="shared" si="90"/>
        <v>1835647.5011633276</v>
      </c>
      <c r="N222" s="91">
        <f t="shared" si="91"/>
        <v>15.076046125424332</v>
      </c>
      <c r="O222" s="212">
        <v>0</v>
      </c>
      <c r="P222" s="213">
        <v>68437.5</v>
      </c>
      <c r="Q222" s="213">
        <v>1495312.5</v>
      </c>
      <c r="R222" s="275">
        <v>4.3925999999999998</v>
      </c>
      <c r="S222" s="154">
        <v>176121.04150603921</v>
      </c>
      <c r="T222" s="215"/>
      <c r="U222" s="212">
        <v>0</v>
      </c>
      <c r="V222" s="276">
        <f t="shared" si="94"/>
        <v>1285683.6029940862</v>
      </c>
      <c r="W222" s="276">
        <f t="shared" si="92"/>
        <v>28091306.120213255</v>
      </c>
      <c r="X222" s="276">
        <f t="shared" si="92"/>
        <v>82.520457271405633</v>
      </c>
      <c r="Y222" s="217">
        <v>18.829502271999999</v>
      </c>
      <c r="Z222" s="83"/>
    </row>
    <row r="223" spans="2:26" x14ac:dyDescent="0.35">
      <c r="B223" s="211">
        <v>13</v>
      </c>
      <c r="C223" s="268">
        <v>917.50193812127497</v>
      </c>
      <c r="D223" s="303">
        <v>6624.8133473010357</v>
      </c>
      <c r="E223" s="269">
        <v>113515.71858616467</v>
      </c>
      <c r="F223" s="294">
        <v>819639.08344212163</v>
      </c>
      <c r="G223" s="270">
        <v>3585467.4218318365</v>
      </c>
      <c r="H223" s="294">
        <v>25888830.797570389</v>
      </c>
      <c r="I223" s="271">
        <v>19.916150922874728</v>
      </c>
      <c r="J223" s="296">
        <v>143.80436376068175</v>
      </c>
      <c r="K223" s="272">
        <f t="shared" si="93"/>
        <v>917.50193812127497</v>
      </c>
      <c r="L223" s="148">
        <f t="shared" si="89"/>
        <v>45078.218586164672</v>
      </c>
      <c r="M223" s="273">
        <f t="shared" si="90"/>
        <v>2046092.4218318365</v>
      </c>
      <c r="N223" s="91">
        <f t="shared" si="91"/>
        <v>15.437250922874728</v>
      </c>
      <c r="O223" s="212">
        <v>0</v>
      </c>
      <c r="P223" s="213">
        <v>68437.5</v>
      </c>
      <c r="Q223" s="213">
        <v>1539375</v>
      </c>
      <c r="R223" s="275">
        <v>4.4788999999999994</v>
      </c>
      <c r="S223" s="154">
        <v>67692.091482795164</v>
      </c>
      <c r="T223" s="215"/>
      <c r="U223" s="212">
        <v>0</v>
      </c>
      <c r="V223" s="276">
        <f t="shared" si="94"/>
        <v>494152.2678244047</v>
      </c>
      <c r="W223" s="276">
        <f t="shared" si="92"/>
        <v>11115041.421474965</v>
      </c>
      <c r="X223" s="276">
        <f t="shared" si="92"/>
        <v>32.339851577844399</v>
      </c>
      <c r="Y223" s="217">
        <v>18.829502271999999</v>
      </c>
      <c r="Z223" s="83"/>
    </row>
    <row r="224" spans="2:26" x14ac:dyDescent="0.35">
      <c r="B224" s="211">
        <v>14</v>
      </c>
      <c r="C224" s="268">
        <v>1004.7663799956777</v>
      </c>
      <c r="D224" s="303">
        <v>3978.3925511704983</v>
      </c>
      <c r="E224" s="269">
        <v>113511.00161879077</v>
      </c>
      <c r="F224" s="294">
        <v>449449.07822059322</v>
      </c>
      <c r="G224" s="270">
        <v>3608876.2229558295</v>
      </c>
      <c r="H224" s="294">
        <v>14289417.48983038</v>
      </c>
      <c r="I224" s="271">
        <v>20.268904951067015</v>
      </c>
      <c r="J224" s="296">
        <v>80.255134012400717</v>
      </c>
      <c r="K224" s="272">
        <f t="shared" si="93"/>
        <v>1004.7663799956777</v>
      </c>
      <c r="L224" s="148">
        <f t="shared" si="89"/>
        <v>32886.001618790775</v>
      </c>
      <c r="M224" s="273">
        <f t="shared" si="90"/>
        <v>1850126.2229558295</v>
      </c>
      <c r="N224" s="91">
        <f t="shared" si="91"/>
        <v>14.502804951067015</v>
      </c>
      <c r="O224" s="212">
        <v>0</v>
      </c>
      <c r="P224" s="213">
        <v>80625</v>
      </c>
      <c r="Q224" s="213">
        <v>1758750</v>
      </c>
      <c r="R224" s="275">
        <v>5.7660999999999998</v>
      </c>
      <c r="S224" s="154">
        <v>37120.499759739047</v>
      </c>
      <c r="T224" s="215"/>
      <c r="U224" s="212">
        <v>0</v>
      </c>
      <c r="V224" s="276">
        <f t="shared" si="94"/>
        <v>319236.29793375579</v>
      </c>
      <c r="W224" s="276">
        <f t="shared" si="92"/>
        <v>6963805.7549270447</v>
      </c>
      <c r="X224" s="276">
        <f t="shared" si="92"/>
        <v>22.830988124227339</v>
      </c>
      <c r="Y224" s="217">
        <v>18.829502271999999</v>
      </c>
      <c r="Z224" s="83"/>
    </row>
    <row r="225" spans="2:26" x14ac:dyDescent="0.35">
      <c r="B225" s="211">
        <v>15</v>
      </c>
      <c r="C225" s="268">
        <v>167.62900729441597</v>
      </c>
      <c r="D225" s="303">
        <v>381.68604400884561</v>
      </c>
      <c r="E225" s="269">
        <v>134238.45457104139</v>
      </c>
      <c r="F225" s="294">
        <v>305656.79237777565</v>
      </c>
      <c r="G225" s="270">
        <v>3946373.8559279563</v>
      </c>
      <c r="H225" s="294">
        <v>8985770.7180924919</v>
      </c>
      <c r="I225" s="271">
        <v>18.061923992630188</v>
      </c>
      <c r="J225" s="296">
        <v>41.126440030914161</v>
      </c>
      <c r="K225" s="272">
        <f t="shared" si="93"/>
        <v>167.62900729441597</v>
      </c>
      <c r="L225" s="148">
        <f t="shared" si="89"/>
        <v>50800.954571041395</v>
      </c>
      <c r="M225" s="273">
        <f t="shared" si="90"/>
        <v>2084498.8559279563</v>
      </c>
      <c r="N225" s="91">
        <f t="shared" si="91"/>
        <v>11.820623992630189</v>
      </c>
      <c r="O225" s="212">
        <v>0</v>
      </c>
      <c r="P225" s="213">
        <v>83437.5</v>
      </c>
      <c r="Q225" s="213">
        <v>1861875</v>
      </c>
      <c r="R225" s="275">
        <v>6.2412999999999998</v>
      </c>
      <c r="S225" s="154">
        <v>21346.583865990167</v>
      </c>
      <c r="T225" s="215"/>
      <c r="U225" s="212">
        <v>0</v>
      </c>
      <c r="V225" s="276">
        <f t="shared" si="94"/>
        <v>189984.59640731249</v>
      </c>
      <c r="W225" s="276">
        <f t="shared" si="92"/>
        <v>4239431.5557856467</v>
      </c>
      <c r="X225" s="276">
        <f t="shared" si="92"/>
        <v>14.211246280832475</v>
      </c>
      <c r="Y225" s="217">
        <v>21.066634912000001</v>
      </c>
      <c r="Z225" s="83"/>
    </row>
    <row r="226" spans="2:26" x14ac:dyDescent="0.35">
      <c r="B226" s="211">
        <v>16</v>
      </c>
      <c r="C226" s="268">
        <v>2303.9385931308288</v>
      </c>
      <c r="D226" s="303">
        <v>2892.9367477641781</v>
      </c>
      <c r="E226" s="269">
        <v>103164.48945357263</v>
      </c>
      <c r="F226" s="294">
        <v>129538.32341469135</v>
      </c>
      <c r="G226" s="270">
        <v>3285495.1478345413</v>
      </c>
      <c r="H226" s="294">
        <v>4125426.6394554558</v>
      </c>
      <c r="I226" s="271">
        <v>26.494517995879896</v>
      </c>
      <c r="J226" s="296">
        <v>33.267798435731962</v>
      </c>
      <c r="K226" s="272">
        <f t="shared" si="93"/>
        <v>2303.9385931308288</v>
      </c>
      <c r="L226" s="148">
        <f t="shared" si="89"/>
        <v>36601.989453572634</v>
      </c>
      <c r="M226" s="273">
        <f t="shared" si="90"/>
        <v>1910182.6478345413</v>
      </c>
      <c r="N226" s="91">
        <f t="shared" si="91"/>
        <v>21.900417995879895</v>
      </c>
      <c r="O226" s="212">
        <v>0</v>
      </c>
      <c r="P226" s="213">
        <v>66562.5</v>
      </c>
      <c r="Q226" s="213">
        <v>1375312.5</v>
      </c>
      <c r="R226" s="275">
        <v>4.5941000000000001</v>
      </c>
      <c r="S226" s="154">
        <v>11771.70350423011</v>
      </c>
      <c r="T226" s="215"/>
      <c r="U226" s="212">
        <v>0</v>
      </c>
      <c r="V226" s="276">
        <f t="shared" si="94"/>
        <v>83579.094880033779</v>
      </c>
      <c r="W226" s="276">
        <f t="shared" si="92"/>
        <v>1726908.9040705573</v>
      </c>
      <c r="X226" s="276">
        <f t="shared" si="92"/>
        <v>5.7685741940035786</v>
      </c>
      <c r="Y226" s="217">
        <v>17.730925098666667</v>
      </c>
      <c r="Z226" s="83"/>
    </row>
    <row r="227" spans="2:26" ht="15" thickBot="1" x14ac:dyDescent="0.4">
      <c r="B227" s="218" t="s">
        <v>12</v>
      </c>
      <c r="C227" s="219"/>
      <c r="D227" s="304">
        <v>90846.368150334907</v>
      </c>
      <c r="E227" s="277"/>
      <c r="F227" s="278">
        <v>16333350.726365175</v>
      </c>
      <c r="G227" s="278"/>
      <c r="H227" s="278">
        <v>489710185.54118007</v>
      </c>
      <c r="I227" s="99"/>
      <c r="J227" s="297">
        <v>2622.1264764784328</v>
      </c>
      <c r="K227" s="279">
        <f>SUM(K211:K226)</f>
        <v>13070.707261479074</v>
      </c>
      <c r="L227" s="277">
        <f t="shared" ref="L227:N227" si="95">SUM(L211:L226)</f>
        <v>595369.48136379779</v>
      </c>
      <c r="M227" s="278">
        <f t="shared" si="95"/>
        <v>27272317.931033075</v>
      </c>
      <c r="N227" s="99">
        <f t="shared" si="95"/>
        <v>216.48872991901933</v>
      </c>
      <c r="O227" s="219"/>
      <c r="P227" s="220"/>
      <c r="Q227" s="221"/>
      <c r="R227" s="222"/>
      <c r="S227" s="280">
        <f>SUM(S211:S226)</f>
        <v>1430827.8161790005</v>
      </c>
      <c r="T227" s="224"/>
      <c r="U227" s="225">
        <f>SUM(U211:U226)</f>
        <v>0</v>
      </c>
      <c r="V227" s="226">
        <f>SUM(V211:V226)</f>
        <v>10843714.959948992</v>
      </c>
      <c r="W227" s="226">
        <f>SUM(W211:W226)</f>
        <v>241490731.7808871</v>
      </c>
      <c r="X227" s="227">
        <f>SUM(X211:X226)</f>
        <v>766.44865249000964</v>
      </c>
      <c r="Y227" s="229">
        <f>SUMPRODUCT(Y211:Y226,S211:S226)/SUM(S211:S226)</f>
        <v>18.713980733852626</v>
      </c>
      <c r="Z227" s="83"/>
    </row>
    <row r="228" spans="2:26" x14ac:dyDescent="0.35">
      <c r="B228" s="83"/>
      <c r="C228" s="83"/>
      <c r="D228" s="83"/>
      <c r="E228" s="83"/>
      <c r="F228" s="83"/>
      <c r="G228" s="83"/>
      <c r="H228" s="83"/>
      <c r="I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2:26" x14ac:dyDescent="0.35">
      <c r="B229" s="83"/>
      <c r="C229" s="83"/>
      <c r="D229" s="83"/>
      <c r="E229" s="83"/>
      <c r="F229" s="83"/>
      <c r="G229" s="83"/>
      <c r="H229" s="83"/>
      <c r="I229" s="83"/>
      <c r="K229" s="83"/>
      <c r="L229" s="83"/>
      <c r="M229" s="83"/>
      <c r="N229" s="83"/>
      <c r="O229" s="83"/>
      <c r="P229" s="83"/>
      <c r="Q229" s="83" t="s">
        <v>181</v>
      </c>
      <c r="R229" s="83">
        <v>210886</v>
      </c>
      <c r="S229" s="83"/>
      <c r="T229" s="83"/>
      <c r="U229" s="83"/>
      <c r="V229" s="83"/>
      <c r="W229" s="83"/>
      <c r="X229" s="83"/>
      <c r="Y229" s="83"/>
      <c r="Z229" s="83"/>
    </row>
    <row r="230" spans="2:26" ht="15" thickBot="1" x14ac:dyDescent="0.4">
      <c r="B230" s="83"/>
      <c r="C230" s="83"/>
      <c r="D230" s="83"/>
      <c r="E230" s="83"/>
      <c r="F230" s="83"/>
      <c r="G230" s="83"/>
      <c r="H230" s="83"/>
      <c r="I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2:26" x14ac:dyDescent="0.35">
      <c r="B231" s="203"/>
      <c r="C231" s="1197">
        <f>C209</f>
        <v>0</v>
      </c>
      <c r="D231" s="1198"/>
      <c r="E231" s="1199"/>
      <c r="F231" s="1200"/>
      <c r="G231" s="1200"/>
      <c r="H231" s="1200"/>
      <c r="I231" s="1201"/>
      <c r="J231" s="263"/>
      <c r="K231" s="1202">
        <f>K209</f>
        <v>0</v>
      </c>
      <c r="L231" s="1203"/>
      <c r="M231" s="1204"/>
      <c r="N231" s="1205"/>
      <c r="O231" s="1197" t="s">
        <v>163</v>
      </c>
      <c r="P231" s="1199"/>
      <c r="Q231" s="1200"/>
      <c r="R231" s="1201"/>
      <c r="S231" s="1206" t="s">
        <v>164</v>
      </c>
      <c r="T231" s="1207"/>
      <c r="U231" s="1197" t="s">
        <v>165</v>
      </c>
      <c r="V231" s="1199"/>
      <c r="W231" s="1199"/>
      <c r="X231" s="1199"/>
      <c r="Y231" s="267"/>
      <c r="Z231" s="83"/>
    </row>
    <row r="232" spans="2:26" ht="43.5" x14ac:dyDescent="0.35">
      <c r="B232" s="204" t="s">
        <v>5</v>
      </c>
      <c r="C232" s="205" t="s">
        <v>6</v>
      </c>
      <c r="D232" s="293" t="s">
        <v>166</v>
      </c>
      <c r="E232" s="206" t="s">
        <v>7</v>
      </c>
      <c r="F232" s="207" t="s">
        <v>167</v>
      </c>
      <c r="G232" s="207" t="s">
        <v>8</v>
      </c>
      <c r="H232" s="207" t="s">
        <v>168</v>
      </c>
      <c r="I232" s="208" t="s">
        <v>9</v>
      </c>
      <c r="J232" s="208" t="s">
        <v>169</v>
      </c>
      <c r="K232" s="258" t="s">
        <v>6</v>
      </c>
      <c r="L232" s="259" t="s">
        <v>7</v>
      </c>
      <c r="M232" s="209" t="s">
        <v>8</v>
      </c>
      <c r="N232" s="260" t="s">
        <v>9</v>
      </c>
      <c r="O232" s="205" t="s">
        <v>6</v>
      </c>
      <c r="P232" s="206" t="s">
        <v>7</v>
      </c>
      <c r="Q232" s="206" t="s">
        <v>170</v>
      </c>
      <c r="R232" s="208" t="s">
        <v>9</v>
      </c>
      <c r="S232" s="258" t="s">
        <v>171</v>
      </c>
      <c r="T232" s="209" t="s">
        <v>11</v>
      </c>
      <c r="U232" s="205" t="s">
        <v>6</v>
      </c>
      <c r="V232" s="206" t="s">
        <v>7</v>
      </c>
      <c r="W232" s="206" t="s">
        <v>170</v>
      </c>
      <c r="X232" s="206" t="s">
        <v>9</v>
      </c>
      <c r="Y232" s="208" t="s">
        <v>172</v>
      </c>
      <c r="Z232" s="83"/>
    </row>
    <row r="233" spans="2:26" x14ac:dyDescent="0.35">
      <c r="B233" s="211">
        <v>1</v>
      </c>
      <c r="C233" s="268">
        <v>48568.862611131124</v>
      </c>
      <c r="D233" s="303">
        <f>C233*S233/$R$229</f>
        <v>4486.4182696103517</v>
      </c>
      <c r="E233" s="269">
        <v>823853.78300000308</v>
      </c>
      <c r="F233" s="294">
        <v>76101.281043623254</v>
      </c>
      <c r="G233" s="270">
        <v>33978160.346958064</v>
      </c>
      <c r="H233" s="294">
        <f>G233*S233/$R$229</f>
        <v>3138641.3260047403</v>
      </c>
      <c r="I233" s="271">
        <v>378.38104776326298</v>
      </c>
      <c r="J233" s="294">
        <f>I233*S233/$R$229</f>
        <v>34.951933281846209</v>
      </c>
      <c r="K233" s="272">
        <f>C233-O233</f>
        <v>48568.862611131124</v>
      </c>
      <c r="L233" s="148">
        <f t="shared" ref="L233:L248" si="96">E233-P233</f>
        <v>528613.38300000317</v>
      </c>
      <c r="M233" s="273">
        <f t="shared" ref="M233:M248" si="97">G233-Q233</f>
        <v>27482871.546958063</v>
      </c>
      <c r="N233" s="91">
        <f t="shared" ref="N233:N248" si="98">I233-R233</f>
        <v>351.54374776326301</v>
      </c>
      <c r="O233" s="212">
        <v>0</v>
      </c>
      <c r="P233" s="213">
        <v>295240.39999999997</v>
      </c>
      <c r="Q233" s="213">
        <v>6495288.7999999998</v>
      </c>
      <c r="R233" s="275">
        <v>26.837299999999967</v>
      </c>
      <c r="S233" s="154">
        <v>19480.027992012601</v>
      </c>
      <c r="T233" s="215"/>
      <c r="U233" s="212">
        <v>0</v>
      </c>
      <c r="V233" s="276">
        <f>$S233*P233/$R$229</f>
        <v>27272.039188817638</v>
      </c>
      <c r="W233" s="276">
        <f t="shared" ref="W233:X248" si="99">$S233*Q233/$R$229</f>
        <v>599984.8621539881</v>
      </c>
      <c r="X233" s="276">
        <f t="shared" si="99"/>
        <v>2.4790235256491147</v>
      </c>
      <c r="Y233" s="217">
        <v>5.1271511906907046</v>
      </c>
      <c r="Z233" s="83"/>
    </row>
    <row r="234" spans="2:26" x14ac:dyDescent="0.35">
      <c r="B234" s="211">
        <v>2</v>
      </c>
      <c r="C234" s="268">
        <v>33849.132241495492</v>
      </c>
      <c r="D234" s="303">
        <f t="shared" ref="D234:D248" si="100">C234*S234/$R$229</f>
        <v>18577.764938830005</v>
      </c>
      <c r="E234" s="269">
        <v>959779.03590000211</v>
      </c>
      <c r="F234" s="294">
        <v>526765.33019977203</v>
      </c>
      <c r="G234" s="270">
        <v>37295366.194109112</v>
      </c>
      <c r="H234" s="294">
        <f t="shared" ref="H234:H248" si="101">G234*S234/$R$229</f>
        <v>20469196.714365598</v>
      </c>
      <c r="I234" s="271">
        <v>305.95948330183512</v>
      </c>
      <c r="J234" s="294">
        <f t="shared" ref="J234:J248" si="102">I234*S234/$R$229</f>
        <v>167.92286789022424</v>
      </c>
      <c r="K234" s="272">
        <f t="shared" ref="K234:K248" si="103">C234-O234</f>
        <v>33849.132241495492</v>
      </c>
      <c r="L234" s="148">
        <f t="shared" si="96"/>
        <v>495829.8359000021</v>
      </c>
      <c r="M234" s="273">
        <f t="shared" si="97"/>
        <v>25485750.194109112</v>
      </c>
      <c r="N234" s="91">
        <f t="shared" si="98"/>
        <v>265.89038330183547</v>
      </c>
      <c r="O234" s="212">
        <v>0</v>
      </c>
      <c r="P234" s="213">
        <v>463949.2</v>
      </c>
      <c r="Q234" s="213">
        <v>11809616</v>
      </c>
      <c r="R234" s="275">
        <v>40.069099999999672</v>
      </c>
      <c r="S234" s="154">
        <v>115742.71709356565</v>
      </c>
      <c r="T234" s="215"/>
      <c r="U234" s="212">
        <v>0</v>
      </c>
      <c r="V234" s="276">
        <f t="shared" ref="V234:V248" si="104">$S234*P234/$R$229</f>
        <v>254633.97760584444</v>
      </c>
      <c r="W234" s="276">
        <f t="shared" si="99"/>
        <v>6481592.1572396755</v>
      </c>
      <c r="X234" s="276">
        <f t="shared" si="99"/>
        <v>21.991533366338938</v>
      </c>
      <c r="Y234" s="217">
        <v>6.7780358440105086</v>
      </c>
      <c r="Z234" s="83"/>
    </row>
    <row r="235" spans="2:26" x14ac:dyDescent="0.35">
      <c r="B235" s="211">
        <v>3</v>
      </c>
      <c r="C235" s="268">
        <v>28972.376616979516</v>
      </c>
      <c r="D235" s="303">
        <f t="shared" si="100"/>
        <v>64882.48325578645</v>
      </c>
      <c r="E235" s="269">
        <v>890698.81500000018</v>
      </c>
      <c r="F235" s="294">
        <v>1994684.513258659</v>
      </c>
      <c r="G235" s="270">
        <v>32295464.448630102</v>
      </c>
      <c r="H235" s="294">
        <f t="shared" si="101"/>
        <v>72324406.072301835</v>
      </c>
      <c r="I235" s="271">
        <v>273.4015995344958</v>
      </c>
      <c r="J235" s="294">
        <f t="shared" si="102"/>
        <v>612.27199060729015</v>
      </c>
      <c r="K235" s="272">
        <f t="shared" si="103"/>
        <v>28972.376616979516</v>
      </c>
      <c r="L235" s="148">
        <f t="shared" si="96"/>
        <v>532192.61500000022</v>
      </c>
      <c r="M235" s="273">
        <f t="shared" si="97"/>
        <v>23733492.8486301</v>
      </c>
      <c r="N235" s="91">
        <f t="shared" si="98"/>
        <v>241.98779953449579</v>
      </c>
      <c r="O235" s="212">
        <v>0</v>
      </c>
      <c r="P235" s="213">
        <v>358506.2</v>
      </c>
      <c r="Q235" s="213">
        <v>8561971.5999999996</v>
      </c>
      <c r="R235" s="275">
        <v>31.413799999999998</v>
      </c>
      <c r="S235" s="154">
        <v>472270.79589531675</v>
      </c>
      <c r="T235" s="215"/>
      <c r="U235" s="212">
        <v>0</v>
      </c>
      <c r="V235" s="276">
        <f t="shared" si="104"/>
        <v>802860.35302203847</v>
      </c>
      <c r="W235" s="276">
        <f t="shared" si="99"/>
        <v>19174194.313349862</v>
      </c>
      <c r="X235" s="276">
        <f t="shared" si="99"/>
        <v>70.349953662624827</v>
      </c>
      <c r="Y235" s="217">
        <v>5.1271511906907046</v>
      </c>
      <c r="Z235" s="83"/>
    </row>
    <row r="236" spans="2:26" x14ac:dyDescent="0.35">
      <c r="B236" s="211">
        <v>4</v>
      </c>
      <c r="C236" s="268">
        <v>25054.158284214944</v>
      </c>
      <c r="D236" s="303">
        <f t="shared" si="100"/>
        <v>28470.81115688261</v>
      </c>
      <c r="E236" s="269">
        <v>999031.70430000836</v>
      </c>
      <c r="F236" s="294">
        <v>1135270.3479479665</v>
      </c>
      <c r="G236" s="270">
        <v>35032309.159313053</v>
      </c>
      <c r="H236" s="294">
        <f t="shared" si="101"/>
        <v>39809689.359739102</v>
      </c>
      <c r="I236" s="271">
        <v>261.51092604470119</v>
      </c>
      <c r="J236" s="294">
        <f t="shared" si="102"/>
        <v>297.17335168154824</v>
      </c>
      <c r="K236" s="272">
        <f t="shared" si="103"/>
        <v>25054.158284214944</v>
      </c>
      <c r="L236" s="148">
        <f t="shared" si="96"/>
        <v>513993.90430000838</v>
      </c>
      <c r="M236" s="273">
        <f t="shared" si="97"/>
        <v>23180515.95931305</v>
      </c>
      <c r="N236" s="91">
        <f t="shared" si="98"/>
        <v>219.5445260447012</v>
      </c>
      <c r="O236" s="212">
        <v>0</v>
      </c>
      <c r="P236" s="213">
        <v>485037.8</v>
      </c>
      <c r="Q236" s="213">
        <v>11851793.200000001</v>
      </c>
      <c r="R236" s="275">
        <v>41.9664</v>
      </c>
      <c r="S236" s="154">
        <v>239644.669500358</v>
      </c>
      <c r="T236" s="215"/>
      <c r="U236" s="212">
        <v>0</v>
      </c>
      <c r="V236" s="276">
        <f t="shared" si="104"/>
        <v>551182.73985082342</v>
      </c>
      <c r="W236" s="276">
        <f t="shared" si="99"/>
        <v>13468030.42592012</v>
      </c>
      <c r="X236" s="276">
        <f t="shared" si="99"/>
        <v>47.689386958450655</v>
      </c>
      <c r="Y236" s="217">
        <v>6.7780358440105086</v>
      </c>
      <c r="Z236" s="83"/>
    </row>
    <row r="237" spans="2:26" x14ac:dyDescent="0.35">
      <c r="B237" s="211">
        <v>5</v>
      </c>
      <c r="C237" s="268">
        <v>27919.726730624858</v>
      </c>
      <c r="D237" s="303">
        <f t="shared" si="100"/>
        <v>6557.2891201239217</v>
      </c>
      <c r="E237" s="269">
        <v>910300.06789999886</v>
      </c>
      <c r="F237" s="294">
        <v>213795.09867269886</v>
      </c>
      <c r="G237" s="270">
        <v>30646004.81522977</v>
      </c>
      <c r="H237" s="294">
        <f t="shared" si="101"/>
        <v>7197588.8549706461</v>
      </c>
      <c r="I237" s="271">
        <v>266.29224618742955</v>
      </c>
      <c r="J237" s="294">
        <f t="shared" si="102"/>
        <v>62.541989237410874</v>
      </c>
      <c r="K237" s="272">
        <f t="shared" si="103"/>
        <v>27919.726730624858</v>
      </c>
      <c r="L237" s="148">
        <f t="shared" si="96"/>
        <v>530705.26789999893</v>
      </c>
      <c r="M237" s="273">
        <f t="shared" si="97"/>
        <v>22105121.81522977</v>
      </c>
      <c r="N237" s="91">
        <f t="shared" si="98"/>
        <v>231.75274618742955</v>
      </c>
      <c r="O237" s="212">
        <v>0</v>
      </c>
      <c r="P237" s="213">
        <v>379594.8</v>
      </c>
      <c r="Q237" s="213">
        <v>8540883</v>
      </c>
      <c r="R237" s="275">
        <v>34.539499999999997</v>
      </c>
      <c r="S237" s="154">
        <v>49529.15502104933</v>
      </c>
      <c r="T237" s="215"/>
      <c r="U237" s="212">
        <v>0</v>
      </c>
      <c r="V237" s="276">
        <f t="shared" si="104"/>
        <v>89152.479037888799</v>
      </c>
      <c r="W237" s="276">
        <f t="shared" si="99"/>
        <v>2005930.7783524978</v>
      </c>
      <c r="X237" s="276">
        <f t="shared" si="99"/>
        <v>8.1120237941330071</v>
      </c>
      <c r="Y237" s="217">
        <v>5.1271511906907046</v>
      </c>
      <c r="Z237" s="83"/>
    </row>
    <row r="238" spans="2:26" x14ac:dyDescent="0.35">
      <c r="B238" s="211">
        <v>6</v>
      </c>
      <c r="C238" s="268">
        <v>18587.27043153358</v>
      </c>
      <c r="D238" s="303">
        <f t="shared" si="100"/>
        <v>23431.452335006037</v>
      </c>
      <c r="E238" s="269">
        <v>1058710.4359000041</v>
      </c>
      <c r="F238" s="294">
        <v>1334629.6976063123</v>
      </c>
      <c r="G238" s="270">
        <v>34585129.305908613</v>
      </c>
      <c r="H238" s="294">
        <f t="shared" si="101"/>
        <v>43598645.202718779</v>
      </c>
      <c r="I238" s="271">
        <v>229.80971050696695</v>
      </c>
      <c r="J238" s="294">
        <f t="shared" si="102"/>
        <v>289.70231523237436</v>
      </c>
      <c r="K238" s="272">
        <f t="shared" si="103"/>
        <v>18587.27043153358</v>
      </c>
      <c r="L238" s="148">
        <f t="shared" si="96"/>
        <v>531495.43590000411</v>
      </c>
      <c r="M238" s="273">
        <f t="shared" si="97"/>
        <v>22311564.10590861</v>
      </c>
      <c r="N238" s="91">
        <f t="shared" si="98"/>
        <v>182.62691050696696</v>
      </c>
      <c r="O238" s="212">
        <v>0</v>
      </c>
      <c r="P238" s="213">
        <v>527215</v>
      </c>
      <c r="Q238" s="213">
        <v>12273565.200000001</v>
      </c>
      <c r="R238" s="275">
        <v>47.1828</v>
      </c>
      <c r="S238" s="154">
        <v>265846.74039804057</v>
      </c>
      <c r="T238" s="215"/>
      <c r="U238" s="212">
        <v>0</v>
      </c>
      <c r="V238" s="276">
        <f t="shared" si="104"/>
        <v>664616.85099510138</v>
      </c>
      <c r="W238" s="276">
        <f t="shared" si="99"/>
        <v>15472280.291165963</v>
      </c>
      <c r="X238" s="276">
        <f t="shared" si="99"/>
        <v>59.479498794859161</v>
      </c>
      <c r="Y238" s="217">
        <v>6.7780358440105086</v>
      </c>
      <c r="Z238" s="83"/>
    </row>
    <row r="239" spans="2:26" x14ac:dyDescent="0.35">
      <c r="B239" s="211">
        <v>7</v>
      </c>
      <c r="C239" s="268">
        <v>17426.264385940525</v>
      </c>
      <c r="D239" s="303">
        <f t="shared" si="100"/>
        <v>23550.809757446896</v>
      </c>
      <c r="E239" s="269">
        <v>1004107.4525999962</v>
      </c>
      <c r="F239" s="294">
        <v>1357005.9003176799</v>
      </c>
      <c r="G239" s="270">
        <v>31720606.537907138</v>
      </c>
      <c r="H239" s="294">
        <f t="shared" si="101"/>
        <v>42868967.979608558</v>
      </c>
      <c r="I239" s="271">
        <v>221.46979667287815</v>
      </c>
      <c r="J239" s="294">
        <f t="shared" si="102"/>
        <v>299.30643383739152</v>
      </c>
      <c r="K239" s="272">
        <f t="shared" si="103"/>
        <v>17426.264385940525</v>
      </c>
      <c r="L239" s="148">
        <f t="shared" si="96"/>
        <v>519069.65259999625</v>
      </c>
      <c r="M239" s="273">
        <f t="shared" si="97"/>
        <v>20417116.937907137</v>
      </c>
      <c r="N239" s="91">
        <f t="shared" si="98"/>
        <v>174.58019667287815</v>
      </c>
      <c r="O239" s="212">
        <v>0</v>
      </c>
      <c r="P239" s="213">
        <v>485037.8</v>
      </c>
      <c r="Q239" s="213">
        <v>11303489.6</v>
      </c>
      <c r="R239" s="275">
        <v>46.889600000000002</v>
      </c>
      <c r="S239" s="154">
        <v>285002.91034927359</v>
      </c>
      <c r="T239" s="215"/>
      <c r="U239" s="212">
        <v>0</v>
      </c>
      <c r="V239" s="276">
        <f t="shared" si="104"/>
        <v>655506.69380332914</v>
      </c>
      <c r="W239" s="276">
        <f t="shared" si="99"/>
        <v>15276155.994721062</v>
      </c>
      <c r="X239" s="276">
        <f t="shared" si="99"/>
        <v>63.3691779687286</v>
      </c>
      <c r="Y239" s="217">
        <v>6.7780358440105086</v>
      </c>
      <c r="Z239" s="83"/>
    </row>
    <row r="240" spans="2:26" x14ac:dyDescent="0.35">
      <c r="B240" s="211">
        <v>8</v>
      </c>
      <c r="C240" s="268">
        <v>18154.907409306339</v>
      </c>
      <c r="D240" s="303">
        <f t="shared" si="100"/>
        <v>31415.424924367984</v>
      </c>
      <c r="E240" s="269">
        <v>1103029.6695000057</v>
      </c>
      <c r="F240" s="294">
        <v>1908693.059693872</v>
      </c>
      <c r="G240" s="270">
        <v>36264726.453518696</v>
      </c>
      <c r="H240" s="294">
        <f t="shared" si="101"/>
        <v>62752828.511769727</v>
      </c>
      <c r="I240" s="271">
        <v>231.68417425471787</v>
      </c>
      <c r="J240" s="294">
        <f t="shared" si="102"/>
        <v>400.90850470172541</v>
      </c>
      <c r="K240" s="272">
        <f t="shared" si="103"/>
        <v>18154.907409306339</v>
      </c>
      <c r="L240" s="148">
        <f t="shared" si="96"/>
        <v>596903.26950000576</v>
      </c>
      <c r="M240" s="273">
        <f t="shared" si="97"/>
        <v>23738098.053518698</v>
      </c>
      <c r="N240" s="91">
        <f t="shared" si="98"/>
        <v>185.22597425471821</v>
      </c>
      <c r="O240" s="212">
        <v>0</v>
      </c>
      <c r="P240" s="213">
        <v>506126.39999999997</v>
      </c>
      <c r="Q240" s="213">
        <v>12526628.4</v>
      </c>
      <c r="R240" s="275">
        <v>46.458199999999671</v>
      </c>
      <c r="S240" s="154">
        <v>364919.14561922831</v>
      </c>
      <c r="T240" s="215"/>
      <c r="U240" s="212">
        <v>0</v>
      </c>
      <c r="V240" s="276">
        <f t="shared" si="104"/>
        <v>875805.94948614785</v>
      </c>
      <c r="W240" s="276">
        <f t="shared" si="99"/>
        <v>21676197.249782164</v>
      </c>
      <c r="X240" s="276">
        <f t="shared" si="99"/>
        <v>80.391712351730845</v>
      </c>
      <c r="Y240" s="217">
        <v>6.7780358440105086</v>
      </c>
      <c r="Z240" s="83"/>
    </row>
    <row r="241" spans="2:26" x14ac:dyDescent="0.35">
      <c r="B241" s="211">
        <v>9</v>
      </c>
      <c r="C241" s="268">
        <v>18424.87886891004</v>
      </c>
      <c r="D241" s="303">
        <f t="shared" si="100"/>
        <v>42952.678407658022</v>
      </c>
      <c r="E241" s="269">
        <v>1075801.9457000024</v>
      </c>
      <c r="F241" s="294">
        <v>2507944.5749820848</v>
      </c>
      <c r="G241" s="270">
        <v>36990509.058995962</v>
      </c>
      <c r="H241" s="294">
        <f t="shared" si="101"/>
        <v>86233480.884783998</v>
      </c>
      <c r="I241" s="271">
        <v>231.74563674796954</v>
      </c>
      <c r="J241" s="294">
        <f t="shared" si="102"/>
        <v>540.25298502287126</v>
      </c>
      <c r="K241" s="272">
        <f t="shared" si="103"/>
        <v>18424.87886891004</v>
      </c>
      <c r="L241" s="148">
        <f t="shared" si="96"/>
        <v>548586.94570000237</v>
      </c>
      <c r="M241" s="273">
        <f t="shared" si="97"/>
        <v>24210817.458995961</v>
      </c>
      <c r="N241" s="91">
        <f t="shared" si="98"/>
        <v>184.28853674796954</v>
      </c>
      <c r="O241" s="212">
        <v>0</v>
      </c>
      <c r="P241" s="213">
        <v>527215</v>
      </c>
      <c r="Q241" s="213">
        <v>12779691.6</v>
      </c>
      <c r="R241" s="275">
        <v>47.457099999999997</v>
      </c>
      <c r="S241" s="154">
        <v>491624.31965628557</v>
      </c>
      <c r="T241" s="215"/>
      <c r="U241" s="212">
        <v>0</v>
      </c>
      <c r="V241" s="276">
        <f t="shared" si="104"/>
        <v>1229060.7991407139</v>
      </c>
      <c r="W241" s="276">
        <f t="shared" si="99"/>
        <v>29792433.771170907</v>
      </c>
      <c r="X241" s="276">
        <f t="shared" si="99"/>
        <v>110.63353897537205</v>
      </c>
      <c r="Y241" s="217">
        <v>6.7780358440105086</v>
      </c>
      <c r="Z241" s="83"/>
    </row>
    <row r="242" spans="2:26" x14ac:dyDescent="0.35">
      <c r="B242" s="211">
        <v>10</v>
      </c>
      <c r="C242" s="268">
        <v>19919.809336134938</v>
      </c>
      <c r="D242" s="303">
        <f t="shared" si="100"/>
        <v>47196.886884150226</v>
      </c>
      <c r="E242" s="269">
        <v>1117516.3950000021</v>
      </c>
      <c r="F242" s="294">
        <v>2647781.1105511454</v>
      </c>
      <c r="G242" s="270">
        <v>37547327.850953795</v>
      </c>
      <c r="H242" s="294">
        <f t="shared" si="101"/>
        <v>88962547.556562886</v>
      </c>
      <c r="I242" s="271">
        <v>243.64736179500585</v>
      </c>
      <c r="J242" s="294">
        <f t="shared" si="102"/>
        <v>577.28449003778246</v>
      </c>
      <c r="K242" s="272">
        <f t="shared" si="103"/>
        <v>19919.809336134938</v>
      </c>
      <c r="L242" s="148">
        <f t="shared" si="96"/>
        <v>590301.39500000211</v>
      </c>
      <c r="M242" s="273">
        <f t="shared" si="97"/>
        <v>24957433.650953792</v>
      </c>
      <c r="N242" s="91">
        <f t="shared" si="98"/>
        <v>195.91266179500585</v>
      </c>
      <c r="O242" s="212">
        <v>0</v>
      </c>
      <c r="P242" s="213">
        <v>527215</v>
      </c>
      <c r="Q242" s="213">
        <v>12589894.200000001</v>
      </c>
      <c r="R242" s="275">
        <v>47.734699999999997</v>
      </c>
      <c r="S242" s="154">
        <v>499661.54391827766</v>
      </c>
      <c r="T242" s="215"/>
      <c r="U242" s="212">
        <v>0</v>
      </c>
      <c r="V242" s="276">
        <f t="shared" si="104"/>
        <v>1249153.8597956942</v>
      </c>
      <c r="W242" s="276">
        <f t="shared" si="99"/>
        <v>29829794.171921179</v>
      </c>
      <c r="X242" s="276">
        <f t="shared" si="99"/>
        <v>113.0999397801457</v>
      </c>
      <c r="Y242" s="217">
        <v>6.7780358440105086</v>
      </c>
      <c r="Z242" s="83"/>
    </row>
    <row r="243" spans="2:26" x14ac:dyDescent="0.35">
      <c r="B243" s="211">
        <v>11</v>
      </c>
      <c r="C243" s="268">
        <v>31051.328238649865</v>
      </c>
      <c r="D243" s="303">
        <f t="shared" si="100"/>
        <v>19607.087044304124</v>
      </c>
      <c r="E243" s="269">
        <v>1100401.2307999986</v>
      </c>
      <c r="F243" s="294">
        <v>694838.64104400994</v>
      </c>
      <c r="G243" s="270">
        <v>39767926.909220926</v>
      </c>
      <c r="H243" s="294">
        <f t="shared" si="101"/>
        <v>25111106.310424369</v>
      </c>
      <c r="I243" s="271">
        <v>308.65738513871958</v>
      </c>
      <c r="J243" s="294">
        <f t="shared" si="102"/>
        <v>194.89898051283222</v>
      </c>
      <c r="K243" s="272">
        <f t="shared" si="103"/>
        <v>31051.328238649865</v>
      </c>
      <c r="L243" s="148">
        <f t="shared" si="96"/>
        <v>636452.03079999867</v>
      </c>
      <c r="M243" s="273">
        <f t="shared" si="97"/>
        <v>28274639.909220926</v>
      </c>
      <c r="N243" s="91">
        <f t="shared" si="98"/>
        <v>268.25228513871957</v>
      </c>
      <c r="O243" s="212">
        <v>0</v>
      </c>
      <c r="P243" s="213">
        <v>463949.2</v>
      </c>
      <c r="Q243" s="213">
        <v>11493287</v>
      </c>
      <c r="R243" s="275">
        <v>40.405099999999997</v>
      </c>
      <c r="S243" s="154">
        <v>133162.1026529365</v>
      </c>
      <c r="T243" s="215"/>
      <c r="U243" s="212">
        <v>0</v>
      </c>
      <c r="V243" s="276">
        <f t="shared" si="104"/>
        <v>292956.62583646033</v>
      </c>
      <c r="W243" s="276">
        <f t="shared" si="99"/>
        <v>7257334.5945850397</v>
      </c>
      <c r="X243" s="276">
        <f t="shared" si="99"/>
        <v>25.513443632589002</v>
      </c>
      <c r="Y243" s="217">
        <v>6.7780358440105086</v>
      </c>
      <c r="Z243" s="83"/>
    </row>
    <row r="244" spans="2:26" x14ac:dyDescent="0.35">
      <c r="B244" s="211">
        <v>12</v>
      </c>
      <c r="C244" s="268">
        <v>30403.686301880192</v>
      </c>
      <c r="D244" s="303">
        <f t="shared" si="100"/>
        <v>80729.665700514321</v>
      </c>
      <c r="E244" s="269">
        <v>1035340.2134999941</v>
      </c>
      <c r="F244" s="294">
        <v>2749096.5566561851</v>
      </c>
      <c r="G244" s="270">
        <v>37652800.110729389</v>
      </c>
      <c r="H244" s="294">
        <f t="shared" si="101"/>
        <v>99977941.340602979</v>
      </c>
      <c r="I244" s="271">
        <v>296.1176122056919</v>
      </c>
      <c r="J244" s="294">
        <f t="shared" si="102"/>
        <v>786.26899396477813</v>
      </c>
      <c r="K244" s="272">
        <f t="shared" si="103"/>
        <v>30403.686301880192</v>
      </c>
      <c r="L244" s="148">
        <f t="shared" si="96"/>
        <v>550302.4134999942</v>
      </c>
      <c r="M244" s="273">
        <f t="shared" si="97"/>
        <v>26096247.310729392</v>
      </c>
      <c r="N244" s="91">
        <f t="shared" si="98"/>
        <v>256.33961220569188</v>
      </c>
      <c r="O244" s="212">
        <v>0</v>
      </c>
      <c r="P244" s="213">
        <v>485037.8</v>
      </c>
      <c r="Q244" s="213">
        <v>11556552.799999999</v>
      </c>
      <c r="R244" s="275">
        <v>39.777999999999999</v>
      </c>
      <c r="S244" s="154">
        <v>559956.97731777467</v>
      </c>
      <c r="T244" s="215"/>
      <c r="U244" s="212">
        <v>0</v>
      </c>
      <c r="V244" s="276">
        <f t="shared" si="104"/>
        <v>1287901.0478308818</v>
      </c>
      <c r="W244" s="276">
        <f t="shared" si="99"/>
        <v>30685642.357014049</v>
      </c>
      <c r="X244" s="276">
        <f t="shared" si="99"/>
        <v>105.6208977539829</v>
      </c>
      <c r="Y244" s="217">
        <v>6.7780358440105086</v>
      </c>
      <c r="Z244" s="83"/>
    </row>
    <row r="245" spans="2:26" x14ac:dyDescent="0.35">
      <c r="B245" s="211">
        <v>13</v>
      </c>
      <c r="C245" s="268">
        <v>26892.889049713216</v>
      </c>
      <c r="D245" s="303">
        <f t="shared" si="100"/>
        <v>37003.644128426778</v>
      </c>
      <c r="E245" s="269">
        <v>1131205.099000002</v>
      </c>
      <c r="F245" s="294">
        <v>1556497.3641277205</v>
      </c>
      <c r="G245" s="270">
        <v>40014896.025423571</v>
      </c>
      <c r="H245" s="294">
        <f t="shared" si="101"/>
        <v>55059051.841682404</v>
      </c>
      <c r="I245" s="271">
        <v>286.93507591752893</v>
      </c>
      <c r="J245" s="294">
        <f t="shared" si="102"/>
        <v>394.81230215124799</v>
      </c>
      <c r="K245" s="272">
        <f t="shared" si="103"/>
        <v>26892.889049713216</v>
      </c>
      <c r="L245" s="148">
        <f t="shared" si="96"/>
        <v>646167.29900000198</v>
      </c>
      <c r="M245" s="273">
        <f t="shared" si="97"/>
        <v>27867862.42542357</v>
      </c>
      <c r="N245" s="91">
        <f t="shared" si="98"/>
        <v>246.01717591752893</v>
      </c>
      <c r="O245" s="212">
        <v>0</v>
      </c>
      <c r="P245" s="213">
        <v>485037.8</v>
      </c>
      <c r="Q245" s="213">
        <v>12147033.6</v>
      </c>
      <c r="R245" s="275">
        <v>40.917900000000003</v>
      </c>
      <c r="S245" s="154">
        <v>290171.52010860754</v>
      </c>
      <c r="T245" s="215"/>
      <c r="U245" s="212">
        <v>0</v>
      </c>
      <c r="V245" s="276">
        <f t="shared" si="104"/>
        <v>667394.4962497974</v>
      </c>
      <c r="W245" s="276">
        <f t="shared" si="99"/>
        <v>16713879.558255795</v>
      </c>
      <c r="X245" s="276">
        <f t="shared" si="99"/>
        <v>56.301552699809342</v>
      </c>
      <c r="Y245" s="217">
        <v>6.7780358440105086</v>
      </c>
      <c r="Z245" s="83"/>
    </row>
    <row r="246" spans="2:26" x14ac:dyDescent="0.35">
      <c r="B246" s="211">
        <v>14</v>
      </c>
      <c r="C246" s="268">
        <v>28246.180696777599</v>
      </c>
      <c r="D246" s="303">
        <f t="shared" si="100"/>
        <v>13840.379016791281</v>
      </c>
      <c r="E246" s="269">
        <v>1104256.316000001</v>
      </c>
      <c r="F246" s="294">
        <v>541075.83992299601</v>
      </c>
      <c r="G246" s="270">
        <v>40740310.521583393</v>
      </c>
      <c r="H246" s="294">
        <f t="shared" si="101"/>
        <v>19962392.258745648</v>
      </c>
      <c r="I246" s="271">
        <v>290.27284915799942</v>
      </c>
      <c r="J246" s="294">
        <f t="shared" si="102"/>
        <v>142.23113183896476</v>
      </c>
      <c r="K246" s="272">
        <f t="shared" si="103"/>
        <v>28246.180696777599</v>
      </c>
      <c r="L246" s="148">
        <f t="shared" si="96"/>
        <v>534864.11600000097</v>
      </c>
      <c r="M246" s="273">
        <f t="shared" si="97"/>
        <v>27412315.32158339</v>
      </c>
      <c r="N246" s="91">
        <f t="shared" si="98"/>
        <v>239.90364915799941</v>
      </c>
      <c r="O246" s="212">
        <v>0</v>
      </c>
      <c r="P246" s="213">
        <v>569392.20000000007</v>
      </c>
      <c r="Q246" s="213">
        <v>13327995.200000001</v>
      </c>
      <c r="R246" s="275">
        <v>50.369199999999999</v>
      </c>
      <c r="S246" s="154">
        <v>103332.27704898256</v>
      </c>
      <c r="T246" s="215"/>
      <c r="U246" s="212">
        <v>0</v>
      </c>
      <c r="V246" s="276">
        <f t="shared" si="104"/>
        <v>278997.14803225297</v>
      </c>
      <c r="W246" s="276">
        <f t="shared" si="99"/>
        <v>6530599.9094956983</v>
      </c>
      <c r="X246" s="276">
        <f t="shared" si="99"/>
        <v>24.680463042286412</v>
      </c>
      <c r="Y246" s="217">
        <v>6.7780358440105086</v>
      </c>
      <c r="Z246" s="83"/>
    </row>
    <row r="247" spans="2:26" x14ac:dyDescent="0.35">
      <c r="B247" s="211">
        <v>15</v>
      </c>
      <c r="C247" s="268">
        <v>12948.503273130635</v>
      </c>
      <c r="D247" s="303">
        <f t="shared" si="100"/>
        <v>4444.6325174220547</v>
      </c>
      <c r="E247" s="269">
        <v>1348090.7385999977</v>
      </c>
      <c r="F247" s="294">
        <v>462738.26455684245</v>
      </c>
      <c r="G247" s="270">
        <v>41897558.796073049</v>
      </c>
      <c r="H247" s="294">
        <f t="shared" si="101"/>
        <v>14381527.215740154</v>
      </c>
      <c r="I247" s="271">
        <v>232.0039500994971</v>
      </c>
      <c r="J247" s="294">
        <f t="shared" si="102"/>
        <v>79.636408859884853</v>
      </c>
      <c r="K247" s="272">
        <f t="shared" si="103"/>
        <v>12948.503273130635</v>
      </c>
      <c r="L247" s="148">
        <f t="shared" si="96"/>
        <v>631078.33859999769</v>
      </c>
      <c r="M247" s="273">
        <f t="shared" si="97"/>
        <v>24436197.996073049</v>
      </c>
      <c r="N247" s="91">
        <f t="shared" si="98"/>
        <v>165.30505009949744</v>
      </c>
      <c r="O247" s="212">
        <v>0</v>
      </c>
      <c r="P247" s="213">
        <v>717012.4</v>
      </c>
      <c r="Q247" s="213">
        <v>17461360.800000001</v>
      </c>
      <c r="R247" s="275">
        <v>66.698899999999668</v>
      </c>
      <c r="S247" s="154">
        <v>72387.57664092927</v>
      </c>
      <c r="T247" s="215"/>
      <c r="U247" s="212">
        <v>0</v>
      </c>
      <c r="V247" s="276">
        <f t="shared" si="104"/>
        <v>246117.76057915951</v>
      </c>
      <c r="W247" s="276">
        <f t="shared" si="99"/>
        <v>5993691.3458689433</v>
      </c>
      <c r="X247" s="276">
        <f t="shared" si="99"/>
        <v>22.894700148969836</v>
      </c>
      <c r="Y247" s="217">
        <v>9.0781794524055659</v>
      </c>
      <c r="Z247" s="83"/>
    </row>
    <row r="248" spans="2:26" x14ac:dyDescent="0.35">
      <c r="B248" s="211">
        <v>16</v>
      </c>
      <c r="C248" s="268">
        <v>50217.240886994099</v>
      </c>
      <c r="D248" s="303">
        <f t="shared" si="100"/>
        <v>9468.6073322061366</v>
      </c>
      <c r="E248" s="269">
        <v>938586.50380000635</v>
      </c>
      <c r="F248" s="294">
        <v>176973.22462995295</v>
      </c>
      <c r="G248" s="270">
        <v>37562734.972895727</v>
      </c>
      <c r="H248" s="294">
        <f t="shared" si="101"/>
        <v>7082563.3089330373</v>
      </c>
      <c r="I248" s="271">
        <v>403.36525106368794</v>
      </c>
      <c r="J248" s="294">
        <f t="shared" si="102"/>
        <v>76.055695341238419</v>
      </c>
      <c r="K248" s="272">
        <f t="shared" si="103"/>
        <v>50217.240886994099</v>
      </c>
      <c r="L248" s="148">
        <f t="shared" si="96"/>
        <v>558991.7038000063</v>
      </c>
      <c r="M248" s="273">
        <f t="shared" si="97"/>
        <v>29274915.172895726</v>
      </c>
      <c r="N248" s="91">
        <f t="shared" si="98"/>
        <v>370.88075106368797</v>
      </c>
      <c r="O248" s="212">
        <v>0</v>
      </c>
      <c r="P248" s="213">
        <v>379594.8</v>
      </c>
      <c r="Q248" s="213">
        <v>8287819.7999999998</v>
      </c>
      <c r="R248" s="275">
        <v>32.484499999999962</v>
      </c>
      <c r="S248" s="154">
        <v>39763.170787361581</v>
      </c>
      <c r="T248" s="215"/>
      <c r="U248" s="212">
        <v>0</v>
      </c>
      <c r="V248" s="276">
        <f t="shared" si="104"/>
        <v>71573.707417250844</v>
      </c>
      <c r="W248" s="276">
        <f t="shared" si="99"/>
        <v>1562692.6119433101</v>
      </c>
      <c r="X248" s="276">
        <f t="shared" si="99"/>
        <v>6.1250472835657455</v>
      </c>
      <c r="Y248" s="217">
        <v>5.1271511906907046</v>
      </c>
      <c r="Z248" s="83"/>
    </row>
    <row r="249" spans="2:26" ht="15" thickBot="1" x14ac:dyDescent="0.4">
      <c r="B249" s="218" t="s">
        <v>12</v>
      </c>
      <c r="C249" s="219"/>
      <c r="D249" s="304">
        <f>SUM(D233:D248)</f>
        <v>456616.03478952724</v>
      </c>
      <c r="E249" s="277"/>
      <c r="F249" s="278">
        <f>SUM(F233:F248)</f>
        <v>19883890.805211522</v>
      </c>
      <c r="G249" s="278"/>
      <c r="H249" s="278">
        <f>SUM(H233:H248)</f>
        <v>688930574.73895454</v>
      </c>
      <c r="I249" s="99"/>
      <c r="J249" s="278">
        <f>SUM(J233:J248)</f>
        <v>4956.2203741994117</v>
      </c>
      <c r="K249" s="279">
        <f>SUM(K233:K248)</f>
        <v>436637.21536341688</v>
      </c>
      <c r="L249" s="277">
        <f t="shared" ref="L249:N249" si="105">SUM(L233:L248)</f>
        <v>8945547.606500024</v>
      </c>
      <c r="M249" s="278">
        <f t="shared" si="105"/>
        <v>400984960.70745039</v>
      </c>
      <c r="N249" s="99">
        <f t="shared" si="105"/>
        <v>3780.0520063923896</v>
      </c>
      <c r="O249" s="219"/>
      <c r="P249" s="220"/>
      <c r="Q249" s="221"/>
      <c r="R249" s="222"/>
      <c r="S249" s="280">
        <f>SUM(S233:S248)</f>
        <v>4002495.65</v>
      </c>
      <c r="T249" s="224"/>
      <c r="U249" s="225">
        <f>SUM(U233:U248)</f>
        <v>0</v>
      </c>
      <c r="V249" s="226">
        <f>SUM(V233:V248)</f>
        <v>9244186.5278722029</v>
      </c>
      <c r="W249" s="226">
        <f>SUM(W233:W248)</f>
        <v>222520434.39294025</v>
      </c>
      <c r="X249" s="227">
        <f>SUM(X233:X248)</f>
        <v>818.73189373923628</v>
      </c>
      <c r="Y249" s="229">
        <f>SUMPRODUCT(Y233:Y248,S233:S248)/SUM(S233:S248)</f>
        <v>6.5799760667284382</v>
      </c>
      <c r="Z249" s="83"/>
    </row>
    <row r="250" spans="2:26" x14ac:dyDescent="0.35">
      <c r="B250" s="83"/>
      <c r="C250" s="83"/>
      <c r="D250" s="83"/>
      <c r="E250" s="83"/>
      <c r="F250" s="83"/>
      <c r="G250" s="83"/>
      <c r="H250" s="83"/>
      <c r="I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2:26" x14ac:dyDescent="0.35">
      <c r="B251" s="83"/>
      <c r="C251" s="83"/>
      <c r="D251" s="83"/>
      <c r="E251" s="83"/>
      <c r="F251" s="83"/>
      <c r="G251" s="83"/>
      <c r="H251" s="83"/>
      <c r="I251" s="83"/>
      <c r="K251" s="83"/>
      <c r="L251" s="83"/>
      <c r="M251" s="83"/>
      <c r="N251" s="83"/>
      <c r="O251" s="83"/>
      <c r="P251" s="83"/>
      <c r="Q251" s="83" t="s">
        <v>128</v>
      </c>
      <c r="R251" s="83">
        <v>24413</v>
      </c>
      <c r="S251" s="83"/>
      <c r="T251" s="83"/>
      <c r="U251" s="83"/>
      <c r="V251" s="83"/>
      <c r="W251" s="83"/>
      <c r="X251" s="83"/>
      <c r="Y251" s="83"/>
      <c r="Z251" s="83"/>
    </row>
    <row r="252" spans="2:26" ht="15" thickBot="1" x14ac:dyDescent="0.4">
      <c r="B252" s="83"/>
      <c r="C252" s="83"/>
      <c r="D252" s="83"/>
      <c r="E252" s="83"/>
      <c r="F252" s="83"/>
      <c r="G252" s="83"/>
      <c r="H252" s="83"/>
      <c r="I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2:26" x14ac:dyDescent="0.35">
      <c r="B253" s="203"/>
      <c r="C253" s="1197">
        <f>C231</f>
        <v>0</v>
      </c>
      <c r="D253" s="1198"/>
      <c r="E253" s="1199"/>
      <c r="F253" s="1200"/>
      <c r="G253" s="1200"/>
      <c r="H253" s="1200"/>
      <c r="I253" s="1201"/>
      <c r="J253" s="263"/>
      <c r="K253" s="1202">
        <f>K231</f>
        <v>0</v>
      </c>
      <c r="L253" s="1203"/>
      <c r="M253" s="1204"/>
      <c r="N253" s="1205"/>
      <c r="O253" s="1197" t="s">
        <v>163</v>
      </c>
      <c r="P253" s="1199"/>
      <c r="Q253" s="1200"/>
      <c r="R253" s="1201"/>
      <c r="S253" s="1206" t="s">
        <v>164</v>
      </c>
      <c r="T253" s="1207"/>
      <c r="U253" s="1197" t="s">
        <v>165</v>
      </c>
      <c r="V253" s="1199"/>
      <c r="W253" s="1199"/>
      <c r="X253" s="1199"/>
      <c r="Y253" s="267"/>
      <c r="Z253" s="83"/>
    </row>
    <row r="254" spans="2:26" ht="43.5" x14ac:dyDescent="0.35">
      <c r="B254" s="204" t="s">
        <v>5</v>
      </c>
      <c r="C254" s="205" t="s">
        <v>6</v>
      </c>
      <c r="D254" s="293" t="s">
        <v>166</v>
      </c>
      <c r="E254" s="206" t="s">
        <v>7</v>
      </c>
      <c r="F254" s="207" t="s">
        <v>167</v>
      </c>
      <c r="G254" s="207" t="s">
        <v>8</v>
      </c>
      <c r="H254" s="207" t="s">
        <v>168</v>
      </c>
      <c r="I254" s="208" t="s">
        <v>9</v>
      </c>
      <c r="J254" s="208" t="s">
        <v>169</v>
      </c>
      <c r="K254" s="258" t="s">
        <v>6</v>
      </c>
      <c r="L254" s="259" t="s">
        <v>7</v>
      </c>
      <c r="M254" s="209" t="s">
        <v>8</v>
      </c>
      <c r="N254" s="260" t="s">
        <v>9</v>
      </c>
      <c r="O254" s="205" t="s">
        <v>6</v>
      </c>
      <c r="P254" s="206" t="s">
        <v>7</v>
      </c>
      <c r="Q254" s="206" t="s">
        <v>170</v>
      </c>
      <c r="R254" s="208" t="s">
        <v>9</v>
      </c>
      <c r="S254" s="258" t="s">
        <v>171</v>
      </c>
      <c r="T254" s="209" t="s">
        <v>11</v>
      </c>
      <c r="U254" s="205" t="s">
        <v>6</v>
      </c>
      <c r="V254" s="206" t="s">
        <v>7</v>
      </c>
      <c r="W254" s="206" t="s">
        <v>170</v>
      </c>
      <c r="X254" s="206" t="s">
        <v>9</v>
      </c>
      <c r="Y254" s="208" t="s">
        <v>172</v>
      </c>
      <c r="Z254" s="83"/>
    </row>
    <row r="255" spans="2:26" x14ac:dyDescent="0.35">
      <c r="B255" s="211">
        <v>1</v>
      </c>
      <c r="C255" s="268">
        <v>5104.3337482420484</v>
      </c>
      <c r="D255" s="303">
        <v>6109.4026315690217</v>
      </c>
      <c r="E255" s="269">
        <v>141960.22844990608</v>
      </c>
      <c r="F255" s="294">
        <v>169912.90852967722</v>
      </c>
      <c r="G255" s="270">
        <v>5253846.9290935751</v>
      </c>
      <c r="H255" s="294">
        <v>6288355.7066619592</v>
      </c>
      <c r="I255" s="271">
        <v>48.164136055539352</v>
      </c>
      <c r="J255" s="296">
        <v>57.647895705546823</v>
      </c>
      <c r="K255" s="272">
        <f>C255-O255</f>
        <v>5104.3337482420484</v>
      </c>
      <c r="L255" s="148">
        <f t="shared" ref="L255:L270" si="106">E255-P255</f>
        <v>98016.828449906083</v>
      </c>
      <c r="M255" s="273">
        <f t="shared" ref="M255:M270" si="107">G255-Q255</f>
        <v>4240707.4290935751</v>
      </c>
      <c r="N255" s="91">
        <f t="shared" ref="N255:N270" si="108">I255-R255</f>
        <v>43.977936055539352</v>
      </c>
      <c r="O255" s="212">
        <v>0</v>
      </c>
      <c r="P255" s="213">
        <v>43943.4</v>
      </c>
      <c r="Q255" s="213">
        <v>1013139.5</v>
      </c>
      <c r="R255" s="275">
        <v>4.1862000000000004</v>
      </c>
      <c r="S255" s="154">
        <v>29220.041988018897</v>
      </c>
      <c r="T255" s="215"/>
      <c r="U255" s="212">
        <v>0</v>
      </c>
      <c r="V255" s="276">
        <f>$S255*P255/$R$251</f>
        <v>52596.075578434014</v>
      </c>
      <c r="W255" s="276">
        <f t="shared" ref="W255:X270" si="109">$S255*Q255/$R$251</f>
        <v>1212631.7425027841</v>
      </c>
      <c r="X255" s="276">
        <f t="shared" si="109"/>
        <v>5.0104837492419909</v>
      </c>
      <c r="Y255" s="217">
        <v>8.1728790480481717</v>
      </c>
      <c r="Z255" s="83"/>
    </row>
    <row r="256" spans="2:26" x14ac:dyDescent="0.35">
      <c r="B256" s="211">
        <v>2</v>
      </c>
      <c r="C256" s="268">
        <v>3038.834892397897</v>
      </c>
      <c r="D256" s="303">
        <v>21610.802067230521</v>
      </c>
      <c r="E256" s="269">
        <v>165596.46121657878</v>
      </c>
      <c r="F256" s="294">
        <v>1177646.194381237</v>
      </c>
      <c r="G256" s="270">
        <v>5742996.132922763</v>
      </c>
      <c r="H256" s="294">
        <v>40841558.391983017</v>
      </c>
      <c r="I256" s="271">
        <v>38.923147773053643</v>
      </c>
      <c r="J256" s="296">
        <v>276.80360142675613</v>
      </c>
      <c r="K256" s="272">
        <f t="shared" ref="K256:K270" si="110">C256-O256</f>
        <v>3038.834892397897</v>
      </c>
      <c r="L256" s="148">
        <f t="shared" si="106"/>
        <v>99681.361216578778</v>
      </c>
      <c r="M256" s="273">
        <f t="shared" si="107"/>
        <v>4060940.4329227628</v>
      </c>
      <c r="N256" s="91">
        <f t="shared" si="108"/>
        <v>33.158847773053644</v>
      </c>
      <c r="O256" s="212">
        <v>0</v>
      </c>
      <c r="P256" s="213">
        <v>65915.100000000006</v>
      </c>
      <c r="Q256" s="213">
        <v>1682055.7000000002</v>
      </c>
      <c r="R256" s="275">
        <v>5.7643000000000004</v>
      </c>
      <c r="S256" s="154">
        <v>173614.07564034848</v>
      </c>
      <c r="T256" s="215"/>
      <c r="U256" s="212">
        <v>0</v>
      </c>
      <c r="V256" s="276">
        <f t="shared" ref="V256:V270" si="111">$S256*P256/$R$251</f>
        <v>468758.00422894093</v>
      </c>
      <c r="W256" s="276">
        <f t="shared" si="109"/>
        <v>11962009.811620012</v>
      </c>
      <c r="X256" s="276">
        <f t="shared" si="109"/>
        <v>40.993061738158389</v>
      </c>
      <c r="Y256" s="217">
        <v>10.091784872813665</v>
      </c>
      <c r="Z256" s="83"/>
    </row>
    <row r="257" spans="2:26" x14ac:dyDescent="0.35">
      <c r="B257" s="211">
        <v>3</v>
      </c>
      <c r="C257" s="268">
        <v>2400.5842458493448</v>
      </c>
      <c r="D257" s="303">
        <v>69659.14670878397</v>
      </c>
      <c r="E257" s="269">
        <v>154326.40639522643</v>
      </c>
      <c r="F257" s="294">
        <v>4478178.9277805481</v>
      </c>
      <c r="G257" s="270">
        <v>4845170.7594882147</v>
      </c>
      <c r="H257" s="294">
        <v>140595132.76730937</v>
      </c>
      <c r="I257" s="271">
        <v>33.978418026427136</v>
      </c>
      <c r="J257" s="296">
        <v>985.9714818705927</v>
      </c>
      <c r="K257" s="272">
        <f t="shared" si="110"/>
        <v>2400.5842458493448</v>
      </c>
      <c r="L257" s="148">
        <f t="shared" si="106"/>
        <v>100617.80639522642</v>
      </c>
      <c r="M257" s="273">
        <f t="shared" si="107"/>
        <v>3534192.6594882146</v>
      </c>
      <c r="N257" s="91">
        <f t="shared" si="108"/>
        <v>29.126718026427135</v>
      </c>
      <c r="O257" s="212">
        <v>0</v>
      </c>
      <c r="P257" s="213">
        <v>53708.600000000006</v>
      </c>
      <c r="Q257" s="213">
        <v>1310978.1000000001</v>
      </c>
      <c r="R257" s="275">
        <v>4.8516999999999992</v>
      </c>
      <c r="S257" s="154">
        <v>708406.19384297507</v>
      </c>
      <c r="T257" s="215"/>
      <c r="U257" s="212">
        <v>0</v>
      </c>
      <c r="V257" s="276">
        <f t="shared" si="111"/>
        <v>1558493.6264545452</v>
      </c>
      <c r="W257" s="276">
        <f t="shared" si="109"/>
        <v>38041412.609367765</v>
      </c>
      <c r="X257" s="276">
        <f t="shared" si="109"/>
        <v>140.78459552975718</v>
      </c>
      <c r="Y257" s="217">
        <v>8.1728790480481717</v>
      </c>
      <c r="Z257" s="83"/>
    </row>
    <row r="258" spans="2:26" x14ac:dyDescent="0.35">
      <c r="B258" s="211">
        <v>4</v>
      </c>
      <c r="C258" s="268">
        <v>1980.6547240872144</v>
      </c>
      <c r="D258" s="303">
        <v>29163.970840220572</v>
      </c>
      <c r="E258" s="269">
        <v>167988.85135956047</v>
      </c>
      <c r="F258" s="294">
        <v>2473536.6053213431</v>
      </c>
      <c r="G258" s="270">
        <v>5073369.8562791292</v>
      </c>
      <c r="H258" s="294">
        <v>74702374.296138763</v>
      </c>
      <c r="I258" s="271">
        <v>33.082455763749763</v>
      </c>
      <c r="J258" s="296">
        <v>487.11961932765479</v>
      </c>
      <c r="K258" s="272">
        <f t="shared" si="110"/>
        <v>1980.6547240872144</v>
      </c>
      <c r="L258" s="148">
        <f t="shared" si="106"/>
        <v>99632.45135956048</v>
      </c>
      <c r="M258" s="273">
        <f t="shared" si="107"/>
        <v>3413285.8562791292</v>
      </c>
      <c r="N258" s="91">
        <f t="shared" si="108"/>
        <v>27.063255763749765</v>
      </c>
      <c r="O258" s="212">
        <v>0</v>
      </c>
      <c r="P258" s="213">
        <v>68356.399999999994</v>
      </c>
      <c r="Q258" s="213">
        <v>1660084</v>
      </c>
      <c r="R258" s="275">
        <v>6.0191999999999997</v>
      </c>
      <c r="S258" s="154">
        <v>359467.00425053696</v>
      </c>
      <c r="T258" s="215"/>
      <c r="U258" s="212">
        <v>0</v>
      </c>
      <c r="V258" s="276">
        <f t="shared" si="111"/>
        <v>1006507.6119015034</v>
      </c>
      <c r="W258" s="276">
        <f t="shared" si="109"/>
        <v>24443756.289036512</v>
      </c>
      <c r="X258" s="276">
        <f t="shared" si="109"/>
        <v>88.629164460936053</v>
      </c>
      <c r="Y258" s="217">
        <v>10.091784872813665</v>
      </c>
      <c r="Z258" s="83"/>
    </row>
    <row r="259" spans="2:26" x14ac:dyDescent="0.35">
      <c r="B259" s="211">
        <v>5</v>
      </c>
      <c r="C259" s="268">
        <v>2498.0987505979979</v>
      </c>
      <c r="D259" s="303">
        <v>7602.2234225366328</v>
      </c>
      <c r="E259" s="269">
        <v>152556.45471116441</v>
      </c>
      <c r="F259" s="294">
        <v>464260.37120699743</v>
      </c>
      <c r="G259" s="270">
        <v>4731150.6929473076</v>
      </c>
      <c r="H259" s="294">
        <v>14397855.410985876</v>
      </c>
      <c r="I259" s="271">
        <v>34.079307075870119</v>
      </c>
      <c r="J259" s="296">
        <v>103.71027422914314</v>
      </c>
      <c r="K259" s="272">
        <f t="shared" si="110"/>
        <v>2498.0987505979979</v>
      </c>
      <c r="L259" s="148">
        <f t="shared" si="106"/>
        <v>93965.254711164409</v>
      </c>
      <c r="M259" s="273">
        <f t="shared" si="107"/>
        <v>3427496.4929473074</v>
      </c>
      <c r="N259" s="91">
        <f t="shared" si="108"/>
        <v>28.72810707587012</v>
      </c>
      <c r="O259" s="212">
        <v>0</v>
      </c>
      <c r="P259" s="213">
        <v>58591.199999999997</v>
      </c>
      <c r="Q259" s="213">
        <v>1303654.2</v>
      </c>
      <c r="R259" s="275">
        <v>5.3512000000000004</v>
      </c>
      <c r="S259" s="154">
        <v>74293.732531573987</v>
      </c>
      <c r="T259" s="215"/>
      <c r="U259" s="212">
        <v>0</v>
      </c>
      <c r="V259" s="276">
        <f t="shared" si="111"/>
        <v>178304.95807577757</v>
      </c>
      <c r="W259" s="276">
        <f t="shared" si="109"/>
        <v>3967285.3171860506</v>
      </c>
      <c r="X259" s="276">
        <f t="shared" si="109"/>
        <v>16.284791771718297</v>
      </c>
      <c r="Y259" s="217">
        <v>8.1728790480481717</v>
      </c>
      <c r="Z259" s="83"/>
    </row>
    <row r="260" spans="2:26" x14ac:dyDescent="0.35">
      <c r="B260" s="211">
        <v>6</v>
      </c>
      <c r="C260" s="268">
        <v>1024.8220886522213</v>
      </c>
      <c r="D260" s="303">
        <v>16739.786901821044</v>
      </c>
      <c r="E260" s="269">
        <v>170879.00635419067</v>
      </c>
      <c r="F260" s="294">
        <v>2791194.8659556988</v>
      </c>
      <c r="G260" s="270">
        <v>4986250.3890405735</v>
      </c>
      <c r="H260" s="294">
        <v>81447082.255451888</v>
      </c>
      <c r="I260" s="271">
        <v>27.426995814432765</v>
      </c>
      <c r="J260" s="296">
        <v>448.00172671390158</v>
      </c>
      <c r="K260" s="272">
        <f t="shared" si="110"/>
        <v>1024.8220886522213</v>
      </c>
      <c r="L260" s="148">
        <f t="shared" si="106"/>
        <v>97640.006354190671</v>
      </c>
      <c r="M260" s="273">
        <f t="shared" si="107"/>
        <v>3252927.3890405735</v>
      </c>
      <c r="N260" s="91">
        <f t="shared" si="108"/>
        <v>20.657295814432764</v>
      </c>
      <c r="O260" s="212">
        <v>0</v>
      </c>
      <c r="P260" s="213">
        <v>73239</v>
      </c>
      <c r="Q260" s="213">
        <v>1733323</v>
      </c>
      <c r="R260" s="275">
        <v>6.7697000000000003</v>
      </c>
      <c r="S260" s="154">
        <v>398770.11059706082</v>
      </c>
      <c r="T260" s="215"/>
      <c r="U260" s="212">
        <v>0</v>
      </c>
      <c r="V260" s="276">
        <f t="shared" si="111"/>
        <v>1196310.3317911825</v>
      </c>
      <c r="W260" s="276">
        <f t="shared" si="109"/>
        <v>28312677.852391317</v>
      </c>
      <c r="X260" s="276">
        <f t="shared" si="109"/>
        <v>110.57854494363342</v>
      </c>
      <c r="Y260" s="217">
        <v>10.091784872813665</v>
      </c>
      <c r="Z260" s="83"/>
    </row>
    <row r="261" spans="2:26" x14ac:dyDescent="0.35">
      <c r="B261" s="211">
        <v>7</v>
      </c>
      <c r="C261" s="268">
        <v>577.95926037770107</v>
      </c>
      <c r="D261" s="303">
        <v>10120.841637915766</v>
      </c>
      <c r="E261" s="269">
        <v>165558.07164662078</v>
      </c>
      <c r="F261" s="294">
        <v>2899143.8322471925</v>
      </c>
      <c r="G261" s="270">
        <v>4651685.8426372912</v>
      </c>
      <c r="H261" s="294">
        <v>81457256.575316906</v>
      </c>
      <c r="I261" s="271">
        <v>24.448490873451014</v>
      </c>
      <c r="J261" s="296">
        <v>428.12585830794211</v>
      </c>
      <c r="K261" s="272">
        <f t="shared" si="110"/>
        <v>577.95926037770107</v>
      </c>
      <c r="L261" s="148">
        <f t="shared" si="106"/>
        <v>99642.971646620776</v>
      </c>
      <c r="M261" s="273">
        <f t="shared" si="107"/>
        <v>3050193.0426372914</v>
      </c>
      <c r="N261" s="91">
        <f t="shared" si="108"/>
        <v>17.729690873451013</v>
      </c>
      <c r="O261" s="212">
        <v>0</v>
      </c>
      <c r="P261" s="213">
        <v>65915.100000000006</v>
      </c>
      <c r="Q261" s="213">
        <v>1601492.7999999998</v>
      </c>
      <c r="R261" s="275">
        <v>6.7187999999999999</v>
      </c>
      <c r="S261" s="154">
        <v>427504.36552391038</v>
      </c>
      <c r="T261" s="215"/>
      <c r="U261" s="212">
        <v>0</v>
      </c>
      <c r="V261" s="276">
        <f t="shared" si="111"/>
        <v>1154261.7869145581</v>
      </c>
      <c r="W261" s="276">
        <f t="shared" si="109"/>
        <v>28044286.378368516</v>
      </c>
      <c r="X261" s="276">
        <f t="shared" si="109"/>
        <v>117.65519727530614</v>
      </c>
      <c r="Y261" s="217">
        <v>10.091784872813665</v>
      </c>
      <c r="Z261" s="83"/>
    </row>
    <row r="262" spans="2:26" x14ac:dyDescent="0.35">
      <c r="B262" s="211">
        <v>8</v>
      </c>
      <c r="C262" s="268">
        <v>937.81445333411193</v>
      </c>
      <c r="D262" s="303">
        <v>21027.308138699533</v>
      </c>
      <c r="E262" s="269">
        <v>179402.69310046718</v>
      </c>
      <c r="F262" s="294">
        <v>4022496.8759274427</v>
      </c>
      <c r="G262" s="270">
        <v>5233951.8353159744</v>
      </c>
      <c r="H262" s="294">
        <v>117353616.84076297</v>
      </c>
      <c r="I262" s="271">
        <v>28.108515983262919</v>
      </c>
      <c r="J262" s="296">
        <v>630.23812951522109</v>
      </c>
      <c r="K262" s="272">
        <f t="shared" si="110"/>
        <v>937.81445333411193</v>
      </c>
      <c r="L262" s="148">
        <f t="shared" si="106"/>
        <v>108604.99310046718</v>
      </c>
      <c r="M262" s="273">
        <f t="shared" si="107"/>
        <v>3485981.0353159746</v>
      </c>
      <c r="N262" s="91">
        <f t="shared" si="108"/>
        <v>21.463815983262919</v>
      </c>
      <c r="O262" s="212">
        <v>0</v>
      </c>
      <c r="P262" s="213">
        <v>70797.7</v>
      </c>
      <c r="Q262" s="213">
        <v>1747970.7999999998</v>
      </c>
      <c r="R262" s="275">
        <v>6.6447000000000003</v>
      </c>
      <c r="S262" s="154">
        <v>547378.71842884249</v>
      </c>
      <c r="T262" s="215"/>
      <c r="U262" s="212">
        <v>0</v>
      </c>
      <c r="V262" s="276">
        <f t="shared" si="111"/>
        <v>1587398.2834436432</v>
      </c>
      <c r="W262" s="276">
        <f t="shared" si="109"/>
        <v>39192316.23950512</v>
      </c>
      <c r="X262" s="276">
        <f t="shared" si="109"/>
        <v>148.98485931037274</v>
      </c>
      <c r="Y262" s="217">
        <v>10.091784872813665</v>
      </c>
      <c r="Z262" s="83"/>
    </row>
    <row r="263" spans="2:26" x14ac:dyDescent="0.35">
      <c r="B263" s="211">
        <v>9</v>
      </c>
      <c r="C263" s="268">
        <v>1079.7584109278534</v>
      </c>
      <c r="D263" s="303">
        <v>32615.952207771963</v>
      </c>
      <c r="E263" s="269">
        <v>185512.25685828354</v>
      </c>
      <c r="F263" s="294">
        <v>5603715.4630231271</v>
      </c>
      <c r="G263" s="270">
        <v>5617506.1927125724</v>
      </c>
      <c r="H263" s="294">
        <v>169686396.19202614</v>
      </c>
      <c r="I263" s="271">
        <v>30.012343171442204</v>
      </c>
      <c r="J263" s="296">
        <v>906.57423050943601</v>
      </c>
      <c r="K263" s="272">
        <f t="shared" si="110"/>
        <v>1079.7584109278534</v>
      </c>
      <c r="L263" s="148">
        <f t="shared" si="106"/>
        <v>112273.25685828354</v>
      </c>
      <c r="M263" s="273">
        <f t="shared" si="107"/>
        <v>3818268.0927125723</v>
      </c>
      <c r="N263" s="91">
        <f t="shared" si="108"/>
        <v>23.221943171442206</v>
      </c>
      <c r="O263" s="212">
        <v>0</v>
      </c>
      <c r="P263" s="213">
        <v>73239</v>
      </c>
      <c r="Q263" s="213">
        <v>1799238.1</v>
      </c>
      <c r="R263" s="275">
        <v>6.7904</v>
      </c>
      <c r="S263" s="154">
        <v>737436.4794844283</v>
      </c>
      <c r="T263" s="215"/>
      <c r="U263" s="212">
        <v>0</v>
      </c>
      <c r="V263" s="276">
        <f t="shared" si="111"/>
        <v>2212309.438453285</v>
      </c>
      <c r="W263" s="276">
        <f t="shared" si="109"/>
        <v>54349068.538002364</v>
      </c>
      <c r="X263" s="276">
        <f t="shared" si="109"/>
        <v>205.11566256875687</v>
      </c>
      <c r="Y263" s="217">
        <v>10.091784872813665</v>
      </c>
      <c r="Z263" s="83"/>
    </row>
    <row r="264" spans="2:26" x14ac:dyDescent="0.35">
      <c r="B264" s="211">
        <v>10</v>
      </c>
      <c r="C264" s="268">
        <v>1201.6416908395622</v>
      </c>
      <c r="D264" s="303">
        <v>36891.050412575183</v>
      </c>
      <c r="E264" s="269">
        <v>188718.97705185943</v>
      </c>
      <c r="F264" s="294">
        <v>5793774.7577362526</v>
      </c>
      <c r="G264" s="270">
        <v>5806433.5103384191</v>
      </c>
      <c r="H264" s="294">
        <v>178260652.05635434</v>
      </c>
      <c r="I264" s="271">
        <v>31.006305532539525</v>
      </c>
      <c r="J264" s="296">
        <v>951.91036498528661</v>
      </c>
      <c r="K264" s="272">
        <f t="shared" si="110"/>
        <v>1201.6416908395622</v>
      </c>
      <c r="L264" s="148">
        <f t="shared" si="106"/>
        <v>115479.97705185943</v>
      </c>
      <c r="M264" s="273">
        <f t="shared" si="107"/>
        <v>4036491.0103384191</v>
      </c>
      <c r="N264" s="91">
        <f t="shared" si="108"/>
        <v>24.195505532539524</v>
      </c>
      <c r="O264" s="212">
        <v>0</v>
      </c>
      <c r="P264" s="213">
        <v>73239</v>
      </c>
      <c r="Q264" s="213">
        <v>1769942.5</v>
      </c>
      <c r="R264" s="275">
        <v>6.8108000000000004</v>
      </c>
      <c r="S264" s="154">
        <v>749492.31587741652</v>
      </c>
      <c r="T264" s="215"/>
      <c r="U264" s="212">
        <v>0</v>
      </c>
      <c r="V264" s="276">
        <f t="shared" si="111"/>
        <v>2248476.9476322499</v>
      </c>
      <c r="W264" s="276">
        <f t="shared" si="109"/>
        <v>54338192.901112698</v>
      </c>
      <c r="X264" s="276">
        <f t="shared" si="109"/>
        <v>209.09524699864451</v>
      </c>
      <c r="Y264" s="217">
        <v>10.091784872813665</v>
      </c>
      <c r="Z264" s="83"/>
    </row>
    <row r="265" spans="2:26" x14ac:dyDescent="0.35">
      <c r="B265" s="211">
        <v>11</v>
      </c>
      <c r="C265" s="268">
        <v>2924.9459347610568</v>
      </c>
      <c r="D265" s="303">
        <v>23931.426954016784</v>
      </c>
      <c r="E265" s="269">
        <v>195374.17995999404</v>
      </c>
      <c r="F265" s="294">
        <v>1598519.4327345688</v>
      </c>
      <c r="G265" s="270">
        <v>6380164.7654883061</v>
      </c>
      <c r="H265" s="294">
        <v>52201459.598038077</v>
      </c>
      <c r="I265" s="271">
        <v>42.43635013197666</v>
      </c>
      <c r="J265" s="296">
        <v>347.20724281060694</v>
      </c>
      <c r="K265" s="272">
        <f t="shared" si="110"/>
        <v>2924.9459347610568</v>
      </c>
      <c r="L265" s="148">
        <f t="shared" si="106"/>
        <v>129459.07995999404</v>
      </c>
      <c r="M265" s="273">
        <f t="shared" si="107"/>
        <v>4761582.8654883057</v>
      </c>
      <c r="N265" s="91">
        <f t="shared" si="108"/>
        <v>36.60315013197669</v>
      </c>
      <c r="O265" s="212">
        <v>0</v>
      </c>
      <c r="P265" s="213">
        <v>65915.100000000006</v>
      </c>
      <c r="Q265" s="213">
        <v>1618581.9</v>
      </c>
      <c r="R265" s="275">
        <v>5.833199999999966</v>
      </c>
      <c r="S265" s="154">
        <v>199743.15397940477</v>
      </c>
      <c r="T265" s="215"/>
      <c r="U265" s="212">
        <v>0</v>
      </c>
      <c r="V265" s="276">
        <f t="shared" si="111"/>
        <v>539306.51574439288</v>
      </c>
      <c r="W265" s="276">
        <f t="shared" si="109"/>
        <v>13242971.108834537</v>
      </c>
      <c r="X265" s="276">
        <f t="shared" si="109"/>
        <v>47.726283774737112</v>
      </c>
      <c r="Y265" s="217">
        <v>10.091784872813665</v>
      </c>
      <c r="Z265" s="83"/>
    </row>
    <row r="266" spans="2:26" x14ac:dyDescent="0.35">
      <c r="B266" s="211">
        <v>12</v>
      </c>
      <c r="C266" s="268">
        <v>2889.2011389551367</v>
      </c>
      <c r="D266" s="303">
        <v>99403.699051676798</v>
      </c>
      <c r="E266" s="269">
        <v>179265.86035635674</v>
      </c>
      <c r="F266" s="294">
        <v>6167687.4596372321</v>
      </c>
      <c r="G266" s="270">
        <v>5937087.9879034441</v>
      </c>
      <c r="H266" s="294">
        <v>204267020.2623243</v>
      </c>
      <c r="I266" s="271">
        <v>39.936491099734354</v>
      </c>
      <c r="J266" s="296">
        <v>1374.0251202772372</v>
      </c>
      <c r="K266" s="272">
        <f t="shared" si="110"/>
        <v>2889.2011389551367</v>
      </c>
      <c r="L266" s="148">
        <f t="shared" si="106"/>
        <v>110909.46035635675</v>
      </c>
      <c r="M266" s="273">
        <f t="shared" si="107"/>
        <v>4311182.1879034443</v>
      </c>
      <c r="N266" s="91">
        <f t="shared" si="108"/>
        <v>34.238491099734354</v>
      </c>
      <c r="O266" s="212">
        <v>0</v>
      </c>
      <c r="P266" s="213">
        <v>68356.399999999994</v>
      </c>
      <c r="Q266" s="213">
        <v>1625905.7999999998</v>
      </c>
      <c r="R266" s="275">
        <v>5.6979999999999995</v>
      </c>
      <c r="S266" s="154">
        <v>839935.46597666212</v>
      </c>
      <c r="T266" s="215"/>
      <c r="U266" s="212">
        <v>0</v>
      </c>
      <c r="V266" s="276">
        <f t="shared" si="111"/>
        <v>2351819.3047346538</v>
      </c>
      <c r="W266" s="276">
        <f t="shared" si="109"/>
        <v>55939702.034045689</v>
      </c>
      <c r="X266" s="276">
        <f t="shared" si="109"/>
        <v>196.04113730942615</v>
      </c>
      <c r="Y266" s="217">
        <v>10.091784872813665</v>
      </c>
      <c r="Z266" s="83"/>
    </row>
    <row r="267" spans="2:26" x14ac:dyDescent="0.35">
      <c r="B267" s="211">
        <v>13</v>
      </c>
      <c r="C267" s="268">
        <v>2731.0189294834699</v>
      </c>
      <c r="D267" s="303">
        <v>48691.101926039431</v>
      </c>
      <c r="E267" s="269">
        <v>196067.25843419638</v>
      </c>
      <c r="F267" s="294">
        <v>3495666.3103701691</v>
      </c>
      <c r="G267" s="270">
        <v>6460377.0441911854</v>
      </c>
      <c r="H267" s="294">
        <v>115181507.43790454</v>
      </c>
      <c r="I267" s="271">
        <v>41.155770460890523</v>
      </c>
      <c r="J267" s="296">
        <v>733.76269667047461</v>
      </c>
      <c r="K267" s="272">
        <f t="shared" si="110"/>
        <v>2731.0189294834699</v>
      </c>
      <c r="L267" s="148">
        <f t="shared" si="106"/>
        <v>127710.85843419639</v>
      </c>
      <c r="M267" s="273">
        <f t="shared" si="107"/>
        <v>4753908.3441911852</v>
      </c>
      <c r="N267" s="91">
        <f t="shared" si="108"/>
        <v>35.285070460890523</v>
      </c>
      <c r="O267" s="212">
        <v>0</v>
      </c>
      <c r="P267" s="213">
        <v>68356.399999999994</v>
      </c>
      <c r="Q267" s="213">
        <v>1706468.7000000002</v>
      </c>
      <c r="R267" s="275">
        <v>5.8707000000000003</v>
      </c>
      <c r="S267" s="154">
        <v>435257.28016291128</v>
      </c>
      <c r="T267" s="215"/>
      <c r="U267" s="212">
        <v>0</v>
      </c>
      <c r="V267" s="276">
        <f t="shared" si="111"/>
        <v>1218720.3844561516</v>
      </c>
      <c r="W267" s="276">
        <f t="shared" si="109"/>
        <v>30424483.883387499</v>
      </c>
      <c r="X267" s="276">
        <f t="shared" si="109"/>
        <v>104.66820606449038</v>
      </c>
      <c r="Y267" s="217">
        <v>10.091784872813665</v>
      </c>
      <c r="Z267" s="83"/>
    </row>
    <row r="268" spans="2:26" x14ac:dyDescent="0.35">
      <c r="B268" s="211">
        <v>14</v>
      </c>
      <c r="C268" s="268">
        <v>2732.7455447908478</v>
      </c>
      <c r="D268" s="303">
        <v>17350.232646870558</v>
      </c>
      <c r="E268" s="269">
        <v>198170.75748786988</v>
      </c>
      <c r="F268" s="294">
        <v>1258188.4005904621</v>
      </c>
      <c r="G268" s="270">
        <v>6664619.5420392267</v>
      </c>
      <c r="H268" s="294">
        <v>42313745.521488175</v>
      </c>
      <c r="I268" s="271">
        <v>41.143409768800304</v>
      </c>
      <c r="J268" s="296">
        <v>261.21997810405242</v>
      </c>
      <c r="K268" s="272">
        <f t="shared" si="110"/>
        <v>2732.7455447908478</v>
      </c>
      <c r="L268" s="148">
        <f t="shared" si="106"/>
        <v>117607.85748786989</v>
      </c>
      <c r="M268" s="273">
        <f t="shared" si="107"/>
        <v>4775053.3420392266</v>
      </c>
      <c r="N268" s="91">
        <f t="shared" si="108"/>
        <v>33.924609768800302</v>
      </c>
      <c r="O268" s="212">
        <v>0</v>
      </c>
      <c r="P268" s="213">
        <v>80562.899999999994</v>
      </c>
      <c r="Q268" s="213">
        <v>1889566.2000000002</v>
      </c>
      <c r="R268" s="275">
        <v>7.2187999999999999</v>
      </c>
      <c r="S268" s="154">
        <v>154998.41557347382</v>
      </c>
      <c r="T268" s="215"/>
      <c r="U268" s="212">
        <v>0</v>
      </c>
      <c r="V268" s="276">
        <f t="shared" si="111"/>
        <v>511494.77139246359</v>
      </c>
      <c r="W268" s="276">
        <f t="shared" si="109"/>
        <v>11996877.365386873</v>
      </c>
      <c r="X268" s="276">
        <f t="shared" si="109"/>
        <v>45.83224357276012</v>
      </c>
      <c r="Y268" s="217">
        <v>10.091784872813665</v>
      </c>
      <c r="Z268" s="83"/>
    </row>
    <row r="269" spans="2:26" x14ac:dyDescent="0.35">
      <c r="B269" s="211">
        <v>15</v>
      </c>
      <c r="C269" s="268">
        <v>489.91287923687543</v>
      </c>
      <c r="D269" s="303">
        <v>2178.9787875192101</v>
      </c>
      <c r="E269" s="269">
        <v>250798.56488187503</v>
      </c>
      <c r="F269" s="294">
        <v>1115473.3340938312</v>
      </c>
      <c r="G269" s="270">
        <v>7523975.4807559103</v>
      </c>
      <c r="H269" s="294">
        <v>33464282.457565092</v>
      </c>
      <c r="I269" s="271">
        <v>34.881635239358452</v>
      </c>
      <c r="J269" s="296">
        <v>155.14257020337519</v>
      </c>
      <c r="K269" s="272">
        <f t="shared" si="110"/>
        <v>489.91287923687543</v>
      </c>
      <c r="L269" s="148">
        <f t="shared" si="106"/>
        <v>128733.56488187503</v>
      </c>
      <c r="M269" s="273">
        <f t="shared" si="107"/>
        <v>4506528.6807559105</v>
      </c>
      <c r="N269" s="91">
        <f t="shared" si="108"/>
        <v>23.068635239358454</v>
      </c>
      <c r="O269" s="212">
        <v>0</v>
      </c>
      <c r="P269" s="213">
        <v>122065</v>
      </c>
      <c r="Q269" s="213">
        <v>3017446.8</v>
      </c>
      <c r="R269" s="275">
        <v>11.812999999999999</v>
      </c>
      <c r="S269" s="154">
        <v>108581.36496139391</v>
      </c>
      <c r="T269" s="215"/>
      <c r="U269" s="212">
        <v>0</v>
      </c>
      <c r="V269" s="276">
        <f t="shared" si="111"/>
        <v>542906.8248069695</v>
      </c>
      <c r="W269" s="276">
        <f t="shared" si="109"/>
        <v>13420656.709228287</v>
      </c>
      <c r="X269" s="276">
        <f t="shared" si="109"/>
        <v>52.540517932615657</v>
      </c>
      <c r="Y269" s="217">
        <v>15.851348736329005</v>
      </c>
      <c r="Z269" s="83"/>
    </row>
    <row r="270" spans="2:26" x14ac:dyDescent="0.35">
      <c r="B270" s="211">
        <v>16</v>
      </c>
      <c r="C270" s="268">
        <v>6113.7270878231748</v>
      </c>
      <c r="D270" s="303">
        <v>14936.78620041156</v>
      </c>
      <c r="E270" s="269">
        <v>172434.36768298876</v>
      </c>
      <c r="F270" s="294">
        <v>421283.98057117412</v>
      </c>
      <c r="G270" s="270">
        <v>6214337.6321141468</v>
      </c>
      <c r="H270" s="294">
        <v>15182593.409008496</v>
      </c>
      <c r="I270" s="271">
        <v>57.87889485957033</v>
      </c>
      <c r="J270" s="296">
        <v>141.40714258498579</v>
      </c>
      <c r="K270" s="272">
        <f t="shared" si="110"/>
        <v>6113.7270878231748</v>
      </c>
      <c r="L270" s="148">
        <f t="shared" si="106"/>
        <v>116284.46768298876</v>
      </c>
      <c r="M270" s="273">
        <f t="shared" si="107"/>
        <v>4913124.7321141474</v>
      </c>
      <c r="N270" s="91">
        <f t="shared" si="108"/>
        <v>52.827394859570333</v>
      </c>
      <c r="O270" s="212">
        <v>0</v>
      </c>
      <c r="P270" s="213">
        <v>56149.899999999994</v>
      </c>
      <c r="Q270" s="213">
        <v>1301212.8999999999</v>
      </c>
      <c r="R270" s="275">
        <v>5.0514999999999999</v>
      </c>
      <c r="S270" s="154">
        <v>59644.756181042358</v>
      </c>
      <c r="T270" s="215"/>
      <c r="U270" s="212">
        <v>0</v>
      </c>
      <c r="V270" s="276">
        <f t="shared" si="111"/>
        <v>137182.93921639741</v>
      </c>
      <c r="W270" s="276">
        <f t="shared" si="109"/>
        <v>3179065.5044495575</v>
      </c>
      <c r="X270" s="276">
        <f t="shared" si="109"/>
        <v>12.341600206797011</v>
      </c>
      <c r="Y270" s="217">
        <v>8.1728790480481717</v>
      </c>
      <c r="Z270" s="83"/>
    </row>
    <row r="271" spans="2:26" ht="15" thickBot="1" x14ac:dyDescent="0.4">
      <c r="B271" s="218" t="s">
        <v>12</v>
      </c>
      <c r="C271" s="219"/>
      <c r="D271" s="304">
        <v>458032.71053565852</v>
      </c>
      <c r="E271" s="277"/>
      <c r="F271" s="278">
        <v>43930679.720106952</v>
      </c>
      <c r="G271" s="278"/>
      <c r="H271" s="278">
        <v>1367640889.1793199</v>
      </c>
      <c r="I271" s="99"/>
      <c r="J271" s="297">
        <v>8288.8679332422125</v>
      </c>
      <c r="K271" s="279">
        <f>SUM(K255:K270)</f>
        <v>37726.053780356517</v>
      </c>
      <c r="L271" s="277">
        <f t="shared" ref="L271:N271" si="112">SUM(L255:L270)</f>
        <v>1756260.1959471386</v>
      </c>
      <c r="M271" s="278">
        <f t="shared" si="112"/>
        <v>64341863.593268052</v>
      </c>
      <c r="N271" s="99">
        <f t="shared" si="112"/>
        <v>485.27046763009906</v>
      </c>
      <c r="O271" s="219"/>
      <c r="P271" s="220"/>
      <c r="Q271" s="221"/>
      <c r="R271" s="222"/>
      <c r="S271" s="280">
        <f>SUM(S255:S270)</f>
        <v>6003743.4750000006</v>
      </c>
      <c r="T271" s="224"/>
      <c r="U271" s="225">
        <f>SUM(U255:U270)</f>
        <v>0</v>
      </c>
      <c r="V271" s="226">
        <f>SUM(V255:V270)</f>
        <v>16964847.804825149</v>
      </c>
      <c r="W271" s="226">
        <f>SUM(W255:W270)</f>
        <v>412067394.28442556</v>
      </c>
      <c r="X271" s="227">
        <f>SUM(X255:X270)</f>
        <v>1542.2815972073518</v>
      </c>
      <c r="Y271" s="229">
        <f>SUMPRODUCT(Y255:Y270,S255:S270)/SUM(S255:S270)</f>
        <v>9.9173821314133832</v>
      </c>
      <c r="Z271" s="83"/>
    </row>
    <row r="272" spans="2:26" x14ac:dyDescent="0.35">
      <c r="B272" s="83"/>
      <c r="C272" s="83"/>
      <c r="D272" s="83"/>
      <c r="E272" s="83"/>
      <c r="F272" s="83"/>
      <c r="G272" s="83"/>
      <c r="H272" s="83"/>
      <c r="I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2:26" x14ac:dyDescent="0.35">
      <c r="B273" s="83"/>
      <c r="C273" s="83"/>
      <c r="D273" s="83"/>
      <c r="E273" s="83"/>
      <c r="F273" s="83"/>
      <c r="G273" s="83"/>
      <c r="H273" s="83"/>
      <c r="I273" s="83"/>
      <c r="K273" s="83"/>
      <c r="L273" s="83"/>
      <c r="M273" s="83"/>
      <c r="N273" s="83"/>
      <c r="O273" s="83"/>
      <c r="P273" s="83"/>
      <c r="Q273" s="83" t="s">
        <v>129</v>
      </c>
      <c r="R273" s="83">
        <v>52045</v>
      </c>
      <c r="S273" s="83"/>
      <c r="T273" s="83"/>
      <c r="U273" s="83"/>
      <c r="V273" s="83"/>
      <c r="W273" s="83"/>
      <c r="X273" s="83"/>
      <c r="Y273" s="83"/>
      <c r="Z273" s="83"/>
    </row>
    <row r="274" spans="2:26" ht="15" thickBot="1" x14ac:dyDescent="0.4">
      <c r="B274" s="83"/>
      <c r="C274" s="83"/>
      <c r="D274" s="83"/>
      <c r="E274" s="83"/>
      <c r="F274" s="83"/>
      <c r="G274" s="83"/>
      <c r="H274" s="83"/>
      <c r="I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2:26" x14ac:dyDescent="0.35">
      <c r="B275" s="203"/>
      <c r="C275" s="1197">
        <f>C253</f>
        <v>0</v>
      </c>
      <c r="D275" s="1198"/>
      <c r="E275" s="1199"/>
      <c r="F275" s="1200"/>
      <c r="G275" s="1200"/>
      <c r="H275" s="1200"/>
      <c r="I275" s="1201"/>
      <c r="J275" s="263"/>
      <c r="K275" s="1202">
        <f>K253</f>
        <v>0</v>
      </c>
      <c r="L275" s="1203"/>
      <c r="M275" s="1204"/>
      <c r="N275" s="1205"/>
      <c r="O275" s="1197" t="s">
        <v>163</v>
      </c>
      <c r="P275" s="1199"/>
      <c r="Q275" s="1200"/>
      <c r="R275" s="1201"/>
      <c r="S275" s="1206" t="s">
        <v>164</v>
      </c>
      <c r="T275" s="1207"/>
      <c r="U275" s="1197" t="s">
        <v>165</v>
      </c>
      <c r="V275" s="1199"/>
      <c r="W275" s="1199"/>
      <c r="X275" s="1199"/>
      <c r="Y275" s="267"/>
      <c r="Z275" s="83"/>
    </row>
    <row r="276" spans="2:26" ht="43.5" x14ac:dyDescent="0.35">
      <c r="B276" s="204" t="s">
        <v>5</v>
      </c>
      <c r="C276" s="205" t="s">
        <v>6</v>
      </c>
      <c r="D276" s="293" t="s">
        <v>166</v>
      </c>
      <c r="E276" s="206" t="s">
        <v>7</v>
      </c>
      <c r="F276" s="207" t="s">
        <v>167</v>
      </c>
      <c r="G276" s="207" t="s">
        <v>8</v>
      </c>
      <c r="H276" s="207" t="s">
        <v>168</v>
      </c>
      <c r="I276" s="208" t="s">
        <v>9</v>
      </c>
      <c r="J276" s="208" t="s">
        <v>169</v>
      </c>
      <c r="K276" s="258" t="s">
        <v>6</v>
      </c>
      <c r="L276" s="259" t="s">
        <v>7</v>
      </c>
      <c r="M276" s="209" t="s">
        <v>8</v>
      </c>
      <c r="N276" s="260" t="s">
        <v>9</v>
      </c>
      <c r="O276" s="205" t="s">
        <v>6</v>
      </c>
      <c r="P276" s="206" t="s">
        <v>7</v>
      </c>
      <c r="Q276" s="206" t="s">
        <v>170</v>
      </c>
      <c r="R276" s="208" t="s">
        <v>9</v>
      </c>
      <c r="S276" s="258" t="s">
        <v>171</v>
      </c>
      <c r="T276" s="209" t="s">
        <v>11</v>
      </c>
      <c r="U276" s="205" t="s">
        <v>6</v>
      </c>
      <c r="V276" s="206" t="s">
        <v>7</v>
      </c>
      <c r="W276" s="206" t="s">
        <v>170</v>
      </c>
      <c r="X276" s="206" t="s">
        <v>9</v>
      </c>
      <c r="Y276" s="208" t="s">
        <v>172</v>
      </c>
      <c r="Z276" s="83"/>
    </row>
    <row r="277" spans="2:26" x14ac:dyDescent="0.35">
      <c r="B277" s="211">
        <v>1</v>
      </c>
      <c r="C277" s="268">
        <v>11747.176297624388</v>
      </c>
      <c r="D277" s="303">
        <v>17438.466156427643</v>
      </c>
      <c r="E277" s="269">
        <v>69451.202171904501</v>
      </c>
      <c r="F277" s="294">
        <v>103099.02634583718</v>
      </c>
      <c r="G277" s="270">
        <v>4669773.7547821375</v>
      </c>
      <c r="H277" s="294">
        <v>6932192.85364863</v>
      </c>
      <c r="I277" s="271">
        <v>73.53429032851777</v>
      </c>
      <c r="J277" s="296">
        <v>109.16029526943461</v>
      </c>
      <c r="K277" s="272">
        <f>C277-O277</f>
        <v>11747.176297624388</v>
      </c>
      <c r="L277" s="148">
        <f t="shared" ref="L277:L292" si="113">E277-P277</f>
        <v>43428.702171904501</v>
      </c>
      <c r="M277" s="273">
        <f t="shared" ref="M277:M292" si="114">G277-Q277</f>
        <v>4243004.7547821375</v>
      </c>
      <c r="N277" s="91">
        <f t="shared" ref="N277:N292" si="115">I277-R277</f>
        <v>71.931490328517768</v>
      </c>
      <c r="O277" s="212">
        <v>0</v>
      </c>
      <c r="P277" s="213">
        <v>26022.5</v>
      </c>
      <c r="Q277" s="213">
        <v>426768.99999999994</v>
      </c>
      <c r="R277" s="275">
        <v>1.6028</v>
      </c>
      <c r="S277" s="154">
        <v>77259.84084318341</v>
      </c>
      <c r="T277" s="215"/>
      <c r="U277" s="212">
        <v>0</v>
      </c>
      <c r="V277" s="276">
        <f>$S277*P277/$R$273</f>
        <v>38629.920421591705</v>
      </c>
      <c r="W277" s="276">
        <f t="shared" ref="W277:X292" si="116">$S277*Q277/$R$273</f>
        <v>633530.69491410383</v>
      </c>
      <c r="X277" s="276">
        <f t="shared" si="116"/>
        <v>2.3793269844068474</v>
      </c>
      <c r="Y277" s="217">
        <v>1.6035751716783553</v>
      </c>
      <c r="Z277" s="83"/>
    </row>
    <row r="278" spans="2:26" x14ac:dyDescent="0.35">
      <c r="B278" s="211">
        <v>2</v>
      </c>
      <c r="C278" s="268">
        <v>6908.33569906496</v>
      </c>
      <c r="D278" s="303">
        <v>60946.451325813898</v>
      </c>
      <c r="E278" s="269">
        <v>69482.166322994904</v>
      </c>
      <c r="F278" s="294">
        <v>612982.87348567578</v>
      </c>
      <c r="G278" s="270">
        <v>3612200.3743029456</v>
      </c>
      <c r="H278" s="294">
        <v>31867414.075048279</v>
      </c>
      <c r="I278" s="271">
        <v>46.228402605434191</v>
      </c>
      <c r="J278" s="296">
        <v>407.83442090742125</v>
      </c>
      <c r="K278" s="272">
        <f t="shared" ref="K278:K292" si="117">C278-O278</f>
        <v>6908.33569906496</v>
      </c>
      <c r="L278" s="148">
        <f t="shared" si="113"/>
        <v>33050.666322994904</v>
      </c>
      <c r="M278" s="273">
        <f t="shared" si="114"/>
        <v>2992864.8743029456</v>
      </c>
      <c r="N278" s="91">
        <f t="shared" si="115"/>
        <v>44.259302605434193</v>
      </c>
      <c r="O278" s="212">
        <v>0</v>
      </c>
      <c r="P278" s="213">
        <v>36431.5</v>
      </c>
      <c r="Q278" s="213">
        <v>619335.5</v>
      </c>
      <c r="R278" s="275">
        <v>1.9691000000000001</v>
      </c>
      <c r="S278" s="154">
        <v>459149.38089666184</v>
      </c>
      <c r="T278" s="215"/>
      <c r="U278" s="212">
        <v>0</v>
      </c>
      <c r="V278" s="276">
        <f t="shared" ref="V278:V292" si="118">$S278*P278/$R$273</f>
        <v>321404.56662766327</v>
      </c>
      <c r="W278" s="276">
        <f t="shared" si="116"/>
        <v>5463877.6326702759</v>
      </c>
      <c r="X278" s="276">
        <f t="shared" si="116"/>
        <v>17.371717665935574</v>
      </c>
      <c r="Y278" s="217">
        <v>1.8089610871361324</v>
      </c>
      <c r="Z278" s="83"/>
    </row>
    <row r="279" spans="2:26" x14ac:dyDescent="0.35">
      <c r="B279" s="211">
        <v>3</v>
      </c>
      <c r="C279" s="268">
        <v>6725.4701286705586</v>
      </c>
      <c r="D279" s="303">
        <v>307793.1962463216</v>
      </c>
      <c r="E279" s="269">
        <v>68482.33625810816</v>
      </c>
      <c r="F279" s="294">
        <v>3134115.052186708</v>
      </c>
      <c r="G279" s="270">
        <v>3457467.9878235408</v>
      </c>
      <c r="H279" s="294">
        <v>158232079.32408229</v>
      </c>
      <c r="I279" s="271">
        <v>45.138556636074661</v>
      </c>
      <c r="J279" s="296">
        <v>2065.7798421757861</v>
      </c>
      <c r="K279" s="272">
        <f t="shared" si="117"/>
        <v>6725.4701286705586</v>
      </c>
      <c r="L279" s="148">
        <f t="shared" si="113"/>
        <v>37255.33625810816</v>
      </c>
      <c r="M279" s="273">
        <f t="shared" si="114"/>
        <v>2916199.9878235408</v>
      </c>
      <c r="N279" s="91">
        <f t="shared" si="115"/>
        <v>43.25305663607466</v>
      </c>
      <c r="O279" s="212">
        <v>0</v>
      </c>
      <c r="P279" s="213">
        <v>31227</v>
      </c>
      <c r="Q279" s="213">
        <v>541268</v>
      </c>
      <c r="R279" s="275">
        <v>1.8855</v>
      </c>
      <c r="S279" s="154">
        <v>2381855.3338525267</v>
      </c>
      <c r="T279" s="215"/>
      <c r="U279" s="212">
        <v>0</v>
      </c>
      <c r="V279" s="276">
        <f t="shared" si="118"/>
        <v>1429113.2003115159</v>
      </c>
      <c r="W279" s="276">
        <f t="shared" si="116"/>
        <v>24771295.47206628</v>
      </c>
      <c r="X279" s="276">
        <f t="shared" si="116"/>
        <v>86.290483850109311</v>
      </c>
      <c r="Y279" s="217">
        <v>1.6035751716783553</v>
      </c>
      <c r="Z279" s="83"/>
    </row>
    <row r="280" spans="2:26" x14ac:dyDescent="0.35">
      <c r="B280" s="211">
        <v>4</v>
      </c>
      <c r="C280" s="268">
        <v>5474.2858730115877</v>
      </c>
      <c r="D280" s="303">
        <v>128690.79673402826</v>
      </c>
      <c r="E280" s="269">
        <v>69455.311211201173</v>
      </c>
      <c r="F280" s="294">
        <v>1632771.752247226</v>
      </c>
      <c r="G280" s="270">
        <v>3228896.7434312734</v>
      </c>
      <c r="H280" s="294">
        <v>75905662.24037607</v>
      </c>
      <c r="I280" s="271">
        <v>38.163722822906024</v>
      </c>
      <c r="J280" s="296">
        <v>897.16175047221509</v>
      </c>
      <c r="K280" s="272">
        <f t="shared" si="117"/>
        <v>5474.2858730115877</v>
      </c>
      <c r="L280" s="148">
        <f t="shared" si="113"/>
        <v>33023.811211201173</v>
      </c>
      <c r="M280" s="273">
        <f t="shared" si="114"/>
        <v>2567925.2434312734</v>
      </c>
      <c r="N280" s="91">
        <f t="shared" si="115"/>
        <v>36.088322822906022</v>
      </c>
      <c r="O280" s="212">
        <v>0</v>
      </c>
      <c r="P280" s="213">
        <v>36431.5</v>
      </c>
      <c r="Q280" s="213">
        <v>660971.5</v>
      </c>
      <c r="R280" s="275">
        <v>2.0754000000000001</v>
      </c>
      <c r="S280" s="154">
        <v>1223486.071314333</v>
      </c>
      <c r="T280" s="215"/>
      <c r="U280" s="212">
        <v>0</v>
      </c>
      <c r="V280" s="276">
        <f t="shared" si="118"/>
        <v>856440.24992003303</v>
      </c>
      <c r="W280" s="276">
        <f t="shared" si="116"/>
        <v>15538273.105692031</v>
      </c>
      <c r="X280" s="276">
        <f t="shared" si="116"/>
        <v>48.788990150941821</v>
      </c>
      <c r="Y280" s="217">
        <v>1.8089610871361324</v>
      </c>
      <c r="Z280" s="83"/>
    </row>
    <row r="281" spans="2:26" x14ac:dyDescent="0.35">
      <c r="B281" s="211">
        <v>5</v>
      </c>
      <c r="C281" s="268">
        <v>6056.4433807743098</v>
      </c>
      <c r="D281" s="303">
        <v>26448.638362261725</v>
      </c>
      <c r="E281" s="269">
        <v>68431.682819642519</v>
      </c>
      <c r="F281" s="294">
        <v>298842.85505965166</v>
      </c>
      <c r="G281" s="270">
        <v>3207815.5305765173</v>
      </c>
      <c r="H281" s="294">
        <v>14008609.932751989</v>
      </c>
      <c r="I281" s="271">
        <v>41.359650145161481</v>
      </c>
      <c r="J281" s="296">
        <v>180.61861734752765</v>
      </c>
      <c r="K281" s="272">
        <f t="shared" si="117"/>
        <v>6056.4433807743098</v>
      </c>
      <c r="L281" s="148">
        <f t="shared" si="113"/>
        <v>32000.182819642519</v>
      </c>
      <c r="M281" s="273">
        <f t="shared" si="114"/>
        <v>2645729.5305765173</v>
      </c>
      <c r="N281" s="91">
        <f t="shared" si="115"/>
        <v>39.210350145161485</v>
      </c>
      <c r="O281" s="212">
        <v>0</v>
      </c>
      <c r="P281" s="213">
        <v>36431.5</v>
      </c>
      <c r="Q281" s="213">
        <v>562086</v>
      </c>
      <c r="R281" s="275">
        <v>2.1492999999999998</v>
      </c>
      <c r="S281" s="154">
        <v>227281.80501671345</v>
      </c>
      <c r="T281" s="215"/>
      <c r="U281" s="212">
        <v>0</v>
      </c>
      <c r="V281" s="276">
        <f t="shared" si="118"/>
        <v>159097.26351169942</v>
      </c>
      <c r="W281" s="276">
        <f t="shared" si="116"/>
        <v>2454643.4941805052</v>
      </c>
      <c r="X281" s="276">
        <f t="shared" si="116"/>
        <v>9.3860463737615945</v>
      </c>
      <c r="Y281" s="217">
        <v>1.6035751716783553</v>
      </c>
      <c r="Z281" s="83"/>
    </row>
    <row r="282" spans="2:26" x14ac:dyDescent="0.35">
      <c r="B282" s="211">
        <v>6</v>
      </c>
      <c r="C282" s="268">
        <v>3202.2663444298491</v>
      </c>
      <c r="D282" s="303">
        <v>115674.00196724666</v>
      </c>
      <c r="E282" s="269">
        <v>69178.332009057631</v>
      </c>
      <c r="F282" s="294">
        <v>2498897.2347118501</v>
      </c>
      <c r="G282" s="270">
        <v>2631948.087610676</v>
      </c>
      <c r="H282" s="294">
        <v>95072656.524507225</v>
      </c>
      <c r="I282" s="271">
        <v>25.342996805276986</v>
      </c>
      <c r="J282" s="296">
        <v>915.4534779434415</v>
      </c>
      <c r="K282" s="272">
        <f t="shared" si="117"/>
        <v>3202.2663444298491</v>
      </c>
      <c r="L282" s="148">
        <f t="shared" si="113"/>
        <v>27542.332009057631</v>
      </c>
      <c r="M282" s="273">
        <f t="shared" si="114"/>
        <v>1934545.087610676</v>
      </c>
      <c r="N282" s="91">
        <f t="shared" si="115"/>
        <v>22.868496805276987</v>
      </c>
      <c r="O282" s="212">
        <v>0</v>
      </c>
      <c r="P282" s="213">
        <v>41636</v>
      </c>
      <c r="Q282" s="213">
        <v>697403</v>
      </c>
      <c r="R282" s="275">
        <v>2.4744999999999999</v>
      </c>
      <c r="S282" s="154">
        <v>1879997.7218813242</v>
      </c>
      <c r="T282" s="215"/>
      <c r="U282" s="212">
        <v>0</v>
      </c>
      <c r="V282" s="276">
        <f t="shared" si="118"/>
        <v>1503998.1775050592</v>
      </c>
      <c r="W282" s="276">
        <f t="shared" si="116"/>
        <v>25191969.473209746</v>
      </c>
      <c r="X282" s="276">
        <f t="shared" si="116"/>
        <v>89.385231295904234</v>
      </c>
      <c r="Y282" s="217">
        <v>1.8089610871361324</v>
      </c>
      <c r="Z282" s="83"/>
    </row>
    <row r="283" spans="2:26" x14ac:dyDescent="0.35">
      <c r="B283" s="211">
        <v>7</v>
      </c>
      <c r="C283" s="268">
        <v>2654.3351772301326</v>
      </c>
      <c r="D283" s="303">
        <v>56520.20811913647</v>
      </c>
      <c r="E283" s="269">
        <v>68636.549844065899</v>
      </c>
      <c r="F283" s="294">
        <v>1461515.5294043508</v>
      </c>
      <c r="G283" s="270">
        <v>2358467.8471241575</v>
      </c>
      <c r="H283" s="294">
        <v>50220143.524169497</v>
      </c>
      <c r="I283" s="271">
        <v>22.223357439076992</v>
      </c>
      <c r="J283" s="296">
        <v>473.21408326183263</v>
      </c>
      <c r="K283" s="272">
        <f t="shared" si="117"/>
        <v>2654.3351772301326</v>
      </c>
      <c r="L283" s="148">
        <f t="shared" si="113"/>
        <v>32205.049844065899</v>
      </c>
      <c r="M283" s="273">
        <f t="shared" si="114"/>
        <v>1687087.3471241575</v>
      </c>
      <c r="N283" s="91">
        <f t="shared" si="115"/>
        <v>19.76225743907699</v>
      </c>
      <c r="O283" s="212">
        <v>0</v>
      </c>
      <c r="P283" s="213">
        <v>36431.5</v>
      </c>
      <c r="Q283" s="213">
        <v>671380.5</v>
      </c>
      <c r="R283" s="275">
        <v>2.4611000000000001</v>
      </c>
      <c r="S283" s="154">
        <v>1108222.6000674441</v>
      </c>
      <c r="T283" s="215"/>
      <c r="U283" s="212">
        <v>0</v>
      </c>
      <c r="V283" s="276">
        <f t="shared" si="118"/>
        <v>775755.8200472109</v>
      </c>
      <c r="W283" s="276">
        <f t="shared" si="116"/>
        <v>14296071.540870029</v>
      </c>
      <c r="X283" s="276">
        <f t="shared" si="116"/>
        <v>52.405545989547257</v>
      </c>
      <c r="Y283" s="217">
        <v>1.8089610871361324</v>
      </c>
      <c r="Z283" s="83"/>
    </row>
    <row r="284" spans="2:26" x14ac:dyDescent="0.35">
      <c r="B284" s="211">
        <v>8</v>
      </c>
      <c r="C284" s="268">
        <v>3118.4032233402045</v>
      </c>
      <c r="D284" s="303">
        <v>161898.043375607</v>
      </c>
      <c r="E284" s="269">
        <v>69733.098376831767</v>
      </c>
      <c r="F284" s="294">
        <v>3620331.104466706</v>
      </c>
      <c r="G284" s="270">
        <v>2713763.3657967243</v>
      </c>
      <c r="H284" s="294">
        <v>140890368.44833964</v>
      </c>
      <c r="I284" s="271">
        <v>24.917333066115226</v>
      </c>
      <c r="J284" s="296">
        <v>1293.6324075567663</v>
      </c>
      <c r="K284" s="272">
        <f t="shared" si="117"/>
        <v>3118.4032233402045</v>
      </c>
      <c r="L284" s="148">
        <f t="shared" si="113"/>
        <v>33301.598376831767</v>
      </c>
      <c r="M284" s="273">
        <f t="shared" si="114"/>
        <v>1964315.3657967243</v>
      </c>
      <c r="N284" s="91">
        <f t="shared" si="115"/>
        <v>22.50093306611523</v>
      </c>
      <c r="O284" s="212">
        <v>0</v>
      </c>
      <c r="P284" s="213">
        <v>36431.5</v>
      </c>
      <c r="Q284" s="213">
        <v>749448</v>
      </c>
      <c r="R284" s="275">
        <v>2.4163999999999968</v>
      </c>
      <c r="S284" s="154">
        <v>2702018.6499352613</v>
      </c>
      <c r="T284" s="215"/>
      <c r="U284" s="212">
        <v>0</v>
      </c>
      <c r="V284" s="276">
        <f t="shared" si="118"/>
        <v>1891413.0549546829</v>
      </c>
      <c r="W284" s="276">
        <f t="shared" si="116"/>
        <v>38909068.559067763</v>
      </c>
      <c r="X284" s="276">
        <f t="shared" si="116"/>
        <v>125.45216381407545</v>
      </c>
      <c r="Y284" s="217">
        <v>1.8089610871361324</v>
      </c>
      <c r="Z284" s="83"/>
    </row>
    <row r="285" spans="2:26" x14ac:dyDescent="0.35">
      <c r="B285" s="211">
        <v>9</v>
      </c>
      <c r="C285" s="268">
        <v>3559.8478322404449</v>
      </c>
      <c r="D285" s="303">
        <v>295624.80063559639</v>
      </c>
      <c r="E285" s="269">
        <v>70422.264949961027</v>
      </c>
      <c r="F285" s="294">
        <v>5848162.3421068788</v>
      </c>
      <c r="G285" s="270">
        <v>2886564.4563156688</v>
      </c>
      <c r="H285" s="294">
        <v>239712505.17836195</v>
      </c>
      <c r="I285" s="271">
        <v>27.434419139234954</v>
      </c>
      <c r="J285" s="296">
        <v>2278.2700471456346</v>
      </c>
      <c r="K285" s="272">
        <f t="shared" si="117"/>
        <v>3559.8478322404449</v>
      </c>
      <c r="L285" s="148">
        <f t="shared" si="113"/>
        <v>28786.264949961027</v>
      </c>
      <c r="M285" s="273">
        <f t="shared" si="114"/>
        <v>2131911.9563156688</v>
      </c>
      <c r="N285" s="91">
        <f t="shared" si="115"/>
        <v>24.959319139234953</v>
      </c>
      <c r="O285" s="212">
        <v>0</v>
      </c>
      <c r="P285" s="213">
        <v>41636</v>
      </c>
      <c r="Q285" s="213">
        <v>754652.5</v>
      </c>
      <c r="R285" s="275">
        <v>2.4750999999999999</v>
      </c>
      <c r="S285" s="154">
        <v>4322036.6358739352</v>
      </c>
      <c r="T285" s="215"/>
      <c r="U285" s="212">
        <v>0</v>
      </c>
      <c r="V285" s="276">
        <f t="shared" si="118"/>
        <v>3457629.3086991482</v>
      </c>
      <c r="W285" s="276">
        <f t="shared" si="116"/>
        <v>62669531.220172063</v>
      </c>
      <c r="X285" s="276">
        <f t="shared" si="116"/>
        <v>205.54275871748632</v>
      </c>
      <c r="Y285" s="217">
        <v>1.8089610871361324</v>
      </c>
      <c r="Z285" s="83"/>
    </row>
    <row r="286" spans="2:26" x14ac:dyDescent="0.35">
      <c r="B286" s="211">
        <v>10</v>
      </c>
      <c r="C286" s="268">
        <v>3644.2574876078397</v>
      </c>
      <c r="D286" s="303">
        <v>240956.87689433366</v>
      </c>
      <c r="E286" s="269">
        <v>70819.491642033405</v>
      </c>
      <c r="F286" s="294">
        <v>4682557.0331777409</v>
      </c>
      <c r="G286" s="270">
        <v>2842633.7208484672</v>
      </c>
      <c r="H286" s="294">
        <v>187953827.5929513</v>
      </c>
      <c r="I286" s="271">
        <v>27.940003162835264</v>
      </c>
      <c r="J286" s="296">
        <v>1847.3820594257252</v>
      </c>
      <c r="K286" s="272">
        <f t="shared" si="117"/>
        <v>3644.2574876078397</v>
      </c>
      <c r="L286" s="148">
        <f t="shared" si="113"/>
        <v>29183.491642033405</v>
      </c>
      <c r="M286" s="273">
        <f t="shared" si="114"/>
        <v>2067163.2208484672</v>
      </c>
      <c r="N286" s="91">
        <f t="shared" si="115"/>
        <v>25.440503162835263</v>
      </c>
      <c r="O286" s="212">
        <v>0</v>
      </c>
      <c r="P286" s="213">
        <v>41636</v>
      </c>
      <c r="Q286" s="213">
        <v>775470.5</v>
      </c>
      <c r="R286" s="275">
        <v>2.4994999999999998</v>
      </c>
      <c r="S286" s="154">
        <v>3441195.0035389746</v>
      </c>
      <c r="T286" s="215"/>
      <c r="U286" s="212">
        <v>0</v>
      </c>
      <c r="V286" s="276">
        <f t="shared" si="118"/>
        <v>2752956.0028311796</v>
      </c>
      <c r="W286" s="276">
        <f t="shared" si="116"/>
        <v>51273805.552730724</v>
      </c>
      <c r="X286" s="276">
        <f t="shared" si="116"/>
        <v>165.2659604447241</v>
      </c>
      <c r="Y286" s="217">
        <v>1.8089610871361324</v>
      </c>
      <c r="Z286" s="83"/>
    </row>
    <row r="287" spans="2:26" x14ac:dyDescent="0.35">
      <c r="B287" s="211">
        <v>11</v>
      </c>
      <c r="C287" s="268">
        <v>7064.0999702819381</v>
      </c>
      <c r="D287" s="303">
        <v>86436.628939520859</v>
      </c>
      <c r="E287" s="269">
        <v>73656.540064287852</v>
      </c>
      <c r="F287" s="294">
        <v>901264.57004991954</v>
      </c>
      <c r="G287" s="270">
        <v>3740889.694428904</v>
      </c>
      <c r="H287" s="294">
        <v>45773686.07201682</v>
      </c>
      <c r="I287" s="271">
        <v>47.664290201267292</v>
      </c>
      <c r="J287" s="296">
        <v>583.22229061378187</v>
      </c>
      <c r="K287" s="272">
        <f t="shared" si="117"/>
        <v>7064.0999702819381</v>
      </c>
      <c r="L287" s="148">
        <f t="shared" si="113"/>
        <v>37225.040064287852</v>
      </c>
      <c r="M287" s="273">
        <f t="shared" si="114"/>
        <v>3121554.194428904</v>
      </c>
      <c r="N287" s="91">
        <f t="shared" si="115"/>
        <v>45.638190201267292</v>
      </c>
      <c r="O287" s="212">
        <v>0</v>
      </c>
      <c r="P287" s="213">
        <v>36431.5</v>
      </c>
      <c r="Q287" s="213">
        <v>619335.5</v>
      </c>
      <c r="R287" s="275">
        <v>2.0261</v>
      </c>
      <c r="S287" s="154">
        <v>636824.84280836384</v>
      </c>
      <c r="T287" s="215"/>
      <c r="U287" s="212">
        <v>0</v>
      </c>
      <c r="V287" s="276">
        <f t="shared" si="118"/>
        <v>445777.3899658547</v>
      </c>
      <c r="W287" s="276">
        <f t="shared" si="116"/>
        <v>7578215.6294195289</v>
      </c>
      <c r="X287" s="276">
        <f t="shared" si="116"/>
        <v>24.791446133423499</v>
      </c>
      <c r="Y287" s="217">
        <v>1.8089610871361324</v>
      </c>
      <c r="Z287" s="83"/>
    </row>
    <row r="288" spans="2:26" x14ac:dyDescent="0.35">
      <c r="B288" s="211">
        <v>12</v>
      </c>
      <c r="C288" s="268">
        <v>6757.8776634518426</v>
      </c>
      <c r="D288" s="303">
        <v>413781.64520432771</v>
      </c>
      <c r="E288" s="269">
        <v>70593.89903238925</v>
      </c>
      <c r="F288" s="294">
        <v>4322430.9668976562</v>
      </c>
      <c r="G288" s="270">
        <v>3569889.82843439</v>
      </c>
      <c r="H288" s="294">
        <v>218582661.59456697</v>
      </c>
      <c r="I288" s="271">
        <v>45.516432613467785</v>
      </c>
      <c r="J288" s="296">
        <v>2786.9495881067055</v>
      </c>
      <c r="K288" s="272">
        <f t="shared" si="117"/>
        <v>6757.8776634518426</v>
      </c>
      <c r="L288" s="148">
        <f t="shared" si="113"/>
        <v>34162.39903238925</v>
      </c>
      <c r="M288" s="273">
        <f t="shared" si="114"/>
        <v>2940145.32843439</v>
      </c>
      <c r="N288" s="91">
        <f t="shared" si="115"/>
        <v>43.520932613467785</v>
      </c>
      <c r="O288" s="212">
        <v>0</v>
      </c>
      <c r="P288" s="213">
        <v>36431.5</v>
      </c>
      <c r="Q288" s="213">
        <v>629744.5</v>
      </c>
      <c r="R288" s="275">
        <v>1.9955000000000001</v>
      </c>
      <c r="S288" s="154">
        <v>3186690.6737786788</v>
      </c>
      <c r="T288" s="215"/>
      <c r="U288" s="212">
        <v>0</v>
      </c>
      <c r="V288" s="276">
        <f t="shared" si="118"/>
        <v>2230683.4716450749</v>
      </c>
      <c r="W288" s="276">
        <f t="shared" si="116"/>
        <v>38558957.152722016</v>
      </c>
      <c r="X288" s="276">
        <f t="shared" si="116"/>
        <v>122.1835188687742</v>
      </c>
      <c r="Y288" s="217">
        <v>1.8089610871361324</v>
      </c>
      <c r="Z288" s="83"/>
    </row>
    <row r="289" spans="2:26" x14ac:dyDescent="0.35">
      <c r="B289" s="211">
        <v>13</v>
      </c>
      <c r="C289" s="268">
        <v>6113.6308499529605</v>
      </c>
      <c r="D289" s="303">
        <v>127698.82268947587</v>
      </c>
      <c r="E289" s="269">
        <v>73330.602088674495</v>
      </c>
      <c r="F289" s="294">
        <v>1531697.248927976</v>
      </c>
      <c r="G289" s="270">
        <v>3493424.3376369476</v>
      </c>
      <c r="H289" s="294">
        <v>72969105.596951887</v>
      </c>
      <c r="I289" s="271">
        <v>42.199835121990219</v>
      </c>
      <c r="J289" s="296">
        <v>881.45152938202148</v>
      </c>
      <c r="K289" s="272">
        <f t="shared" si="117"/>
        <v>6113.6308499529605</v>
      </c>
      <c r="L289" s="148">
        <f t="shared" si="113"/>
        <v>36899.102088674495</v>
      </c>
      <c r="M289" s="273">
        <f t="shared" si="114"/>
        <v>2853270.8376369476</v>
      </c>
      <c r="N289" s="91">
        <f t="shared" si="115"/>
        <v>40.139635121990217</v>
      </c>
      <c r="O289" s="212">
        <v>0</v>
      </c>
      <c r="P289" s="213">
        <v>36431.5</v>
      </c>
      <c r="Q289" s="213">
        <v>640153.5</v>
      </c>
      <c r="R289" s="275">
        <v>2.0602</v>
      </c>
      <c r="S289" s="154">
        <v>1087092.9877823598</v>
      </c>
      <c r="T289" s="215"/>
      <c r="U289" s="212">
        <v>0</v>
      </c>
      <c r="V289" s="276">
        <f t="shared" si="118"/>
        <v>760965.09144765185</v>
      </c>
      <c r="W289" s="276">
        <f t="shared" si="116"/>
        <v>13371243.749723025</v>
      </c>
      <c r="X289" s="276">
        <f t="shared" si="116"/>
        <v>43.03254824534956</v>
      </c>
      <c r="Y289" s="217">
        <v>1.8089610871361324</v>
      </c>
      <c r="Z289" s="83"/>
    </row>
    <row r="290" spans="2:26" x14ac:dyDescent="0.35">
      <c r="B290" s="211">
        <v>14</v>
      </c>
      <c r="C290" s="268">
        <v>6647.8936224378549</v>
      </c>
      <c r="D290" s="303">
        <v>94468.477127276521</v>
      </c>
      <c r="E290" s="269">
        <v>75208.289134060033</v>
      </c>
      <c r="F290" s="294">
        <v>1068731.3825032504</v>
      </c>
      <c r="G290" s="270">
        <v>3844057.2567540067</v>
      </c>
      <c r="H290" s="294">
        <v>54625157.329524033</v>
      </c>
      <c r="I290" s="271">
        <v>45.537894832366391</v>
      </c>
      <c r="J290" s="296">
        <v>647.10656047143186</v>
      </c>
      <c r="K290" s="272">
        <f t="shared" si="117"/>
        <v>6647.8936224378549</v>
      </c>
      <c r="L290" s="148">
        <f t="shared" si="113"/>
        <v>33572.289134060033</v>
      </c>
      <c r="M290" s="273">
        <f t="shared" si="114"/>
        <v>3047768.7567540067</v>
      </c>
      <c r="N290" s="91">
        <f t="shared" si="115"/>
        <v>42.810694832366387</v>
      </c>
      <c r="O290" s="212">
        <v>0</v>
      </c>
      <c r="P290" s="213">
        <v>41636</v>
      </c>
      <c r="Q290" s="213">
        <v>796288.5</v>
      </c>
      <c r="R290" s="275">
        <v>2.7272000000000003</v>
      </c>
      <c r="S290" s="154">
        <v>739574.39323256374</v>
      </c>
      <c r="T290" s="215"/>
      <c r="U290" s="212">
        <v>0</v>
      </c>
      <c r="V290" s="276">
        <f t="shared" si="118"/>
        <v>591659.51458605099</v>
      </c>
      <c r="W290" s="276">
        <f t="shared" si="116"/>
        <v>11315488.216458226</v>
      </c>
      <c r="X290" s="276">
        <f t="shared" si="116"/>
        <v>38.754295037445438</v>
      </c>
      <c r="Y290" s="217">
        <v>1.8089610871361324</v>
      </c>
      <c r="Z290" s="83"/>
    </row>
    <row r="291" spans="2:26" x14ac:dyDescent="0.35">
      <c r="B291" s="211">
        <v>15</v>
      </c>
      <c r="C291" s="268">
        <v>1930.1193750593773</v>
      </c>
      <c r="D291" s="303">
        <v>20041.842884060188</v>
      </c>
      <c r="E291" s="269">
        <v>82624.906572524036</v>
      </c>
      <c r="F291" s="294">
        <v>857954.91057942249</v>
      </c>
      <c r="G291" s="270">
        <v>2662707.8226541439</v>
      </c>
      <c r="H291" s="294">
        <v>27648845.204794981</v>
      </c>
      <c r="I291" s="271">
        <v>19.719358598721641</v>
      </c>
      <c r="J291" s="296">
        <v>204.76054067788542</v>
      </c>
      <c r="K291" s="272">
        <f t="shared" si="117"/>
        <v>1930.1193750593773</v>
      </c>
      <c r="L291" s="148">
        <f t="shared" si="113"/>
        <v>30579.906572524036</v>
      </c>
      <c r="M291" s="273">
        <f t="shared" si="114"/>
        <v>1699875.3226541439</v>
      </c>
      <c r="N291" s="91">
        <f t="shared" si="115"/>
        <v>16.264158598721639</v>
      </c>
      <c r="O291" s="212">
        <v>0</v>
      </c>
      <c r="P291" s="213">
        <v>52045</v>
      </c>
      <c r="Q291" s="213">
        <v>962832.5</v>
      </c>
      <c r="R291" s="275">
        <v>3.4552</v>
      </c>
      <c r="S291" s="154">
        <v>540421.34718678927</v>
      </c>
      <c r="T291" s="215"/>
      <c r="U291" s="212">
        <v>0</v>
      </c>
      <c r="V291" s="276">
        <f t="shared" si="118"/>
        <v>540421.34718678927</v>
      </c>
      <c r="W291" s="276">
        <f t="shared" si="116"/>
        <v>9997794.9229556024</v>
      </c>
      <c r="X291" s="276">
        <f t="shared" si="116"/>
        <v>35.877871818614551</v>
      </c>
      <c r="Y291" s="217">
        <v>2.3837990527428188</v>
      </c>
      <c r="Z291" s="83"/>
    </row>
    <row r="292" spans="2:26" x14ac:dyDescent="0.35">
      <c r="B292" s="211">
        <v>16</v>
      </c>
      <c r="C292" s="268">
        <v>11629.472191541185</v>
      </c>
      <c r="D292" s="303">
        <v>50212.514094021753</v>
      </c>
      <c r="E292" s="269">
        <v>73872.551607651389</v>
      </c>
      <c r="F292" s="294">
        <v>318959.14772972773</v>
      </c>
      <c r="G292" s="270">
        <v>4946932.7050377876</v>
      </c>
      <c r="H292" s="294">
        <v>21359346.673924021</v>
      </c>
      <c r="I292" s="271">
        <v>73.764164329434124</v>
      </c>
      <c r="J292" s="296">
        <v>318.49116451901455</v>
      </c>
      <c r="K292" s="272">
        <f t="shared" si="117"/>
        <v>11629.472191541185</v>
      </c>
      <c r="L292" s="148">
        <f t="shared" si="113"/>
        <v>42645.551607651389</v>
      </c>
      <c r="M292" s="273">
        <f t="shared" si="114"/>
        <v>4364028.7050377876</v>
      </c>
      <c r="N292" s="91">
        <f t="shared" si="115"/>
        <v>71.707164329434121</v>
      </c>
      <c r="O292" s="212">
        <v>0</v>
      </c>
      <c r="P292" s="213">
        <v>31227</v>
      </c>
      <c r="Q292" s="213">
        <v>582904</v>
      </c>
      <c r="R292" s="275">
        <v>2.0569999999999999</v>
      </c>
      <c r="S292" s="154">
        <v>224714.43699088771</v>
      </c>
      <c r="T292" s="215"/>
      <c r="U292" s="212">
        <v>0</v>
      </c>
      <c r="V292" s="276">
        <f t="shared" si="118"/>
        <v>134828.66219453263</v>
      </c>
      <c r="W292" s="276">
        <f t="shared" si="116"/>
        <v>2516801.6942979423</v>
      </c>
      <c r="X292" s="276">
        <f t="shared" si="116"/>
        <v>8.8814986432943801</v>
      </c>
      <c r="Y292" s="217">
        <v>1.6035751716783553</v>
      </c>
      <c r="Z292" s="83"/>
    </row>
    <row r="293" spans="2:26" ht="15" thickBot="1" x14ac:dyDescent="0.4">
      <c r="B293" s="218" t="s">
        <v>12</v>
      </c>
      <c r="C293" s="219"/>
      <c r="D293" s="304">
        <v>2204631.410755456</v>
      </c>
      <c r="E293" s="277"/>
      <c r="F293" s="278">
        <v>32894313.02988058</v>
      </c>
      <c r="G293" s="278"/>
      <c r="H293" s="278">
        <v>1441754262.1660154</v>
      </c>
      <c r="I293" s="99"/>
      <c r="J293" s="297">
        <v>15890.488675276625</v>
      </c>
      <c r="K293" s="279">
        <f>SUM(K277:K292)</f>
        <v>93233.915116719436</v>
      </c>
      <c r="L293" s="277">
        <f t="shared" ref="L293:N293" si="119">SUM(L277:L292)</f>
        <v>544861.72410538816</v>
      </c>
      <c r="M293" s="278">
        <f t="shared" si="119"/>
        <v>43177390.513558291</v>
      </c>
      <c r="N293" s="99">
        <f t="shared" si="119"/>
        <v>610.35480784788103</v>
      </c>
      <c r="O293" s="219"/>
      <c r="P293" s="220"/>
      <c r="Q293" s="221"/>
      <c r="R293" s="222"/>
      <c r="S293" s="280">
        <f>SUM(S277:S292)</f>
        <v>24237821.724999998</v>
      </c>
      <c r="T293" s="224"/>
      <c r="U293" s="225">
        <f>SUM(U277:U292)</f>
        <v>0</v>
      </c>
      <c r="V293" s="226">
        <f>SUM(V277:V292)</f>
        <v>17890773.041855734</v>
      </c>
      <c r="W293" s="226">
        <f>SUM(W277:W292)</f>
        <v>324540568.11114985</v>
      </c>
      <c r="X293" s="227">
        <f>SUM(X277:X292)</f>
        <v>1075.789404033794</v>
      </c>
      <c r="Y293" s="229">
        <f>SUMPRODUCT(Y277:Y292,S277:S292)/SUM(S277:S292)</f>
        <v>1.7971099159050299</v>
      </c>
      <c r="Z293" s="83"/>
    </row>
    <row r="294" spans="2:26" x14ac:dyDescent="0.35">
      <c r="B294" s="83"/>
      <c r="C294" s="83"/>
      <c r="D294" s="83"/>
      <c r="E294" s="83"/>
      <c r="F294" s="83"/>
      <c r="G294" s="83"/>
      <c r="H294" s="83"/>
      <c r="I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2:26" x14ac:dyDescent="0.35">
      <c r="B295" s="83"/>
      <c r="C295" s="83"/>
      <c r="D295" s="83"/>
      <c r="E295" s="83"/>
      <c r="F295" s="83"/>
      <c r="G295" s="83"/>
      <c r="H295" s="83"/>
      <c r="I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2:26" x14ac:dyDescent="0.35">
      <c r="B296" s="83"/>
      <c r="C296" s="83"/>
      <c r="D296" s="83"/>
      <c r="E296" s="83"/>
      <c r="F296" s="83"/>
      <c r="G296" s="83"/>
      <c r="H296" s="83"/>
      <c r="I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2:26" x14ac:dyDescent="0.35">
      <c r="B297" s="83"/>
      <c r="C297" s="83"/>
      <c r="D297" s="83"/>
      <c r="E297" s="83"/>
      <c r="F297" s="83"/>
      <c r="G297" s="83"/>
      <c r="H297" s="83"/>
      <c r="I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2:26" x14ac:dyDescent="0.35">
      <c r="B298" s="83"/>
      <c r="C298" s="83"/>
      <c r="D298" s="83"/>
      <c r="E298" s="83"/>
      <c r="F298" s="83"/>
      <c r="G298" s="83"/>
      <c r="H298" s="83"/>
      <c r="I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</sheetData>
  <mergeCells count="65">
    <mergeCell ref="S4:T4"/>
    <mergeCell ref="U4:Z4"/>
    <mergeCell ref="O26:R26"/>
    <mergeCell ref="S26:T26"/>
    <mergeCell ref="U26:Z26"/>
    <mergeCell ref="K4:N4"/>
    <mergeCell ref="K26:N26"/>
    <mergeCell ref="O4:R4"/>
    <mergeCell ref="C4:J4"/>
    <mergeCell ref="C26:J26"/>
    <mergeCell ref="C52:I52"/>
    <mergeCell ref="K52:N52"/>
    <mergeCell ref="O52:R52"/>
    <mergeCell ref="S52:T52"/>
    <mergeCell ref="U52:X52"/>
    <mergeCell ref="C74:I74"/>
    <mergeCell ref="K74:N74"/>
    <mergeCell ref="O74:R74"/>
    <mergeCell ref="S74:T74"/>
    <mergeCell ref="U74:X74"/>
    <mergeCell ref="C97:I97"/>
    <mergeCell ref="K97:N97"/>
    <mergeCell ref="O97:R97"/>
    <mergeCell ref="S97:T97"/>
    <mergeCell ref="U97:X97"/>
    <mergeCell ref="C119:I119"/>
    <mergeCell ref="K119:N119"/>
    <mergeCell ref="O119:R119"/>
    <mergeCell ref="S119:T119"/>
    <mergeCell ref="U119:X119"/>
    <mergeCell ref="C142:I142"/>
    <mergeCell ref="K142:N142"/>
    <mergeCell ref="O142:R142"/>
    <mergeCell ref="S142:T142"/>
    <mergeCell ref="U142:X142"/>
    <mergeCell ref="C165:I165"/>
    <mergeCell ref="K165:N165"/>
    <mergeCell ref="O165:R165"/>
    <mergeCell ref="S165:T165"/>
    <mergeCell ref="U165:X165"/>
    <mergeCell ref="C187:I187"/>
    <mergeCell ref="K187:N187"/>
    <mergeCell ref="O187:R187"/>
    <mergeCell ref="S187:T187"/>
    <mergeCell ref="U187:X187"/>
    <mergeCell ref="C209:I209"/>
    <mergeCell ref="K209:N209"/>
    <mergeCell ref="O209:R209"/>
    <mergeCell ref="S209:T209"/>
    <mergeCell ref="U209:X209"/>
    <mergeCell ref="C231:I231"/>
    <mergeCell ref="K231:N231"/>
    <mergeCell ref="O231:R231"/>
    <mergeCell ref="S231:T231"/>
    <mergeCell ref="U231:X231"/>
    <mergeCell ref="C253:I253"/>
    <mergeCell ref="K253:N253"/>
    <mergeCell ref="O253:R253"/>
    <mergeCell ref="S253:T253"/>
    <mergeCell ref="U253:X253"/>
    <mergeCell ref="C275:I275"/>
    <mergeCell ref="K275:N275"/>
    <mergeCell ref="O275:R275"/>
    <mergeCell ref="S275:T275"/>
    <mergeCell ref="U275:X27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8F0-2C1F-4E06-B3BE-B9F91988C0A4}">
  <dimension ref="B1:AU484"/>
  <sheetViews>
    <sheetView zoomScaleNormal="100" workbookViewId="0"/>
  </sheetViews>
  <sheetFormatPr defaultRowHeight="14.5" x14ac:dyDescent="0.35"/>
  <cols>
    <col min="5" max="5" width="9.453125" customWidth="1"/>
    <col min="6" max="6" width="11.54296875" customWidth="1"/>
    <col min="7" max="7" width="9.54296875" customWidth="1"/>
    <col min="9" max="9" width="9.54296875" customWidth="1"/>
    <col min="10" max="10" width="13.453125" customWidth="1"/>
    <col min="12" max="12" width="9.54296875" customWidth="1"/>
    <col min="13" max="13" width="9.81640625" customWidth="1"/>
    <col min="14" max="14" width="14.81640625" customWidth="1"/>
    <col min="17" max="17" width="9.453125" customWidth="1"/>
    <col min="18" max="18" width="12.81640625" customWidth="1"/>
    <col min="19" max="19" width="13.453125" customWidth="1"/>
    <col min="21" max="21" width="11" customWidth="1"/>
    <col min="23" max="23" width="13.453125" customWidth="1"/>
    <col min="27" max="27" width="14.81640625" customWidth="1"/>
    <col min="28" max="28" width="11.81640625" customWidth="1"/>
    <col min="29" max="29" width="13.1796875" customWidth="1"/>
  </cols>
  <sheetData>
    <row r="1" spans="2:25" x14ac:dyDescent="0.35">
      <c r="B1" t="s">
        <v>606</v>
      </c>
    </row>
    <row r="2" spans="2:25" x14ac:dyDescent="0.35">
      <c r="B2" t="s">
        <v>37</v>
      </c>
    </row>
    <row r="3" spans="2:25" ht="15" thickBot="1" x14ac:dyDescent="0.4">
      <c r="B3" t="s">
        <v>38</v>
      </c>
      <c r="C3">
        <f>SUMIFS(AD$147:AD$484, $B$147:$B$484, "LowRiseGarden", $D$147:$D$484, $B6)</f>
        <v>285.00910208585231</v>
      </c>
    </row>
    <row r="4" spans="2:25" x14ac:dyDescent="0.35">
      <c r="B4" s="7"/>
      <c r="C4" s="1147" t="s">
        <v>586</v>
      </c>
      <c r="D4" s="1148"/>
      <c r="E4" s="1149"/>
      <c r="F4" s="1149"/>
      <c r="G4" s="1151" t="s">
        <v>587</v>
      </c>
      <c r="H4" s="1152"/>
      <c r="I4" s="1153"/>
      <c r="J4" s="1154"/>
      <c r="K4" s="1172" t="s">
        <v>40</v>
      </c>
      <c r="L4" s="1148"/>
      <c r="M4" s="1149"/>
      <c r="N4" s="1150"/>
      <c r="O4" s="1151" t="s">
        <v>4</v>
      </c>
      <c r="P4" s="1154"/>
      <c r="Q4" s="1155" t="s">
        <v>41</v>
      </c>
      <c r="R4" s="1156"/>
      <c r="S4" s="1156"/>
      <c r="T4" s="1157"/>
      <c r="V4" t="s">
        <v>182</v>
      </c>
    </row>
    <row r="5" spans="2:25" ht="58" x14ac:dyDescent="0.35">
      <c r="B5" s="8" t="s">
        <v>5</v>
      </c>
      <c r="C5" s="17" t="s">
        <v>6</v>
      </c>
      <c r="D5" s="18" t="s">
        <v>7</v>
      </c>
      <c r="E5" s="61" t="s">
        <v>8</v>
      </c>
      <c r="F5" s="61" t="s">
        <v>9</v>
      </c>
      <c r="G5" s="5" t="s">
        <v>6</v>
      </c>
      <c r="H5" s="4" t="s">
        <v>7</v>
      </c>
      <c r="I5" s="4" t="s">
        <v>8</v>
      </c>
      <c r="J5" s="6" t="s">
        <v>9</v>
      </c>
      <c r="K5" s="295" t="s">
        <v>6</v>
      </c>
      <c r="L5" s="18" t="s">
        <v>7</v>
      </c>
      <c r="M5" s="61" t="s">
        <v>8</v>
      </c>
      <c r="N5" s="19" t="s">
        <v>9</v>
      </c>
      <c r="O5" s="5" t="s">
        <v>10</v>
      </c>
      <c r="P5" s="6" t="s">
        <v>11</v>
      </c>
      <c r="Q5" s="17" t="s">
        <v>6</v>
      </c>
      <c r="R5" s="18" t="s">
        <v>7</v>
      </c>
      <c r="S5" s="61" t="s">
        <v>8</v>
      </c>
      <c r="T5" s="19" t="s">
        <v>9</v>
      </c>
      <c r="V5" s="18" t="s">
        <v>6</v>
      </c>
      <c r="W5" s="13"/>
      <c r="X5" s="13"/>
      <c r="Y5" s="13"/>
    </row>
    <row r="6" spans="2:25" x14ac:dyDescent="0.35">
      <c r="B6" s="9">
        <v>1</v>
      </c>
      <c r="C6" s="338">
        <f t="shared" ref="C6:D21" si="0">SUMIFS(AH$147:AH$484, $B$147:$B$484, "LowRiseGarden", $D$147:$D$484, $B6)/SUMIFS($E$147:$E$484, $B$147:$B$484, "LowRiseGarden", $D$147:$D$484, $B6)</f>
        <v>158.39734197947911</v>
      </c>
      <c r="D6" s="338">
        <f t="shared" si="0"/>
        <v>406.73624074826984</v>
      </c>
      <c r="E6" s="338">
        <f t="shared" ref="E6:E21" si="1">(SUMIFS(AJ$147:AJ$484, $B$147:$B$484, "LowRiseGarden", $D$147:$D$484, $B6) +SUMIFS(AK$147:AK$484, $B$147:$B$484, "LowRiseGarden", $D$147:$D$484, $B6))/SUMIFS($E$147:$E$484, $B$147:$B$484, "LowRiseGarden", $D$147:$D$484, $B6)</f>
        <v>60717.302932873426</v>
      </c>
      <c r="F6" s="22">
        <f t="shared" ref="F6:F21" si="2">SUMIFS(AL$147:AL$484, $B$147:$B$484, "LowRiseGarden", $D$147:$D$484, $B6)/SUMIFS($E$147:$E$484, $B$147:$B$484, "LowRiseGarden", $D$147:$D$484, $B6)</f>
        <v>0.96172770681766484</v>
      </c>
      <c r="G6" s="339">
        <f>C6-K6</f>
        <v>131.50969083930437</v>
      </c>
      <c r="H6" s="339">
        <f t="shared" ref="H6:J21" si="3">D6-L6</f>
        <v>326.79736509810982</v>
      </c>
      <c r="I6" s="339">
        <f t="shared" si="3"/>
        <v>48471.52235068944</v>
      </c>
      <c r="J6" s="36">
        <f t="shared" si="3"/>
        <v>0.79585727688112939</v>
      </c>
      <c r="K6" s="358">
        <f>Q6/$O6</f>
        <v>26.887651140174746</v>
      </c>
      <c r="L6" s="358">
        <f t="shared" ref="L6:N21" si="4">R6/$O6</f>
        <v>79.938875650159986</v>
      </c>
      <c r="M6" s="358">
        <f t="shared" si="4"/>
        <v>12245.780582183988</v>
      </c>
      <c r="N6" s="358">
        <f t="shared" si="4"/>
        <v>0.16587042993653547</v>
      </c>
      <c r="O6" s="12">
        <v>10.6</v>
      </c>
      <c r="P6" s="14">
        <f>O6/O$22</f>
        <v>5.0994881268521712E-3</v>
      </c>
      <c r="Q6" s="341">
        <f>SUMIFS(AD$147:AD$484, $B$147:$B$484, "LowRiseGarden", $D$147:$D$484, $B6)</f>
        <v>285.00910208585231</v>
      </c>
      <c r="R6" s="342">
        <f t="shared" ref="R6:T21" si="5">SUMIFS(AE$147:AE$484, $B$147:$B$484, "LowRiseGarden", $D$147:$D$484, $B6)</f>
        <v>847.35208189169589</v>
      </c>
      <c r="S6" s="343">
        <f t="shared" si="5"/>
        <v>129805.27417115027</v>
      </c>
      <c r="T6" s="344">
        <f t="shared" si="5"/>
        <v>1.758226557327276</v>
      </c>
      <c r="V6" s="342">
        <f>Q6/$O6</f>
        <v>26.887651140174746</v>
      </c>
    </row>
    <row r="7" spans="2:25" x14ac:dyDescent="0.35">
      <c r="B7" s="9">
        <v>2</v>
      </c>
      <c r="C7" s="338">
        <f t="shared" si="0"/>
        <v>123.68496609423582</v>
      </c>
      <c r="D7" s="338">
        <f t="shared" si="0"/>
        <v>338.7065364142104</v>
      </c>
      <c r="E7" s="338">
        <f t="shared" si="1"/>
        <v>51506.543650822518</v>
      </c>
      <c r="F7" s="22">
        <f t="shared" si="2"/>
        <v>0.75604035617944765</v>
      </c>
      <c r="G7" s="339">
        <f t="shared" ref="G7:G21" si="6">C7-K7</f>
        <v>108.22313753358638</v>
      </c>
      <c r="H7" s="339">
        <f t="shared" si="3"/>
        <v>294.63978595213734</v>
      </c>
      <c r="I7" s="339">
        <f t="shared" si="3"/>
        <v>44247.583672917652</v>
      </c>
      <c r="J7" s="36">
        <f t="shared" si="3"/>
        <v>0.66111328434241456</v>
      </c>
      <c r="K7" s="358">
        <f t="shared" ref="K7:K21" si="7">Q7/$O7</f>
        <v>15.461828560649435</v>
      </c>
      <c r="L7" s="358">
        <f t="shared" si="4"/>
        <v>44.06675046207306</v>
      </c>
      <c r="M7" s="358">
        <f t="shared" si="4"/>
        <v>7258.9599779048658</v>
      </c>
      <c r="N7" s="358">
        <f t="shared" si="4"/>
        <v>9.4927071837033139E-2</v>
      </c>
      <c r="O7" s="12">
        <v>62.92</v>
      </c>
      <c r="P7" s="14">
        <f t="shared" ref="P7:P21" si="8">O7/O$22</f>
        <v>3.026979178693761E-2</v>
      </c>
      <c r="Q7" s="341">
        <f t="shared" ref="Q7:Q21" si="9">SUMIFS(AD$147:AD$484, $B$147:$B$484, "LowRiseGarden", $D$147:$D$484, $B7)</f>
        <v>972.85825303606248</v>
      </c>
      <c r="R7" s="342">
        <f t="shared" si="5"/>
        <v>2772.6799390736369</v>
      </c>
      <c r="S7" s="343">
        <f t="shared" si="5"/>
        <v>456733.76180977415</v>
      </c>
      <c r="T7" s="344">
        <f t="shared" si="5"/>
        <v>5.9728113599861254</v>
      </c>
      <c r="V7" s="342">
        <f t="shared" ref="V7:V21" si="10">Q7/O7</f>
        <v>15.461828560649435</v>
      </c>
    </row>
    <row r="8" spans="2:25" x14ac:dyDescent="0.35">
      <c r="B8" s="9">
        <v>3</v>
      </c>
      <c r="C8" s="338">
        <f t="shared" si="0"/>
        <v>96.114321073659042</v>
      </c>
      <c r="D8" s="338">
        <f t="shared" si="0"/>
        <v>127.30421987087517</v>
      </c>
      <c r="E8" s="338">
        <f t="shared" si="1"/>
        <v>30201.87099531425</v>
      </c>
      <c r="F8" s="22">
        <f t="shared" si="2"/>
        <v>0.55484655190272925</v>
      </c>
      <c r="G8" s="339">
        <f t="shared" si="6"/>
        <v>96.009725241928948</v>
      </c>
      <c r="H8" s="339">
        <f t="shared" si="3"/>
        <v>127.70683862087517</v>
      </c>
      <c r="I8" s="339">
        <f t="shared" si="3"/>
        <v>30275.269350468745</v>
      </c>
      <c r="J8" s="36">
        <f t="shared" si="3"/>
        <v>0.55437281380435433</v>
      </c>
      <c r="K8" s="358">
        <f t="shared" si="7"/>
        <v>0.10459583173009585</v>
      </c>
      <c r="L8" s="358">
        <f t="shared" si="4"/>
        <v>-0.40261874999999631</v>
      </c>
      <c r="M8" s="358">
        <f t="shared" si="4"/>
        <v>-73.398355154496727</v>
      </c>
      <c r="N8" s="358">
        <f t="shared" si="4"/>
        <v>4.737380983749703E-4</v>
      </c>
      <c r="O8" s="12">
        <v>305.2</v>
      </c>
      <c r="P8" s="14">
        <f t="shared" si="8"/>
        <v>0.14682677135049838</v>
      </c>
      <c r="Q8" s="341">
        <f t="shared" si="9"/>
        <v>31.922647844025253</v>
      </c>
      <c r="R8" s="342">
        <f t="shared" si="5"/>
        <v>-122.87924249999887</v>
      </c>
      <c r="S8" s="343">
        <f t="shared" si="5"/>
        <v>-22401.1779931524</v>
      </c>
      <c r="T8" s="344">
        <f t="shared" si="5"/>
        <v>0.14458486762404094</v>
      </c>
      <c r="V8" s="342">
        <f t="shared" si="10"/>
        <v>0.10459583173009585</v>
      </c>
    </row>
    <row r="9" spans="2:25" x14ac:dyDescent="0.35">
      <c r="B9" s="9">
        <v>4</v>
      </c>
      <c r="C9" s="338">
        <f t="shared" si="0"/>
        <v>90.905960137453846</v>
      </c>
      <c r="D9" s="338">
        <f t="shared" si="0"/>
        <v>181.48675932568153</v>
      </c>
      <c r="E9" s="338">
        <f t="shared" si="1"/>
        <v>32130.972187184583</v>
      </c>
      <c r="F9" s="22">
        <f t="shared" si="2"/>
        <v>0.53946104817395624</v>
      </c>
      <c r="G9" s="339">
        <f t="shared" si="6"/>
        <v>90.59118107285056</v>
      </c>
      <c r="H9" s="339">
        <f t="shared" si="3"/>
        <v>181.73405307568154</v>
      </c>
      <c r="I9" s="339">
        <f t="shared" si="3"/>
        <v>32178.296254992529</v>
      </c>
      <c r="J9" s="36">
        <f t="shared" si="3"/>
        <v>0.53780354840833555</v>
      </c>
      <c r="K9" s="358">
        <f t="shared" si="7"/>
        <v>0.31477906460328986</v>
      </c>
      <c r="L9" s="358">
        <f t="shared" si="4"/>
        <v>-0.24729375000000745</v>
      </c>
      <c r="M9" s="358">
        <f t="shared" si="4"/>
        <v>-47.324067807947038</v>
      </c>
      <c r="N9" s="358">
        <f t="shared" si="4"/>
        <v>1.6574997656206949E-3</v>
      </c>
      <c r="O9" s="12">
        <v>159.00000000000003</v>
      </c>
      <c r="P9" s="14">
        <f t="shared" si="8"/>
        <v>7.6492321902782587E-2</v>
      </c>
      <c r="Q9" s="341">
        <f t="shared" si="9"/>
        <v>50.049871271923095</v>
      </c>
      <c r="R9" s="342">
        <f t="shared" si="5"/>
        <v>-39.31970625000119</v>
      </c>
      <c r="S9" s="343">
        <f t="shared" si="5"/>
        <v>-7524.5267814635799</v>
      </c>
      <c r="T9" s="344">
        <f t="shared" si="5"/>
        <v>0.26354246273369053</v>
      </c>
      <c r="V9" s="342">
        <f t="shared" si="10"/>
        <v>0.31477906460328986</v>
      </c>
    </row>
    <row r="10" spans="2:25" x14ac:dyDescent="0.35">
      <c r="B10" s="9">
        <v>5</v>
      </c>
      <c r="C10" s="338">
        <f t="shared" si="0"/>
        <v>94.227702848749701</v>
      </c>
      <c r="D10" s="338">
        <f t="shared" si="0"/>
        <v>125.58301291248208</v>
      </c>
      <c r="E10" s="338">
        <f t="shared" si="1"/>
        <v>28810.265986145983</v>
      </c>
      <c r="F10" s="22">
        <f t="shared" si="2"/>
        <v>0.54414243461593492</v>
      </c>
      <c r="G10" s="339">
        <f t="shared" si="6"/>
        <v>94.165344434470711</v>
      </c>
      <c r="H10" s="339">
        <f t="shared" si="3"/>
        <v>125.90347291248209</v>
      </c>
      <c r="I10" s="339">
        <f t="shared" si="3"/>
        <v>28833.578265273718</v>
      </c>
      <c r="J10" s="36">
        <f t="shared" si="3"/>
        <v>0.54387932992439592</v>
      </c>
      <c r="K10" s="358">
        <f t="shared" si="7"/>
        <v>6.2358414278984642E-2</v>
      </c>
      <c r="L10" s="358">
        <f t="shared" si="4"/>
        <v>-0.32046000000000596</v>
      </c>
      <c r="M10" s="358">
        <f t="shared" si="4"/>
        <v>-23.312279127733003</v>
      </c>
      <c r="N10" s="358">
        <f t="shared" si="4"/>
        <v>2.6310469153904403E-4</v>
      </c>
      <c r="O10" s="12">
        <v>28.240000000000002</v>
      </c>
      <c r="P10" s="14">
        <f t="shared" si="8"/>
        <v>1.358580610399107E-2</v>
      </c>
      <c r="Q10" s="341">
        <f t="shared" si="9"/>
        <v>1.7610016192385265</v>
      </c>
      <c r="R10" s="342">
        <f t="shared" si="5"/>
        <v>-9.0497904000001697</v>
      </c>
      <c r="S10" s="343">
        <f t="shared" si="5"/>
        <v>-658.33876256718008</v>
      </c>
      <c r="T10" s="344">
        <f t="shared" si="5"/>
        <v>7.4300764890626037E-3</v>
      </c>
      <c r="V10" s="342">
        <f t="shared" si="10"/>
        <v>6.2358414278984642E-2</v>
      </c>
    </row>
    <row r="11" spans="2:25" x14ac:dyDescent="0.35">
      <c r="B11" s="9">
        <v>6</v>
      </c>
      <c r="C11" s="338">
        <f t="shared" si="0"/>
        <v>132.03486567546631</v>
      </c>
      <c r="D11" s="338">
        <f t="shared" si="0"/>
        <v>253.67323585739541</v>
      </c>
      <c r="E11" s="338">
        <f t="shared" si="1"/>
        <v>44944.208679169074</v>
      </c>
      <c r="F11" s="22">
        <f t="shared" si="2"/>
        <v>0.78114597424323295</v>
      </c>
      <c r="G11" s="339">
        <f t="shared" si="6"/>
        <v>132.71413415107119</v>
      </c>
      <c r="H11" s="339">
        <f t="shared" si="3"/>
        <v>252.83577585739542</v>
      </c>
      <c r="I11" s="339">
        <f t="shared" si="3"/>
        <v>45179.582378375526</v>
      </c>
      <c r="J11" s="36">
        <f t="shared" si="3"/>
        <v>0.78464970356711039</v>
      </c>
      <c r="K11" s="358">
        <f t="shared" si="7"/>
        <v>-0.67926847560489101</v>
      </c>
      <c r="L11" s="358">
        <f t="shared" si="4"/>
        <v>0.83745999999998244</v>
      </c>
      <c r="M11" s="358">
        <f t="shared" si="4"/>
        <v>-235.37369920644906</v>
      </c>
      <c r="N11" s="358">
        <f t="shared" si="4"/>
        <v>-3.5037293238773934E-3</v>
      </c>
      <c r="O11" s="12">
        <v>134.79999999999998</v>
      </c>
      <c r="P11" s="14">
        <f t="shared" si="8"/>
        <v>6.4850094292421945E-2</v>
      </c>
      <c r="Q11" s="341">
        <f t="shared" si="9"/>
        <v>-91.565390511539292</v>
      </c>
      <c r="R11" s="342">
        <f t="shared" si="5"/>
        <v>112.88960799999762</v>
      </c>
      <c r="S11" s="343">
        <f t="shared" si="5"/>
        <v>-31728.374653029328</v>
      </c>
      <c r="T11" s="344">
        <f t="shared" si="5"/>
        <v>-0.47230271285867254</v>
      </c>
      <c r="V11" s="342">
        <f t="shared" si="10"/>
        <v>-0.67926847560489101</v>
      </c>
    </row>
    <row r="12" spans="2:25" x14ac:dyDescent="0.35">
      <c r="B12" s="9">
        <v>7</v>
      </c>
      <c r="C12" s="338">
        <f t="shared" si="0"/>
        <v>129.97538751310049</v>
      </c>
      <c r="D12" s="338">
        <f t="shared" si="0"/>
        <v>264.56041175604003</v>
      </c>
      <c r="E12" s="338">
        <f t="shared" si="1"/>
        <v>42969.07826727569</v>
      </c>
      <c r="F12" s="22">
        <f t="shared" si="2"/>
        <v>0.77252950705391099</v>
      </c>
      <c r="G12" s="339">
        <f t="shared" si="6"/>
        <v>130.34058059462814</v>
      </c>
      <c r="H12" s="339">
        <f t="shared" si="3"/>
        <v>263.34489300604008</v>
      </c>
      <c r="I12" s="339">
        <f t="shared" si="3"/>
        <v>43055.073607842947</v>
      </c>
      <c r="J12" s="36">
        <f t="shared" si="3"/>
        <v>0.77422926745764997</v>
      </c>
      <c r="K12" s="358">
        <f t="shared" si="7"/>
        <v>-0.36519308152765284</v>
      </c>
      <c r="L12" s="358">
        <f t="shared" si="4"/>
        <v>1.2155187499999713</v>
      </c>
      <c r="M12" s="358">
        <f t="shared" si="4"/>
        <v>-85.995340567256818</v>
      </c>
      <c r="N12" s="358">
        <f t="shared" si="4"/>
        <v>-1.6997604037389878E-3</v>
      </c>
      <c r="O12" s="12">
        <v>144.91999999999999</v>
      </c>
      <c r="P12" s="14">
        <f t="shared" si="8"/>
        <v>6.9718662202209125E-2</v>
      </c>
      <c r="Q12" s="341">
        <f t="shared" si="9"/>
        <v>-52.923781374987449</v>
      </c>
      <c r="R12" s="342">
        <f t="shared" si="5"/>
        <v>176.15297724999584</v>
      </c>
      <c r="S12" s="343">
        <f t="shared" si="5"/>
        <v>-12462.444755006856</v>
      </c>
      <c r="T12" s="344">
        <f t="shared" si="5"/>
        <v>-0.24632927770985408</v>
      </c>
      <c r="V12" s="342">
        <f t="shared" si="10"/>
        <v>-0.36519308152765284</v>
      </c>
    </row>
    <row r="13" spans="2:25" x14ac:dyDescent="0.35">
      <c r="B13" s="9">
        <v>8</v>
      </c>
      <c r="C13" s="338">
        <f t="shared" si="0"/>
        <v>75.871344312998488</v>
      </c>
      <c r="D13" s="338">
        <f t="shared" si="0"/>
        <v>281.48800394548073</v>
      </c>
      <c r="E13" s="338">
        <f t="shared" si="1"/>
        <v>30749.443505536507</v>
      </c>
      <c r="F13" s="22">
        <f t="shared" si="2"/>
        <v>0.48149179315394441</v>
      </c>
      <c r="G13" s="339">
        <f t="shared" si="6"/>
        <v>75.70890595463058</v>
      </c>
      <c r="H13" s="339">
        <f t="shared" si="3"/>
        <v>278.9729651954807</v>
      </c>
      <c r="I13" s="339">
        <f t="shared" si="3"/>
        <v>30529.391662469159</v>
      </c>
      <c r="J13" s="36">
        <f t="shared" si="3"/>
        <v>0.48000128071924197</v>
      </c>
      <c r="K13" s="358">
        <f t="shared" si="7"/>
        <v>0.16243835836790577</v>
      </c>
      <c r="L13" s="358">
        <f t="shared" si="4"/>
        <v>2.5150387500000271</v>
      </c>
      <c r="M13" s="358">
        <f t="shared" si="4"/>
        <v>220.0518430673481</v>
      </c>
      <c r="N13" s="358">
        <f t="shared" si="4"/>
        <v>1.4905124347024575E-3</v>
      </c>
      <c r="O13" s="12">
        <v>189.52</v>
      </c>
      <c r="P13" s="14">
        <f t="shared" si="8"/>
        <v>9.1174999037832424E-2</v>
      </c>
      <c r="Q13" s="341">
        <f t="shared" si="9"/>
        <v>30.785317677885505</v>
      </c>
      <c r="R13" s="342">
        <f t="shared" si="5"/>
        <v>476.65014390000516</v>
      </c>
      <c r="S13" s="343">
        <f t="shared" si="5"/>
        <v>41704.225298123813</v>
      </c>
      <c r="T13" s="344">
        <f t="shared" si="5"/>
        <v>0.28248191662480976</v>
      </c>
      <c r="V13" s="342">
        <f t="shared" si="10"/>
        <v>0.16243835836790577</v>
      </c>
    </row>
    <row r="14" spans="2:25" x14ac:dyDescent="0.35">
      <c r="B14" s="9">
        <v>9</v>
      </c>
      <c r="C14" s="338">
        <f t="shared" si="0"/>
        <v>78.031040567059762</v>
      </c>
      <c r="D14" s="338">
        <f t="shared" si="0"/>
        <v>268.96512374461986</v>
      </c>
      <c r="E14" s="338">
        <f t="shared" si="1"/>
        <v>31426.037882782479</v>
      </c>
      <c r="F14" s="22">
        <f t="shared" si="2"/>
        <v>0.49026174079179247</v>
      </c>
      <c r="G14" s="339">
        <f t="shared" si="6"/>
        <v>78.251089381734218</v>
      </c>
      <c r="H14" s="339">
        <f t="shared" si="3"/>
        <v>246.82313624461983</v>
      </c>
      <c r="I14" s="339">
        <f t="shared" si="3"/>
        <v>30595.319857336228</v>
      </c>
      <c r="J14" s="36">
        <f t="shared" si="3"/>
        <v>0.48614001903427811</v>
      </c>
      <c r="K14" s="358">
        <f t="shared" si="7"/>
        <v>-0.2200488146744613</v>
      </c>
      <c r="L14" s="358">
        <f t="shared" si="4"/>
        <v>22.141987500000017</v>
      </c>
      <c r="M14" s="358">
        <f t="shared" si="4"/>
        <v>830.71802544625052</v>
      </c>
      <c r="N14" s="358">
        <f t="shared" si="4"/>
        <v>4.1217217575143421E-3</v>
      </c>
      <c r="O14" s="12">
        <v>444.96</v>
      </c>
      <c r="P14" s="14">
        <f t="shared" si="8"/>
        <v>0.2140630412192587</v>
      </c>
      <c r="Q14" s="341">
        <f t="shared" si="9"/>
        <v>-97.912920577548292</v>
      </c>
      <c r="R14" s="342">
        <f t="shared" si="5"/>
        <v>9852.2987580000063</v>
      </c>
      <c r="S14" s="343">
        <f t="shared" si="5"/>
        <v>369636.29260256363</v>
      </c>
      <c r="T14" s="344">
        <f t="shared" si="5"/>
        <v>1.8340013132235815</v>
      </c>
      <c r="V14" s="342">
        <f t="shared" si="10"/>
        <v>-0.2200488146744613</v>
      </c>
    </row>
    <row r="15" spans="2:25" x14ac:dyDescent="0.35">
      <c r="B15" s="9">
        <v>10</v>
      </c>
      <c r="C15" s="338">
        <f t="shared" si="0"/>
        <v>80.892462018319904</v>
      </c>
      <c r="D15" s="338">
        <f t="shared" si="0"/>
        <v>335.1181151362984</v>
      </c>
      <c r="E15" s="338">
        <f t="shared" si="1"/>
        <v>35133.115097236987</v>
      </c>
      <c r="F15" s="22">
        <f t="shared" si="2"/>
        <v>0.52176941840856195</v>
      </c>
      <c r="G15" s="339">
        <f t="shared" si="6"/>
        <v>81.208667295427432</v>
      </c>
      <c r="H15" s="339">
        <f t="shared" si="3"/>
        <v>309.33007763629837</v>
      </c>
      <c r="I15" s="339">
        <f t="shared" si="3"/>
        <v>34370.841193617809</v>
      </c>
      <c r="J15" s="36">
        <f t="shared" si="3"/>
        <v>0.51729582445493816</v>
      </c>
      <c r="K15" s="358">
        <f t="shared" si="7"/>
        <v>-0.31620527710752194</v>
      </c>
      <c r="L15" s="358">
        <f t="shared" si="4"/>
        <v>25.788037500000023</v>
      </c>
      <c r="M15" s="358">
        <f t="shared" si="4"/>
        <v>762.27390361917594</v>
      </c>
      <c r="N15" s="358">
        <f t="shared" si="4"/>
        <v>4.4735939536237508E-3</v>
      </c>
      <c r="O15" s="12">
        <v>157.20000000000002</v>
      </c>
      <c r="P15" s="14">
        <f t="shared" si="8"/>
        <v>7.5626371088788821E-2</v>
      </c>
      <c r="Q15" s="341">
        <f t="shared" si="9"/>
        <v>-49.707469561302453</v>
      </c>
      <c r="R15" s="342">
        <f t="shared" si="5"/>
        <v>4053.8794950000042</v>
      </c>
      <c r="S15" s="343">
        <f t="shared" si="5"/>
        <v>119829.45764893448</v>
      </c>
      <c r="T15" s="344">
        <f t="shared" si="5"/>
        <v>0.70324896950965377</v>
      </c>
      <c r="V15" s="342">
        <f t="shared" si="10"/>
        <v>-0.31620527710752194</v>
      </c>
    </row>
    <row r="16" spans="2:25" x14ac:dyDescent="0.35">
      <c r="B16" s="9">
        <v>11</v>
      </c>
      <c r="C16" s="338">
        <f t="shared" si="0"/>
        <v>114.20168917532538</v>
      </c>
      <c r="D16" s="338">
        <f t="shared" si="0"/>
        <v>443.13897779057777</v>
      </c>
      <c r="E16" s="338">
        <f t="shared" si="1"/>
        <v>67980.872927229779</v>
      </c>
      <c r="F16" s="22">
        <f t="shared" si="2"/>
        <v>0.72941551947522743</v>
      </c>
      <c r="G16" s="339">
        <f t="shared" si="6"/>
        <v>101.37299402475678</v>
      </c>
      <c r="H16" s="339">
        <f t="shared" si="3"/>
        <v>350.40612903808278</v>
      </c>
      <c r="I16" s="339">
        <f t="shared" si="3"/>
        <v>58685.929970899</v>
      </c>
      <c r="J16" s="36">
        <f t="shared" si="3"/>
        <v>0.63715348002568484</v>
      </c>
      <c r="K16" s="358">
        <f t="shared" si="7"/>
        <v>12.828695150568601</v>
      </c>
      <c r="L16" s="358">
        <f t="shared" si="4"/>
        <v>92.732848752495002</v>
      </c>
      <c r="M16" s="358">
        <f t="shared" si="4"/>
        <v>9294.9429563307785</v>
      </c>
      <c r="N16" s="358">
        <f t="shared" si="4"/>
        <v>9.2262039449542532E-2</v>
      </c>
      <c r="O16" s="12">
        <v>44.879999999999995</v>
      </c>
      <c r="P16" s="14">
        <f t="shared" si="8"/>
        <v>2.1591040295577874E-2</v>
      </c>
      <c r="Q16" s="341">
        <f t="shared" si="9"/>
        <v>575.75183835751875</v>
      </c>
      <c r="R16" s="342">
        <f t="shared" si="5"/>
        <v>4161.8502520119755</v>
      </c>
      <c r="S16" s="343">
        <f t="shared" si="5"/>
        <v>417157.03988012532</v>
      </c>
      <c r="T16" s="344">
        <f t="shared" si="5"/>
        <v>4.1407203304954683</v>
      </c>
      <c r="V16" s="342">
        <f t="shared" si="10"/>
        <v>12.828695150568601</v>
      </c>
    </row>
    <row r="17" spans="2:22" x14ac:dyDescent="0.35">
      <c r="B17" s="9">
        <v>12</v>
      </c>
      <c r="C17" s="338">
        <f t="shared" si="0"/>
        <v>114.70807933692494</v>
      </c>
      <c r="D17" s="338">
        <f t="shared" si="0"/>
        <v>354.06050011505607</v>
      </c>
      <c r="E17" s="338">
        <f t="shared" si="1"/>
        <v>56618.513036101722</v>
      </c>
      <c r="F17" s="22">
        <f t="shared" si="2"/>
        <v>0.71076703271970754</v>
      </c>
      <c r="G17" s="339">
        <f t="shared" si="6"/>
        <v>101.98213416911214</v>
      </c>
      <c r="H17" s="339">
        <f t="shared" si="3"/>
        <v>318.22948139281709</v>
      </c>
      <c r="I17" s="339">
        <f t="shared" si="3"/>
        <v>49631.034131756271</v>
      </c>
      <c r="J17" s="36">
        <f t="shared" si="3"/>
        <v>0.6327421356388685</v>
      </c>
      <c r="K17" s="358">
        <f t="shared" si="7"/>
        <v>12.725945167812794</v>
      </c>
      <c r="L17" s="358">
        <f t="shared" si="4"/>
        <v>35.831018722238959</v>
      </c>
      <c r="M17" s="358">
        <f t="shared" si="4"/>
        <v>6987.478904345453</v>
      </c>
      <c r="N17" s="358">
        <f t="shared" si="4"/>
        <v>7.8024897080838984E-2</v>
      </c>
      <c r="O17" s="12">
        <v>253.40000000000003</v>
      </c>
      <c r="P17" s="14">
        <f t="shared" si="8"/>
        <v>0.12190663125890004</v>
      </c>
      <c r="Q17" s="341">
        <f t="shared" si="9"/>
        <v>3224.7545055237624</v>
      </c>
      <c r="R17" s="342">
        <f t="shared" si="5"/>
        <v>9079.5801442153534</v>
      </c>
      <c r="S17" s="343">
        <f t="shared" si="5"/>
        <v>1770627.1543611381</v>
      </c>
      <c r="T17" s="344">
        <f t="shared" si="5"/>
        <v>19.771508920284599</v>
      </c>
      <c r="V17" s="342">
        <f t="shared" si="10"/>
        <v>12.725945167812794</v>
      </c>
    </row>
    <row r="18" spans="2:22" x14ac:dyDescent="0.35">
      <c r="B18" s="9">
        <v>13</v>
      </c>
      <c r="C18" s="338">
        <f t="shared" si="0"/>
        <v>104.34726352349034</v>
      </c>
      <c r="D18" s="338">
        <f t="shared" si="0"/>
        <v>429.08864075987566</v>
      </c>
      <c r="E18" s="338">
        <f t="shared" si="1"/>
        <v>65986.696784938002</v>
      </c>
      <c r="F18" s="22">
        <f t="shared" si="2"/>
        <v>0.67228822499350172</v>
      </c>
      <c r="G18" s="339">
        <f t="shared" si="6"/>
        <v>93.533728287816928</v>
      </c>
      <c r="H18" s="339">
        <f t="shared" si="3"/>
        <v>371.51924429234168</v>
      </c>
      <c r="I18" s="339">
        <f t="shared" si="3"/>
        <v>58979.732348986538</v>
      </c>
      <c r="J18" s="36">
        <f t="shared" si="3"/>
        <v>0.59946947042374499</v>
      </c>
      <c r="K18" s="358">
        <f t="shared" si="7"/>
        <v>10.813535235673408</v>
      </c>
      <c r="L18" s="358">
        <f t="shared" si="4"/>
        <v>57.56939646753397</v>
      </c>
      <c r="M18" s="358">
        <f t="shared" si="4"/>
        <v>7006.9644359514677</v>
      </c>
      <c r="N18" s="358">
        <f t="shared" si="4"/>
        <v>7.2818754569756727E-2</v>
      </c>
      <c r="O18" s="12">
        <v>73.960000000000008</v>
      </c>
      <c r="P18" s="14">
        <f t="shared" si="8"/>
        <v>3.5580956779432703E-2</v>
      </c>
      <c r="Q18" s="341">
        <f t="shared" si="9"/>
        <v>799.76906603040538</v>
      </c>
      <c r="R18" s="342">
        <f t="shared" si="5"/>
        <v>4257.8325627388131</v>
      </c>
      <c r="S18" s="343">
        <f t="shared" si="5"/>
        <v>518235.0896829706</v>
      </c>
      <c r="T18" s="344">
        <f t="shared" si="5"/>
        <v>5.3856750879792079</v>
      </c>
      <c r="V18" s="342">
        <f t="shared" si="10"/>
        <v>10.813535235673408</v>
      </c>
    </row>
    <row r="19" spans="2:22" x14ac:dyDescent="0.35">
      <c r="B19" s="9">
        <v>14</v>
      </c>
      <c r="C19" s="338">
        <f t="shared" si="0"/>
        <v>111.26194854931097</v>
      </c>
      <c r="D19" s="338">
        <f t="shared" si="0"/>
        <v>428.06900374231122</v>
      </c>
      <c r="E19" s="338">
        <f t="shared" si="1"/>
        <v>60927.531062589034</v>
      </c>
      <c r="F19" s="22">
        <f t="shared" si="2"/>
        <v>0.70975876939246674</v>
      </c>
      <c r="G19" s="339">
        <f t="shared" si="6"/>
        <v>99.203057146521658</v>
      </c>
      <c r="H19" s="339">
        <f t="shared" si="3"/>
        <v>338.81599689007123</v>
      </c>
      <c r="I19" s="339">
        <f t="shared" si="3"/>
        <v>52313.112634533223</v>
      </c>
      <c r="J19" s="36">
        <f t="shared" si="3"/>
        <v>0.62253196671452127</v>
      </c>
      <c r="K19" s="358">
        <f t="shared" si="7"/>
        <v>12.058891402789312</v>
      </c>
      <c r="L19" s="358">
        <f t="shared" si="4"/>
        <v>89.253006852240006</v>
      </c>
      <c r="M19" s="358">
        <f t="shared" si="4"/>
        <v>8614.4184280558093</v>
      </c>
      <c r="N19" s="358">
        <f t="shared" si="4"/>
        <v>8.7226802677945456E-2</v>
      </c>
      <c r="O19" s="12">
        <v>33.6</v>
      </c>
      <c r="P19" s="14">
        <f t="shared" si="8"/>
        <v>1.616441519455028E-2</v>
      </c>
      <c r="Q19" s="341">
        <f t="shared" si="9"/>
        <v>405.17875113372088</v>
      </c>
      <c r="R19" s="342">
        <f t="shared" si="5"/>
        <v>2998.9010302352644</v>
      </c>
      <c r="S19" s="343">
        <f t="shared" si="5"/>
        <v>289444.45918267523</v>
      </c>
      <c r="T19" s="344">
        <f t="shared" si="5"/>
        <v>2.9308205699789673</v>
      </c>
      <c r="V19" s="342">
        <f t="shared" si="10"/>
        <v>12.058891402789312</v>
      </c>
    </row>
    <row r="20" spans="2:22" x14ac:dyDescent="0.35">
      <c r="B20" s="9">
        <v>15</v>
      </c>
      <c r="C20" s="338">
        <f t="shared" si="0"/>
        <v>72.828054723933988</v>
      </c>
      <c r="D20" s="338">
        <f t="shared" si="0"/>
        <v>562.23890184382776</v>
      </c>
      <c r="E20" s="338">
        <f t="shared" si="1"/>
        <v>74281.646372475341</v>
      </c>
      <c r="F20" s="22">
        <f t="shared" si="2"/>
        <v>0.53237258646497754</v>
      </c>
      <c r="G20" s="339">
        <f t="shared" si="6"/>
        <v>72.46320389114166</v>
      </c>
      <c r="H20" s="339">
        <f t="shared" si="3"/>
        <v>470.72755628361779</v>
      </c>
      <c r="I20" s="339">
        <f t="shared" si="3"/>
        <v>69795.035849682376</v>
      </c>
      <c r="J20" s="36">
        <f t="shared" si="3"/>
        <v>0.50838722780198486</v>
      </c>
      <c r="K20" s="358">
        <f t="shared" si="7"/>
        <v>0.36485083279233027</v>
      </c>
      <c r="L20" s="358">
        <f t="shared" si="4"/>
        <v>91.511345560209989</v>
      </c>
      <c r="M20" s="358">
        <f t="shared" si="4"/>
        <v>4486.610522792972</v>
      </c>
      <c r="N20" s="358">
        <f t="shared" si="4"/>
        <v>2.3985358662992694E-2</v>
      </c>
      <c r="O20" s="12">
        <v>21.879999999999995</v>
      </c>
      <c r="P20" s="14">
        <f t="shared" si="8"/>
        <v>1.0526113227879764E-2</v>
      </c>
      <c r="Q20" s="341">
        <f t="shared" si="9"/>
        <v>7.9829362214961845</v>
      </c>
      <c r="R20" s="342">
        <f t="shared" si="5"/>
        <v>2002.2682408573942</v>
      </c>
      <c r="S20" s="343">
        <f t="shared" si="5"/>
        <v>98167.038238710215</v>
      </c>
      <c r="T20" s="344">
        <f t="shared" si="5"/>
        <v>0.52479964754628006</v>
      </c>
      <c r="V20" s="342">
        <f t="shared" si="10"/>
        <v>0.36485083279233027</v>
      </c>
    </row>
    <row r="21" spans="2:22" x14ac:dyDescent="0.35">
      <c r="B21" s="9">
        <v>16</v>
      </c>
      <c r="C21" s="338">
        <f t="shared" si="0"/>
        <v>166.9287228605298</v>
      </c>
      <c r="D21" s="338">
        <f t="shared" si="0"/>
        <v>423.07119695258518</v>
      </c>
      <c r="E21" s="338">
        <f t="shared" si="1"/>
        <v>68536.335585084089</v>
      </c>
      <c r="F21" s="22">
        <f t="shared" si="2"/>
        <v>1.012187676933326</v>
      </c>
      <c r="G21" s="339">
        <f t="shared" si="6"/>
        <v>141.63294950116583</v>
      </c>
      <c r="H21" s="339">
        <f t="shared" si="3"/>
        <v>352.72543431456512</v>
      </c>
      <c r="I21" s="339">
        <f t="shared" si="3"/>
        <v>56764.984282763056</v>
      </c>
      <c r="J21" s="36">
        <f t="shared" si="3"/>
        <v>0.85730578551665548</v>
      </c>
      <c r="K21" s="358">
        <f t="shared" si="7"/>
        <v>25.295773359363967</v>
      </c>
      <c r="L21" s="358">
        <f t="shared" si="4"/>
        <v>70.345762638020048</v>
      </c>
      <c r="M21" s="358">
        <f t="shared" si="4"/>
        <v>11771.351302321034</v>
      </c>
      <c r="N21" s="358">
        <f t="shared" si="4"/>
        <v>0.15488189141667053</v>
      </c>
      <c r="O21" s="12">
        <v>13.56</v>
      </c>
      <c r="P21" s="14">
        <f t="shared" si="8"/>
        <v>6.5234961320863637E-3</v>
      </c>
      <c r="Q21" s="345">
        <f t="shared" si="9"/>
        <v>343.0106867529754</v>
      </c>
      <c r="R21" s="346">
        <f t="shared" si="5"/>
        <v>953.88854137155181</v>
      </c>
      <c r="S21" s="347">
        <f t="shared" si="5"/>
        <v>159619.52365947323</v>
      </c>
      <c r="T21" s="344">
        <f t="shared" si="5"/>
        <v>2.1001984476100524</v>
      </c>
      <c r="V21" s="342">
        <f t="shared" si="10"/>
        <v>25.295773359363967</v>
      </c>
    </row>
    <row r="22" spans="2:22" ht="15" thickBot="1" x14ac:dyDescent="0.4">
      <c r="B22" s="10" t="s">
        <v>12</v>
      </c>
      <c r="C22" s="67"/>
      <c r="D22" s="67"/>
      <c r="E22" s="67"/>
      <c r="F22" s="67"/>
      <c r="G22" s="348"/>
      <c r="H22" s="67"/>
      <c r="I22" s="80"/>
      <c r="J22" s="349"/>
      <c r="K22" s="69"/>
      <c r="L22" s="67"/>
      <c r="M22" s="80"/>
      <c r="N22" s="81"/>
      <c r="O22" s="16">
        <f t="shared" ref="O22:T22" si="11">SUM(O6:O21)</f>
        <v>2078.6400000000003</v>
      </c>
      <c r="P22" s="15">
        <f t="shared" si="11"/>
        <v>0.99999999999999989</v>
      </c>
      <c r="Q22" s="30">
        <f>SUM(Q6:Q21)</f>
        <v>6436.7244155294884</v>
      </c>
      <c r="R22" s="31">
        <f t="shared" si="11"/>
        <v>41574.975035395699</v>
      </c>
      <c r="S22" s="31">
        <f t="shared" si="11"/>
        <v>4296184.4535904191</v>
      </c>
      <c r="T22" s="32">
        <f t="shared" si="11"/>
        <v>45.101418536844292</v>
      </c>
    </row>
    <row r="25" spans="2:22" x14ac:dyDescent="0.35">
      <c r="B25" t="s">
        <v>37</v>
      </c>
    </row>
    <row r="26" spans="2:22" ht="15" thickBot="1" x14ac:dyDescent="0.4">
      <c r="B26" t="s">
        <v>43</v>
      </c>
    </row>
    <row r="27" spans="2:22" x14ac:dyDescent="0.35">
      <c r="B27" s="7"/>
      <c r="C27" s="1147" t="s">
        <v>586</v>
      </c>
      <c r="D27" s="1148"/>
      <c r="E27" s="1149"/>
      <c r="F27" s="1149"/>
      <c r="G27" s="1151" t="s">
        <v>587</v>
      </c>
      <c r="H27" s="1152"/>
      <c r="I27" s="1153"/>
      <c r="J27" s="1154"/>
      <c r="K27" s="1147" t="s">
        <v>40</v>
      </c>
      <c r="L27" s="1148"/>
      <c r="M27" s="1149"/>
      <c r="N27" s="1150"/>
      <c r="O27" s="1151" t="s">
        <v>4</v>
      </c>
      <c r="P27" s="1154"/>
      <c r="Q27" s="1155" t="s">
        <v>41</v>
      </c>
      <c r="R27" s="1156"/>
      <c r="S27" s="1156"/>
      <c r="T27" s="1157"/>
    </row>
    <row r="28" spans="2:22" ht="58" x14ac:dyDescent="0.35">
      <c r="B28" s="8" t="s">
        <v>5</v>
      </c>
      <c r="C28" s="17" t="s">
        <v>6</v>
      </c>
      <c r="D28" s="18" t="s">
        <v>7</v>
      </c>
      <c r="E28" s="61" t="s">
        <v>8</v>
      </c>
      <c r="F28" s="19" t="s">
        <v>9</v>
      </c>
      <c r="G28" s="5" t="s">
        <v>6</v>
      </c>
      <c r="H28" s="4" t="s">
        <v>7</v>
      </c>
      <c r="I28" s="71" t="s">
        <v>8</v>
      </c>
      <c r="J28" s="6" t="s">
        <v>9</v>
      </c>
      <c r="K28" s="17" t="s">
        <v>6</v>
      </c>
      <c r="L28" s="18" t="s">
        <v>7</v>
      </c>
      <c r="M28" s="61" t="s">
        <v>8</v>
      </c>
      <c r="N28" s="19" t="s">
        <v>9</v>
      </c>
      <c r="O28" s="5" t="s">
        <v>10</v>
      </c>
      <c r="P28" s="6" t="s">
        <v>11</v>
      </c>
      <c r="Q28" s="17" t="s">
        <v>6</v>
      </c>
      <c r="R28" s="18" t="s">
        <v>7</v>
      </c>
      <c r="S28" s="61" t="s">
        <v>8</v>
      </c>
      <c r="T28" s="19" t="s">
        <v>9</v>
      </c>
    </row>
    <row r="29" spans="2:22" x14ac:dyDescent="0.35">
      <c r="B29" s="9">
        <v>1</v>
      </c>
      <c r="C29" s="338">
        <f t="shared" ref="C29:D44" si="12">SUMIFS(AH$147:AH$484, $B$147:$B$484, "LoadedCorridor", $D$147:$D$484, $B29)/SUMIFS($E$147:$E$484, $B$147:$B$484, "LoadedCorridor", $D$147:$D$484, $B29)</f>
        <v>178.65137074091635</v>
      </c>
      <c r="D29" s="338">
        <f t="shared" si="12"/>
        <v>740.70181056385218</v>
      </c>
      <c r="E29" s="338">
        <f t="shared" ref="E29:E44" si="13">(SUMIFS(AJ$147:AJ$484, $B$147:$B$484, "LoadedCorridor", $D$147:$D$484, $B29) +SUMIFS(AK$147:AK$484, $B$147:$B$484, "LoadedCorridor", $D$147:$D$484, $B29))/SUMIFS($E$147:$E$484, $B$147:$B$484, "LoadedCorridor", $D$147:$D$484, $B29)</f>
        <v>68984.665950796305</v>
      </c>
      <c r="F29" s="22">
        <f t="shared" ref="F29:F44" si="14">SUMIFS(AL$147:AL$484, $B$147:$B$484, "LoadedCorridor", $D$147:$D$484, $B29)/SUMIFS($E$147:$E$484, $B$147:$B$484, "LoadedCorridor", $D$147:$D$484, $B29)</f>
        <v>1.1524724099217074</v>
      </c>
      <c r="G29" s="339">
        <f>C29-K29</f>
        <v>153.6363363305361</v>
      </c>
      <c r="H29" s="339">
        <f t="shared" ref="H29:J44" si="15">D29-L29</f>
        <v>682.00814115857918</v>
      </c>
      <c r="I29" s="339">
        <f t="shared" si="15"/>
        <v>59511.943829012802</v>
      </c>
      <c r="J29" s="36">
        <f t="shared" si="15"/>
        <v>1.0019224389990058</v>
      </c>
      <c r="K29" s="358">
        <f>Q29/$O29</f>
        <v>25.015034410380252</v>
      </c>
      <c r="L29" s="358">
        <f t="shared" ref="L29:N44" si="16">R29/$O29</f>
        <v>58.693669405272978</v>
      </c>
      <c r="M29" s="358">
        <f t="shared" si="16"/>
        <v>9472.7221217835031</v>
      </c>
      <c r="N29" s="358">
        <f t="shared" si="16"/>
        <v>0.15054997092270156</v>
      </c>
      <c r="O29" s="12">
        <v>87.45</v>
      </c>
      <c r="P29" s="14">
        <f>O29/O$45</f>
        <v>5.0994881268521721E-3</v>
      </c>
      <c r="Q29" s="28">
        <f t="shared" ref="Q29:T44" si="17">SUMIFS(AD$147:AD$484, $B$147:$B$484, "LoadedCorridor", $D$147:$D$484, $B29)</f>
        <v>2187.5647591877532</v>
      </c>
      <c r="R29" s="28">
        <f t="shared" si="17"/>
        <v>5132.7613894911219</v>
      </c>
      <c r="S29" s="28">
        <f t="shared" si="17"/>
        <v>828389.5495499674</v>
      </c>
      <c r="T29" s="28">
        <f t="shared" si="17"/>
        <v>13.165594957190251</v>
      </c>
      <c r="U29" s="1143"/>
    </row>
    <row r="30" spans="2:22" x14ac:dyDescent="0.35">
      <c r="B30" s="9">
        <v>2</v>
      </c>
      <c r="C30" s="338">
        <f t="shared" si="12"/>
        <v>152.28602645937775</v>
      </c>
      <c r="D30" s="338">
        <f t="shared" si="12"/>
        <v>648.90633689529398</v>
      </c>
      <c r="E30" s="338">
        <f t="shared" si="13"/>
        <v>63342.699808086669</v>
      </c>
      <c r="F30" s="22">
        <f t="shared" si="14"/>
        <v>0.986601057431016</v>
      </c>
      <c r="G30" s="339">
        <f t="shared" ref="G30:G44" si="18">C30-K30</f>
        <v>135.90173888233673</v>
      </c>
      <c r="H30" s="339">
        <f t="shared" si="15"/>
        <v>646.67229493958712</v>
      </c>
      <c r="I30" s="339">
        <f t="shared" si="15"/>
        <v>57832.749765550019</v>
      </c>
      <c r="J30" s="36">
        <f t="shared" si="15"/>
        <v>0.89669724904464354</v>
      </c>
      <c r="K30" s="358">
        <f t="shared" ref="K30:K44" si="19">Q30/$O30</f>
        <v>16.384287577041018</v>
      </c>
      <c r="L30" s="358">
        <f t="shared" si="16"/>
        <v>2.2340419557068052</v>
      </c>
      <c r="M30" s="358">
        <f t="shared" si="16"/>
        <v>5509.9500425366468</v>
      </c>
      <c r="N30" s="358">
        <f t="shared" si="16"/>
        <v>8.9903808386372436E-2</v>
      </c>
      <c r="O30" s="12">
        <v>519.09</v>
      </c>
      <c r="P30" s="14">
        <f t="shared" ref="P30:P44" si="20">O30/O$45</f>
        <v>3.026979178693761E-2</v>
      </c>
      <c r="Q30" s="28">
        <f t="shared" si="17"/>
        <v>8504.9198383662224</v>
      </c>
      <c r="R30" s="27">
        <f t="shared" si="17"/>
        <v>1159.6688387878455</v>
      </c>
      <c r="S30" s="62">
        <f t="shared" si="17"/>
        <v>2860159.9675803483</v>
      </c>
      <c r="T30" s="29">
        <f t="shared" si="17"/>
        <v>46.668167895282068</v>
      </c>
      <c r="U30" s="1143"/>
    </row>
    <row r="31" spans="2:22" x14ac:dyDescent="0.35">
      <c r="B31" s="9">
        <v>3</v>
      </c>
      <c r="C31" s="338">
        <f t="shared" si="12"/>
        <v>115.80224524883901</v>
      </c>
      <c r="D31" s="338">
        <f t="shared" si="12"/>
        <v>777.84470667435096</v>
      </c>
      <c r="E31" s="338">
        <f t="shared" si="13"/>
        <v>46963.592311017877</v>
      </c>
      <c r="F31" s="22">
        <f t="shared" si="14"/>
        <v>0.81859418492815039</v>
      </c>
      <c r="G31" s="339">
        <f t="shared" si="18"/>
        <v>114.50127451819591</v>
      </c>
      <c r="H31" s="339">
        <f t="shared" si="15"/>
        <v>780.64381076768223</v>
      </c>
      <c r="I31" s="339">
        <f t="shared" si="15"/>
        <v>47099.544073566147</v>
      </c>
      <c r="J31" s="36">
        <f t="shared" si="15"/>
        <v>0.81217092130015356</v>
      </c>
      <c r="K31" s="358">
        <f t="shared" si="19"/>
        <v>1.3009707306430969</v>
      </c>
      <c r="L31" s="358">
        <f t="shared" si="16"/>
        <v>-2.7991040933313145</v>
      </c>
      <c r="M31" s="358">
        <f t="shared" si="16"/>
        <v>-135.95176254826856</v>
      </c>
      <c r="N31" s="358">
        <f t="shared" si="16"/>
        <v>6.4232636279968293E-3</v>
      </c>
      <c r="O31" s="12">
        <v>2517.9</v>
      </c>
      <c r="P31" s="14">
        <f t="shared" si="20"/>
        <v>0.14682677135049838</v>
      </c>
      <c r="Q31" s="28">
        <f t="shared" si="17"/>
        <v>3275.7142026862539</v>
      </c>
      <c r="R31" s="27">
        <f t="shared" si="17"/>
        <v>-7047.8641965989173</v>
      </c>
      <c r="S31" s="62">
        <f t="shared" si="17"/>
        <v>-342312.94292028545</v>
      </c>
      <c r="T31" s="29">
        <f t="shared" si="17"/>
        <v>16.173135488933216</v>
      </c>
      <c r="U31" s="1143"/>
    </row>
    <row r="32" spans="2:22" x14ac:dyDescent="0.35">
      <c r="B32" s="9">
        <v>4</v>
      </c>
      <c r="C32" s="338">
        <f t="shared" si="12"/>
        <v>111.87924610031999</v>
      </c>
      <c r="D32" s="338">
        <f t="shared" si="12"/>
        <v>907.16999274043519</v>
      </c>
      <c r="E32" s="338">
        <f t="shared" si="13"/>
        <v>52121.704233090299</v>
      </c>
      <c r="F32" s="22">
        <f t="shared" si="14"/>
        <v>0.82828060425191818</v>
      </c>
      <c r="G32" s="339">
        <f t="shared" si="18"/>
        <v>110.37560600375626</v>
      </c>
      <c r="H32" s="339">
        <f t="shared" si="15"/>
        <v>904.40156819975994</v>
      </c>
      <c r="I32" s="339">
        <f t="shared" si="15"/>
        <v>52182.41759849251</v>
      </c>
      <c r="J32" s="36">
        <f t="shared" si="15"/>
        <v>0.81941370675365277</v>
      </c>
      <c r="K32" s="358">
        <f t="shared" si="19"/>
        <v>1.5036400965637324</v>
      </c>
      <c r="L32" s="358">
        <f t="shared" si="16"/>
        <v>2.7684245406752432</v>
      </c>
      <c r="M32" s="358">
        <f t="shared" si="16"/>
        <v>-60.713365402207678</v>
      </c>
      <c r="N32" s="358">
        <f t="shared" si="16"/>
        <v>8.8668974982654396E-3</v>
      </c>
      <c r="O32" s="12">
        <v>1311.7500000000002</v>
      </c>
      <c r="P32" s="14">
        <f t="shared" si="20"/>
        <v>7.6492321902782587E-2</v>
      </c>
      <c r="Q32" s="28">
        <f t="shared" si="17"/>
        <v>1972.3998966674762</v>
      </c>
      <c r="R32" s="27">
        <f t="shared" si="17"/>
        <v>3631.4808912307508</v>
      </c>
      <c r="S32" s="62">
        <f t="shared" si="17"/>
        <v>-79640.757066345934</v>
      </c>
      <c r="T32" s="29">
        <f t="shared" si="17"/>
        <v>11.631152793349692</v>
      </c>
      <c r="U32" s="1143"/>
    </row>
    <row r="33" spans="2:21" x14ac:dyDescent="0.35">
      <c r="B33" s="9">
        <v>5</v>
      </c>
      <c r="C33" s="338">
        <f t="shared" si="12"/>
        <v>115.8839580385427</v>
      </c>
      <c r="D33" s="338">
        <f t="shared" si="12"/>
        <v>783.04561254283317</v>
      </c>
      <c r="E33" s="338">
        <f t="shared" si="13"/>
        <v>45900.823599145166</v>
      </c>
      <c r="F33" s="22">
        <f t="shared" si="14"/>
        <v>0.82028995040082298</v>
      </c>
      <c r="G33" s="339">
        <f t="shared" si="18"/>
        <v>114.39267825825944</v>
      </c>
      <c r="H33" s="339">
        <f t="shared" si="15"/>
        <v>786.66255571437318</v>
      </c>
      <c r="I33" s="339">
        <f t="shared" si="15"/>
        <v>46064.996428907842</v>
      </c>
      <c r="J33" s="36">
        <f t="shared" si="15"/>
        <v>0.8130252332140856</v>
      </c>
      <c r="K33" s="358">
        <f t="shared" si="19"/>
        <v>1.4912797802832605</v>
      </c>
      <c r="L33" s="358">
        <f t="shared" si="16"/>
        <v>-3.6169431715400413</v>
      </c>
      <c r="M33" s="358">
        <f t="shared" si="16"/>
        <v>-164.17282976267387</v>
      </c>
      <c r="N33" s="358">
        <f t="shared" si="16"/>
        <v>7.2647171867374297E-3</v>
      </c>
      <c r="O33" s="12">
        <v>232.98000000000002</v>
      </c>
      <c r="P33" s="14">
        <f t="shared" si="20"/>
        <v>1.358580610399107E-2</v>
      </c>
      <c r="Q33" s="28">
        <f t="shared" si="17"/>
        <v>347.43836321039407</v>
      </c>
      <c r="R33" s="27">
        <f t="shared" si="17"/>
        <v>-842.67542010539887</v>
      </c>
      <c r="S33" s="62">
        <f t="shared" si="17"/>
        <v>-38248.985878107764</v>
      </c>
      <c r="T33" s="29">
        <f t="shared" si="17"/>
        <v>1.6925338101660865</v>
      </c>
      <c r="U33" s="1143"/>
    </row>
    <row r="34" spans="2:21" x14ac:dyDescent="0.35">
      <c r="B34" s="9">
        <v>6</v>
      </c>
      <c r="C34" s="338">
        <f t="shared" si="12"/>
        <v>126.38235175221187</v>
      </c>
      <c r="D34" s="338">
        <f t="shared" si="12"/>
        <v>847.68107925021309</v>
      </c>
      <c r="E34" s="338">
        <f t="shared" si="13"/>
        <v>57278.058179617903</v>
      </c>
      <c r="F34" s="22">
        <f t="shared" si="14"/>
        <v>0.89308816255309442</v>
      </c>
      <c r="G34" s="339">
        <f t="shared" si="18"/>
        <v>125.79244321205051</v>
      </c>
      <c r="H34" s="339">
        <f t="shared" si="15"/>
        <v>849.78578113543324</v>
      </c>
      <c r="I34" s="339">
        <f t="shared" si="15"/>
        <v>57351.020784299886</v>
      </c>
      <c r="J34" s="36">
        <f t="shared" si="15"/>
        <v>0.89037642944302309</v>
      </c>
      <c r="K34" s="358">
        <f t="shared" si="19"/>
        <v>0.58990854016136629</v>
      </c>
      <c r="L34" s="358">
        <f t="shared" si="16"/>
        <v>-2.1047018852201504</v>
      </c>
      <c r="M34" s="358">
        <f t="shared" si="16"/>
        <v>-72.96260468198426</v>
      </c>
      <c r="N34" s="358">
        <f t="shared" si="16"/>
        <v>2.7117331100713084E-3</v>
      </c>
      <c r="O34" s="12">
        <v>1112.1000000000001</v>
      </c>
      <c r="P34" s="14">
        <f t="shared" si="20"/>
        <v>6.4850094292421973E-2</v>
      </c>
      <c r="Q34" s="28">
        <f t="shared" si="17"/>
        <v>656.03728751345557</v>
      </c>
      <c r="R34" s="27">
        <f t="shared" si="17"/>
        <v>-2340.6389665533297</v>
      </c>
      <c r="S34" s="62">
        <f t="shared" si="17"/>
        <v>-81141.712666834705</v>
      </c>
      <c r="T34" s="29">
        <f t="shared" si="17"/>
        <v>3.0157183917103025</v>
      </c>
      <c r="U34" s="1143"/>
    </row>
    <row r="35" spans="2:21" x14ac:dyDescent="0.35">
      <c r="B35" s="9">
        <v>7</v>
      </c>
      <c r="C35" s="338">
        <f t="shared" si="12"/>
        <v>124.53644392681939</v>
      </c>
      <c r="D35" s="338">
        <f t="shared" si="12"/>
        <v>807.79564180635737</v>
      </c>
      <c r="E35" s="338">
        <f t="shared" si="13"/>
        <v>53575.887839939285</v>
      </c>
      <c r="F35" s="22">
        <f t="shared" si="14"/>
        <v>0.87343309243133149</v>
      </c>
      <c r="G35" s="339">
        <f t="shared" si="18"/>
        <v>124.05317034581094</v>
      </c>
      <c r="H35" s="339">
        <f t="shared" si="15"/>
        <v>814.24095734145521</v>
      </c>
      <c r="I35" s="339">
        <f t="shared" si="15"/>
        <v>53722.362814456996</v>
      </c>
      <c r="J35" s="36">
        <f t="shared" si="15"/>
        <v>0.87234628440023643</v>
      </c>
      <c r="K35" s="358">
        <f t="shared" si="19"/>
        <v>0.48327358100844364</v>
      </c>
      <c r="L35" s="358">
        <f t="shared" si="16"/>
        <v>-6.4453155350978246</v>
      </c>
      <c r="M35" s="358">
        <f t="shared" si="16"/>
        <v>-146.47497451770877</v>
      </c>
      <c r="N35" s="358">
        <f t="shared" si="16"/>
        <v>1.0868080310950574E-3</v>
      </c>
      <c r="O35" s="12">
        <v>1195.5900000000001</v>
      </c>
      <c r="P35" s="14">
        <f t="shared" si="20"/>
        <v>6.9718662202209139E-2</v>
      </c>
      <c r="Q35" s="28">
        <f t="shared" si="17"/>
        <v>577.79706071788519</v>
      </c>
      <c r="R35" s="27">
        <f t="shared" si="17"/>
        <v>-7705.9548006076093</v>
      </c>
      <c r="S35" s="62">
        <f t="shared" si="17"/>
        <v>-175124.01478362747</v>
      </c>
      <c r="T35" s="29">
        <f t="shared" si="17"/>
        <v>1.2993768138969397</v>
      </c>
      <c r="U35" s="1143"/>
    </row>
    <row r="36" spans="2:21" x14ac:dyDescent="0.35">
      <c r="B36" s="9">
        <v>8</v>
      </c>
      <c r="C36" s="338">
        <f t="shared" si="12"/>
        <v>97.858940283696356</v>
      </c>
      <c r="D36" s="338">
        <f t="shared" si="12"/>
        <v>1004.147075585269</v>
      </c>
      <c r="E36" s="338">
        <f t="shared" si="13"/>
        <v>51136.543193437763</v>
      </c>
      <c r="F36" s="22">
        <f t="shared" si="14"/>
        <v>0.77511694990242253</v>
      </c>
      <c r="G36" s="339">
        <f t="shared" si="18"/>
        <v>96.929977103675583</v>
      </c>
      <c r="H36" s="339">
        <f t="shared" si="15"/>
        <v>993.26073458697851</v>
      </c>
      <c r="I36" s="339">
        <f t="shared" si="15"/>
        <v>50200.502164420417</v>
      </c>
      <c r="J36" s="36">
        <f t="shared" si="15"/>
        <v>0.76743339314403225</v>
      </c>
      <c r="K36" s="358">
        <f t="shared" si="19"/>
        <v>0.92896318002077405</v>
      </c>
      <c r="L36" s="358">
        <f t="shared" si="16"/>
        <v>10.886340998290558</v>
      </c>
      <c r="M36" s="358">
        <f t="shared" si="16"/>
        <v>936.04102901734814</v>
      </c>
      <c r="N36" s="358">
        <f t="shared" si="16"/>
        <v>7.6835567583902363E-3</v>
      </c>
      <c r="O36" s="12">
        <v>1563.54</v>
      </c>
      <c r="P36" s="14">
        <f t="shared" si="20"/>
        <v>9.117499903783241E-2</v>
      </c>
      <c r="Q36" s="28">
        <f t="shared" si="17"/>
        <v>1452.471090489681</v>
      </c>
      <c r="R36" s="27">
        <f t="shared" si="17"/>
        <v>17021.229604467218</v>
      </c>
      <c r="S36" s="62">
        <f t="shared" si="17"/>
        <v>1463537.5905097844</v>
      </c>
      <c r="T36" s="29">
        <f t="shared" si="17"/>
        <v>12.013548334013469</v>
      </c>
      <c r="U36" s="1143"/>
    </row>
    <row r="37" spans="2:21" x14ac:dyDescent="0.35">
      <c r="B37" s="9">
        <v>9</v>
      </c>
      <c r="C37" s="338">
        <f t="shared" si="12"/>
        <v>100.30697924649968</v>
      </c>
      <c r="D37" s="338">
        <f t="shared" si="12"/>
        <v>1021.7721062658746</v>
      </c>
      <c r="E37" s="338">
        <f t="shared" si="13"/>
        <v>52516.783420794854</v>
      </c>
      <c r="F37" s="22">
        <f t="shared" si="14"/>
        <v>0.79270587426924188</v>
      </c>
      <c r="G37" s="339">
        <f t="shared" si="18"/>
        <v>99.596386965221143</v>
      </c>
      <c r="H37" s="339">
        <f t="shared" si="15"/>
        <v>970.45849625547419</v>
      </c>
      <c r="I37" s="339">
        <f t="shared" si="15"/>
        <v>50514.510560216331</v>
      </c>
      <c r="J37" s="36">
        <f t="shared" si="15"/>
        <v>0.7764964652191878</v>
      </c>
      <c r="K37" s="358">
        <f t="shared" si="19"/>
        <v>0.71059228127853413</v>
      </c>
      <c r="L37" s="358">
        <f t="shared" si="16"/>
        <v>51.313610010400424</v>
      </c>
      <c r="M37" s="358">
        <f t="shared" si="16"/>
        <v>2002.2728605785237</v>
      </c>
      <c r="N37" s="358">
        <f t="shared" si="16"/>
        <v>1.6209409050054132E-2</v>
      </c>
      <c r="O37" s="12">
        <v>3670.92</v>
      </c>
      <c r="P37" s="14">
        <f t="shared" si="20"/>
        <v>0.21406304121925873</v>
      </c>
      <c r="Q37" s="28">
        <f t="shared" si="17"/>
        <v>2608.5274171909964</v>
      </c>
      <c r="R37" s="27">
        <f t="shared" si="17"/>
        <v>188368.15725937914</v>
      </c>
      <c r="S37" s="62">
        <f t="shared" si="17"/>
        <v>7350183.4893549141</v>
      </c>
      <c r="T37" s="29">
        <f t="shared" si="17"/>
        <v>59.503443870024711</v>
      </c>
      <c r="U37" s="1143"/>
    </row>
    <row r="38" spans="2:21" x14ac:dyDescent="0.35">
      <c r="B38" s="9">
        <v>10</v>
      </c>
      <c r="C38" s="338">
        <f t="shared" si="12"/>
        <v>103.15841848993298</v>
      </c>
      <c r="D38" s="338">
        <f t="shared" si="12"/>
        <v>1148.1697818828338</v>
      </c>
      <c r="E38" s="338">
        <f t="shared" si="13"/>
        <v>57409.707737184312</v>
      </c>
      <c r="F38" s="22">
        <f t="shared" si="14"/>
        <v>0.83863928045680225</v>
      </c>
      <c r="G38" s="339">
        <f t="shared" si="18"/>
        <v>102.65964546624558</v>
      </c>
      <c r="H38" s="339">
        <f t="shared" si="15"/>
        <v>1087.4330620058677</v>
      </c>
      <c r="I38" s="339">
        <f t="shared" si="15"/>
        <v>55532.546954326564</v>
      </c>
      <c r="J38" s="36">
        <f t="shared" si="15"/>
        <v>0.82132032164925051</v>
      </c>
      <c r="K38" s="358">
        <f t="shared" si="19"/>
        <v>0.49877302368740067</v>
      </c>
      <c r="L38" s="358">
        <f t="shared" si="16"/>
        <v>60.736719876966198</v>
      </c>
      <c r="M38" s="358">
        <f t="shared" si="16"/>
        <v>1877.1607828577464</v>
      </c>
      <c r="N38" s="358">
        <f t="shared" si="16"/>
        <v>1.7318958807551715E-2</v>
      </c>
      <c r="O38" s="12">
        <v>1296.9000000000001</v>
      </c>
      <c r="P38" s="14">
        <f t="shared" si="20"/>
        <v>7.5626371088788821E-2</v>
      </c>
      <c r="Q38" s="28">
        <f t="shared" si="17"/>
        <v>646.85873442018999</v>
      </c>
      <c r="R38" s="27">
        <f t="shared" si="17"/>
        <v>78769.452008437467</v>
      </c>
      <c r="S38" s="62">
        <f t="shared" si="17"/>
        <v>2434489.8192882114</v>
      </c>
      <c r="T38" s="29">
        <f t="shared" si="17"/>
        <v>22.460957677513822</v>
      </c>
      <c r="U38" s="1143"/>
    </row>
    <row r="39" spans="2:21" x14ac:dyDescent="0.35">
      <c r="B39" s="9">
        <v>11</v>
      </c>
      <c r="C39" s="338">
        <f t="shared" si="12"/>
        <v>141.35939538236195</v>
      </c>
      <c r="D39" s="338">
        <f t="shared" si="12"/>
        <v>947.77390044655374</v>
      </c>
      <c r="E39" s="338">
        <f t="shared" si="13"/>
        <v>78107.201190448788</v>
      </c>
      <c r="F39" s="22">
        <f t="shared" si="14"/>
        <v>0.998837218467862</v>
      </c>
      <c r="G39" s="339">
        <f t="shared" si="18"/>
        <v>127.31942574480195</v>
      </c>
      <c r="H39" s="339">
        <f t="shared" si="15"/>
        <v>843.65557824093264</v>
      </c>
      <c r="I39" s="339">
        <f t="shared" si="15"/>
        <v>69255.467394388514</v>
      </c>
      <c r="J39" s="36">
        <f t="shared" si="15"/>
        <v>0.89723180732194996</v>
      </c>
      <c r="K39" s="358">
        <f t="shared" si="19"/>
        <v>14.039969637559999</v>
      </c>
      <c r="L39" s="358">
        <f t="shared" si="16"/>
        <v>104.11832220562114</v>
      </c>
      <c r="M39" s="358">
        <f t="shared" si="16"/>
        <v>8851.7337960602708</v>
      </c>
      <c r="N39" s="358">
        <f t="shared" si="16"/>
        <v>0.10160541114591207</v>
      </c>
      <c r="O39" s="12">
        <v>370.26000000000005</v>
      </c>
      <c r="P39" s="14">
        <f t="shared" si="20"/>
        <v>2.1591040295577877E-2</v>
      </c>
      <c r="Q39" s="28">
        <f t="shared" si="17"/>
        <v>5198.439158002966</v>
      </c>
      <c r="R39" s="27">
        <f t="shared" si="17"/>
        <v>38550.849979853287</v>
      </c>
      <c r="S39" s="62">
        <f t="shared" si="17"/>
        <v>3277442.9553292762</v>
      </c>
      <c r="T39" s="29">
        <f t="shared" si="17"/>
        <v>37.620419530885407</v>
      </c>
      <c r="U39" s="1143"/>
    </row>
    <row r="40" spans="2:21" x14ac:dyDescent="0.35">
      <c r="B40" s="9">
        <v>12</v>
      </c>
      <c r="C40" s="338">
        <f t="shared" si="12"/>
        <v>144.03421772818754</v>
      </c>
      <c r="D40" s="338">
        <f t="shared" si="12"/>
        <v>766.73270076788708</v>
      </c>
      <c r="E40" s="338">
        <f t="shared" si="13"/>
        <v>68936.062280762242</v>
      </c>
      <c r="F40" s="22">
        <f t="shared" si="14"/>
        <v>0.96991248034468591</v>
      </c>
      <c r="G40" s="339">
        <f t="shared" si="18"/>
        <v>129.6938715779261</v>
      </c>
      <c r="H40" s="339">
        <f t="shared" si="15"/>
        <v>752.1981581088055</v>
      </c>
      <c r="I40" s="339">
        <f t="shared" si="15"/>
        <v>63539.852772509723</v>
      </c>
      <c r="J40" s="36">
        <f t="shared" si="15"/>
        <v>0.88820069401140211</v>
      </c>
      <c r="K40" s="358">
        <f t="shared" si="19"/>
        <v>14.340346150261439</v>
      </c>
      <c r="L40" s="358">
        <f t="shared" si="16"/>
        <v>14.53454265908162</v>
      </c>
      <c r="M40" s="358">
        <f t="shared" si="16"/>
        <v>5396.2095082525175</v>
      </c>
      <c r="N40" s="358">
        <f t="shared" si="16"/>
        <v>8.1711786333283826E-2</v>
      </c>
      <c r="O40" s="12">
        <v>2090.5500000000002</v>
      </c>
      <c r="P40" s="14">
        <f t="shared" si="20"/>
        <v>0.12190663125890004</v>
      </c>
      <c r="Q40" s="28">
        <f t="shared" si="17"/>
        <v>29979.210644429055</v>
      </c>
      <c r="R40" s="27">
        <f t="shared" si="17"/>
        <v>30385.188155943084</v>
      </c>
      <c r="S40" s="62">
        <f t="shared" si="17"/>
        <v>11281045.787477301</v>
      </c>
      <c r="T40" s="29">
        <f t="shared" si="17"/>
        <v>170.82257491904653</v>
      </c>
      <c r="U40" s="1143"/>
    </row>
    <row r="41" spans="2:21" x14ac:dyDescent="0.35">
      <c r="B41" s="9">
        <v>13</v>
      </c>
      <c r="C41" s="338">
        <f t="shared" si="12"/>
        <v>135.47987797524056</v>
      </c>
      <c r="D41" s="338">
        <f t="shared" si="12"/>
        <v>955.53304516298135</v>
      </c>
      <c r="E41" s="338">
        <f t="shared" si="13"/>
        <v>77599.984473738048</v>
      </c>
      <c r="F41" s="22">
        <f t="shared" si="14"/>
        <v>0.96863279824111181</v>
      </c>
      <c r="G41" s="339">
        <f t="shared" si="18"/>
        <v>122.46116836450959</v>
      </c>
      <c r="H41" s="339">
        <f t="shared" si="15"/>
        <v>927.16175009765243</v>
      </c>
      <c r="I41" s="339">
        <f t="shared" si="15"/>
        <v>72136.904661872672</v>
      </c>
      <c r="J41" s="36">
        <f t="shared" si="15"/>
        <v>0.89080402979803774</v>
      </c>
      <c r="K41" s="358">
        <f t="shared" si="19"/>
        <v>13.018709610730971</v>
      </c>
      <c r="L41" s="358">
        <f t="shared" si="16"/>
        <v>28.371295065328916</v>
      </c>
      <c r="M41" s="358">
        <f t="shared" si="16"/>
        <v>5463.0798118653747</v>
      </c>
      <c r="N41" s="358">
        <f t="shared" si="16"/>
        <v>7.7828768443074112E-2</v>
      </c>
      <c r="O41" s="12">
        <v>610.17000000000007</v>
      </c>
      <c r="P41" s="14">
        <f t="shared" si="20"/>
        <v>3.5580956779432703E-2</v>
      </c>
      <c r="Q41" s="28">
        <f t="shared" si="17"/>
        <v>7943.6260431797173</v>
      </c>
      <c r="R41" s="27">
        <f t="shared" si="17"/>
        <v>17311.313110011746</v>
      </c>
      <c r="S41" s="62">
        <f t="shared" si="17"/>
        <v>3333407.4088058961</v>
      </c>
      <c r="T41" s="29">
        <f t="shared" si="17"/>
        <v>47.488779640910536</v>
      </c>
      <c r="U41" s="1143"/>
    </row>
    <row r="42" spans="2:21" x14ac:dyDescent="0.35">
      <c r="B42" s="9">
        <v>14</v>
      </c>
      <c r="C42" s="338">
        <f t="shared" si="12"/>
        <v>141.00926265806021</v>
      </c>
      <c r="D42" s="338">
        <f t="shared" si="12"/>
        <v>917.96953787966652</v>
      </c>
      <c r="E42" s="338">
        <f t="shared" si="13"/>
        <v>75504.689211547375</v>
      </c>
      <c r="F42" s="22">
        <f t="shared" si="14"/>
        <v>0.9897637867513106</v>
      </c>
      <c r="G42" s="339">
        <f t="shared" si="18"/>
        <v>127.10520629463531</v>
      </c>
      <c r="H42" s="339">
        <f t="shared" si="15"/>
        <v>831.20077180632973</v>
      </c>
      <c r="I42" s="339">
        <f t="shared" si="15"/>
        <v>67517.551661973077</v>
      </c>
      <c r="J42" s="36">
        <f t="shared" si="15"/>
        <v>0.89306977535060916</v>
      </c>
      <c r="K42" s="358">
        <f t="shared" si="19"/>
        <v>13.904056363424898</v>
      </c>
      <c r="L42" s="358">
        <f t="shared" si="16"/>
        <v>86.768766073336806</v>
      </c>
      <c r="M42" s="358">
        <f t="shared" si="16"/>
        <v>7987.1375495742996</v>
      </c>
      <c r="N42" s="358">
        <f t="shared" si="16"/>
        <v>9.6694011400701399E-2</v>
      </c>
      <c r="O42" s="12">
        <v>277.2</v>
      </c>
      <c r="P42" s="14">
        <f t="shared" si="20"/>
        <v>1.616441519455028E-2</v>
      </c>
      <c r="Q42" s="28">
        <f t="shared" si="17"/>
        <v>3854.2044239413817</v>
      </c>
      <c r="R42" s="27">
        <f t="shared" si="17"/>
        <v>24052.301955528961</v>
      </c>
      <c r="S42" s="62">
        <f t="shared" si="17"/>
        <v>2214034.5287419958</v>
      </c>
      <c r="T42" s="29">
        <f t="shared" si="17"/>
        <v>26.803579960274426</v>
      </c>
      <c r="U42" s="1143"/>
    </row>
    <row r="43" spans="2:21" x14ac:dyDescent="0.35">
      <c r="B43" s="9">
        <v>15</v>
      </c>
      <c r="C43" s="338">
        <f t="shared" si="12"/>
        <v>101.22563732080216</v>
      </c>
      <c r="D43" s="338">
        <f t="shared" si="12"/>
        <v>1274.0769880380594</v>
      </c>
      <c r="E43" s="338">
        <f t="shared" si="13"/>
        <v>88540.240125212993</v>
      </c>
      <c r="F43" s="22">
        <f t="shared" si="14"/>
        <v>0.85835963518720026</v>
      </c>
      <c r="G43" s="339">
        <f t="shared" si="18"/>
        <v>100.49949635255385</v>
      </c>
      <c r="H43" s="339">
        <f t="shared" si="15"/>
        <v>1217.8859697438002</v>
      </c>
      <c r="I43" s="339">
        <f t="shared" si="15"/>
        <v>85947.570816966356</v>
      </c>
      <c r="J43" s="36">
        <f t="shared" si="15"/>
        <v>0.84089310230911796</v>
      </c>
      <c r="K43" s="358">
        <f t="shared" si="19"/>
        <v>0.72614096824832242</v>
      </c>
      <c r="L43" s="358">
        <f t="shared" si="16"/>
        <v>56.191018294259223</v>
      </c>
      <c r="M43" s="358">
        <f t="shared" si="16"/>
        <v>2592.6693082466431</v>
      </c>
      <c r="N43" s="358">
        <f t="shared" si="16"/>
        <v>1.7466532878082253E-2</v>
      </c>
      <c r="O43" s="12">
        <v>180.51</v>
      </c>
      <c r="P43" s="14">
        <f t="shared" si="20"/>
        <v>1.0526113227879766E-2</v>
      </c>
      <c r="Q43" s="28">
        <f t="shared" si="17"/>
        <v>131.07570617850467</v>
      </c>
      <c r="R43" s="27">
        <f t="shared" si="17"/>
        <v>10143.040712296732</v>
      </c>
      <c r="S43" s="62">
        <f t="shared" si="17"/>
        <v>468002.73683160153</v>
      </c>
      <c r="T43" s="29">
        <f t="shared" si="17"/>
        <v>3.152883849822627</v>
      </c>
      <c r="U43" s="1143"/>
    </row>
    <row r="44" spans="2:21" x14ac:dyDescent="0.35">
      <c r="B44" s="9">
        <v>16</v>
      </c>
      <c r="C44" s="338">
        <f t="shared" si="12"/>
        <v>196.57754833319893</v>
      </c>
      <c r="D44" s="338">
        <f t="shared" si="12"/>
        <v>866.27122577038824</v>
      </c>
      <c r="E44" s="338">
        <f t="shared" si="13"/>
        <v>81982.215391060367</v>
      </c>
      <c r="F44" s="22">
        <f t="shared" si="14"/>
        <v>1.280430745466461</v>
      </c>
      <c r="G44" s="339">
        <f t="shared" si="18"/>
        <v>168.19621434528742</v>
      </c>
      <c r="H44" s="339">
        <f t="shared" si="15"/>
        <v>806.65883306223623</v>
      </c>
      <c r="I44" s="339">
        <f t="shared" si="15"/>
        <v>71182.692165196015</v>
      </c>
      <c r="J44" s="36">
        <f t="shared" si="15"/>
        <v>1.1112987303676147</v>
      </c>
      <c r="K44" s="358">
        <f t="shared" si="19"/>
        <v>28.381333987911525</v>
      </c>
      <c r="L44" s="358">
        <f t="shared" si="16"/>
        <v>59.612392708152015</v>
      </c>
      <c r="M44" s="358">
        <f t="shared" si="16"/>
        <v>10799.523225864346</v>
      </c>
      <c r="N44" s="358">
        <f t="shared" si="16"/>
        <v>0.16913201509884623</v>
      </c>
      <c r="O44" s="12">
        <v>111.87</v>
      </c>
      <c r="P44" s="14">
        <f t="shared" si="20"/>
        <v>6.5234961320863637E-3</v>
      </c>
      <c r="Q44" s="28">
        <f t="shared" si="17"/>
        <v>3175.0198332276623</v>
      </c>
      <c r="R44" s="27">
        <f t="shared" si="17"/>
        <v>6668.838372260966</v>
      </c>
      <c r="S44" s="62">
        <f t="shared" si="17"/>
        <v>1208142.6632774444</v>
      </c>
      <c r="T44" s="29">
        <f t="shared" si="17"/>
        <v>18.92079852910793</v>
      </c>
      <c r="U44" s="1143"/>
    </row>
    <row r="45" spans="2:21" ht="15" thickBot="1" x14ac:dyDescent="0.4">
      <c r="B45" s="10" t="s">
        <v>12</v>
      </c>
      <c r="C45" s="67"/>
      <c r="D45" s="67"/>
      <c r="E45" s="67"/>
      <c r="F45" s="80"/>
      <c r="G45" s="67"/>
      <c r="H45" s="67"/>
      <c r="I45" s="67"/>
      <c r="J45" s="80"/>
      <c r="K45" s="67"/>
      <c r="L45" s="67"/>
      <c r="M45" s="80"/>
      <c r="N45" s="81"/>
      <c r="O45" s="16">
        <f t="shared" ref="O45:T45" si="21">SUM(O29:O44)</f>
        <v>17148.780000000002</v>
      </c>
      <c r="P45" s="15">
        <f t="shared" si="21"/>
        <v>1</v>
      </c>
      <c r="Q45" s="30">
        <f t="shared" si="21"/>
        <v>72511.304459409614</v>
      </c>
      <c r="R45" s="31">
        <f t="shared" si="21"/>
        <v>403257.14889382303</v>
      </c>
      <c r="S45" s="31">
        <f t="shared" si="21"/>
        <v>36002368.083431542</v>
      </c>
      <c r="T45" s="32">
        <f t="shared" si="21"/>
        <v>492.43266646212794</v>
      </c>
      <c r="U45" s="1143"/>
    </row>
    <row r="46" spans="2:21" x14ac:dyDescent="0.35">
      <c r="C46" s="350"/>
      <c r="D46" s="350"/>
      <c r="E46" s="350"/>
      <c r="F46" s="351"/>
      <c r="G46" s="350"/>
      <c r="H46" s="350"/>
      <c r="I46" s="350"/>
      <c r="J46" s="351"/>
      <c r="K46" s="350"/>
      <c r="L46" s="350"/>
      <c r="M46" s="351"/>
      <c r="N46" s="352"/>
      <c r="O46" s="353"/>
      <c r="P46" s="354"/>
      <c r="Q46" s="1143"/>
      <c r="R46" s="1143"/>
      <c r="S46" s="1143"/>
      <c r="T46" s="350"/>
    </row>
    <row r="48" spans="2:21" x14ac:dyDescent="0.35">
      <c r="B48" t="s">
        <v>44</v>
      </c>
    </row>
    <row r="49" spans="2:21" ht="15" thickBot="1" x14ac:dyDescent="0.4">
      <c r="B49" t="s">
        <v>45</v>
      </c>
    </row>
    <row r="50" spans="2:21" x14ac:dyDescent="0.35">
      <c r="B50" s="7"/>
      <c r="C50" s="1147" t="s">
        <v>586</v>
      </c>
      <c r="D50" s="1148"/>
      <c r="E50" s="1149"/>
      <c r="F50" s="1149"/>
      <c r="G50" s="1151" t="s">
        <v>587</v>
      </c>
      <c r="H50" s="1152"/>
      <c r="I50" s="1153"/>
      <c r="J50" s="1154"/>
      <c r="K50" s="1147" t="s">
        <v>40</v>
      </c>
      <c r="L50" s="1148"/>
      <c r="M50" s="1149"/>
      <c r="N50" s="1150"/>
      <c r="O50" s="1151" t="s">
        <v>4</v>
      </c>
      <c r="P50" s="1154"/>
      <c r="Q50" s="1155" t="s">
        <v>41</v>
      </c>
      <c r="R50" s="1156"/>
      <c r="S50" s="1156"/>
      <c r="T50" s="1157"/>
    </row>
    <row r="51" spans="2:21" ht="58" x14ac:dyDescent="0.35">
      <c r="B51" s="8" t="s">
        <v>5</v>
      </c>
      <c r="C51" s="17" t="s">
        <v>6</v>
      </c>
      <c r="D51" s="18" t="s">
        <v>7</v>
      </c>
      <c r="E51" s="61" t="s">
        <v>8</v>
      </c>
      <c r="F51" s="19" t="s">
        <v>9</v>
      </c>
      <c r="G51" s="5" t="s">
        <v>6</v>
      </c>
      <c r="H51" s="4" t="s">
        <v>7</v>
      </c>
      <c r="I51" s="71" t="s">
        <v>8</v>
      </c>
      <c r="J51" s="6" t="s">
        <v>9</v>
      </c>
      <c r="K51" s="17" t="s">
        <v>6</v>
      </c>
      <c r="L51" s="18" t="s">
        <v>7</v>
      </c>
      <c r="M51" s="61" t="s">
        <v>8</v>
      </c>
      <c r="N51" s="19" t="s">
        <v>9</v>
      </c>
      <c r="O51" s="5" t="s">
        <v>10</v>
      </c>
      <c r="P51" s="6" t="s">
        <v>11</v>
      </c>
      <c r="Q51" s="17" t="s">
        <v>6</v>
      </c>
      <c r="R51" s="18" t="s">
        <v>7</v>
      </c>
      <c r="S51" s="61" t="s">
        <v>8</v>
      </c>
      <c r="T51" s="19" t="s">
        <v>9</v>
      </c>
    </row>
    <row r="52" spans="2:21" x14ac:dyDescent="0.35">
      <c r="B52" s="9">
        <v>1</v>
      </c>
      <c r="C52" s="338">
        <f t="shared" ref="C52:D67" si="22">SUMIFS(AH$147:AH$484, $B$147:$B$484, "MidRiseMixedUse", $D$147:$D$484, $B52)/SUMIFS($E$147:$E$484, $B$147:$B$484, "MidRiseMixedUse", $D$147:$D$484, $B52)</f>
        <v>188.44295461149804</v>
      </c>
      <c r="D52" s="338">
        <f t="shared" si="22"/>
        <v>4151.0474228471321</v>
      </c>
      <c r="E52" s="338">
        <f t="shared" ref="E52:E67" si="23">(SUMIFS(AJ$147:AJ$484, $B$147:$B$484, "MidRiseMixedUse", $D$147:$D$484, $B52) +SUMIFS(AK$147:AK$484, $B$147:$B$484, "MidRiseMixedUse", $D$147:$D$484, $B52))/SUMIFS($E$147:$E$484, $B$147:$B$484, "MidRiseMixedUse", $D$147:$D$484, $B52)</f>
        <v>171455.23450270502</v>
      </c>
      <c r="F52" s="22">
        <f t="shared" ref="F52:F67" si="24">SUMIFS(AL$147:AL$484, $B$147:$B$484, "MidRiseMixedUse", $D$147:$D$484, $B52)/SUMIFS($E$147:$E$484, $B$147:$B$484, "MidRiseMixedUse", $D$147:$D$484, $B52)</f>
        <v>2.02557713608019</v>
      </c>
      <c r="G52" s="339">
        <f>C52-K52</f>
        <v>130.38069397528517</v>
      </c>
      <c r="H52" s="339">
        <f t="shared" ref="H52:J67" si="25">D52-L52</f>
        <v>4150.5903908211976</v>
      </c>
      <c r="I52" s="339">
        <f t="shared" si="25"/>
        <v>154520.53325183122</v>
      </c>
      <c r="J52" s="36">
        <f t="shared" si="25"/>
        <v>1.7087711280464171</v>
      </c>
      <c r="K52" s="358">
        <f>Q52/$O52</f>
        <v>58.062260636212855</v>
      </c>
      <c r="L52" s="358">
        <f t="shared" ref="L52:N67" si="26">R52/$O52</f>
        <v>0.45703202593416131</v>
      </c>
      <c r="M52" s="358">
        <f t="shared" si="26"/>
        <v>16934.701250873786</v>
      </c>
      <c r="N52" s="358">
        <f t="shared" si="26"/>
        <v>0.31680600803377301</v>
      </c>
      <c r="O52" s="12">
        <v>153.69999999999999</v>
      </c>
      <c r="P52" s="14">
        <f>O52/O$68</f>
        <v>5.099488126852173E-3</v>
      </c>
      <c r="Q52" s="28">
        <f t="shared" ref="Q52:T67" si="27">SUMIFS(AD$147:AD$484, $B$147:$B$484, "MidRiseMixedUse", $D$147:$D$484, $B52)</f>
        <v>8924.169459785915</v>
      </c>
      <c r="R52" s="27">
        <f t="shared" si="27"/>
        <v>70.24582238608059</v>
      </c>
      <c r="S52" s="62">
        <f t="shared" si="27"/>
        <v>2602863.5822593006</v>
      </c>
      <c r="T52" s="29">
        <f t="shared" si="27"/>
        <v>48.693083434790907</v>
      </c>
      <c r="U52" s="1143"/>
    </row>
    <row r="53" spans="2:21" x14ac:dyDescent="0.35">
      <c r="B53" s="9">
        <v>2</v>
      </c>
      <c r="C53" s="338">
        <f t="shared" si="22"/>
        <v>157.75350493570167</v>
      </c>
      <c r="D53" s="338">
        <f t="shared" si="22"/>
        <v>5180.5569956075351</v>
      </c>
      <c r="E53" s="338">
        <f t="shared" si="23"/>
        <v>202101.79008606958</v>
      </c>
      <c r="F53" s="22">
        <f t="shared" si="24"/>
        <v>2.1056327599443958</v>
      </c>
      <c r="G53" s="339">
        <f t="shared" ref="G53:G67" si="28">C53-K53</f>
        <v>125.79511164021208</v>
      </c>
      <c r="H53" s="339">
        <f t="shared" si="25"/>
        <v>5156.3650795527237</v>
      </c>
      <c r="I53" s="339">
        <f t="shared" si="25"/>
        <v>187008.00058007179</v>
      </c>
      <c r="J53" s="36">
        <f t="shared" si="25"/>
        <v>1.9255034752711562</v>
      </c>
      <c r="K53" s="358">
        <f t="shared" ref="K53:K67" si="29">Q53/$O53</f>
        <v>31.958393295489586</v>
      </c>
      <c r="L53" s="358">
        <f t="shared" si="26"/>
        <v>24.191916054810932</v>
      </c>
      <c r="M53" s="358">
        <f t="shared" si="26"/>
        <v>15093.789505997776</v>
      </c>
      <c r="N53" s="358">
        <f t="shared" si="26"/>
        <v>0.18012928467323955</v>
      </c>
      <c r="O53" s="12">
        <v>912.33999999999992</v>
      </c>
      <c r="P53" s="14">
        <f t="shared" ref="P53:P67" si="30">O53/O$68</f>
        <v>3.0269791786937617E-2</v>
      </c>
      <c r="Q53" s="28">
        <f t="shared" si="27"/>
        <v>29156.920539206967</v>
      </c>
      <c r="R53" s="27">
        <f t="shared" si="27"/>
        <v>22071.252693446204</v>
      </c>
      <c r="S53" s="62">
        <f t="shared" si="27"/>
        <v>13770667.91790201</v>
      </c>
      <c r="T53" s="29">
        <f t="shared" si="27"/>
        <v>164.33915157878334</v>
      </c>
      <c r="U53" s="1143"/>
    </row>
    <row r="54" spans="2:21" x14ac:dyDescent="0.35">
      <c r="B54" s="9">
        <v>3</v>
      </c>
      <c r="C54" s="338">
        <f t="shared" si="22"/>
        <v>114.51458290491065</v>
      </c>
      <c r="D54" s="338">
        <f t="shared" si="22"/>
        <v>3902.0862909820216</v>
      </c>
      <c r="E54" s="338">
        <f t="shared" si="23"/>
        <v>147112.88080866757</v>
      </c>
      <c r="F54" s="22">
        <f t="shared" si="24"/>
        <v>1.5625011695899329</v>
      </c>
      <c r="G54" s="339">
        <f t="shared" si="28"/>
        <v>104.62236758340639</v>
      </c>
      <c r="H54" s="339">
        <f t="shared" si="25"/>
        <v>3883.3673834030697</v>
      </c>
      <c r="I54" s="339">
        <f t="shared" si="25"/>
        <v>143813.42864410521</v>
      </c>
      <c r="J54" s="36">
        <f t="shared" si="25"/>
        <v>1.5040456349601294</v>
      </c>
      <c r="K54" s="358">
        <f t="shared" si="29"/>
        <v>9.8922153215042616</v>
      </c>
      <c r="L54" s="358">
        <f t="shared" si="26"/>
        <v>18.718907578951772</v>
      </c>
      <c r="M54" s="358">
        <f t="shared" si="26"/>
        <v>3299.4521645623604</v>
      </c>
      <c r="N54" s="358">
        <f t="shared" si="26"/>
        <v>5.8455534629803484E-2</v>
      </c>
      <c r="O54" s="12">
        <v>4425.3999999999996</v>
      </c>
      <c r="P54" s="14">
        <f t="shared" si="30"/>
        <v>0.1468267713504984</v>
      </c>
      <c r="Q54" s="28">
        <f t="shared" si="27"/>
        <v>43777.009683784956</v>
      </c>
      <c r="R54" s="27">
        <f t="shared" si="27"/>
        <v>82838.653599893165</v>
      </c>
      <c r="S54" s="62">
        <f t="shared" si="27"/>
        <v>14601395.609054269</v>
      </c>
      <c r="T54" s="29">
        <f t="shared" si="27"/>
        <v>258.68912295073233</v>
      </c>
      <c r="U54" s="1143"/>
    </row>
    <row r="55" spans="2:21" x14ac:dyDescent="0.35">
      <c r="B55" s="9">
        <v>4</v>
      </c>
      <c r="C55" s="338">
        <f t="shared" si="22"/>
        <v>114.64935060307319</v>
      </c>
      <c r="D55" s="338">
        <f t="shared" si="22"/>
        <v>4520.8775920809348</v>
      </c>
      <c r="E55" s="338">
        <f t="shared" si="23"/>
        <v>167794.64676531561</v>
      </c>
      <c r="F55" s="22">
        <f t="shared" si="24"/>
        <v>1.7119664972365607</v>
      </c>
      <c r="G55" s="339">
        <f t="shared" si="28"/>
        <v>105.21014440199922</v>
      </c>
      <c r="H55" s="339">
        <f t="shared" si="25"/>
        <v>4464.0350850048753</v>
      </c>
      <c r="I55" s="339">
        <f t="shared" si="25"/>
        <v>162850.5146743994</v>
      </c>
      <c r="J55" s="36">
        <f t="shared" si="25"/>
        <v>1.6468186274999927</v>
      </c>
      <c r="K55" s="358">
        <f t="shared" si="29"/>
        <v>9.4392062010739686</v>
      </c>
      <c r="L55" s="358">
        <f t="shared" si="26"/>
        <v>56.84250707605927</v>
      </c>
      <c r="M55" s="358">
        <f t="shared" si="26"/>
        <v>4944.1320909162223</v>
      </c>
      <c r="N55" s="358">
        <f t="shared" si="26"/>
        <v>6.5147869736567887E-2</v>
      </c>
      <c r="O55" s="12">
        <v>2305.5</v>
      </c>
      <c r="P55" s="14">
        <f t="shared" si="30"/>
        <v>7.6492321902782601E-2</v>
      </c>
      <c r="Q55" s="28">
        <f t="shared" si="27"/>
        <v>21762.089896576035</v>
      </c>
      <c r="R55" s="27">
        <f t="shared" si="27"/>
        <v>131050.40006385464</v>
      </c>
      <c r="S55" s="62">
        <f t="shared" si="27"/>
        <v>11398696.535607351</v>
      </c>
      <c r="T55" s="29">
        <f t="shared" si="27"/>
        <v>150.19841367765727</v>
      </c>
      <c r="U55" s="1143"/>
    </row>
    <row r="56" spans="2:21" x14ac:dyDescent="0.35">
      <c r="B56" s="9">
        <v>5</v>
      </c>
      <c r="C56" s="338">
        <f t="shared" si="22"/>
        <v>114.53908701612521</v>
      </c>
      <c r="D56" s="338">
        <f t="shared" si="22"/>
        <v>3939.199730566027</v>
      </c>
      <c r="E56" s="338">
        <f t="shared" si="23"/>
        <v>144033.73502843382</v>
      </c>
      <c r="F56" s="22">
        <f t="shared" si="24"/>
        <v>1.5715552660080367</v>
      </c>
      <c r="G56" s="339">
        <f t="shared" si="28"/>
        <v>104.08076120705478</v>
      </c>
      <c r="H56" s="339">
        <f t="shared" si="25"/>
        <v>3920.6894210432315</v>
      </c>
      <c r="I56" s="339">
        <f t="shared" si="25"/>
        <v>141120.46849647141</v>
      </c>
      <c r="J56" s="36">
        <f t="shared" si="25"/>
        <v>1.5100620628533592</v>
      </c>
      <c r="K56" s="358">
        <f t="shared" si="29"/>
        <v>10.458325809070431</v>
      </c>
      <c r="L56" s="358">
        <f t="shared" si="26"/>
        <v>18.510309522795591</v>
      </c>
      <c r="M56" s="358">
        <f t="shared" si="26"/>
        <v>2913.2665319623925</v>
      </c>
      <c r="N56" s="358">
        <f t="shared" si="26"/>
        <v>6.1493203154677482E-2</v>
      </c>
      <c r="O56" s="12">
        <v>409.47999999999996</v>
      </c>
      <c r="P56" s="14">
        <f t="shared" si="30"/>
        <v>1.3585806103991072E-2</v>
      </c>
      <c r="Q56" s="28">
        <f t="shared" si="27"/>
        <v>4282.4752522981598</v>
      </c>
      <c r="R56" s="27">
        <f t="shared" si="27"/>
        <v>7579.6015433943376</v>
      </c>
      <c r="S56" s="62">
        <f t="shared" si="27"/>
        <v>1192924.3795079603</v>
      </c>
      <c r="T56" s="29">
        <f t="shared" si="27"/>
        <v>25.180236827777332</v>
      </c>
      <c r="U56" s="1143"/>
    </row>
    <row r="57" spans="2:21" x14ac:dyDescent="0.35">
      <c r="B57" s="9">
        <v>6</v>
      </c>
      <c r="C57" s="338">
        <f t="shared" si="22"/>
        <v>100.11019563263986</v>
      </c>
      <c r="D57" s="338">
        <f t="shared" si="22"/>
        <v>4706.6923199399826</v>
      </c>
      <c r="E57" s="338">
        <f t="shared" si="23"/>
        <v>165332.19678256501</v>
      </c>
      <c r="F57" s="22">
        <f t="shared" si="24"/>
        <v>1.6773254874300774</v>
      </c>
      <c r="G57" s="339">
        <f t="shared" si="28"/>
        <v>110.12101099649759</v>
      </c>
      <c r="H57" s="339">
        <f t="shared" si="25"/>
        <v>4705.3675718145214</v>
      </c>
      <c r="I57" s="339">
        <f t="shared" si="25"/>
        <v>162844.90204427144</v>
      </c>
      <c r="J57" s="36">
        <f t="shared" si="25"/>
        <v>1.7316103025284182</v>
      </c>
      <c r="K57" s="358">
        <f t="shared" si="29"/>
        <v>-10.010815363857732</v>
      </c>
      <c r="L57" s="358">
        <f t="shared" si="26"/>
        <v>1.3247481254613227</v>
      </c>
      <c r="M57" s="358">
        <f t="shared" si="26"/>
        <v>2487.2947382935549</v>
      </c>
      <c r="N57" s="358">
        <f t="shared" si="26"/>
        <v>-5.4284815098340815E-2</v>
      </c>
      <c r="O57" s="12">
        <v>1954.6</v>
      </c>
      <c r="P57" s="14">
        <f t="shared" si="30"/>
        <v>6.4850094292421973E-2</v>
      </c>
      <c r="Q57" s="28">
        <f t="shared" si="27"/>
        <v>-19567.139710196323</v>
      </c>
      <c r="R57" s="27">
        <f t="shared" si="27"/>
        <v>2589.3526860267011</v>
      </c>
      <c r="S57" s="62">
        <f t="shared" si="27"/>
        <v>4861666.2954685818</v>
      </c>
      <c r="T57" s="29">
        <f t="shared" si="27"/>
        <v>-106.10509959121696</v>
      </c>
      <c r="U57" s="1143"/>
    </row>
    <row r="58" spans="2:21" x14ac:dyDescent="0.35">
      <c r="B58" s="9">
        <v>7</v>
      </c>
      <c r="C58" s="338">
        <f t="shared" si="22"/>
        <v>90.255493203986177</v>
      </c>
      <c r="D58" s="338">
        <f t="shared" si="22"/>
        <v>4356.4608662035998</v>
      </c>
      <c r="E58" s="338">
        <f t="shared" si="23"/>
        <v>151556.27885797818</v>
      </c>
      <c r="F58" s="22">
        <f t="shared" si="24"/>
        <v>1.5393935100389653</v>
      </c>
      <c r="G58" s="339">
        <f t="shared" si="28"/>
        <v>99.519425484829455</v>
      </c>
      <c r="H58" s="339">
        <f t="shared" si="25"/>
        <v>4367.6609193021004</v>
      </c>
      <c r="I58" s="339">
        <f t="shared" si="25"/>
        <v>150276.60198876183</v>
      </c>
      <c r="J58" s="36">
        <f t="shared" si="25"/>
        <v>1.5926149205594702</v>
      </c>
      <c r="K58" s="358">
        <f t="shared" si="29"/>
        <v>-9.2639322808432816</v>
      </c>
      <c r="L58" s="358">
        <f t="shared" si="26"/>
        <v>-11.200053098500861</v>
      </c>
      <c r="M58" s="358">
        <f t="shared" si="26"/>
        <v>1279.6768692163591</v>
      </c>
      <c r="N58" s="358">
        <f t="shared" si="26"/>
        <v>-5.3221410520504921E-2</v>
      </c>
      <c r="O58" s="12">
        <v>2101.3399999999997</v>
      </c>
      <c r="P58" s="14">
        <f t="shared" si="30"/>
        <v>6.9718662202209139E-2</v>
      </c>
      <c r="Q58" s="28">
        <f t="shared" si="27"/>
        <v>-19466.671459027217</v>
      </c>
      <c r="R58" s="27">
        <f t="shared" si="27"/>
        <v>-23535.119578003796</v>
      </c>
      <c r="S58" s="62">
        <f t="shared" si="27"/>
        <v>2689036.1923591038</v>
      </c>
      <c r="T58" s="29">
        <f t="shared" si="27"/>
        <v>-111.83627878315779</v>
      </c>
      <c r="U58" s="1143"/>
    </row>
    <row r="59" spans="2:21" x14ac:dyDescent="0.35">
      <c r="B59" s="9">
        <v>8</v>
      </c>
      <c r="C59" s="338">
        <f t="shared" si="22"/>
        <v>103.96967039825979</v>
      </c>
      <c r="D59" s="338">
        <f t="shared" si="22"/>
        <v>5459.0753561197616</v>
      </c>
      <c r="E59" s="338">
        <f t="shared" si="23"/>
        <v>187099.40954356221</v>
      </c>
      <c r="F59" s="22">
        <f t="shared" si="24"/>
        <v>1.8792165296728147</v>
      </c>
      <c r="G59" s="339">
        <f t="shared" si="28"/>
        <v>99.927658835735571</v>
      </c>
      <c r="H59" s="339">
        <f t="shared" si="25"/>
        <v>5345.1594627638497</v>
      </c>
      <c r="I59" s="339">
        <f t="shared" si="25"/>
        <v>182106.33225988242</v>
      </c>
      <c r="J59" s="36">
        <f t="shared" si="25"/>
        <v>1.8297893100521279</v>
      </c>
      <c r="K59" s="358">
        <f t="shared" si="29"/>
        <v>4.042011562524217</v>
      </c>
      <c r="L59" s="358">
        <f t="shared" si="26"/>
        <v>113.91589335591192</v>
      </c>
      <c r="M59" s="358">
        <f t="shared" si="26"/>
        <v>4993.0772836798133</v>
      </c>
      <c r="N59" s="358">
        <f t="shared" si="26"/>
        <v>4.9427219620686899E-2</v>
      </c>
      <c r="O59" s="12">
        <v>2748.04</v>
      </c>
      <c r="P59" s="14">
        <f t="shared" si="30"/>
        <v>9.1174999037832438E-2</v>
      </c>
      <c r="Q59" s="28">
        <f t="shared" si="27"/>
        <v>11107.609454279049</v>
      </c>
      <c r="R59" s="27">
        <f t="shared" si="27"/>
        <v>313045.43157778017</v>
      </c>
      <c r="S59" s="62">
        <f t="shared" si="27"/>
        <v>13721176.098643474</v>
      </c>
      <c r="T59" s="29">
        <f t="shared" si="27"/>
        <v>135.82797660643243</v>
      </c>
      <c r="U59" s="1143"/>
    </row>
    <row r="60" spans="2:21" x14ac:dyDescent="0.35">
      <c r="B60" s="9">
        <v>9</v>
      </c>
      <c r="C60" s="338">
        <f t="shared" si="22"/>
        <v>115.99542088406068</v>
      </c>
      <c r="D60" s="338">
        <f t="shared" si="22"/>
        <v>5715.1036148663943</v>
      </c>
      <c r="E60" s="338">
        <f t="shared" si="23"/>
        <v>199642.12379904295</v>
      </c>
      <c r="F60" s="22">
        <f t="shared" si="24"/>
        <v>2.0063480124847373</v>
      </c>
      <c r="G60" s="339">
        <f t="shared" si="28"/>
        <v>110.79773180293962</v>
      </c>
      <c r="H60" s="339">
        <f t="shared" si="25"/>
        <v>5580.7986039811713</v>
      </c>
      <c r="I60" s="339">
        <f t="shared" si="25"/>
        <v>193447.91042582472</v>
      </c>
      <c r="J60" s="36">
        <f t="shared" si="25"/>
        <v>1.9457165900385862</v>
      </c>
      <c r="K60" s="358">
        <f t="shared" si="29"/>
        <v>5.197689081121057</v>
      </c>
      <c r="L60" s="358">
        <f t="shared" si="26"/>
        <v>134.3050108852228</v>
      </c>
      <c r="M60" s="358">
        <f t="shared" si="26"/>
        <v>6194.2133732182356</v>
      </c>
      <c r="N60" s="358">
        <f t="shared" si="26"/>
        <v>6.0631422446151155E-2</v>
      </c>
      <c r="O60" s="12">
        <v>6451.92</v>
      </c>
      <c r="P60" s="14">
        <f t="shared" si="30"/>
        <v>0.21406304121925879</v>
      </c>
      <c r="Q60" s="28">
        <f t="shared" si="27"/>
        <v>33535.074136266572</v>
      </c>
      <c r="R60" s="27">
        <f t="shared" si="27"/>
        <v>866525.18583058671</v>
      </c>
      <c r="S60" s="62">
        <f t="shared" si="27"/>
        <v>39964569.146934196</v>
      </c>
      <c r="T60" s="29">
        <f t="shared" si="27"/>
        <v>391.18908710877156</v>
      </c>
      <c r="U60" s="1143"/>
    </row>
    <row r="61" spans="2:21" x14ac:dyDescent="0.35">
      <c r="B61" s="9">
        <v>10</v>
      </c>
      <c r="C61" s="338">
        <f t="shared" si="22"/>
        <v>112.50458559953823</v>
      </c>
      <c r="D61" s="338">
        <f t="shared" si="22"/>
        <v>5845.2663087757273</v>
      </c>
      <c r="E61" s="338">
        <f t="shared" si="23"/>
        <v>200323.28362324223</v>
      </c>
      <c r="F61" s="22">
        <f t="shared" si="24"/>
        <v>2.0185929125959685</v>
      </c>
      <c r="G61" s="339">
        <f t="shared" si="28"/>
        <v>106.17579237866302</v>
      </c>
      <c r="H61" s="339">
        <f t="shared" si="25"/>
        <v>5690.6990037485775</v>
      </c>
      <c r="I61" s="339">
        <f t="shared" si="25"/>
        <v>193489.47133664755</v>
      </c>
      <c r="J61" s="36">
        <f t="shared" si="25"/>
        <v>1.9469218037102916</v>
      </c>
      <c r="K61" s="358">
        <f t="shared" si="29"/>
        <v>6.3287932208752151</v>
      </c>
      <c r="L61" s="358">
        <f t="shared" si="26"/>
        <v>154.56730502715004</v>
      </c>
      <c r="M61" s="358">
        <f t="shared" si="26"/>
        <v>6833.8122865946843</v>
      </c>
      <c r="N61" s="358">
        <f t="shared" si="26"/>
        <v>7.1671108885676973E-2</v>
      </c>
      <c r="O61" s="12">
        <v>2279.4</v>
      </c>
      <c r="P61" s="14">
        <f t="shared" si="30"/>
        <v>7.5626371088788835E-2</v>
      </c>
      <c r="Q61" s="28">
        <f t="shared" si="27"/>
        <v>14425.851267662965</v>
      </c>
      <c r="R61" s="27">
        <f t="shared" si="27"/>
        <v>352320.71507888584</v>
      </c>
      <c r="S61" s="62">
        <f t="shared" si="27"/>
        <v>15576991.726063924</v>
      </c>
      <c r="T61" s="29">
        <f t="shared" si="27"/>
        <v>163.36712559401209</v>
      </c>
      <c r="U61" s="1143"/>
    </row>
    <row r="62" spans="2:21" x14ac:dyDescent="0.35">
      <c r="B62" s="9">
        <v>11</v>
      </c>
      <c r="C62" s="338">
        <f t="shared" si="22"/>
        <v>150.19235412863429</v>
      </c>
      <c r="D62" s="338">
        <f t="shared" si="22"/>
        <v>6061.545793474631</v>
      </c>
      <c r="E62" s="338">
        <f t="shared" si="23"/>
        <v>227180.03350542087</v>
      </c>
      <c r="F62" s="22">
        <f t="shared" si="24"/>
        <v>2.2761420498576936</v>
      </c>
      <c r="G62" s="339">
        <f t="shared" si="28"/>
        <v>120.13572850859893</v>
      </c>
      <c r="H62" s="339">
        <f t="shared" si="25"/>
        <v>5864.029108914865</v>
      </c>
      <c r="I62" s="339">
        <f t="shared" si="25"/>
        <v>210211.19939184448</v>
      </c>
      <c r="J62" s="36">
        <f t="shared" si="25"/>
        <v>2.0647261506168997</v>
      </c>
      <c r="K62" s="358">
        <f t="shared" si="29"/>
        <v>30.056625620035369</v>
      </c>
      <c r="L62" s="358">
        <f t="shared" si="26"/>
        <v>197.51668455976571</v>
      </c>
      <c r="M62" s="358">
        <f t="shared" si="26"/>
        <v>16968.83411357638</v>
      </c>
      <c r="N62" s="358">
        <f t="shared" si="26"/>
        <v>0.21141589924079385</v>
      </c>
      <c r="O62" s="12">
        <v>650.75999999999988</v>
      </c>
      <c r="P62" s="14">
        <f t="shared" si="30"/>
        <v>2.1591040295577877E-2</v>
      </c>
      <c r="Q62" s="28">
        <f t="shared" si="27"/>
        <v>19559.649688494213</v>
      </c>
      <c r="R62" s="27">
        <f t="shared" si="27"/>
        <v>128535.95764411311</v>
      </c>
      <c r="S62" s="62">
        <f t="shared" si="27"/>
        <v>11042638.487750962</v>
      </c>
      <c r="T62" s="29">
        <f t="shared" si="27"/>
        <v>137.58101058993898</v>
      </c>
      <c r="U62" s="1143"/>
    </row>
    <row r="63" spans="2:21" x14ac:dyDescent="0.35">
      <c r="B63" s="9">
        <v>12</v>
      </c>
      <c r="C63" s="338">
        <f t="shared" si="22"/>
        <v>144.40715893524586</v>
      </c>
      <c r="D63" s="338">
        <f t="shared" si="22"/>
        <v>5532.9375765943842</v>
      </c>
      <c r="E63" s="338">
        <f t="shared" si="23"/>
        <v>208121.87007289688</v>
      </c>
      <c r="F63" s="22">
        <f t="shared" si="24"/>
        <v>2.1175329498530631</v>
      </c>
      <c r="G63" s="339">
        <f t="shared" si="28"/>
        <v>115.37607193136586</v>
      </c>
      <c r="H63" s="339">
        <f t="shared" si="25"/>
        <v>5429.6106443033841</v>
      </c>
      <c r="I63" s="339">
        <f t="shared" si="25"/>
        <v>193729.91356596781</v>
      </c>
      <c r="J63" s="36">
        <f t="shared" si="25"/>
        <v>1.934349851552728</v>
      </c>
      <c r="K63" s="358">
        <f t="shared" si="29"/>
        <v>29.031087003879996</v>
      </c>
      <c r="L63" s="358">
        <f t="shared" si="26"/>
        <v>103.32693229100008</v>
      </c>
      <c r="M63" s="358">
        <f t="shared" si="26"/>
        <v>14391.956506929082</v>
      </c>
      <c r="N63" s="358">
        <f t="shared" si="26"/>
        <v>0.18318309830033497</v>
      </c>
      <c r="O63" s="12">
        <v>3674.3</v>
      </c>
      <c r="P63" s="14">
        <f t="shared" si="30"/>
        <v>0.12190663125890007</v>
      </c>
      <c r="Q63" s="28">
        <f t="shared" si="27"/>
        <v>106668.92297835628</v>
      </c>
      <c r="R63" s="27">
        <f t="shared" si="27"/>
        <v>379654.14731682162</v>
      </c>
      <c r="S63" s="62">
        <f t="shared" si="27"/>
        <v>52880365.793409526</v>
      </c>
      <c r="T63" s="29">
        <f t="shared" si="27"/>
        <v>673.06965808492077</v>
      </c>
      <c r="U63" s="1143"/>
    </row>
    <row r="64" spans="2:21" x14ac:dyDescent="0.35">
      <c r="B64" s="9">
        <v>13</v>
      </c>
      <c r="C64" s="338">
        <f t="shared" si="22"/>
        <v>139.07729822914683</v>
      </c>
      <c r="D64" s="338">
        <f t="shared" si="22"/>
        <v>6203.8938762369735</v>
      </c>
      <c r="E64" s="338">
        <f t="shared" si="23"/>
        <v>227784.52668796698</v>
      </c>
      <c r="F64" s="22">
        <f t="shared" si="24"/>
        <v>2.2497300542646008</v>
      </c>
      <c r="G64" s="339">
        <f t="shared" si="28"/>
        <v>113.81136960531846</v>
      </c>
      <c r="H64" s="339">
        <f t="shared" si="25"/>
        <v>5988.0601634882651</v>
      </c>
      <c r="I64" s="339">
        <f t="shared" si="25"/>
        <v>211229.47965625848</v>
      </c>
      <c r="J64" s="36">
        <f t="shared" si="25"/>
        <v>2.0600420362200862</v>
      </c>
      <c r="K64" s="358">
        <f t="shared" si="29"/>
        <v>25.265928623828369</v>
      </c>
      <c r="L64" s="358">
        <f t="shared" si="26"/>
        <v>215.83371274870808</v>
      </c>
      <c r="M64" s="358">
        <f t="shared" si="26"/>
        <v>16555.047031708509</v>
      </c>
      <c r="N64" s="358">
        <f t="shared" si="26"/>
        <v>0.18968801804451471</v>
      </c>
      <c r="O64" s="12">
        <v>1072.4199999999998</v>
      </c>
      <c r="P64" s="14">
        <f t="shared" si="30"/>
        <v>3.558095677943271E-2</v>
      </c>
      <c r="Q64" s="28">
        <f t="shared" si="27"/>
        <v>27095.687174766015</v>
      </c>
      <c r="R64" s="27">
        <f t="shared" si="27"/>
        <v>231464.39022596949</v>
      </c>
      <c r="S64" s="62">
        <f t="shared" si="27"/>
        <v>17753963.537744839</v>
      </c>
      <c r="T64" s="29">
        <f t="shared" si="27"/>
        <v>203.42522431129845</v>
      </c>
      <c r="U64" s="1143"/>
    </row>
    <row r="65" spans="2:21" x14ac:dyDescent="0.35">
      <c r="B65" s="9">
        <v>14</v>
      </c>
      <c r="C65" s="338">
        <f t="shared" si="22"/>
        <v>143.33056920337211</v>
      </c>
      <c r="D65" s="338">
        <f t="shared" si="22"/>
        <v>6084.2627101965854</v>
      </c>
      <c r="E65" s="338">
        <f t="shared" si="23"/>
        <v>222435.8803403819</v>
      </c>
      <c r="F65" s="22">
        <f t="shared" si="24"/>
        <v>2.2441751179681528</v>
      </c>
      <c r="G65" s="339">
        <f t="shared" si="28"/>
        <v>115.46712356690075</v>
      </c>
      <c r="H65" s="339">
        <f t="shared" si="25"/>
        <v>5898.2969082863538</v>
      </c>
      <c r="I65" s="339">
        <f t="shared" si="25"/>
        <v>207235.054092659</v>
      </c>
      <c r="J65" s="36">
        <f t="shared" si="25"/>
        <v>2.0474980759225865</v>
      </c>
      <c r="K65" s="358">
        <f t="shared" si="29"/>
        <v>27.863445636471351</v>
      </c>
      <c r="L65" s="358">
        <f t="shared" si="26"/>
        <v>185.96580191023199</v>
      </c>
      <c r="M65" s="358">
        <f t="shared" si="26"/>
        <v>15200.826247722904</v>
      </c>
      <c r="N65" s="358">
        <f t="shared" si="26"/>
        <v>0.19667704204556619</v>
      </c>
      <c r="O65" s="12">
        <v>487.2</v>
      </c>
      <c r="P65" s="14">
        <f t="shared" si="30"/>
        <v>1.6164415194550284E-2</v>
      </c>
      <c r="Q65" s="28">
        <f t="shared" si="27"/>
        <v>13575.070714088843</v>
      </c>
      <c r="R65" s="27">
        <f t="shared" si="27"/>
        <v>90602.538690665024</v>
      </c>
      <c r="S65" s="62">
        <f t="shared" si="27"/>
        <v>7405842.5478905989</v>
      </c>
      <c r="T65" s="29">
        <f t="shared" si="27"/>
        <v>95.821054884599846</v>
      </c>
      <c r="U65" s="1143"/>
    </row>
    <row r="66" spans="2:21" x14ac:dyDescent="0.35">
      <c r="B66" s="9">
        <v>15</v>
      </c>
      <c r="C66" s="338">
        <f t="shared" si="22"/>
        <v>93.823658769859591</v>
      </c>
      <c r="D66" s="338">
        <f t="shared" si="22"/>
        <v>7202.1382307194808</v>
      </c>
      <c r="E66" s="338">
        <f t="shared" si="23"/>
        <v>234835.58433685027</v>
      </c>
      <c r="F66" s="22">
        <f t="shared" si="24"/>
        <v>2.2428316343255079</v>
      </c>
      <c r="G66" s="339">
        <f t="shared" si="28"/>
        <v>88.174561511366164</v>
      </c>
      <c r="H66" s="339">
        <f t="shared" si="25"/>
        <v>6808.4554198109645</v>
      </c>
      <c r="I66" s="339">
        <f t="shared" si="25"/>
        <v>220077.44072316197</v>
      </c>
      <c r="J66" s="36">
        <f t="shared" si="25"/>
        <v>2.1173950109092092</v>
      </c>
      <c r="K66" s="358">
        <f t="shared" si="29"/>
        <v>5.6490972584934234</v>
      </c>
      <c r="L66" s="358">
        <f t="shared" si="26"/>
        <v>393.6828109085161</v>
      </c>
      <c r="M66" s="358">
        <f t="shared" si="26"/>
        <v>14758.143613688284</v>
      </c>
      <c r="N66" s="358">
        <f t="shared" si="26"/>
        <v>0.12543662341629888</v>
      </c>
      <c r="O66" s="12">
        <v>317.26</v>
      </c>
      <c r="P66" s="14">
        <f t="shared" si="30"/>
        <v>1.0526113227879769E-2</v>
      </c>
      <c r="Q66" s="28">
        <f t="shared" si="27"/>
        <v>1792.2325962296234</v>
      </c>
      <c r="R66" s="27">
        <f t="shared" si="27"/>
        <v>124899.80858883582</v>
      </c>
      <c r="S66" s="62">
        <f t="shared" si="27"/>
        <v>4682168.6428787448</v>
      </c>
      <c r="T66" s="29">
        <f t="shared" si="27"/>
        <v>39.796023145054981</v>
      </c>
      <c r="U66" s="1143"/>
    </row>
    <row r="67" spans="2:21" x14ac:dyDescent="0.35">
      <c r="B67" s="9">
        <v>16</v>
      </c>
      <c r="C67" s="338">
        <f t="shared" si="22"/>
        <v>207.64398213328013</v>
      </c>
      <c r="D67" s="338">
        <f t="shared" si="22"/>
        <v>4860.8088912973626</v>
      </c>
      <c r="E67" s="338">
        <f t="shared" si="23"/>
        <v>201688.56379579048</v>
      </c>
      <c r="F67" s="22">
        <f t="shared" si="24"/>
        <v>2.3009031511950204</v>
      </c>
      <c r="G67" s="339">
        <f t="shared" si="28"/>
        <v>153.98898750676793</v>
      </c>
      <c r="H67" s="339">
        <f t="shared" si="25"/>
        <v>4821.1457606247577</v>
      </c>
      <c r="I67" s="339">
        <f t="shared" si="25"/>
        <v>184721.1903961412</v>
      </c>
      <c r="J67" s="36">
        <f t="shared" si="25"/>
        <v>1.9987128144247488</v>
      </c>
      <c r="K67" s="358">
        <f t="shared" si="29"/>
        <v>53.654994626512213</v>
      </c>
      <c r="L67" s="358">
        <f t="shared" si="26"/>
        <v>39.66313067260451</v>
      </c>
      <c r="M67" s="358">
        <f t="shared" si="26"/>
        <v>16967.373399649296</v>
      </c>
      <c r="N67" s="358">
        <f t="shared" si="26"/>
        <v>0.30219033677027174</v>
      </c>
      <c r="O67" s="12">
        <v>196.62</v>
      </c>
      <c r="P67" s="14">
        <f t="shared" si="30"/>
        <v>6.5234961320863654E-3</v>
      </c>
      <c r="Q67" s="28">
        <f t="shared" si="27"/>
        <v>10549.645043464832</v>
      </c>
      <c r="R67" s="27">
        <f t="shared" si="27"/>
        <v>7798.5647528474992</v>
      </c>
      <c r="S67" s="62">
        <f t="shared" si="27"/>
        <v>3336124.9578390447</v>
      </c>
      <c r="T67" s="29">
        <f t="shared" si="27"/>
        <v>59.416664015770834</v>
      </c>
      <c r="U67" s="1143"/>
    </row>
    <row r="68" spans="2:21" ht="15" thickBot="1" x14ac:dyDescent="0.4">
      <c r="B68" s="10" t="s">
        <v>12</v>
      </c>
      <c r="C68" s="67"/>
      <c r="D68" s="67"/>
      <c r="E68" s="80"/>
      <c r="F68" s="80"/>
      <c r="G68" s="67"/>
      <c r="H68" s="67"/>
      <c r="I68" s="80"/>
      <c r="J68" s="80"/>
      <c r="K68" s="67"/>
      <c r="L68" s="67"/>
      <c r="M68" s="80"/>
      <c r="N68" s="81"/>
      <c r="O68" s="16">
        <f t="shared" ref="O68:T68" si="31">SUM(O52:O67)</f>
        <v>30140.279999999995</v>
      </c>
      <c r="P68" s="15">
        <f t="shared" si="31"/>
        <v>1.0000000000000002</v>
      </c>
      <c r="Q68" s="30">
        <f t="shared" si="31"/>
        <v>307178.5967160369</v>
      </c>
      <c r="R68" s="31">
        <f t="shared" si="31"/>
        <v>2717511.1265375018</v>
      </c>
      <c r="S68" s="31">
        <f t="shared" si="31"/>
        <v>217481091.45131388</v>
      </c>
      <c r="T68" s="32">
        <f t="shared" si="31"/>
        <v>2328.6524544361669</v>
      </c>
      <c r="U68" s="1143"/>
    </row>
    <row r="71" spans="2:21" x14ac:dyDescent="0.35">
      <c r="B71" t="s">
        <v>44</v>
      </c>
    </row>
    <row r="72" spans="2:21" ht="15" thickBot="1" x14ac:dyDescent="0.4">
      <c r="B72" t="s">
        <v>46</v>
      </c>
    </row>
    <row r="73" spans="2:21" x14ac:dyDescent="0.35">
      <c r="B73" s="7"/>
      <c r="C73" s="1147" t="s">
        <v>586</v>
      </c>
      <c r="D73" s="1148"/>
      <c r="E73" s="1149"/>
      <c r="F73" s="1149"/>
      <c r="G73" s="1151" t="s">
        <v>587</v>
      </c>
      <c r="H73" s="1152"/>
      <c r="I73" s="1153"/>
      <c r="J73" s="1154"/>
      <c r="K73" s="1147" t="s">
        <v>40</v>
      </c>
      <c r="L73" s="1148"/>
      <c r="M73" s="1149"/>
      <c r="N73" s="1150"/>
      <c r="O73" s="1151" t="s">
        <v>4</v>
      </c>
      <c r="P73" s="1154"/>
      <c r="Q73" s="1155" t="s">
        <v>41</v>
      </c>
      <c r="R73" s="1156"/>
      <c r="S73" s="1156"/>
      <c r="T73" s="1157"/>
    </row>
    <row r="74" spans="2:21" ht="58" x14ac:dyDescent="0.35">
      <c r="B74" s="8" t="s">
        <v>5</v>
      </c>
      <c r="C74" s="17" t="s">
        <v>6</v>
      </c>
      <c r="D74" s="18" t="s">
        <v>7</v>
      </c>
      <c r="E74" s="61" t="s">
        <v>8</v>
      </c>
      <c r="F74" s="19" t="s">
        <v>9</v>
      </c>
      <c r="G74" s="5" t="s">
        <v>6</v>
      </c>
      <c r="H74" s="4" t="s">
        <v>7</v>
      </c>
      <c r="I74" s="71" t="s">
        <v>8</v>
      </c>
      <c r="J74" s="6" t="s">
        <v>9</v>
      </c>
      <c r="K74" s="17" t="s">
        <v>6</v>
      </c>
      <c r="L74" s="18" t="s">
        <v>7</v>
      </c>
      <c r="M74" s="61" t="s">
        <v>8</v>
      </c>
      <c r="N74" s="19" t="s">
        <v>9</v>
      </c>
      <c r="O74" s="5" t="s">
        <v>10</v>
      </c>
      <c r="P74" s="6" t="s">
        <v>11</v>
      </c>
      <c r="Q74" s="17" t="s">
        <v>6</v>
      </c>
      <c r="R74" s="18" t="s">
        <v>7</v>
      </c>
      <c r="S74" s="61" t="s">
        <v>8</v>
      </c>
      <c r="T74" s="19" t="s">
        <v>9</v>
      </c>
    </row>
    <row r="75" spans="2:21" x14ac:dyDescent="0.35">
      <c r="B75" s="9">
        <v>1</v>
      </c>
      <c r="C75" s="338">
        <f t="shared" ref="C75:D90" si="32">SUMIFS(AH$147:AH$484, $B$147:$B$484, "HighRiseMixedUse", $D$147:$D$484, $B75)/SUMIFS($E$147:$E$484, $B$147:$B$484, "HighRiseMixedUse", $D$147:$D$484, $B75)</f>
        <v>143.71629687127322</v>
      </c>
      <c r="D75" s="338">
        <f t="shared" si="32"/>
        <v>3002.4432686200116</v>
      </c>
      <c r="E75" s="338">
        <f t="shared" ref="E75:E90" si="33">(SUMIFS(AJ$147:AJ$484, $B$147:$B$484, "HighRiseMixedUse", $D$147:$D$484, $B75) +SUMIFS(AK$147:AK$484, $B$147:$B$484, "HighRiseMixedUse", $D$147:$D$484, $B75))/SUMIFS($E$147:$E$484, $B$147:$B$484, "HighRiseMixedUse", $D$147:$D$484, $B75)</f>
        <v>126083.05873636558</v>
      </c>
      <c r="F75" s="22">
        <f t="shared" ref="F75:F90" si="34">SUMIFS(AL$147:AL$484, $B$147:$B$484, "HighRiseMixedUse", $D$147:$D$484, $B75)/SUMIFS($E$147:$E$484, $B$147:$B$484, "HighRiseMixedUse", $D$147:$D$484, $B75)</f>
        <v>1.5055450192969273</v>
      </c>
      <c r="G75" s="339">
        <f>C75-K75</f>
        <v>85.221201847690509</v>
      </c>
      <c r="H75" s="339">
        <f t="shared" ref="H75:J90" si="35">D75-L75</f>
        <v>3032.267250983979</v>
      </c>
      <c r="I75" s="339">
        <f t="shared" si="35"/>
        <v>110576.56311824039</v>
      </c>
      <c r="J75" s="36">
        <f t="shared" si="35"/>
        <v>1.1936563749438447</v>
      </c>
      <c r="K75" s="358">
        <f>Q75/$O75</f>
        <v>58.495095023582714</v>
      </c>
      <c r="L75" s="358">
        <f t="shared" ref="L75:N90" si="36">R75/$O75</f>
        <v>-29.823982363967534</v>
      </c>
      <c r="M75" s="358">
        <f t="shared" si="36"/>
        <v>15506.495618125189</v>
      </c>
      <c r="N75" s="358">
        <f t="shared" si="36"/>
        <v>0.31188864435308267</v>
      </c>
      <c r="O75" s="12">
        <v>13.25</v>
      </c>
      <c r="P75" s="14">
        <f>O75/O$91</f>
        <v>5.099488126852173E-3</v>
      </c>
      <c r="Q75" s="28">
        <f t="shared" ref="Q75:T90" si="37">SUMIFS(AD$147:AD$484, $B$147:$B$484, "HighRiseMixedUse", $D$147:$D$484, $B75)</f>
        <v>775.06000906247095</v>
      </c>
      <c r="R75" s="28">
        <f t="shared" si="37"/>
        <v>-395.16776632256983</v>
      </c>
      <c r="S75" s="28">
        <f t="shared" si="37"/>
        <v>205461.06694015875</v>
      </c>
      <c r="T75" s="28">
        <f t="shared" si="37"/>
        <v>4.1325245376783455</v>
      </c>
      <c r="U75" s="355"/>
    </row>
    <row r="76" spans="2:21" x14ac:dyDescent="0.35">
      <c r="B76" s="9">
        <v>2</v>
      </c>
      <c r="C76" s="338">
        <f t="shared" si="32"/>
        <v>115.62323491171659</v>
      </c>
      <c r="D76" s="338">
        <f t="shared" si="32"/>
        <v>3638.2570669059469</v>
      </c>
      <c r="E76" s="338">
        <f t="shared" si="33"/>
        <v>144434.73164586013</v>
      </c>
      <c r="F76" s="22">
        <f t="shared" si="34"/>
        <v>1.5051352707082024</v>
      </c>
      <c r="G76" s="339">
        <f t="shared" ref="G76:G90" si="38">C76-K76</f>
        <v>79.64764583967326</v>
      </c>
      <c r="H76" s="339">
        <f t="shared" si="35"/>
        <v>3561.5264968306001</v>
      </c>
      <c r="I76" s="339">
        <f t="shared" si="35"/>
        <v>125772.79210017822</v>
      </c>
      <c r="J76" s="36">
        <f t="shared" si="35"/>
        <v>1.2904665144788994</v>
      </c>
      <c r="K76" s="358">
        <f t="shared" ref="K76:K90" si="39">Q76/$O76</f>
        <v>35.975589072043327</v>
      </c>
      <c r="L76" s="358">
        <f t="shared" si="36"/>
        <v>76.730570075346847</v>
      </c>
      <c r="M76" s="358">
        <f t="shared" si="36"/>
        <v>18661.9395456819</v>
      </c>
      <c r="N76" s="358">
        <f t="shared" si="36"/>
        <v>0.21466875622930301</v>
      </c>
      <c r="O76" s="12">
        <v>78.650000000000006</v>
      </c>
      <c r="P76" s="14">
        <f t="shared" ref="P76:P90" si="40">O76/O$91</f>
        <v>3.026979178693762E-2</v>
      </c>
      <c r="Q76" s="28">
        <f t="shared" si="37"/>
        <v>2829.4800805162081</v>
      </c>
      <c r="R76" s="28">
        <f t="shared" si="37"/>
        <v>6034.8593364260305</v>
      </c>
      <c r="S76" s="28">
        <f t="shared" si="37"/>
        <v>1467761.5452678816</v>
      </c>
      <c r="T76" s="28">
        <f t="shared" si="37"/>
        <v>16.883697677434682</v>
      </c>
      <c r="U76" s="355"/>
    </row>
    <row r="77" spans="2:21" x14ac:dyDescent="0.35">
      <c r="B77" s="9">
        <v>3</v>
      </c>
      <c r="C77" s="338">
        <f t="shared" si="32"/>
        <v>54.27984515152712</v>
      </c>
      <c r="D77" s="338">
        <f t="shared" si="32"/>
        <v>2220.4112628479029</v>
      </c>
      <c r="E77" s="338">
        <f t="shared" si="33"/>
        <v>81050.916132277634</v>
      </c>
      <c r="F77" s="22">
        <f t="shared" si="34"/>
        <v>0.82975459484436598</v>
      </c>
      <c r="G77" s="339">
        <f t="shared" si="38"/>
        <v>43.35036150048667</v>
      </c>
      <c r="H77" s="339">
        <f t="shared" si="35"/>
        <v>2206.6178483868903</v>
      </c>
      <c r="I77" s="339">
        <f t="shared" si="35"/>
        <v>77976.899272464841</v>
      </c>
      <c r="J77" s="36">
        <f t="shared" si="35"/>
        <v>0.76682523167145311</v>
      </c>
      <c r="K77" s="358">
        <f t="shared" si="39"/>
        <v>10.929483651040451</v>
      </c>
      <c r="L77" s="358">
        <f t="shared" si="36"/>
        <v>13.79341446101259</v>
      </c>
      <c r="M77" s="358">
        <f t="shared" si="36"/>
        <v>3074.0168598127962</v>
      </c>
      <c r="N77" s="358">
        <f t="shared" si="36"/>
        <v>6.2929363172912839E-2</v>
      </c>
      <c r="O77" s="12">
        <v>381.5</v>
      </c>
      <c r="P77" s="14">
        <f t="shared" si="40"/>
        <v>0.14682677135049843</v>
      </c>
      <c r="Q77" s="28">
        <f t="shared" si="37"/>
        <v>4169.598012871932</v>
      </c>
      <c r="R77" s="28">
        <f t="shared" si="37"/>
        <v>5262.1876168763029</v>
      </c>
      <c r="S77" s="28">
        <f t="shared" si="37"/>
        <v>1172737.4320185818</v>
      </c>
      <c r="T77" s="28">
        <f t="shared" si="37"/>
        <v>24.007552050466249</v>
      </c>
      <c r="U77" s="355"/>
    </row>
    <row r="78" spans="2:21" x14ac:dyDescent="0.35">
      <c r="B78" s="9">
        <v>4</v>
      </c>
      <c r="C78" s="338">
        <f t="shared" si="32"/>
        <v>62.465819588071938</v>
      </c>
      <c r="D78" s="338">
        <f t="shared" si="32"/>
        <v>2650.6802198260239</v>
      </c>
      <c r="E78" s="338">
        <f t="shared" si="33"/>
        <v>98117.11310211604</v>
      </c>
      <c r="F78" s="22">
        <f t="shared" si="34"/>
        <v>0.97782212312168659</v>
      </c>
      <c r="G78" s="339">
        <f t="shared" si="38"/>
        <v>51.459826307867623</v>
      </c>
      <c r="H78" s="339">
        <f t="shared" si="35"/>
        <v>2609.6415646479968</v>
      </c>
      <c r="I78" s="339">
        <f t="shared" si="35"/>
        <v>93578.717275728297</v>
      </c>
      <c r="J78" s="36">
        <f t="shared" si="35"/>
        <v>0.9079268849463793</v>
      </c>
      <c r="K78" s="358">
        <f t="shared" si="39"/>
        <v>11.005993280204317</v>
      </c>
      <c r="L78" s="358">
        <f t="shared" si="36"/>
        <v>41.038655178026936</v>
      </c>
      <c r="M78" s="358">
        <f t="shared" si="36"/>
        <v>4538.3958263877385</v>
      </c>
      <c r="N78" s="358">
        <f t="shared" si="36"/>
        <v>6.9895238175307281E-2</v>
      </c>
      <c r="O78" s="12">
        <v>198.75000000000003</v>
      </c>
      <c r="P78" s="14">
        <f t="shared" si="40"/>
        <v>7.6492321902782601E-2</v>
      </c>
      <c r="Q78" s="28">
        <f t="shared" si="37"/>
        <v>2187.4411644406082</v>
      </c>
      <c r="R78" s="28">
        <f t="shared" si="37"/>
        <v>8156.4327166328549</v>
      </c>
      <c r="S78" s="28">
        <f t="shared" si="37"/>
        <v>902006.17049456306</v>
      </c>
      <c r="T78" s="28">
        <f t="shared" si="37"/>
        <v>13.891678587342325</v>
      </c>
      <c r="U78" s="355"/>
    </row>
    <row r="79" spans="2:21" x14ac:dyDescent="0.35">
      <c r="B79" s="9">
        <v>5</v>
      </c>
      <c r="C79" s="338">
        <f t="shared" si="32"/>
        <v>58.390857343469072</v>
      </c>
      <c r="D79" s="338">
        <f t="shared" si="32"/>
        <v>2223.7140971300669</v>
      </c>
      <c r="E79" s="338">
        <f t="shared" si="33"/>
        <v>80729.289732314472</v>
      </c>
      <c r="F79" s="22">
        <f t="shared" si="34"/>
        <v>0.85297165254321083</v>
      </c>
      <c r="G79" s="339">
        <f t="shared" si="38"/>
        <v>46.145538087941645</v>
      </c>
      <c r="H79" s="339">
        <f t="shared" si="35"/>
        <v>2209.9463180071043</v>
      </c>
      <c r="I79" s="339">
        <f t="shared" si="35"/>
        <v>77704.210565172762</v>
      </c>
      <c r="J79" s="36">
        <f t="shared" si="35"/>
        <v>0.78287132636495738</v>
      </c>
      <c r="K79" s="358">
        <f t="shared" si="39"/>
        <v>12.245319255527425</v>
      </c>
      <c r="L79" s="358">
        <f t="shared" si="36"/>
        <v>13.767779122962619</v>
      </c>
      <c r="M79" s="358">
        <f t="shared" si="36"/>
        <v>3025.0791671417087</v>
      </c>
      <c r="N79" s="358">
        <f t="shared" si="36"/>
        <v>7.0100326178253486E-2</v>
      </c>
      <c r="O79" s="12">
        <v>35.300000000000004</v>
      </c>
      <c r="P79" s="14">
        <f t="shared" si="40"/>
        <v>1.3585806103991073E-2</v>
      </c>
      <c r="Q79" s="28">
        <f t="shared" si="37"/>
        <v>432.25976972011819</v>
      </c>
      <c r="R79" s="28">
        <f t="shared" si="37"/>
        <v>486.00260304058048</v>
      </c>
      <c r="S79" s="28">
        <f t="shared" si="37"/>
        <v>106785.29460010232</v>
      </c>
      <c r="T79" s="28">
        <f t="shared" si="37"/>
        <v>2.4745415140923486</v>
      </c>
      <c r="U79" s="355"/>
    </row>
    <row r="80" spans="2:21" x14ac:dyDescent="0.35">
      <c r="B80" s="9">
        <v>6</v>
      </c>
      <c r="C80" s="338">
        <f t="shared" si="32"/>
        <v>57.721741060338481</v>
      </c>
      <c r="D80" s="338">
        <f t="shared" si="32"/>
        <v>2952.6058401633372</v>
      </c>
      <c r="E80" s="338">
        <f t="shared" si="33"/>
        <v>102022.83463565371</v>
      </c>
      <c r="F80" s="22">
        <f t="shared" si="34"/>
        <v>1.0245155664605696</v>
      </c>
      <c r="G80" s="339">
        <f t="shared" si="38"/>
        <v>53.36903741861817</v>
      </c>
      <c r="H80" s="339">
        <f t="shared" si="35"/>
        <v>2929.1568612767319</v>
      </c>
      <c r="I80" s="339">
        <f t="shared" si="35"/>
        <v>99789.94529060318</v>
      </c>
      <c r="J80" s="36">
        <f t="shared" si="35"/>
        <v>0.99513797302698404</v>
      </c>
      <c r="K80" s="358">
        <f t="shared" si="39"/>
        <v>4.3527036417203115</v>
      </c>
      <c r="L80" s="358">
        <f t="shared" si="36"/>
        <v>23.448978886605129</v>
      </c>
      <c r="M80" s="358">
        <f t="shared" si="36"/>
        <v>2232.8893450505279</v>
      </c>
      <c r="N80" s="358">
        <f t="shared" si="36"/>
        <v>2.9377593433585612E-2</v>
      </c>
      <c r="O80" s="12">
        <v>168.50000000000003</v>
      </c>
      <c r="P80" s="14">
        <f t="shared" si="40"/>
        <v>6.4850094292421986E-2</v>
      </c>
      <c r="Q80" s="28">
        <f t="shared" si="37"/>
        <v>733.43056362987261</v>
      </c>
      <c r="R80" s="28">
        <f t="shared" si="37"/>
        <v>3951.1529423929651</v>
      </c>
      <c r="S80" s="28">
        <f t="shared" si="37"/>
        <v>376241.85464101401</v>
      </c>
      <c r="T80" s="28">
        <f t="shared" si="37"/>
        <v>4.9501244935591764</v>
      </c>
      <c r="U80" s="355"/>
    </row>
    <row r="81" spans="2:29" x14ac:dyDescent="0.35">
      <c r="B81" s="9">
        <v>7</v>
      </c>
      <c r="C81" s="338">
        <f t="shared" si="32"/>
        <v>45.973285145729747</v>
      </c>
      <c r="D81" s="338">
        <f t="shared" si="32"/>
        <v>2713.6150196874682</v>
      </c>
      <c r="E81" s="338">
        <f t="shared" si="33"/>
        <v>91434.5268358209</v>
      </c>
      <c r="F81" s="22">
        <f t="shared" si="34"/>
        <v>0.90299161743618661</v>
      </c>
      <c r="G81" s="339">
        <f t="shared" si="38"/>
        <v>43.297571367842316</v>
      </c>
      <c r="H81" s="339">
        <f t="shared" si="35"/>
        <v>2709.1096039152376</v>
      </c>
      <c r="I81" s="339">
        <f t="shared" si="35"/>
        <v>90580.980696076746</v>
      </c>
      <c r="J81" s="36">
        <f t="shared" si="35"/>
        <v>0.88731423733994441</v>
      </c>
      <c r="K81" s="358">
        <f t="shared" si="39"/>
        <v>2.675713777887434</v>
      </c>
      <c r="L81" s="358">
        <f t="shared" si="36"/>
        <v>4.5054157722307231</v>
      </c>
      <c r="M81" s="358">
        <f t="shared" si="36"/>
        <v>853.54613974414815</v>
      </c>
      <c r="N81" s="358">
        <f t="shared" si="36"/>
        <v>1.5677380096242245E-2</v>
      </c>
      <c r="O81" s="12">
        <v>181.15</v>
      </c>
      <c r="P81" s="14">
        <f t="shared" si="40"/>
        <v>6.9718662202209153E-2</v>
      </c>
      <c r="Q81" s="28">
        <f t="shared" si="37"/>
        <v>484.70555086430869</v>
      </c>
      <c r="R81" s="28">
        <f t="shared" si="37"/>
        <v>816.15606713959551</v>
      </c>
      <c r="S81" s="28">
        <f t="shared" si="37"/>
        <v>154619.88321465245</v>
      </c>
      <c r="T81" s="28">
        <f t="shared" si="37"/>
        <v>2.8399574044342826</v>
      </c>
      <c r="U81" s="355"/>
    </row>
    <row r="82" spans="2:29" x14ac:dyDescent="0.35">
      <c r="B82" s="9">
        <v>8</v>
      </c>
      <c r="C82" s="338">
        <f t="shared" si="32"/>
        <v>65.598098817052175</v>
      </c>
      <c r="D82" s="338">
        <f t="shared" si="32"/>
        <v>3750.4890010643594</v>
      </c>
      <c r="E82" s="338">
        <f t="shared" si="33"/>
        <v>128262.57855639279</v>
      </c>
      <c r="F82" s="22">
        <f t="shared" si="34"/>
        <v>1.2592526209282662</v>
      </c>
      <c r="G82" s="339">
        <f t="shared" si="38"/>
        <v>61.009714787085507</v>
      </c>
      <c r="H82" s="339">
        <f t="shared" si="35"/>
        <v>3659.7432907098414</v>
      </c>
      <c r="I82" s="339">
        <f t="shared" si="35"/>
        <v>124006.80983996809</v>
      </c>
      <c r="J82" s="36">
        <f t="shared" si="35"/>
        <v>1.2124143487056236</v>
      </c>
      <c r="K82" s="358">
        <f t="shared" si="39"/>
        <v>4.5883840299666678</v>
      </c>
      <c r="L82" s="358">
        <f t="shared" si="36"/>
        <v>90.745710354517882</v>
      </c>
      <c r="M82" s="358">
        <f t="shared" si="36"/>
        <v>4255.7687164247081</v>
      </c>
      <c r="N82" s="358">
        <f t="shared" si="36"/>
        <v>4.6838272222642523E-2</v>
      </c>
      <c r="O82" s="12">
        <v>236.9</v>
      </c>
      <c r="P82" s="14">
        <f t="shared" si="40"/>
        <v>9.1174999037832438E-2</v>
      </c>
      <c r="Q82" s="28">
        <f t="shared" si="37"/>
        <v>1086.9881766991036</v>
      </c>
      <c r="R82" s="28">
        <f t="shared" si="37"/>
        <v>21497.658782985287</v>
      </c>
      <c r="S82" s="28">
        <f t="shared" si="37"/>
        <v>1008191.6089210133</v>
      </c>
      <c r="T82" s="28">
        <f t="shared" si="37"/>
        <v>11.095986689544015</v>
      </c>
      <c r="U82" s="355"/>
    </row>
    <row r="83" spans="2:29" x14ac:dyDescent="0.35">
      <c r="B83" s="9">
        <v>9</v>
      </c>
      <c r="C83" s="338">
        <f t="shared" si="32"/>
        <v>81.837698330603445</v>
      </c>
      <c r="D83" s="338">
        <f t="shared" si="32"/>
        <v>4082.8438906775882</v>
      </c>
      <c r="E83" s="338">
        <f t="shared" si="33"/>
        <v>143335.35109900418</v>
      </c>
      <c r="F83" s="22">
        <f t="shared" si="34"/>
        <v>1.4277137901217727</v>
      </c>
      <c r="G83" s="339">
        <f t="shared" si="38"/>
        <v>75.889652328678849</v>
      </c>
      <c r="H83" s="339">
        <f t="shared" si="35"/>
        <v>3972.88360860684</v>
      </c>
      <c r="I83" s="339">
        <f t="shared" si="35"/>
        <v>137782.42048259886</v>
      </c>
      <c r="J83" s="36">
        <f t="shared" si="35"/>
        <v>1.3688410067020402</v>
      </c>
      <c r="K83" s="358">
        <f t="shared" si="39"/>
        <v>5.9480460019246006</v>
      </c>
      <c r="L83" s="358">
        <f t="shared" si="36"/>
        <v>109.96028207074836</v>
      </c>
      <c r="M83" s="358">
        <f t="shared" si="36"/>
        <v>5552.9306164053269</v>
      </c>
      <c r="N83" s="358">
        <f t="shared" si="36"/>
        <v>5.8872783419732358E-2</v>
      </c>
      <c r="O83" s="12">
        <v>556.20000000000005</v>
      </c>
      <c r="P83" s="14">
        <f t="shared" si="40"/>
        <v>0.21406304121925879</v>
      </c>
      <c r="Q83" s="28">
        <f t="shared" si="37"/>
        <v>3308.3031862704634</v>
      </c>
      <c r="R83" s="28">
        <f t="shared" si="37"/>
        <v>61159.908887750244</v>
      </c>
      <c r="S83" s="28">
        <f t="shared" si="37"/>
        <v>3088540.0088446429</v>
      </c>
      <c r="T83" s="28">
        <f t="shared" si="37"/>
        <v>32.74504213805514</v>
      </c>
      <c r="U83" s="355"/>
    </row>
    <row r="84" spans="2:29" x14ac:dyDescent="0.35">
      <c r="B84" s="9">
        <v>10</v>
      </c>
      <c r="C84" s="338">
        <f t="shared" si="32"/>
        <v>80.514546012058716</v>
      </c>
      <c r="D84" s="338">
        <f t="shared" si="32"/>
        <v>4155.7211132464945</v>
      </c>
      <c r="E84" s="338">
        <f t="shared" si="33"/>
        <v>144462.09826405934</v>
      </c>
      <c r="F84" s="22">
        <f t="shared" si="34"/>
        <v>1.4380132401265029</v>
      </c>
      <c r="G84" s="339">
        <f t="shared" si="38"/>
        <v>73.470293971649909</v>
      </c>
      <c r="H84" s="339">
        <f t="shared" si="35"/>
        <v>4033.8100120474032</v>
      </c>
      <c r="I84" s="339">
        <f t="shared" si="35"/>
        <v>138433.83817227421</v>
      </c>
      <c r="J84" s="36">
        <f t="shared" si="35"/>
        <v>1.3702888327907781</v>
      </c>
      <c r="K84" s="358">
        <f t="shared" si="39"/>
        <v>7.0442520404088054</v>
      </c>
      <c r="L84" s="358">
        <f t="shared" si="36"/>
        <v>121.91110119909122</v>
      </c>
      <c r="M84" s="358">
        <f t="shared" si="36"/>
        <v>6028.260091785146</v>
      </c>
      <c r="N84" s="358">
        <f t="shared" si="36"/>
        <v>6.7724407335724754E-2</v>
      </c>
      <c r="O84" s="12">
        <v>196.50000000000003</v>
      </c>
      <c r="P84" s="14">
        <f t="shared" si="40"/>
        <v>7.5626371088788849E-2</v>
      </c>
      <c r="Q84" s="28">
        <f t="shared" si="37"/>
        <v>1384.1955259403305</v>
      </c>
      <c r="R84" s="28">
        <f t="shared" si="37"/>
        <v>23955.531385621427</v>
      </c>
      <c r="S84" s="28">
        <f t="shared" si="37"/>
        <v>1184553.1080357814</v>
      </c>
      <c r="T84" s="28">
        <f t="shared" si="37"/>
        <v>13.307846041469917</v>
      </c>
      <c r="U84" s="355"/>
    </row>
    <row r="85" spans="2:29" x14ac:dyDescent="0.35">
      <c r="B85" s="9">
        <v>11</v>
      </c>
      <c r="C85" s="338">
        <f t="shared" si="32"/>
        <v>115.98948038711266</v>
      </c>
      <c r="D85" s="338">
        <f t="shared" si="32"/>
        <v>4384.011497271491</v>
      </c>
      <c r="E85" s="338">
        <f t="shared" si="33"/>
        <v>165778.14485365455</v>
      </c>
      <c r="F85" s="22">
        <f t="shared" si="34"/>
        <v>1.6863795354282927</v>
      </c>
      <c r="G85" s="339">
        <f t="shared" si="38"/>
        <v>84.058678895772573</v>
      </c>
      <c r="H85" s="339">
        <f t="shared" si="35"/>
        <v>4180.2168845919896</v>
      </c>
      <c r="I85" s="339">
        <f t="shared" si="35"/>
        <v>148257.69542116486</v>
      </c>
      <c r="J85" s="36">
        <f t="shared" si="35"/>
        <v>1.4632321491592064</v>
      </c>
      <c r="K85" s="358">
        <f t="shared" si="39"/>
        <v>31.930801491340091</v>
      </c>
      <c r="L85" s="358">
        <f t="shared" si="36"/>
        <v>203.79461267950109</v>
      </c>
      <c r="M85" s="358">
        <f t="shared" si="36"/>
        <v>17520.449432489688</v>
      </c>
      <c r="N85" s="358">
        <f t="shared" si="36"/>
        <v>0.22314738626908623</v>
      </c>
      <c r="O85" s="12">
        <v>56.1</v>
      </c>
      <c r="P85" s="14">
        <f t="shared" si="40"/>
        <v>2.159104029557788E-2</v>
      </c>
      <c r="Q85" s="28">
        <f t="shared" si="37"/>
        <v>1791.3179636641792</v>
      </c>
      <c r="R85" s="28">
        <f t="shared" si="37"/>
        <v>11432.877771320011</v>
      </c>
      <c r="S85" s="28">
        <f t="shared" si="37"/>
        <v>982897.21316267154</v>
      </c>
      <c r="T85" s="28">
        <f t="shared" si="37"/>
        <v>12.518568369695737</v>
      </c>
      <c r="U85" s="355"/>
    </row>
    <row r="86" spans="2:29" x14ac:dyDescent="0.35">
      <c r="B86" s="9">
        <v>12</v>
      </c>
      <c r="C86" s="338">
        <f t="shared" si="32"/>
        <v>102.41674295879601</v>
      </c>
      <c r="D86" s="338">
        <f t="shared" si="32"/>
        <v>3906.5275761992652</v>
      </c>
      <c r="E86" s="338">
        <f t="shared" si="33"/>
        <v>148870.02720733293</v>
      </c>
      <c r="F86" s="22">
        <f t="shared" si="34"/>
        <v>1.4975819172293967</v>
      </c>
      <c r="G86" s="339">
        <f t="shared" si="38"/>
        <v>71.672055790397337</v>
      </c>
      <c r="H86" s="339">
        <f t="shared" si="35"/>
        <v>3760.2570953044269</v>
      </c>
      <c r="I86" s="339">
        <f t="shared" si="35"/>
        <v>133491.26651582116</v>
      </c>
      <c r="J86" s="36">
        <f t="shared" si="35"/>
        <v>1.2947303752278714</v>
      </c>
      <c r="K86" s="358">
        <f t="shared" si="39"/>
        <v>30.744687168398677</v>
      </c>
      <c r="L86" s="358">
        <f t="shared" si="36"/>
        <v>146.2704808948381</v>
      </c>
      <c r="M86" s="358">
        <f t="shared" si="36"/>
        <v>15378.760691511765</v>
      </c>
      <c r="N86" s="358">
        <f t="shared" si="36"/>
        <v>0.2028515420015253</v>
      </c>
      <c r="O86" s="12">
        <v>316.75000000000006</v>
      </c>
      <c r="P86" s="14">
        <f t="shared" si="40"/>
        <v>0.12190663125890008</v>
      </c>
      <c r="Q86" s="28">
        <f t="shared" si="37"/>
        <v>9738.3796605902826</v>
      </c>
      <c r="R86" s="28">
        <f t="shared" si="37"/>
        <v>46331.174823439978</v>
      </c>
      <c r="S86" s="28">
        <f t="shared" si="37"/>
        <v>4871222.4490363523</v>
      </c>
      <c r="T86" s="28">
        <f t="shared" si="37"/>
        <v>64.253225928983156</v>
      </c>
      <c r="U86" s="355"/>
    </row>
    <row r="87" spans="2:29" x14ac:dyDescent="0.35">
      <c r="B87" s="9">
        <v>13</v>
      </c>
      <c r="C87" s="338">
        <f t="shared" si="32"/>
        <v>102.83331759044411</v>
      </c>
      <c r="D87" s="338">
        <f t="shared" si="32"/>
        <v>4460.5515930590118</v>
      </c>
      <c r="E87" s="338">
        <f t="shared" si="33"/>
        <v>166099.37572859641</v>
      </c>
      <c r="F87" s="22">
        <f t="shared" si="34"/>
        <v>1.6330171290887263</v>
      </c>
      <c r="G87" s="339">
        <f t="shared" si="38"/>
        <v>75.302026949366152</v>
      </c>
      <c r="H87" s="339">
        <f t="shared" si="35"/>
        <v>4225.3108717133346</v>
      </c>
      <c r="I87" s="339">
        <f t="shared" si="35"/>
        <v>148648.20093947518</v>
      </c>
      <c r="J87" s="36">
        <f t="shared" si="35"/>
        <v>1.4263082748828075</v>
      </c>
      <c r="K87" s="358">
        <f t="shared" si="39"/>
        <v>27.531290641077963</v>
      </c>
      <c r="L87" s="358">
        <f t="shared" si="36"/>
        <v>235.24072134567709</v>
      </c>
      <c r="M87" s="358">
        <f t="shared" si="36"/>
        <v>17451.174789121229</v>
      </c>
      <c r="N87" s="358">
        <f t="shared" si="36"/>
        <v>0.20670885420591875</v>
      </c>
      <c r="O87" s="12">
        <v>92.45</v>
      </c>
      <c r="P87" s="14">
        <f t="shared" si="40"/>
        <v>3.558095677943271E-2</v>
      </c>
      <c r="Q87" s="28">
        <f t="shared" si="37"/>
        <v>2545.2678197676578</v>
      </c>
      <c r="R87" s="28">
        <f t="shared" si="37"/>
        <v>21748.004688407847</v>
      </c>
      <c r="S87" s="28">
        <f t="shared" si="37"/>
        <v>1613361.1092542578</v>
      </c>
      <c r="T87" s="28">
        <f t="shared" si="37"/>
        <v>19.11023357133719</v>
      </c>
      <c r="U87" s="355"/>
    </row>
    <row r="88" spans="2:29" x14ac:dyDescent="0.35">
      <c r="B88" s="9">
        <v>14</v>
      </c>
      <c r="C88" s="338">
        <f t="shared" si="32"/>
        <v>112.64504493156906</v>
      </c>
      <c r="D88" s="338">
        <f t="shared" si="32"/>
        <v>4408.2098519197116</v>
      </c>
      <c r="E88" s="338">
        <f t="shared" si="33"/>
        <v>162994.8383894671</v>
      </c>
      <c r="F88" s="22">
        <f t="shared" si="34"/>
        <v>1.6739537896706902</v>
      </c>
      <c r="G88" s="339">
        <f t="shared" si="38"/>
        <v>78.694845757521236</v>
      </c>
      <c r="H88" s="339">
        <f t="shared" si="35"/>
        <v>4216.5209542115763</v>
      </c>
      <c r="I88" s="339">
        <f t="shared" si="35"/>
        <v>145771.22349931282</v>
      </c>
      <c r="J88" s="36">
        <f t="shared" si="35"/>
        <v>1.4427014353886713</v>
      </c>
      <c r="K88" s="358">
        <f t="shared" si="39"/>
        <v>33.950199174047825</v>
      </c>
      <c r="L88" s="358">
        <f t="shared" si="36"/>
        <v>191.68889770813493</v>
      </c>
      <c r="M88" s="358">
        <f t="shared" si="36"/>
        <v>17223.614890154277</v>
      </c>
      <c r="N88" s="358">
        <f t="shared" si="36"/>
        <v>0.2312523542820189</v>
      </c>
      <c r="O88" s="12">
        <v>42.000000000000007</v>
      </c>
      <c r="P88" s="14">
        <f t="shared" si="40"/>
        <v>1.6164415194550287E-2</v>
      </c>
      <c r="Q88" s="28">
        <f t="shared" si="37"/>
        <v>1425.908365310009</v>
      </c>
      <c r="R88" s="28">
        <f t="shared" si="37"/>
        <v>8050.9337037416681</v>
      </c>
      <c r="S88" s="28">
        <f t="shared" si="37"/>
        <v>723391.82538647973</v>
      </c>
      <c r="T88" s="28">
        <f t="shared" si="37"/>
        <v>9.712598879844796</v>
      </c>
      <c r="U88" s="355"/>
    </row>
    <row r="89" spans="2:29" x14ac:dyDescent="0.35">
      <c r="B89" s="9">
        <v>15</v>
      </c>
      <c r="C89" s="338">
        <f t="shared" si="32"/>
        <v>69.83470068485795</v>
      </c>
      <c r="D89" s="338">
        <f t="shared" si="32"/>
        <v>5330.5750999828051</v>
      </c>
      <c r="E89" s="338">
        <f t="shared" si="33"/>
        <v>175413.25577037226</v>
      </c>
      <c r="F89" s="22">
        <f t="shared" si="34"/>
        <v>1.6621441324110875</v>
      </c>
      <c r="G89" s="339">
        <f t="shared" si="38"/>
        <v>63.72812090097716</v>
      </c>
      <c r="H89" s="339">
        <f t="shared" si="35"/>
        <v>4889.3266807597156</v>
      </c>
      <c r="I89" s="339">
        <f t="shared" si="35"/>
        <v>158525.27153265383</v>
      </c>
      <c r="J89" s="36">
        <f t="shared" si="35"/>
        <v>1.5227795227115186</v>
      </c>
      <c r="K89" s="358">
        <f t="shared" si="39"/>
        <v>6.1065797838807887</v>
      </c>
      <c r="L89" s="358">
        <f t="shared" si="36"/>
        <v>441.24841922308923</v>
      </c>
      <c r="M89" s="358">
        <f t="shared" si="36"/>
        <v>16887.98423771841</v>
      </c>
      <c r="N89" s="358">
        <f t="shared" si="36"/>
        <v>0.13936460969956888</v>
      </c>
      <c r="O89" s="12">
        <v>27.35</v>
      </c>
      <c r="P89" s="14">
        <f t="shared" si="40"/>
        <v>1.0526113227879769E-2</v>
      </c>
      <c r="Q89" s="28">
        <f t="shared" si="37"/>
        <v>167.01495708913959</v>
      </c>
      <c r="R89" s="28">
        <f t="shared" si="37"/>
        <v>12068.144265751491</v>
      </c>
      <c r="S89" s="28">
        <f t="shared" si="37"/>
        <v>461886.3689015985</v>
      </c>
      <c r="T89" s="28">
        <f t="shared" si="37"/>
        <v>3.8116220752832088</v>
      </c>
      <c r="U89" s="355"/>
    </row>
    <row r="90" spans="2:29" x14ac:dyDescent="0.35">
      <c r="B90" s="9">
        <v>16</v>
      </c>
      <c r="C90" s="338">
        <f t="shared" si="32"/>
        <v>169.87667429427549</v>
      </c>
      <c r="D90" s="338">
        <f t="shared" si="32"/>
        <v>3530.1210241429062</v>
      </c>
      <c r="E90" s="338">
        <f t="shared" si="33"/>
        <v>149221.63742895777</v>
      </c>
      <c r="F90" s="22">
        <f t="shared" si="34"/>
        <v>1.7750653495884505</v>
      </c>
      <c r="G90" s="339">
        <f t="shared" si="38"/>
        <v>101.29458739360881</v>
      </c>
      <c r="H90" s="339">
        <f t="shared" si="35"/>
        <v>3500.1562374870246</v>
      </c>
      <c r="I90" s="339">
        <f t="shared" si="35"/>
        <v>128572.70388705035</v>
      </c>
      <c r="J90" s="36">
        <f t="shared" si="35"/>
        <v>1.3937873861459456</v>
      </c>
      <c r="K90" s="358">
        <f t="shared" si="39"/>
        <v>68.582086900666681</v>
      </c>
      <c r="L90" s="358">
        <f t="shared" si="36"/>
        <v>29.964786655881451</v>
      </c>
      <c r="M90" s="358">
        <f t="shared" si="36"/>
        <v>20648.933541907416</v>
      </c>
      <c r="N90" s="358">
        <f t="shared" si="36"/>
        <v>0.38127796344250486</v>
      </c>
      <c r="O90" s="12">
        <v>16.950000000000003</v>
      </c>
      <c r="P90" s="14">
        <f t="shared" si="40"/>
        <v>6.5234961320863663E-3</v>
      </c>
      <c r="Q90" s="28">
        <f t="shared" si="37"/>
        <v>1162.4663729663005</v>
      </c>
      <c r="R90" s="28">
        <f t="shared" si="37"/>
        <v>507.90313381719068</v>
      </c>
      <c r="S90" s="28">
        <f t="shared" si="37"/>
        <v>349999.42353533074</v>
      </c>
      <c r="T90" s="28">
        <f t="shared" si="37"/>
        <v>6.4626614803504587</v>
      </c>
      <c r="U90" s="355"/>
    </row>
    <row r="91" spans="2:29" ht="15" thickBot="1" x14ac:dyDescent="0.4">
      <c r="B91" s="10" t="s">
        <v>12</v>
      </c>
      <c r="C91" s="67"/>
      <c r="D91" s="67"/>
      <c r="E91" s="67"/>
      <c r="F91" s="80"/>
      <c r="G91" s="67"/>
      <c r="H91" s="67"/>
      <c r="I91" s="67"/>
      <c r="J91" s="80"/>
      <c r="K91" s="67"/>
      <c r="L91" s="67"/>
      <c r="M91" s="80"/>
      <c r="N91" s="81"/>
      <c r="O91" s="16">
        <f t="shared" ref="O91:T91" si="41">SUM(O75:O90)</f>
        <v>2598.2999999999997</v>
      </c>
      <c r="P91" s="15">
        <f t="shared" si="41"/>
        <v>1.0000000000000004</v>
      </c>
      <c r="Q91" s="30">
        <f t="shared" si="41"/>
        <v>34221.817179402977</v>
      </c>
      <c r="R91" s="31">
        <f t="shared" si="41"/>
        <v>231063.7609590209</v>
      </c>
      <c r="S91" s="31">
        <f t="shared" si="41"/>
        <v>18669656.362255085</v>
      </c>
      <c r="T91" s="32">
        <f t="shared" si="41"/>
        <v>242.197861439571</v>
      </c>
      <c r="U91" s="355"/>
    </row>
    <row r="92" spans="2:29" x14ac:dyDescent="0.35">
      <c r="C92" s="350"/>
      <c r="D92" s="350"/>
      <c r="E92" s="350"/>
      <c r="F92" s="351"/>
      <c r="G92" s="350"/>
      <c r="H92" s="350"/>
      <c r="I92" s="350"/>
      <c r="J92" s="351"/>
      <c r="K92" s="350"/>
      <c r="L92" s="350"/>
      <c r="M92" s="351"/>
      <c r="N92" s="352"/>
      <c r="O92" s="353"/>
      <c r="P92" s="354"/>
      <c r="Q92" s="355"/>
      <c r="R92" s="355"/>
      <c r="S92" s="355"/>
      <c r="T92" s="356"/>
    </row>
    <row r="93" spans="2:29" x14ac:dyDescent="0.35">
      <c r="C93" s="350"/>
      <c r="D93" s="350"/>
      <c r="E93" s="350"/>
      <c r="F93" s="351"/>
      <c r="G93" s="350"/>
      <c r="H93" s="350"/>
      <c r="I93" s="350"/>
      <c r="J93" s="351"/>
      <c r="K93" s="350"/>
      <c r="L93" s="350"/>
      <c r="M93" s="351"/>
      <c r="N93" s="352"/>
      <c r="O93" s="353"/>
      <c r="P93" s="354"/>
      <c r="Q93" s="355"/>
      <c r="R93" s="355"/>
      <c r="S93" s="355"/>
      <c r="T93" s="356"/>
    </row>
    <row r="94" spans="2:29" x14ac:dyDescent="0.35"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</row>
    <row r="95" spans="2:29" x14ac:dyDescent="0.35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</row>
    <row r="96" spans="2:29" x14ac:dyDescent="0.35"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</row>
    <row r="97" spans="2:29" x14ac:dyDescent="0.35">
      <c r="B97" s="83" t="s">
        <v>37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</row>
    <row r="98" spans="2:29" ht="15" thickBot="1" x14ac:dyDescent="0.4">
      <c r="B98" s="83" t="s">
        <v>48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 t="s">
        <v>183</v>
      </c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</row>
    <row r="99" spans="2:29" ht="15" thickBot="1" x14ac:dyDescent="0.4">
      <c r="B99" s="1176" t="s">
        <v>5</v>
      </c>
      <c r="C99" s="1178" t="s">
        <v>49</v>
      </c>
      <c r="D99" s="1179"/>
      <c r="E99" s="1179"/>
      <c r="F99" s="1179"/>
      <c r="G99" s="1179"/>
      <c r="H99" s="1179"/>
      <c r="I99" s="1179"/>
      <c r="J99" s="1179"/>
      <c r="K99" s="1180"/>
      <c r="L99" s="1180"/>
      <c r="M99" s="1181"/>
      <c r="N99" s="1182"/>
      <c r="O99" s="1183" t="s">
        <v>50</v>
      </c>
      <c r="P99" s="1184"/>
      <c r="Q99" s="1184"/>
      <c r="R99" s="1184"/>
      <c r="S99" s="1184"/>
      <c r="T99" s="1184"/>
      <c r="U99" s="1185"/>
      <c r="V99" s="1185"/>
      <c r="W99" s="1185"/>
      <c r="X99" s="1185"/>
      <c r="Y99" s="1185"/>
      <c r="Z99" s="1185"/>
      <c r="AA99" s="1185"/>
      <c r="AB99" s="1185"/>
      <c r="AC99" s="1186"/>
    </row>
    <row r="100" spans="2:29" x14ac:dyDescent="0.35">
      <c r="B100" s="1177"/>
      <c r="C100" s="1218" t="s">
        <v>586</v>
      </c>
      <c r="D100" s="1219"/>
      <c r="E100" s="1219"/>
      <c r="F100" s="1220"/>
      <c r="G100" s="1187" t="s">
        <v>587</v>
      </c>
      <c r="H100" s="1188"/>
      <c r="I100" s="1188"/>
      <c r="J100" s="1189"/>
      <c r="K100" s="1221" t="s">
        <v>51</v>
      </c>
      <c r="L100" s="1221"/>
      <c r="M100" s="1221"/>
      <c r="N100" s="1222"/>
      <c r="O100" s="1187" t="s">
        <v>184</v>
      </c>
      <c r="P100" s="1189"/>
      <c r="Q100" s="1223" t="s">
        <v>185</v>
      </c>
      <c r="R100" s="1224"/>
      <c r="S100" s="1224"/>
      <c r="T100" s="1225"/>
      <c r="U100" s="1226" t="s">
        <v>186</v>
      </c>
      <c r="V100" s="1226"/>
      <c r="W100" s="1226"/>
      <c r="X100" s="1226"/>
      <c r="Y100" s="1226"/>
      <c r="Z100" s="1226"/>
      <c r="AA100" s="1226"/>
      <c r="AB100" s="1226"/>
      <c r="AC100" s="1227"/>
    </row>
    <row r="101" spans="2:29" ht="72.5" x14ac:dyDescent="0.35">
      <c r="B101" s="86"/>
      <c r="C101" s="399" t="s">
        <v>6</v>
      </c>
      <c r="D101" s="400" t="s">
        <v>53</v>
      </c>
      <c r="E101" s="401" t="s">
        <v>8</v>
      </c>
      <c r="F101" s="402" t="s">
        <v>54</v>
      </c>
      <c r="G101" s="258" t="s">
        <v>6</v>
      </c>
      <c r="H101" s="259" t="s">
        <v>53</v>
      </c>
      <c r="I101" s="209" t="s">
        <v>8</v>
      </c>
      <c r="J101" s="260" t="s">
        <v>54</v>
      </c>
      <c r="K101" s="405" t="s">
        <v>6</v>
      </c>
      <c r="L101" s="400" t="s">
        <v>53</v>
      </c>
      <c r="M101" s="401" t="s">
        <v>8</v>
      </c>
      <c r="N101" s="402" t="s">
        <v>54</v>
      </c>
      <c r="O101" s="258" t="s">
        <v>10</v>
      </c>
      <c r="P101" s="260" t="s">
        <v>11</v>
      </c>
      <c r="Q101" s="399" t="s">
        <v>6</v>
      </c>
      <c r="R101" s="400" t="s">
        <v>53</v>
      </c>
      <c r="S101" s="414" t="s">
        <v>42</v>
      </c>
      <c r="T101" s="402" t="s">
        <v>54</v>
      </c>
      <c r="U101" s="436" t="s">
        <v>55</v>
      </c>
      <c r="V101" s="437" t="s">
        <v>56</v>
      </c>
      <c r="W101" s="437" t="s">
        <v>57</v>
      </c>
      <c r="X101" s="437" t="s">
        <v>58</v>
      </c>
      <c r="Y101" s="437" t="s">
        <v>20</v>
      </c>
      <c r="Z101" s="437" t="s">
        <v>59</v>
      </c>
      <c r="AA101" s="438" t="s">
        <v>60</v>
      </c>
      <c r="AB101" s="437" t="s">
        <v>61</v>
      </c>
      <c r="AC101" s="439" t="s">
        <v>62</v>
      </c>
    </row>
    <row r="102" spans="2:29" x14ac:dyDescent="0.35">
      <c r="B102" s="88" t="s">
        <v>63</v>
      </c>
      <c r="C102" s="403">
        <f>(C6*$O6+C29*$O29+C52*$O52+C75*$O75)/SUM($O75,$O52,$O29,$O6)</f>
        <v>181.77357454191412</v>
      </c>
      <c r="D102" s="403">
        <f t="shared" ref="C102:J117" si="42">(D6*$O6+D29*$O29+D52*$O52+D75*$O75)/SUM($O75,$O52,$O29,$O6)</f>
        <v>2818.430715798339</v>
      </c>
      <c r="E102" s="403">
        <f t="shared" si="42"/>
        <v>130941.82082946489</v>
      </c>
      <c r="F102" s="404">
        <f t="shared" si="42"/>
        <v>1.6688969934382263</v>
      </c>
      <c r="G102" s="89">
        <f t="shared" si="42"/>
        <v>135.84224122069901</v>
      </c>
      <c r="H102" s="89">
        <f t="shared" si="42"/>
        <v>2797.0903704117486</v>
      </c>
      <c r="I102" s="89">
        <f t="shared" si="42"/>
        <v>116728.53979957591</v>
      </c>
      <c r="J102" s="434">
        <f t="shared" si="42"/>
        <v>1.4132387689590313</v>
      </c>
      <c r="K102" s="406">
        <f>C102-G102</f>
        <v>45.931333321215106</v>
      </c>
      <c r="L102" s="407">
        <f>D102-H102</f>
        <v>21.340345386590343</v>
      </c>
      <c r="M102" s="408">
        <f>E102-I102</f>
        <v>14213.281029888982</v>
      </c>
      <c r="N102" s="409">
        <f>F102-J102</f>
        <v>0.25565822447919495</v>
      </c>
      <c r="O102" s="89">
        <f>SUM(O75,O52,O29,O6)</f>
        <v>265</v>
      </c>
      <c r="P102" s="460">
        <f>O102/$O$118</f>
        <v>5.099488126852173E-3</v>
      </c>
      <c r="Q102" s="403">
        <f>SUM(Q75,Q52,Q29,Q6)</f>
        <v>12171.803330121991</v>
      </c>
      <c r="R102" s="403">
        <f>SUM(R75,R52,R29,R6)</f>
        <v>5655.191527446329</v>
      </c>
      <c r="S102" s="403">
        <f t="shared" ref="S102:T102" si="43">SUM(S75,S52,S29,S6)</f>
        <v>3766519.472920577</v>
      </c>
      <c r="T102" s="452">
        <f t="shared" si="43"/>
        <v>67.74942948698677</v>
      </c>
      <c r="U102" s="440">
        <f>C102*$O102</f>
        <v>48169.997253607238</v>
      </c>
      <c r="V102" s="441">
        <f>Q102/U102</f>
        <v>0.25268432684435121</v>
      </c>
      <c r="W102" s="442">
        <f>D102*$O102</f>
        <v>746884.13968655979</v>
      </c>
      <c r="X102" s="443">
        <f>R102/W102</f>
        <v>7.5717118987418961E-3</v>
      </c>
      <c r="Y102" s="442">
        <f>F102*$O102</f>
        <v>442.25770326112996</v>
      </c>
      <c r="Z102" s="443">
        <f>T102/Y102</f>
        <v>0.153189936517588</v>
      </c>
      <c r="AA102" s="444">
        <f>E102*$O102</f>
        <v>34699582.519808196</v>
      </c>
      <c r="AB102" s="443">
        <f>S102/AA102</f>
        <v>0.10854653570458567</v>
      </c>
      <c r="AC102" s="445">
        <f t="shared" ref="AC102:AC117" si="44">SUMIFS($AS$147:$AS$484,$D$147:$D$484,_xlfn.NUMBERVALUE(RIGHT(B102,2)))</f>
        <v>163272.63393762169</v>
      </c>
    </row>
    <row r="103" spans="2:29" x14ac:dyDescent="0.35">
      <c r="B103" s="88" t="s">
        <v>64</v>
      </c>
      <c r="C103" s="403">
        <f>(C7*$O7+C30*$O30+C53*$O53+C76*$O76)/SUM($O76,$O53,$O30,$O7)</f>
        <v>152.47998198365687</v>
      </c>
      <c r="D103" s="403">
        <f t="shared" si="42"/>
        <v>3414.3232634296833</v>
      </c>
      <c r="E103" s="403">
        <f t="shared" si="42"/>
        <v>147404.12751491484</v>
      </c>
      <c r="F103" s="404">
        <f t="shared" si="42"/>
        <v>1.6523437275025727</v>
      </c>
      <c r="G103" s="89">
        <f t="shared" si="42"/>
        <v>126.12004637582125</v>
      </c>
      <c r="H103" s="89">
        <f t="shared" si="42"/>
        <v>3393.9555197502591</v>
      </c>
      <c r="I103" s="89">
        <f t="shared" si="42"/>
        <v>135607.99071099874</v>
      </c>
      <c r="J103" s="434">
        <f t="shared" si="42"/>
        <v>1.5036699649396446</v>
      </c>
      <c r="K103" s="406">
        <f t="shared" ref="K103:N117" si="45">C103-G103</f>
        <v>26.359935607835624</v>
      </c>
      <c r="L103" s="407">
        <f t="shared" si="45"/>
        <v>20.367743679424166</v>
      </c>
      <c r="M103" s="408">
        <f t="shared" si="45"/>
        <v>11796.136803916103</v>
      </c>
      <c r="N103" s="409">
        <f t="shared" si="45"/>
        <v>0.14867376256292819</v>
      </c>
      <c r="O103" s="89">
        <f t="shared" ref="O103:O117" si="46">SUM(O76,O53,O30,O7)</f>
        <v>1573</v>
      </c>
      <c r="P103" s="460">
        <f>O103/$O$118</f>
        <v>3.0269791786937613E-2</v>
      </c>
      <c r="Q103" s="403">
        <f>SUM(Q76,Q53,Q30,Q7)</f>
        <v>41464.17871112546</v>
      </c>
      <c r="R103" s="403">
        <f t="shared" ref="Q103:T117" si="47">SUM(R76,R53,R30,R7)</f>
        <v>32038.460807733718</v>
      </c>
      <c r="S103" s="403">
        <f t="shared" si="47"/>
        <v>18555323.192560013</v>
      </c>
      <c r="T103" s="452">
        <f t="shared" si="47"/>
        <v>233.86382851148622</v>
      </c>
      <c r="U103" s="440">
        <f t="shared" ref="U103:U117" si="48">C103*$O103</f>
        <v>239851.01166029225</v>
      </c>
      <c r="V103" s="441">
        <f t="shared" ref="V103:V117" si="49">Q103/U103</f>
        <v>0.17287472929175027</v>
      </c>
      <c r="W103" s="442">
        <f t="shared" ref="W103:W117" si="50">D103*$O103</f>
        <v>5370730.4933748916</v>
      </c>
      <c r="X103" s="443">
        <f t="shared" ref="X103:X117" si="51">R103/W103</f>
        <v>5.965382334350052E-3</v>
      </c>
      <c r="Y103" s="442">
        <f t="shared" ref="Y103:Y117" si="52">F103*$O103</f>
        <v>2599.1366833615471</v>
      </c>
      <c r="Z103" s="443">
        <f t="shared" ref="Z103:Z117" si="53">T103/Y103</f>
        <v>8.9977502918016067E-2</v>
      </c>
      <c r="AA103" s="444">
        <f t="shared" ref="AA103:AA117" si="54">E103*$O103</f>
        <v>231866692.58096105</v>
      </c>
      <c r="AB103" s="443">
        <f t="shared" ref="AB103:AB117" si="55">S103/AA103</f>
        <v>8.0025824261417106E-2</v>
      </c>
      <c r="AC103" s="445">
        <f t="shared" si="44"/>
        <v>970431.97366774583</v>
      </c>
    </row>
    <row r="104" spans="2:29" x14ac:dyDescent="0.35">
      <c r="B104" s="88" t="s">
        <v>65</v>
      </c>
      <c r="C104" s="403">
        <f t="shared" si="42"/>
        <v>111.19176411748779</v>
      </c>
      <c r="D104" s="403">
        <f t="shared" si="42"/>
        <v>2636.0115339093381</v>
      </c>
      <c r="E104" s="403">
        <f t="shared" si="42"/>
        <v>106084.07697808955</v>
      </c>
      <c r="F104" s="404">
        <f t="shared" si="42"/>
        <v>1.2400683512067783</v>
      </c>
      <c r="G104" s="89">
        <f t="shared" si="42"/>
        <v>104.47430087408188</v>
      </c>
      <c r="H104" s="89">
        <f t="shared" si="42"/>
        <v>2625.4047058912952</v>
      </c>
      <c r="I104" s="89">
        <f t="shared" si="42"/>
        <v>104064.49389549985</v>
      </c>
      <c r="J104" s="434">
        <f t="shared" si="42"/>
        <v>1.2008790464416728</v>
      </c>
      <c r="K104" s="406">
        <f t="shared" si="45"/>
        <v>6.7174632434059163</v>
      </c>
      <c r="L104" s="407">
        <f t="shared" si="45"/>
        <v>10.606828018042961</v>
      </c>
      <c r="M104" s="408">
        <f t="shared" si="45"/>
        <v>2019.5830825896992</v>
      </c>
      <c r="N104" s="409">
        <f>F104-J104</f>
        <v>3.9189304765105515E-2</v>
      </c>
      <c r="O104" s="89">
        <f t="shared" si="46"/>
        <v>7629.9999999999991</v>
      </c>
      <c r="P104" s="460">
        <f t="shared" ref="P104:P118" si="56">O104/$O$118</f>
        <v>0.14682677135049838</v>
      </c>
      <c r="Q104" s="403">
        <f t="shared" si="47"/>
        <v>51254.244547187169</v>
      </c>
      <c r="R104" s="403">
        <f t="shared" si="47"/>
        <v>80930.09777767054</v>
      </c>
      <c r="S104" s="403">
        <f t="shared" si="47"/>
        <v>15409418.920159413</v>
      </c>
      <c r="T104" s="452">
        <f t="shared" si="47"/>
        <v>299.0143953577558</v>
      </c>
      <c r="U104" s="440">
        <f t="shared" si="48"/>
        <v>848393.16021643172</v>
      </c>
      <c r="V104" s="441">
        <f t="shared" si="49"/>
        <v>6.0413316550208644E-2</v>
      </c>
      <c r="W104" s="442">
        <f t="shared" si="50"/>
        <v>20112768.003728248</v>
      </c>
      <c r="X104" s="443">
        <f t="shared" si="51"/>
        <v>4.023816998369829E-3</v>
      </c>
      <c r="Y104" s="442">
        <f t="shared" si="52"/>
        <v>9461.7215197077167</v>
      </c>
      <c r="Z104" s="443">
        <f t="shared" si="53"/>
        <v>3.1602536043249842E-2</v>
      </c>
      <c r="AA104" s="444">
        <f t="shared" si="54"/>
        <v>809421507.34282315</v>
      </c>
      <c r="AB104" s="443">
        <f t="shared" si="55"/>
        <v>1.9037570388691059E-2</v>
      </c>
      <c r="AC104" s="445">
        <f t="shared" si="44"/>
        <v>711816.88112926739</v>
      </c>
    </row>
    <row r="105" spans="2:29" x14ac:dyDescent="0.35">
      <c r="B105" s="88" t="s">
        <v>66</v>
      </c>
      <c r="C105" s="403">
        <f t="shared" si="42"/>
        <v>110.1763039477898</v>
      </c>
      <c r="D105" s="403">
        <f t="shared" si="42"/>
        <v>3061.2685823756142</v>
      </c>
      <c r="E105" s="403">
        <f t="shared" si="42"/>
        <v>120712.15206339605</v>
      </c>
      <c r="F105" s="404">
        <f t="shared" si="42"/>
        <v>1.3367427158833807</v>
      </c>
      <c r="G105" s="89">
        <f>(G9*$O9+G32*$O32+G55*$O55+G78*$O78)/SUM($O78,$O55,$O32,$O9)</f>
        <v>103.64247229270653</v>
      </c>
      <c r="H105" s="89">
        <f t="shared" si="42"/>
        <v>3025.3443071641755</v>
      </c>
      <c r="I105" s="89">
        <f t="shared" si="42"/>
        <v>117639.56403264031</v>
      </c>
      <c r="J105" s="434">
        <f t="shared" si="42"/>
        <v>1.2924698133623538</v>
      </c>
      <c r="K105" s="406">
        <f>C105-G105</f>
        <v>6.5338316550832758</v>
      </c>
      <c r="L105" s="407">
        <f t="shared" si="45"/>
        <v>35.924275211438726</v>
      </c>
      <c r="M105" s="408">
        <f t="shared" si="45"/>
        <v>3072.5880307557381</v>
      </c>
      <c r="N105" s="409">
        <f t="shared" si="45"/>
        <v>4.4272902521026891E-2</v>
      </c>
      <c r="O105" s="89">
        <f t="shared" si="46"/>
        <v>3975</v>
      </c>
      <c r="P105" s="460">
        <f t="shared" si="56"/>
        <v>7.6492321902782587E-2</v>
      </c>
      <c r="Q105" s="403">
        <f t="shared" si="47"/>
        <v>25971.980828956042</v>
      </c>
      <c r="R105" s="403">
        <f t="shared" si="47"/>
        <v>142798.99396546822</v>
      </c>
      <c r="S105" s="403">
        <f t="shared" si="47"/>
        <v>12213537.422254104</v>
      </c>
      <c r="T105" s="452">
        <f t="shared" si="47"/>
        <v>175.98478752108295</v>
      </c>
      <c r="U105" s="440">
        <f t="shared" si="48"/>
        <v>437950.80819246446</v>
      </c>
      <c r="V105" s="441">
        <f t="shared" si="49"/>
        <v>5.9303420254318243E-2</v>
      </c>
      <c r="W105" s="442">
        <f t="shared" si="50"/>
        <v>12168542.614943067</v>
      </c>
      <c r="X105" s="443">
        <f t="shared" si="51"/>
        <v>1.1735094208414894E-2</v>
      </c>
      <c r="Y105" s="442">
        <f t="shared" si="52"/>
        <v>5313.5522956364384</v>
      </c>
      <c r="Z105" s="443">
        <f t="shared" si="53"/>
        <v>3.3119987859271484E-2</v>
      </c>
      <c r="AA105" s="444">
        <f t="shared" si="54"/>
        <v>479830804.45199931</v>
      </c>
      <c r="AB105" s="443">
        <f t="shared" si="55"/>
        <v>2.5453841872871891E-2</v>
      </c>
      <c r="AC105" s="445">
        <f t="shared" si="44"/>
        <v>506546.73928269662</v>
      </c>
    </row>
    <row r="106" spans="2:29" x14ac:dyDescent="0.35">
      <c r="B106" s="88" t="s">
        <v>67</v>
      </c>
      <c r="C106" s="403">
        <f t="shared" si="42"/>
        <v>111.36302760319516</v>
      </c>
      <c r="D106" s="403">
        <f t="shared" si="42"/>
        <v>2659.3499212404336</v>
      </c>
      <c r="E106" s="403">
        <f t="shared" si="42"/>
        <v>103875.7132302711</v>
      </c>
      <c r="F106" s="404">
        <f t="shared" si="42"/>
        <v>1.2466120179287308</v>
      </c>
      <c r="G106" s="89">
        <f t="shared" si="42"/>
        <v>104.1903160070933</v>
      </c>
      <c r="H106" s="89">
        <f t="shared" si="42"/>
        <v>2649.1319624076714</v>
      </c>
      <c r="I106" s="89">
        <f t="shared" si="42"/>
        <v>102089.8742083626</v>
      </c>
      <c r="J106" s="434">
        <f t="shared" si="42"/>
        <v>1.2050330629308201</v>
      </c>
      <c r="K106" s="406">
        <f t="shared" si="45"/>
        <v>7.1727115961018626</v>
      </c>
      <c r="L106" s="407">
        <f t="shared" si="45"/>
        <v>10.217958832762179</v>
      </c>
      <c r="M106" s="408">
        <f t="shared" si="45"/>
        <v>1785.8390219084977</v>
      </c>
      <c r="N106" s="409">
        <f t="shared" si="45"/>
        <v>4.1578954997910644E-2</v>
      </c>
      <c r="O106" s="89">
        <f t="shared" si="46"/>
        <v>706</v>
      </c>
      <c r="P106" s="460">
        <f t="shared" si="56"/>
        <v>1.3585806103991072E-2</v>
      </c>
      <c r="Q106" s="403">
        <f t="shared" si="47"/>
        <v>5063.9343868479109</v>
      </c>
      <c r="R106" s="403">
        <f t="shared" si="47"/>
        <v>7213.8789359295188</v>
      </c>
      <c r="S106" s="403">
        <f t="shared" si="47"/>
        <v>1260802.3494673877</v>
      </c>
      <c r="T106" s="452">
        <f t="shared" si="47"/>
        <v>29.354742228524827</v>
      </c>
      <c r="U106" s="440">
        <f t="shared" si="48"/>
        <v>78622.297487855787</v>
      </c>
      <c r="V106" s="441">
        <f t="shared" si="49"/>
        <v>6.4408374578854038E-2</v>
      </c>
      <c r="W106" s="442">
        <f t="shared" si="50"/>
        <v>1877501.0443957462</v>
      </c>
      <c r="X106" s="443">
        <f t="shared" si="51"/>
        <v>3.8422769230742181E-3</v>
      </c>
      <c r="Y106" s="442">
        <f t="shared" si="52"/>
        <v>880.10808465768389</v>
      </c>
      <c r="Z106" s="443">
        <f t="shared" si="53"/>
        <v>3.3353565022575936E-2</v>
      </c>
      <c r="AA106" s="444">
        <f t="shared" si="54"/>
        <v>73336253.540571392</v>
      </c>
      <c r="AB106" s="443">
        <f t="shared" si="55"/>
        <v>1.7192074705178133E-2</v>
      </c>
      <c r="AC106" s="445">
        <f t="shared" si="44"/>
        <v>64698.211780642559</v>
      </c>
    </row>
    <row r="107" spans="2:29" x14ac:dyDescent="0.35">
      <c r="B107" s="88" t="s">
        <v>68</v>
      </c>
      <c r="C107" s="403">
        <f t="shared" si="42"/>
        <v>107.93757122519661</v>
      </c>
      <c r="D107" s="403">
        <f t="shared" si="42"/>
        <v>3167.3935231602227</v>
      </c>
      <c r="E107" s="403">
        <f t="shared" si="42"/>
        <v>121693.34341211106</v>
      </c>
      <c r="F107" s="404">
        <f t="shared" si="42"/>
        <v>1.350039493644724</v>
      </c>
      <c r="G107" s="89">
        <f t="shared" si="42"/>
        <v>113.35870987491904</v>
      </c>
      <c r="H107" s="89">
        <f t="shared" si="42"/>
        <v>3166.1137735252478</v>
      </c>
      <c r="I107" s="89">
        <f t="shared" si="42"/>
        <v>120172.56060416158</v>
      </c>
      <c r="J107" s="434">
        <f t="shared" si="42"/>
        <v>1.3793010839767139</v>
      </c>
      <c r="K107" s="406">
        <f t="shared" si="45"/>
        <v>-5.4211386497224368</v>
      </c>
      <c r="L107" s="407">
        <f t="shared" si="45"/>
        <v>1.2797496349749053</v>
      </c>
      <c r="M107" s="408">
        <f t="shared" si="45"/>
        <v>1520.7828079494793</v>
      </c>
      <c r="N107" s="409">
        <f t="shared" si="45"/>
        <v>-2.926159033198994E-2</v>
      </c>
      <c r="O107" s="89">
        <f t="shared" si="46"/>
        <v>3370</v>
      </c>
      <c r="P107" s="460">
        <f t="shared" si="56"/>
        <v>6.4850094292421973E-2</v>
      </c>
      <c r="Q107" s="403">
        <f t="shared" si="47"/>
        <v>-18269.237249564532</v>
      </c>
      <c r="R107" s="403">
        <f t="shared" si="47"/>
        <v>4312.7562698663342</v>
      </c>
      <c r="S107" s="403">
        <f t="shared" si="47"/>
        <v>5125038.0627897317</v>
      </c>
      <c r="T107" s="452">
        <f t="shared" si="47"/>
        <v>-98.611559418806152</v>
      </c>
      <c r="U107" s="440">
        <f t="shared" si="48"/>
        <v>363749.61502891255</v>
      </c>
      <c r="V107" s="441">
        <f t="shared" si="49"/>
        <v>-5.0224760370158487E-2</v>
      </c>
      <c r="W107" s="442">
        <f t="shared" si="50"/>
        <v>10674116.173049951</v>
      </c>
      <c r="X107" s="443">
        <f t="shared" si="51"/>
        <v>4.0403872320175766E-4</v>
      </c>
      <c r="Y107" s="442">
        <f t="shared" si="52"/>
        <v>4549.63309358272</v>
      </c>
      <c r="Z107" s="443">
        <f t="shared" si="53"/>
        <v>-2.1674618016538135E-2</v>
      </c>
      <c r="AA107" s="444">
        <f t="shared" si="54"/>
        <v>410106567.2988143</v>
      </c>
      <c r="AB107" s="443">
        <f t="shared" si="55"/>
        <v>1.2496844653198386E-2</v>
      </c>
      <c r="AC107" s="445">
        <f t="shared" si="44"/>
        <v>252875.21258215915</v>
      </c>
    </row>
    <row r="108" spans="2:29" x14ac:dyDescent="0.35">
      <c r="B108" s="88" t="s">
        <v>69</v>
      </c>
      <c r="C108" s="403">
        <f t="shared" si="42"/>
        <v>100.94289231197288</v>
      </c>
      <c r="D108" s="403">
        <f t="shared" si="42"/>
        <v>2939.5830316488009</v>
      </c>
      <c r="E108" s="403">
        <f t="shared" si="42"/>
        <v>111873.17419728937</v>
      </c>
      <c r="F108" s="404">
        <f t="shared" si="42"/>
        <v>1.2571319174789051</v>
      </c>
      <c r="G108" s="89">
        <f t="shared" si="42"/>
        <v>106.03731478749593</v>
      </c>
      <c r="H108" s="89">
        <f t="shared" si="42"/>
        <v>2947.9321250339012</v>
      </c>
      <c r="I108" s="89">
        <f t="shared" si="42"/>
        <v>111140.06086137022</v>
      </c>
      <c r="J108" s="434">
        <f t="shared" si="42"/>
        <v>1.2869258103418739</v>
      </c>
      <c r="K108" s="406">
        <f t="shared" si="45"/>
        <v>-5.0944224755230465</v>
      </c>
      <c r="L108" s="407">
        <f t="shared" si="45"/>
        <v>-8.3490933851003319</v>
      </c>
      <c r="M108" s="408">
        <f t="shared" si="45"/>
        <v>733.11333591914445</v>
      </c>
      <c r="N108" s="409">
        <f t="shared" si="45"/>
        <v>-2.9793892862968852E-2</v>
      </c>
      <c r="O108" s="89">
        <f t="shared" si="46"/>
        <v>3623</v>
      </c>
      <c r="P108" s="460">
        <f t="shared" si="56"/>
        <v>6.9718662202209139E-2</v>
      </c>
      <c r="Q108" s="403">
        <f t="shared" si="47"/>
        <v>-18457.092628820006</v>
      </c>
      <c r="R108" s="403">
        <f t="shared" si="47"/>
        <v>-30248.765334221815</v>
      </c>
      <c r="S108" s="403">
        <f t="shared" si="47"/>
        <v>2656069.616035122</v>
      </c>
      <c r="T108" s="452">
        <f t="shared" si="47"/>
        <v>-107.94327384253641</v>
      </c>
      <c r="U108" s="440">
        <f t="shared" si="48"/>
        <v>365716.09884627775</v>
      </c>
      <c r="V108" s="441">
        <f t="shared" si="49"/>
        <v>-5.0468362445750897E-2</v>
      </c>
      <c r="W108" s="442">
        <f t="shared" si="50"/>
        <v>10650109.323663605</v>
      </c>
      <c r="X108" s="446">
        <f t="shared" si="51"/>
        <v>-2.8402305004523965E-3</v>
      </c>
      <c r="Y108" s="442">
        <f t="shared" si="52"/>
        <v>4554.5889370260729</v>
      </c>
      <c r="Z108" s="443">
        <f t="shared" si="53"/>
        <v>-2.3699893741238078E-2</v>
      </c>
      <c r="AA108" s="444">
        <f t="shared" si="54"/>
        <v>405316510.11677939</v>
      </c>
      <c r="AB108" s="443">
        <f t="shared" si="55"/>
        <v>6.5530753121057364E-3</v>
      </c>
      <c r="AC108" s="445">
        <f t="shared" si="44"/>
        <v>150785.17221422651</v>
      </c>
    </row>
    <row r="109" spans="2:29" x14ac:dyDescent="0.35">
      <c r="B109" s="88" t="s">
        <v>70</v>
      </c>
      <c r="C109" s="403">
        <f t="shared" si="42"/>
        <v>98.910617837983025</v>
      </c>
      <c r="D109" s="403">
        <f t="shared" si="42"/>
        <v>3696.4162117036371</v>
      </c>
      <c r="E109" s="403">
        <f t="shared" si="42"/>
        <v>133035.82345714164</v>
      </c>
      <c r="F109" s="404">
        <f t="shared" si="42"/>
        <v>1.4279564834506031</v>
      </c>
      <c r="G109" s="89">
        <f t="shared" si="42"/>
        <v>96.023776546479084</v>
      </c>
      <c r="H109" s="89">
        <f t="shared" si="42"/>
        <v>3622.1146139600469</v>
      </c>
      <c r="I109" s="89">
        <f t="shared" si="42"/>
        <v>129609.35458348767</v>
      </c>
      <c r="J109" s="434">
        <f t="shared" si="42"/>
        <v>1.3943515882318156</v>
      </c>
      <c r="K109" s="406">
        <f t="shared" si="45"/>
        <v>2.8868412915039414</v>
      </c>
      <c r="L109" s="407">
        <f t="shared" si="45"/>
        <v>74.301597743590264</v>
      </c>
      <c r="M109" s="408">
        <f t="shared" si="45"/>
        <v>3426.4688736539683</v>
      </c>
      <c r="N109" s="409">
        <f t="shared" si="45"/>
        <v>3.3604895218787512E-2</v>
      </c>
      <c r="O109" s="89">
        <f t="shared" si="46"/>
        <v>4738</v>
      </c>
      <c r="P109" s="460">
        <f t="shared" si="56"/>
        <v>9.1174999037832424E-2</v>
      </c>
      <c r="Q109" s="403">
        <f t="shared" si="47"/>
        <v>13677.854039145719</v>
      </c>
      <c r="R109" s="403">
        <f t="shared" si="47"/>
        <v>352040.9701091327</v>
      </c>
      <c r="S109" s="403">
        <f t="shared" si="47"/>
        <v>16234609.523372395</v>
      </c>
      <c r="T109" s="452">
        <f t="shared" si="47"/>
        <v>159.21999354661475</v>
      </c>
      <c r="U109" s="440">
        <f t="shared" si="48"/>
        <v>468638.50731636357</v>
      </c>
      <c r="V109" s="441">
        <f t="shared" si="49"/>
        <v>2.9186363957736442E-2</v>
      </c>
      <c r="W109" s="442">
        <f t="shared" si="50"/>
        <v>17513620.011051834</v>
      </c>
      <c r="X109" s="443">
        <f t="shared" si="51"/>
        <v>2.0100982543128147E-2</v>
      </c>
      <c r="Y109" s="442">
        <f t="shared" si="52"/>
        <v>6765.6578185889575</v>
      </c>
      <c r="Z109" s="443">
        <f t="shared" si="53"/>
        <v>2.3533556945364641E-2</v>
      </c>
      <c r="AA109" s="444">
        <f t="shared" si="54"/>
        <v>630323731.53993714</v>
      </c>
      <c r="AB109" s="443">
        <f t="shared" si="55"/>
        <v>2.5755986505076996E-2</v>
      </c>
      <c r="AC109" s="445">
        <f t="shared" si="44"/>
        <v>720581.61505267711</v>
      </c>
    </row>
    <row r="110" spans="2:29" x14ac:dyDescent="0.35">
      <c r="B110" s="88" t="s">
        <v>71</v>
      </c>
      <c r="C110" s="403">
        <f t="shared" si="42"/>
        <v>107.59177380331266</v>
      </c>
      <c r="D110" s="403">
        <f t="shared" si="42"/>
        <v>3866.8456911739117</v>
      </c>
      <c r="E110" s="403">
        <f t="shared" si="42"/>
        <v>141546.77940256873</v>
      </c>
      <c r="F110" s="404">
        <f t="shared" si="42"/>
        <v>1.5162709448877578</v>
      </c>
      <c r="G110" s="89">
        <f t="shared" si="42"/>
        <v>104.05401833593126</v>
      </c>
      <c r="H110" s="89">
        <f t="shared" si="42"/>
        <v>3765.6315999535127</v>
      </c>
      <c r="I110" s="89">
        <f t="shared" si="42"/>
        <v>136982.51035027311</v>
      </c>
      <c r="J110" s="434">
        <f t="shared" si="42"/>
        <v>1.472647106841185</v>
      </c>
      <c r="K110" s="406">
        <f t="shared" si="45"/>
        <v>3.5377554673814018</v>
      </c>
      <c r="L110" s="407">
        <f t="shared" si="45"/>
        <v>101.21409122039904</v>
      </c>
      <c r="M110" s="408">
        <f t="shared" si="45"/>
        <v>4564.2690522956254</v>
      </c>
      <c r="N110" s="409">
        <f t="shared" si="45"/>
        <v>4.3623838046572772E-2</v>
      </c>
      <c r="O110" s="89">
        <f t="shared" si="46"/>
        <v>11124</v>
      </c>
      <c r="P110" s="460">
        <f t="shared" si="56"/>
        <v>0.21406304121925876</v>
      </c>
      <c r="Q110" s="403">
        <f t="shared" si="47"/>
        <v>39353.991819150491</v>
      </c>
      <c r="R110" s="403">
        <f t="shared" si="47"/>
        <v>1125905.550735716</v>
      </c>
      <c r="S110" s="403">
        <f t="shared" si="47"/>
        <v>50772928.937736318</v>
      </c>
      <c r="T110" s="452">
        <f t="shared" si="47"/>
        <v>485.27157443007508</v>
      </c>
      <c r="U110" s="440">
        <f t="shared" si="48"/>
        <v>1196850.8917880501</v>
      </c>
      <c r="V110" s="441">
        <f t="shared" si="49"/>
        <v>3.2881282112224616E-2</v>
      </c>
      <c r="W110" s="442">
        <f t="shared" si="50"/>
        <v>43014791.468618594</v>
      </c>
      <c r="X110" s="443">
        <f t="shared" si="51"/>
        <v>2.6174846193480199E-2</v>
      </c>
      <c r="Y110" s="442">
        <f t="shared" si="52"/>
        <v>16866.997990931417</v>
      </c>
      <c r="Z110" s="443">
        <f t="shared" si="53"/>
        <v>2.8770476802747146E-2</v>
      </c>
      <c r="AA110" s="444">
        <f t="shared" si="54"/>
        <v>1574566374.0741746</v>
      </c>
      <c r="AB110" s="443">
        <f t="shared" si="55"/>
        <v>3.2245658089574129E-2</v>
      </c>
      <c r="AC110" s="445">
        <f t="shared" si="44"/>
        <v>1683532.4673459376</v>
      </c>
    </row>
    <row r="111" spans="2:29" x14ac:dyDescent="0.35">
      <c r="B111" s="88" t="s">
        <v>72</v>
      </c>
      <c r="C111" s="403">
        <f t="shared" si="42"/>
        <v>106.5563635307458</v>
      </c>
      <c r="D111" s="403">
        <f t="shared" si="42"/>
        <v>3990.3412673790335</v>
      </c>
      <c r="E111" s="403">
        <f t="shared" si="42"/>
        <v>143761.13757184378</v>
      </c>
      <c r="F111" s="404">
        <f t="shared" si="42"/>
        <v>1.5403062905990741</v>
      </c>
      <c r="G111" s="89">
        <f t="shared" si="42"/>
        <v>102.38150397388519</v>
      </c>
      <c r="H111" s="89">
        <f t="shared" si="42"/>
        <v>3873.5220363439339</v>
      </c>
      <c r="I111" s="89">
        <f t="shared" si="42"/>
        <v>138846.1594265418</v>
      </c>
      <c r="J111" s="434">
        <f t="shared" si="42"/>
        <v>1.4894566269139582</v>
      </c>
      <c r="K111" s="406">
        <f t="shared" si="45"/>
        <v>4.1748595568606106</v>
      </c>
      <c r="L111" s="407">
        <f t="shared" si="45"/>
        <v>116.81923103509962</v>
      </c>
      <c r="M111" s="408">
        <f t="shared" si="45"/>
        <v>4914.9781453019823</v>
      </c>
      <c r="N111" s="409">
        <f t="shared" si="45"/>
        <v>5.0849663685115898E-2</v>
      </c>
      <c r="O111" s="89">
        <f t="shared" si="46"/>
        <v>3930</v>
      </c>
      <c r="P111" s="460">
        <f t="shared" si="56"/>
        <v>7.5626371088788821E-2</v>
      </c>
      <c r="Q111" s="403">
        <f t="shared" si="47"/>
        <v>16407.198058462185</v>
      </c>
      <c r="R111" s="403">
        <f t="shared" si="47"/>
        <v>459099.57796794473</v>
      </c>
      <c r="S111" s="403">
        <f t="shared" si="47"/>
        <v>19315864.111036852</v>
      </c>
      <c r="T111" s="452">
        <f t="shared" si="47"/>
        <v>199.83917828250549</v>
      </c>
      <c r="U111" s="440">
        <f t="shared" si="48"/>
        <v>418766.50867583096</v>
      </c>
      <c r="V111" s="441">
        <f t="shared" si="49"/>
        <v>3.9179823884061063E-2</v>
      </c>
      <c r="W111" s="442">
        <f t="shared" si="50"/>
        <v>15682041.180799602</v>
      </c>
      <c r="X111" s="443">
        <f t="shared" si="51"/>
        <v>2.9275498812619236E-2</v>
      </c>
      <c r="Y111" s="442">
        <f t="shared" si="52"/>
        <v>6053.4037220543614</v>
      </c>
      <c r="Z111" s="443">
        <f t="shared" si="53"/>
        <v>3.30126962380572E-2</v>
      </c>
      <c r="AA111" s="444">
        <f t="shared" si="54"/>
        <v>564981270.65734601</v>
      </c>
      <c r="AB111" s="443">
        <f t="shared" si="55"/>
        <v>3.4188503432269847E-2</v>
      </c>
      <c r="AC111" s="445">
        <f t="shared" si="44"/>
        <v>596844.02604707063</v>
      </c>
    </row>
    <row r="112" spans="2:29" x14ac:dyDescent="0.35">
      <c r="B112" s="88" t="s">
        <v>73</v>
      </c>
      <c r="C112" s="403">
        <f t="shared" si="42"/>
        <v>144.12770745715599</v>
      </c>
      <c r="D112" s="403">
        <f t="shared" si="42"/>
        <v>4065.3880813378455</v>
      </c>
      <c r="E112" s="403">
        <f t="shared" si="42"/>
        <v>168547.93798576409</v>
      </c>
      <c r="F112" s="404">
        <f t="shared" si="42"/>
        <v>1.7632742685622802</v>
      </c>
      <c r="G112" s="89">
        <f t="shared" si="42"/>
        <v>119.95198673655091</v>
      </c>
      <c r="H112" s="89">
        <f t="shared" si="42"/>
        <v>3902.5703133812522</v>
      </c>
      <c r="I112" s="89">
        <f t="shared" si="42"/>
        <v>154537.12185731219</v>
      </c>
      <c r="J112" s="434">
        <f t="shared" si="42"/>
        <v>1.5922754104330326</v>
      </c>
      <c r="K112" s="406">
        <f t="shared" si="45"/>
        <v>24.175720720605085</v>
      </c>
      <c r="L112" s="407">
        <f t="shared" si="45"/>
        <v>162.81776795659334</v>
      </c>
      <c r="M112" s="408">
        <f t="shared" si="45"/>
        <v>14010.816128451901</v>
      </c>
      <c r="N112" s="409">
        <f t="shared" si="45"/>
        <v>0.17099885812924764</v>
      </c>
      <c r="O112" s="89">
        <f t="shared" si="46"/>
        <v>1122</v>
      </c>
      <c r="P112" s="460">
        <f t="shared" si="56"/>
        <v>2.1591040295577877E-2</v>
      </c>
      <c r="Q112" s="403">
        <f t="shared" si="47"/>
        <v>27125.158648518878</v>
      </c>
      <c r="R112" s="403">
        <f t="shared" si="47"/>
        <v>182681.53564729835</v>
      </c>
      <c r="S112" s="403">
        <f t="shared" si="47"/>
        <v>15720135.696123036</v>
      </c>
      <c r="T112" s="452">
        <f t="shared" si="47"/>
        <v>191.86071882101561</v>
      </c>
      <c r="U112" s="440">
        <f t="shared" si="48"/>
        <v>161711.28776692902</v>
      </c>
      <c r="V112" s="441">
        <f t="shared" si="49"/>
        <v>0.16773818960376954</v>
      </c>
      <c r="W112" s="442">
        <f t="shared" si="50"/>
        <v>4561365.4272610629</v>
      </c>
      <c r="X112" s="443">
        <f t="shared" si="51"/>
        <v>4.004974794509987E-2</v>
      </c>
      <c r="Y112" s="442">
        <f t="shared" si="52"/>
        <v>1978.3937293268784</v>
      </c>
      <c r="Z112" s="443">
        <f t="shared" si="53"/>
        <v>9.6978026151697122E-2</v>
      </c>
      <c r="AA112" s="444">
        <f t="shared" si="54"/>
        <v>189110786.42002732</v>
      </c>
      <c r="AB112" s="443">
        <f t="shared" si="55"/>
        <v>8.312659469993211E-2</v>
      </c>
      <c r="AC112" s="445">
        <f t="shared" si="44"/>
        <v>677455.67998536199</v>
      </c>
    </row>
    <row r="113" spans="2:29" x14ac:dyDescent="0.35">
      <c r="B113" s="88" t="s">
        <v>74</v>
      </c>
      <c r="C113" s="403">
        <f t="shared" si="42"/>
        <v>140.99660435416126</v>
      </c>
      <c r="D113" s="403">
        <f t="shared" si="42"/>
        <v>3671.6143844927115</v>
      </c>
      <c r="E113" s="403">
        <f t="shared" si="42"/>
        <v>153167.82707674243</v>
      </c>
      <c r="F113" s="404">
        <f t="shared" si="42"/>
        <v>1.6515500065987814</v>
      </c>
      <c r="G113" s="89">
        <f t="shared" si="42"/>
        <v>117.37998749719218</v>
      </c>
      <c r="H113" s="89">
        <f t="shared" si="42"/>
        <v>3598.1415998928023</v>
      </c>
      <c r="I113" s="89">
        <f t="shared" si="42"/>
        <v>141991.30597425086</v>
      </c>
      <c r="J113" s="434">
        <f t="shared" si="42"/>
        <v>1.5050753471112932</v>
      </c>
      <c r="K113" s="406">
        <f t="shared" si="45"/>
        <v>23.616616856969088</v>
      </c>
      <c r="L113" s="407">
        <f t="shared" si="45"/>
        <v>73.472784599909119</v>
      </c>
      <c r="M113" s="408">
        <f t="shared" si="45"/>
        <v>11176.521102491562</v>
      </c>
      <c r="N113" s="409">
        <f t="shared" si="45"/>
        <v>0.14647465948748817</v>
      </c>
      <c r="O113" s="89">
        <f t="shared" si="46"/>
        <v>6335</v>
      </c>
      <c r="P113" s="460">
        <f t="shared" si="56"/>
        <v>0.12190663125890006</v>
      </c>
      <c r="Q113" s="403">
        <f t="shared" si="47"/>
        <v>149611.26778889939</v>
      </c>
      <c r="R113" s="403">
        <f t="shared" si="47"/>
        <v>465450.09044042003</v>
      </c>
      <c r="S113" s="403">
        <f t="shared" si="47"/>
        <v>70803261.184284329</v>
      </c>
      <c r="T113" s="452">
        <f t="shared" si="47"/>
        <v>927.91696785323518</v>
      </c>
      <c r="U113" s="440">
        <f t="shared" si="48"/>
        <v>893213.48858361156</v>
      </c>
      <c r="V113" s="441">
        <f t="shared" si="49"/>
        <v>0.16749777035514912</v>
      </c>
      <c r="W113" s="442">
        <f t="shared" si="50"/>
        <v>23259677.125761326</v>
      </c>
      <c r="X113" s="443">
        <f t="shared" si="51"/>
        <v>2.0011029728564434E-2</v>
      </c>
      <c r="Y113" s="442">
        <f t="shared" si="52"/>
        <v>10462.56929180328</v>
      </c>
      <c r="Z113" s="443">
        <f t="shared" si="53"/>
        <v>8.8689206443793467E-2</v>
      </c>
      <c r="AA113" s="444">
        <f t="shared" si="54"/>
        <v>970318184.53116322</v>
      </c>
      <c r="AB113" s="443">
        <f t="shared" si="55"/>
        <v>7.2969117051531848E-2</v>
      </c>
      <c r="AC113" s="445">
        <f t="shared" si="44"/>
        <v>4285379.0471144505</v>
      </c>
    </row>
    <row r="114" spans="2:29" x14ac:dyDescent="0.35">
      <c r="B114" s="88" t="s">
        <v>75</v>
      </c>
      <c r="C114" s="403">
        <f t="shared" si="42"/>
        <v>134.68874912519638</v>
      </c>
      <c r="D114" s="403">
        <f t="shared" si="42"/>
        <v>4153.7754784045737</v>
      </c>
      <c r="E114" s="403">
        <f t="shared" si="42"/>
        <v>168667.45701318173</v>
      </c>
      <c r="F114" s="404">
        <f t="shared" si="42"/>
        <v>1.7330346403472117</v>
      </c>
      <c r="G114" s="89">
        <f t="shared" si="42"/>
        <v>113.92923041035384</v>
      </c>
      <c r="H114" s="89">
        <f t="shared" si="42"/>
        <v>4005.1645857127792</v>
      </c>
      <c r="I114" s="89">
        <f t="shared" si="42"/>
        <v>156109.8760799811</v>
      </c>
      <c r="J114" s="434">
        <f t="shared" si="42"/>
        <v>1.5840839034020926</v>
      </c>
      <c r="K114" s="406">
        <f t="shared" si="45"/>
        <v>20.759518714842542</v>
      </c>
      <c r="L114" s="407">
        <f t="shared" si="45"/>
        <v>148.61089269179456</v>
      </c>
      <c r="M114" s="408">
        <f t="shared" si="45"/>
        <v>12557.580933200632</v>
      </c>
      <c r="N114" s="409">
        <f t="shared" si="45"/>
        <v>0.14895073694511907</v>
      </c>
      <c r="O114" s="89">
        <f t="shared" si="46"/>
        <v>1849</v>
      </c>
      <c r="P114" s="460">
        <f t="shared" si="56"/>
        <v>3.5580956779432703E-2</v>
      </c>
      <c r="Q114" s="403">
        <f t="shared" si="47"/>
        <v>38384.350103743796</v>
      </c>
      <c r="R114" s="403">
        <f t="shared" si="47"/>
        <v>274781.54058712791</v>
      </c>
      <c r="S114" s="403">
        <f t="shared" si="47"/>
        <v>23218967.145487964</v>
      </c>
      <c r="T114" s="452">
        <f t="shared" si="47"/>
        <v>275.40991261152539</v>
      </c>
      <c r="U114" s="440">
        <f t="shared" si="48"/>
        <v>249039.49713248812</v>
      </c>
      <c r="V114" s="441">
        <f t="shared" si="49"/>
        <v>0.15412956798303951</v>
      </c>
      <c r="W114" s="442">
        <f t="shared" si="50"/>
        <v>7680330.8595700571</v>
      </c>
      <c r="X114" s="443">
        <f t="shared" si="51"/>
        <v>3.5777305120226303E-2</v>
      </c>
      <c r="Y114" s="442">
        <f t="shared" si="52"/>
        <v>3204.3810500019945</v>
      </c>
      <c r="Z114" s="443">
        <f t="shared" si="53"/>
        <v>8.5947928262574746E-2</v>
      </c>
      <c r="AA114" s="444">
        <f t="shared" si="54"/>
        <v>311866128.01737303</v>
      </c>
      <c r="AB114" s="443">
        <f t="shared" si="55"/>
        <v>7.4451711999305392E-2</v>
      </c>
      <c r="AC114" s="445">
        <f t="shared" si="44"/>
        <v>1221571.9830010673</v>
      </c>
    </row>
    <row r="115" spans="2:29" x14ac:dyDescent="0.35">
      <c r="B115" s="88" t="s">
        <v>76</v>
      </c>
      <c r="C115" s="403">
        <f t="shared" si="42"/>
        <v>139.74751700366656</v>
      </c>
      <c r="D115" s="403">
        <f t="shared" si="42"/>
        <v>4069.3355721599874</v>
      </c>
      <c r="E115" s="403">
        <f t="shared" si="42"/>
        <v>164516.20119920903</v>
      </c>
      <c r="F115" s="404">
        <f t="shared" si="42"/>
        <v>1.7403316583086941</v>
      </c>
      <c r="G115" s="89">
        <f t="shared" si="42"/>
        <v>116.81851431976901</v>
      </c>
      <c r="H115" s="89">
        <f t="shared" si="42"/>
        <v>3919.6871490883545</v>
      </c>
      <c r="I115" s="89">
        <f t="shared" si="42"/>
        <v>151858.20910254031</v>
      </c>
      <c r="J115" s="434">
        <f t="shared" si="42"/>
        <v>1.5792982603388153</v>
      </c>
      <c r="K115" s="406">
        <f t="shared" si="45"/>
        <v>22.929002683897551</v>
      </c>
      <c r="L115" s="407">
        <f t="shared" si="45"/>
        <v>149.64842307163281</v>
      </c>
      <c r="M115" s="408">
        <f t="shared" si="45"/>
        <v>12657.99209666872</v>
      </c>
      <c r="N115" s="409">
        <f t="shared" si="45"/>
        <v>0.16103339796987881</v>
      </c>
      <c r="O115" s="89">
        <f t="shared" si="46"/>
        <v>840.00000000000011</v>
      </c>
      <c r="P115" s="460">
        <f t="shared" si="56"/>
        <v>1.6164415194550284E-2</v>
      </c>
      <c r="Q115" s="403">
        <f t="shared" si="47"/>
        <v>19260.362254473956</v>
      </c>
      <c r="R115" s="403">
        <f t="shared" si="47"/>
        <v>125704.67538017093</v>
      </c>
      <c r="S115" s="403">
        <f t="shared" si="47"/>
        <v>10632713.36120175</v>
      </c>
      <c r="T115" s="452">
        <f t="shared" si="47"/>
        <v>135.26805429469803</v>
      </c>
      <c r="U115" s="440">
        <f t="shared" si="48"/>
        <v>117387.91428307992</v>
      </c>
      <c r="V115" s="441">
        <f t="shared" si="49"/>
        <v>0.16407449073528779</v>
      </c>
      <c r="W115" s="442">
        <f t="shared" si="50"/>
        <v>3418241.8806143897</v>
      </c>
      <c r="X115" s="443">
        <f t="shared" si="51"/>
        <v>3.6774657783309635E-2</v>
      </c>
      <c r="Y115" s="442">
        <f t="shared" si="52"/>
        <v>1461.8785929793032</v>
      </c>
      <c r="Z115" s="443">
        <f t="shared" si="53"/>
        <v>9.2530292833019903E-2</v>
      </c>
      <c r="AA115" s="444">
        <f t="shared" si="54"/>
        <v>138193609.0073356</v>
      </c>
      <c r="AB115" s="443">
        <f t="shared" si="55"/>
        <v>7.6940702522917279E-2</v>
      </c>
      <c r="AC115" s="445">
        <f t="shared" si="44"/>
        <v>508379.61985727627</v>
      </c>
    </row>
    <row r="116" spans="2:29" x14ac:dyDescent="0.35">
      <c r="B116" s="88" t="s">
        <v>77</v>
      </c>
      <c r="C116" s="403">
        <f t="shared" si="42"/>
        <v>94.227039625583515</v>
      </c>
      <c r="D116" s="403">
        <f t="shared" si="42"/>
        <v>4886.7038909427511</v>
      </c>
      <c r="E116" s="403">
        <f t="shared" si="42"/>
        <v>177164.84680011106</v>
      </c>
      <c r="F116" s="404">
        <f t="shared" si="42"/>
        <v>1.6885031375997239</v>
      </c>
      <c r="G116" s="89">
        <f t="shared" si="42"/>
        <v>90.391013673629658</v>
      </c>
      <c r="H116" s="89">
        <f t="shared" si="42"/>
        <v>4614.1019497951438</v>
      </c>
      <c r="I116" s="89">
        <f t="shared" si="42"/>
        <v>166725.67899965282</v>
      </c>
      <c r="J116" s="434">
        <f t="shared" si="42"/>
        <v>1.6020582953370055</v>
      </c>
      <c r="K116" s="406">
        <f t="shared" si="45"/>
        <v>3.8360259519538573</v>
      </c>
      <c r="L116" s="407">
        <f t="shared" si="45"/>
        <v>272.60194114760725</v>
      </c>
      <c r="M116" s="408">
        <f t="shared" si="45"/>
        <v>10439.167800458235</v>
      </c>
      <c r="N116" s="409">
        <f t="shared" si="45"/>
        <v>8.6444842262718424E-2</v>
      </c>
      <c r="O116" s="89">
        <f t="shared" si="46"/>
        <v>547</v>
      </c>
      <c r="P116" s="460">
        <f t="shared" si="56"/>
        <v>1.0526113227879767E-2</v>
      </c>
      <c r="Q116" s="403">
        <f t="shared" si="47"/>
        <v>2098.3061957187642</v>
      </c>
      <c r="R116" s="403">
        <f t="shared" si="47"/>
        <v>149113.26180774145</v>
      </c>
      <c r="S116" s="403">
        <f t="shared" si="47"/>
        <v>5710224.7868506545</v>
      </c>
      <c r="T116" s="452">
        <f t="shared" si="47"/>
        <v>47.285328717707102</v>
      </c>
      <c r="U116" s="440">
        <f t="shared" si="48"/>
        <v>51542.190675194186</v>
      </c>
      <c r="V116" s="441">
        <f t="shared" si="49"/>
        <v>4.0710458135971704E-2</v>
      </c>
      <c r="W116" s="442">
        <f t="shared" si="50"/>
        <v>2673027.028345685</v>
      </c>
      <c r="X116" s="443">
        <f t="shared" si="51"/>
        <v>5.5784419770729538E-2</v>
      </c>
      <c r="Y116" s="442">
        <f t="shared" si="52"/>
        <v>923.61121626704903</v>
      </c>
      <c r="Z116" s="443">
        <f t="shared" si="53"/>
        <v>5.1196139549733684E-2</v>
      </c>
      <c r="AA116" s="444">
        <f t="shared" si="54"/>
        <v>96909171.199660748</v>
      </c>
      <c r="AB116" s="443">
        <f t="shared" si="55"/>
        <v>5.8923471495653905E-2</v>
      </c>
      <c r="AC116" s="445">
        <f t="shared" si="44"/>
        <v>371397.53804039303</v>
      </c>
    </row>
    <row r="117" spans="2:29" ht="15" thickBot="1" x14ac:dyDescent="0.4">
      <c r="B117" s="96" t="s">
        <v>78</v>
      </c>
      <c r="C117" s="403">
        <f t="shared" si="42"/>
        <v>200.4750832163931</v>
      </c>
      <c r="D117" s="403">
        <f t="shared" si="42"/>
        <v>3298.5675605419469</v>
      </c>
      <c r="E117" s="403">
        <f t="shared" si="42"/>
        <v>154236.03337545966</v>
      </c>
      <c r="F117" s="404">
        <f t="shared" si="42"/>
        <v>1.8863067482537996</v>
      </c>
      <c r="G117" s="97">
        <f t="shared" si="42"/>
        <v>155.54841083759732</v>
      </c>
      <c r="H117" s="97">
        <f t="shared" si="42"/>
        <v>3251.5787853198312</v>
      </c>
      <c r="I117" s="97">
        <f t="shared" si="42"/>
        <v>139327.81340993964</v>
      </c>
      <c r="J117" s="435">
        <f t="shared" si="42"/>
        <v>1.6299636141156308</v>
      </c>
      <c r="K117" s="410">
        <f t="shared" si="45"/>
        <v>44.926672378795786</v>
      </c>
      <c r="L117" s="411">
        <f t="shared" si="45"/>
        <v>46.988775222115692</v>
      </c>
      <c r="M117" s="412">
        <f t="shared" si="45"/>
        <v>14908.219965520024</v>
      </c>
      <c r="N117" s="413">
        <f t="shared" si="45"/>
        <v>0.25634313413816878</v>
      </c>
      <c r="O117" s="97">
        <f t="shared" si="46"/>
        <v>339</v>
      </c>
      <c r="P117" s="461">
        <f t="shared" si="56"/>
        <v>6.5234961320863646E-3</v>
      </c>
      <c r="Q117" s="403">
        <f t="shared" si="47"/>
        <v>15230.141936411772</v>
      </c>
      <c r="R117" s="403">
        <f t="shared" si="47"/>
        <v>15929.194800297208</v>
      </c>
      <c r="S117" s="403">
        <f t="shared" si="47"/>
        <v>5053886.5683112927</v>
      </c>
      <c r="T117" s="452">
        <f t="shared" si="47"/>
        <v>86.900322472839278</v>
      </c>
      <c r="U117" s="447">
        <f t="shared" si="48"/>
        <v>67961.053210357262</v>
      </c>
      <c r="V117" s="441">
        <f t="shared" si="49"/>
        <v>0.22410102870640472</v>
      </c>
      <c r="W117" s="442">
        <f t="shared" si="50"/>
        <v>1118214.40302372</v>
      </c>
      <c r="X117" s="443">
        <f t="shared" si="51"/>
        <v>1.4245206247767594E-2</v>
      </c>
      <c r="Y117" s="442">
        <f t="shared" si="52"/>
        <v>639.45798765803806</v>
      </c>
      <c r="Z117" s="443">
        <f t="shared" si="53"/>
        <v>0.13589684412435682</v>
      </c>
      <c r="AA117" s="448">
        <f t="shared" si="54"/>
        <v>52286015.314280823</v>
      </c>
      <c r="AB117" s="443">
        <f t="shared" si="55"/>
        <v>9.6658476227981557E-2</v>
      </c>
      <c r="AC117" s="445">
        <f t="shared" si="44"/>
        <v>201845.09464385666</v>
      </c>
    </row>
    <row r="118" spans="2:29" ht="15" thickBot="1" x14ac:dyDescent="0.4">
      <c r="B118" s="1174" t="s">
        <v>79</v>
      </c>
      <c r="C118" s="1175"/>
      <c r="D118" s="1175"/>
      <c r="E118" s="1175"/>
      <c r="F118" s="1175"/>
      <c r="G118" s="1175"/>
      <c r="H118" s="1175"/>
      <c r="I118" s="1175"/>
      <c r="J118" s="1175"/>
      <c r="K118" s="1175"/>
      <c r="L118" s="1175"/>
      <c r="M118" s="1175"/>
      <c r="N118" s="1175"/>
      <c r="O118" s="458">
        <f>SUM(O102:O117)</f>
        <v>51966</v>
      </c>
      <c r="P118" s="459">
        <f t="shared" si="56"/>
        <v>1</v>
      </c>
      <c r="Q118" s="415">
        <f>SUM(Q102:Q117)</f>
        <v>420348.44277037896</v>
      </c>
      <c r="R118" s="415">
        <f>SUM(R102:R117)</f>
        <v>3393407.0114257419</v>
      </c>
      <c r="S118" s="415">
        <f>SUM(S102:S117)</f>
        <v>276449300.35059094</v>
      </c>
      <c r="T118" s="453">
        <f>SUM(T102:T117)</f>
        <v>3108.3844008747101</v>
      </c>
      <c r="U118" s="454">
        <v>8563872.2983758301</v>
      </c>
      <c r="V118" s="450">
        <f>Q118/U118</f>
        <v>4.9083922333837182E-2</v>
      </c>
      <c r="W118" s="455">
        <f>SUM(W102:W117)</f>
        <v>180521961.17788833</v>
      </c>
      <c r="X118" s="449">
        <f>R118/W118</f>
        <v>1.8797751748784966E-2</v>
      </c>
      <c r="Y118" s="455">
        <f>SUM(Y102:Y117)</f>
        <v>76157.349716844576</v>
      </c>
      <c r="Z118" s="450">
        <f>T118/Y118</f>
        <v>4.0815291136466557E-2</v>
      </c>
      <c r="AA118" s="456">
        <f>SUM(AA102:AA117)</f>
        <v>6973133188.6130552</v>
      </c>
      <c r="AB118" s="451">
        <f>S118/AA118</f>
        <v>3.9644918987353554E-2</v>
      </c>
      <c r="AC118" s="457">
        <f>SUM(AC102:AC117)</f>
        <v>13087413.895682454</v>
      </c>
    </row>
    <row r="119" spans="2:29" x14ac:dyDescent="0.35"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416"/>
      <c r="P119" s="417"/>
      <c r="Q119" s="418"/>
      <c r="R119" s="419" t="s">
        <v>23</v>
      </c>
      <c r="S119" s="420"/>
      <c r="T119" s="421">
        <f>T118*3</f>
        <v>9325.1532026241293</v>
      </c>
      <c r="U119" s="83"/>
      <c r="V119" s="83"/>
      <c r="W119" s="83"/>
      <c r="X119" s="83"/>
      <c r="Y119" s="83"/>
      <c r="Z119" s="83"/>
      <c r="AA119" s="83"/>
      <c r="AB119" s="83"/>
      <c r="AC119" s="83"/>
    </row>
    <row r="120" spans="2:29" x14ac:dyDescent="0.35">
      <c r="B120" s="83" t="s">
        <v>29</v>
      </c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422"/>
      <c r="P120" s="423"/>
      <c r="Q120" s="424"/>
      <c r="R120" s="425" t="s">
        <v>24</v>
      </c>
      <c r="S120" s="426"/>
      <c r="T120" s="427">
        <f>(T118*1000)/C124</f>
        <v>697.39393609368506</v>
      </c>
      <c r="U120" s="83"/>
      <c r="V120" s="83"/>
      <c r="W120" s="83"/>
      <c r="X120" s="83"/>
      <c r="Y120" s="83"/>
      <c r="Z120" s="83"/>
      <c r="AA120" s="83"/>
      <c r="AB120" s="83"/>
      <c r="AC120" s="83"/>
    </row>
    <row r="121" spans="2:29" ht="15" thickBot="1" x14ac:dyDescent="0.4">
      <c r="B121" s="123" t="s">
        <v>32</v>
      </c>
      <c r="C121" s="124">
        <v>24.5</v>
      </c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428"/>
      <c r="P121" s="429"/>
      <c r="Q121" s="430"/>
      <c r="R121" s="431" t="s">
        <v>26</v>
      </c>
      <c r="S121" s="432"/>
      <c r="T121" s="433">
        <f>(T119*1000)/C124</f>
        <v>2092.1818082810546</v>
      </c>
      <c r="U121" s="83"/>
      <c r="V121" s="83"/>
      <c r="W121" s="83"/>
      <c r="X121" s="83"/>
      <c r="Y121" s="83"/>
      <c r="Z121" s="83"/>
      <c r="AA121" s="83"/>
      <c r="AB121" s="83"/>
      <c r="AC121" s="83"/>
    </row>
    <row r="122" spans="2:29" x14ac:dyDescent="0.35">
      <c r="B122" s="130" t="s">
        <v>34</v>
      </c>
      <c r="C122" s="131">
        <v>12000</v>
      </c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</row>
    <row r="123" spans="2:29" ht="15" thickBot="1" x14ac:dyDescent="0.4">
      <c r="B123" s="130" t="s">
        <v>35</v>
      </c>
      <c r="C123" s="132">
        <v>9.1</v>
      </c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 t="s">
        <v>28</v>
      </c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 spans="2:29" x14ac:dyDescent="0.35">
      <c r="B124" s="133" t="s">
        <v>36</v>
      </c>
      <c r="C124" s="134">
        <v>4457.1428571428569</v>
      </c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135" t="s">
        <v>570</v>
      </c>
      <c r="Q124" s="136"/>
      <c r="R124" s="137">
        <f>-R118</f>
        <v>-3393407.0114257419</v>
      </c>
      <c r="S124" s="137"/>
      <c r="T124" s="138" t="s">
        <v>30</v>
      </c>
      <c r="U124" s="139" t="s">
        <v>31</v>
      </c>
      <c r="V124" s="233">
        <f>R124/1000000</f>
        <v>-3.393407011425742</v>
      </c>
      <c r="W124" s="83"/>
      <c r="X124" s="83"/>
      <c r="Y124" s="83"/>
      <c r="Z124" s="83"/>
      <c r="AA124" s="83"/>
      <c r="AB124" s="83"/>
      <c r="AC124" s="83"/>
    </row>
    <row r="125" spans="2:29" ht="15" thickBot="1" x14ac:dyDescent="0.4"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141" t="s">
        <v>570</v>
      </c>
      <c r="Q125" s="142"/>
      <c r="R125" s="143">
        <f>R124*3</f>
        <v>-10180221.034277227</v>
      </c>
      <c r="S125" s="143"/>
      <c r="T125" s="144" t="s">
        <v>33</v>
      </c>
      <c r="U125" s="145" t="s">
        <v>31</v>
      </c>
      <c r="V125" s="233">
        <f>R125/1000000</f>
        <v>-10.180221034277226</v>
      </c>
      <c r="W125" s="83"/>
      <c r="X125" s="83"/>
      <c r="Y125" s="83"/>
      <c r="Z125" s="83"/>
      <c r="AA125" s="83"/>
      <c r="AB125" s="83"/>
      <c r="AC125" s="83"/>
    </row>
    <row r="126" spans="2:29" x14ac:dyDescent="0.35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 spans="2:29" x14ac:dyDescent="0.35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9" spans="2:43" ht="58" x14ac:dyDescent="0.35">
      <c r="B129" s="359" t="s">
        <v>187</v>
      </c>
    </row>
    <row r="130" spans="2:43" x14ac:dyDescent="0.35">
      <c r="B130" s="56"/>
      <c r="C130" s="360"/>
      <c r="D130" s="361" t="s">
        <v>188</v>
      </c>
      <c r="E130" s="361" t="s">
        <v>189</v>
      </c>
      <c r="F130" s="361" t="s">
        <v>190</v>
      </c>
      <c r="G130" s="361" t="s">
        <v>191</v>
      </c>
      <c r="H130" s="361" t="s">
        <v>192</v>
      </c>
      <c r="I130" s="361" t="s">
        <v>193</v>
      </c>
      <c r="J130" s="361" t="s">
        <v>194</v>
      </c>
      <c r="N130" s="362" t="s">
        <v>97</v>
      </c>
      <c r="O130" s="362" t="s">
        <v>195</v>
      </c>
      <c r="P130" s="362" t="s">
        <v>196</v>
      </c>
    </row>
    <row r="131" spans="2:43" ht="159.5" x14ac:dyDescent="0.35">
      <c r="B131" s="361" t="s">
        <v>197</v>
      </c>
      <c r="C131" s="360" t="s">
        <v>198</v>
      </c>
      <c r="D131" s="363">
        <v>0.8</v>
      </c>
      <c r="E131" s="363">
        <v>0.8</v>
      </c>
      <c r="F131" s="363">
        <v>0.8</v>
      </c>
      <c r="G131" s="363">
        <v>0.8</v>
      </c>
      <c r="H131" s="56" t="s">
        <v>199</v>
      </c>
      <c r="I131" s="56" t="s">
        <v>200</v>
      </c>
      <c r="J131" s="56" t="s">
        <v>201</v>
      </c>
      <c r="N131" s="364" t="s">
        <v>91</v>
      </c>
      <c r="O131" s="56">
        <v>7320</v>
      </c>
      <c r="P131" s="56">
        <v>8</v>
      </c>
    </row>
    <row r="132" spans="2:43" ht="145" x14ac:dyDescent="0.35">
      <c r="B132" s="361" t="s">
        <v>202</v>
      </c>
      <c r="C132" s="360" t="s">
        <v>203</v>
      </c>
      <c r="D132" s="363">
        <v>0.1</v>
      </c>
      <c r="E132" s="363">
        <v>0.1</v>
      </c>
      <c r="F132" s="363">
        <v>0.39</v>
      </c>
      <c r="G132" s="363">
        <v>0.6</v>
      </c>
      <c r="H132" s="56" t="s">
        <v>199</v>
      </c>
      <c r="I132" s="56" t="s">
        <v>200</v>
      </c>
      <c r="J132" s="365" t="s">
        <v>204</v>
      </c>
      <c r="N132" s="364" t="s">
        <v>92</v>
      </c>
      <c r="O132" s="56">
        <v>39372</v>
      </c>
      <c r="P132" s="56">
        <v>36</v>
      </c>
    </row>
    <row r="133" spans="2:43" ht="130.5" x14ac:dyDescent="0.35">
      <c r="B133" s="361" t="s">
        <v>205</v>
      </c>
      <c r="C133" s="360" t="s">
        <v>206</v>
      </c>
      <c r="D133" s="363">
        <v>0.37</v>
      </c>
      <c r="E133" s="363">
        <v>0.49</v>
      </c>
      <c r="F133" s="363">
        <v>0.97</v>
      </c>
      <c r="G133" s="363">
        <v>1</v>
      </c>
      <c r="H133" s="56" t="s">
        <v>199</v>
      </c>
      <c r="I133" s="56" t="s">
        <v>200</v>
      </c>
      <c r="J133" s="56"/>
      <c r="N133" s="364" t="s">
        <v>93</v>
      </c>
      <c r="O133" s="56">
        <v>113100</v>
      </c>
      <c r="P133" s="56">
        <v>88</v>
      </c>
    </row>
    <row r="134" spans="2:43" ht="116" x14ac:dyDescent="0.35">
      <c r="B134" s="361" t="s">
        <v>207</v>
      </c>
      <c r="C134" s="360" t="s">
        <v>208</v>
      </c>
      <c r="D134" s="363" t="s">
        <v>209</v>
      </c>
      <c r="E134" s="363" t="s">
        <v>210</v>
      </c>
      <c r="F134" s="363" t="s">
        <v>211</v>
      </c>
      <c r="G134" s="363" t="s">
        <v>212</v>
      </c>
      <c r="H134" s="363" t="s">
        <v>199</v>
      </c>
      <c r="I134" s="363" t="s">
        <v>213</v>
      </c>
      <c r="J134" s="56"/>
      <c r="N134" s="364" t="s">
        <v>94</v>
      </c>
      <c r="O134" s="56">
        <v>125400</v>
      </c>
      <c r="P134" s="56">
        <v>117</v>
      </c>
    </row>
    <row r="135" spans="2:43" ht="159.5" x14ac:dyDescent="0.35">
      <c r="B135" s="361" t="s">
        <v>214</v>
      </c>
      <c r="C135" s="360" t="s">
        <v>215</v>
      </c>
      <c r="D135" s="360" t="s">
        <v>216</v>
      </c>
      <c r="E135" s="360" t="s">
        <v>217</v>
      </c>
      <c r="F135" s="360" t="s">
        <v>218</v>
      </c>
      <c r="G135" s="360" t="s">
        <v>219</v>
      </c>
      <c r="H135" s="360" t="s">
        <v>199</v>
      </c>
      <c r="I135" s="363" t="s">
        <v>213</v>
      </c>
      <c r="J135" s="56" t="s">
        <v>220</v>
      </c>
    </row>
    <row r="136" spans="2:43" ht="246.5" x14ac:dyDescent="0.35">
      <c r="B136" s="361" t="s">
        <v>221</v>
      </c>
      <c r="C136" s="360" t="s">
        <v>222</v>
      </c>
      <c r="D136" s="360" t="s">
        <v>223</v>
      </c>
      <c r="E136" s="360" t="s">
        <v>223</v>
      </c>
      <c r="F136" s="360" t="s">
        <v>224</v>
      </c>
      <c r="G136" s="360" t="s">
        <v>225</v>
      </c>
      <c r="H136" s="360" t="s">
        <v>199</v>
      </c>
      <c r="I136" s="363" t="s">
        <v>213</v>
      </c>
      <c r="J136" s="56"/>
    </row>
    <row r="137" spans="2:43" ht="87" x14ac:dyDescent="0.35">
      <c r="B137" s="361" t="s">
        <v>226</v>
      </c>
      <c r="C137" s="360" t="s">
        <v>227</v>
      </c>
      <c r="D137" s="360" t="s">
        <v>216</v>
      </c>
      <c r="E137" s="360" t="s">
        <v>216</v>
      </c>
      <c r="F137" s="360" t="s">
        <v>228</v>
      </c>
      <c r="G137" s="360" t="s">
        <v>229</v>
      </c>
      <c r="H137" s="56" t="s">
        <v>199</v>
      </c>
      <c r="I137" s="363" t="s">
        <v>213</v>
      </c>
      <c r="J137" s="56"/>
    </row>
    <row r="138" spans="2:43" ht="87" x14ac:dyDescent="0.35">
      <c r="B138" s="361" t="s">
        <v>230</v>
      </c>
      <c r="C138" s="366"/>
      <c r="D138" s="360" t="s">
        <v>216</v>
      </c>
      <c r="E138" s="360" t="s">
        <v>216</v>
      </c>
      <c r="F138" s="363" t="s">
        <v>231</v>
      </c>
      <c r="G138" s="363" t="s">
        <v>232</v>
      </c>
      <c r="H138" s="56" t="s">
        <v>199</v>
      </c>
      <c r="I138" s="363" t="s">
        <v>213</v>
      </c>
      <c r="J138" s="56"/>
    </row>
    <row r="139" spans="2:43" ht="87" x14ac:dyDescent="0.35">
      <c r="B139" s="361" t="s">
        <v>233</v>
      </c>
      <c r="C139" s="56"/>
      <c r="D139" s="360" t="s">
        <v>216</v>
      </c>
      <c r="E139" s="360" t="s">
        <v>216</v>
      </c>
      <c r="F139" s="360" t="s">
        <v>234</v>
      </c>
      <c r="G139" s="360" t="s">
        <v>235</v>
      </c>
      <c r="H139" s="56" t="s">
        <v>199</v>
      </c>
      <c r="I139" s="363" t="s">
        <v>213</v>
      </c>
      <c r="J139" s="56"/>
    </row>
    <row r="141" spans="2:43" ht="29" x14ac:dyDescent="0.35">
      <c r="F141" s="367" t="s">
        <v>236</v>
      </c>
      <c r="G141" s="368">
        <v>240.35607366415678</v>
      </c>
    </row>
    <row r="142" spans="2:43" ht="29" x14ac:dyDescent="0.35">
      <c r="F142" s="369" t="s">
        <v>237</v>
      </c>
      <c r="G142" s="370">
        <v>5454.4234781819832</v>
      </c>
    </row>
    <row r="144" spans="2:43" x14ac:dyDescent="0.35">
      <c r="AH144" s="1214" t="s">
        <v>238</v>
      </c>
      <c r="AI144" s="1214"/>
      <c r="AJ144" s="1214"/>
      <c r="AK144" s="1214"/>
      <c r="AL144" s="1214"/>
      <c r="AM144" s="1214"/>
      <c r="AN144" s="1214"/>
      <c r="AO144" s="1214"/>
      <c r="AP144" s="1214"/>
      <c r="AQ144" s="1214"/>
    </row>
    <row r="145" spans="2:45" x14ac:dyDescent="0.35">
      <c r="B145" s="56"/>
      <c r="C145" s="56"/>
      <c r="D145" s="56"/>
      <c r="E145" s="56"/>
      <c r="F145" s="1215" t="s">
        <v>615</v>
      </c>
      <c r="G145" s="1215"/>
      <c r="H145" s="1215"/>
      <c r="I145" s="1215"/>
      <c r="J145" s="1215"/>
      <c r="K145" s="1158" t="s">
        <v>616</v>
      </c>
      <c r="L145" s="1158"/>
      <c r="M145" s="1158"/>
      <c r="N145" s="1158"/>
      <c r="O145" s="1158"/>
      <c r="P145" s="1215" t="s">
        <v>617</v>
      </c>
      <c r="Q145" s="1215"/>
      <c r="R145" s="1215"/>
      <c r="S145" s="1215"/>
      <c r="T145" s="1215"/>
      <c r="U145" s="1158" t="s">
        <v>618</v>
      </c>
      <c r="V145" s="1158"/>
      <c r="W145" s="1158"/>
      <c r="X145" s="1158"/>
      <c r="Y145" s="1158"/>
      <c r="Z145" s="1216" t="s">
        <v>239</v>
      </c>
      <c r="AA145" s="1216"/>
      <c r="AB145" s="1216"/>
      <c r="AC145" s="1216"/>
      <c r="AD145" s="1217" t="s">
        <v>240</v>
      </c>
      <c r="AE145" s="1217"/>
      <c r="AF145" s="1217"/>
      <c r="AG145" s="1217"/>
      <c r="AH145" s="1215" t="s">
        <v>617</v>
      </c>
      <c r="AI145" s="1215"/>
      <c r="AJ145" s="1215"/>
      <c r="AK145" s="1215"/>
      <c r="AL145" s="1215"/>
      <c r="AM145" s="1158" t="s">
        <v>618</v>
      </c>
      <c r="AN145" s="1158"/>
      <c r="AO145" s="1158"/>
      <c r="AP145" s="1158"/>
      <c r="AQ145" s="1158"/>
    </row>
    <row r="146" spans="2:45" ht="73" thickBot="1" x14ac:dyDescent="0.4">
      <c r="B146" s="56" t="s">
        <v>97</v>
      </c>
      <c r="C146" s="56" t="s">
        <v>241</v>
      </c>
      <c r="D146" s="56" t="s">
        <v>96</v>
      </c>
      <c r="E146" s="4" t="s">
        <v>242</v>
      </c>
      <c r="F146" s="18" t="s">
        <v>6</v>
      </c>
      <c r="G146" s="18" t="s">
        <v>7</v>
      </c>
      <c r="H146" s="18" t="s">
        <v>243</v>
      </c>
      <c r="I146" s="18" t="s">
        <v>244</v>
      </c>
      <c r="J146" s="18" t="s">
        <v>9</v>
      </c>
      <c r="K146" s="4" t="s">
        <v>6</v>
      </c>
      <c r="L146" s="4" t="s">
        <v>7</v>
      </c>
      <c r="M146" s="4" t="s">
        <v>243</v>
      </c>
      <c r="N146" s="4" t="s">
        <v>244</v>
      </c>
      <c r="O146" s="4" t="s">
        <v>9</v>
      </c>
      <c r="P146" s="18" t="s">
        <v>6</v>
      </c>
      <c r="Q146" s="18" t="s">
        <v>7</v>
      </c>
      <c r="R146" s="18" t="s">
        <v>243</v>
      </c>
      <c r="S146" s="18" t="s">
        <v>244</v>
      </c>
      <c r="T146" s="18" t="s">
        <v>9</v>
      </c>
      <c r="U146" s="4" t="s">
        <v>6</v>
      </c>
      <c r="V146" s="4" t="s">
        <v>7</v>
      </c>
      <c r="W146" s="4" t="s">
        <v>243</v>
      </c>
      <c r="X146" s="4" t="s">
        <v>244</v>
      </c>
      <c r="Y146" s="4" t="s">
        <v>9</v>
      </c>
      <c r="Z146" s="4" t="s">
        <v>245</v>
      </c>
      <c r="AA146" s="4" t="s">
        <v>246</v>
      </c>
      <c r="AB146" s="4" t="s">
        <v>247</v>
      </c>
      <c r="AC146" s="4" t="s">
        <v>248</v>
      </c>
      <c r="AD146" s="4" t="s">
        <v>245</v>
      </c>
      <c r="AE146" s="4" t="s">
        <v>246</v>
      </c>
      <c r="AF146" s="4" t="s">
        <v>247</v>
      </c>
      <c r="AG146" s="4" t="s">
        <v>248</v>
      </c>
      <c r="AH146" s="18" t="s">
        <v>6</v>
      </c>
      <c r="AI146" s="18" t="s">
        <v>7</v>
      </c>
      <c r="AJ146" s="18" t="s">
        <v>243</v>
      </c>
      <c r="AK146" s="18" t="s">
        <v>244</v>
      </c>
      <c r="AL146" s="18" t="s">
        <v>9</v>
      </c>
      <c r="AM146" s="4" t="s">
        <v>6</v>
      </c>
      <c r="AN146" s="4" t="s">
        <v>7</v>
      </c>
      <c r="AO146" s="4" t="s">
        <v>243</v>
      </c>
      <c r="AP146" s="4" t="s">
        <v>244</v>
      </c>
      <c r="AQ146" s="4" t="s">
        <v>9</v>
      </c>
      <c r="AR146" s="371" t="s">
        <v>249</v>
      </c>
      <c r="AS146" s="371" t="s">
        <v>250</v>
      </c>
    </row>
    <row r="147" spans="2:45" ht="29" x14ac:dyDescent="0.35">
      <c r="B147" s="56" t="s">
        <v>91</v>
      </c>
      <c r="C147" s="361" t="s">
        <v>197</v>
      </c>
      <c r="D147" s="56">
        <v>1</v>
      </c>
      <c r="E147" s="3">
        <v>8.48</v>
      </c>
      <c r="F147" s="3">
        <v>1391.1268000000002</v>
      </c>
      <c r="G147" s="3">
        <v>5055.3498490015991</v>
      </c>
      <c r="H147" s="3">
        <v>26.138099999999994</v>
      </c>
      <c r="I147" s="3">
        <v>55.473800000000004</v>
      </c>
      <c r="J147" s="3">
        <f>G147*$G$141*10^-6 + F147*$G$142*10^-6</f>
        <v>8.8028787197528846</v>
      </c>
      <c r="K147" s="3">
        <v>1122.037</v>
      </c>
      <c r="L147" s="3">
        <v>4254.6571799999992</v>
      </c>
      <c r="M147" s="3">
        <v>22.402999999999999</v>
      </c>
      <c r="N147" s="3">
        <v>42.454600000000006</v>
      </c>
      <c r="O147" s="3">
        <f>L147*$G$141*10^-6 + K147*$G$142*10^-6</f>
        <v>7.1426976507606907</v>
      </c>
      <c r="P147" s="3">
        <f>F147/VLOOKUP($B147,$N$131:$P$134, 3, FALSE)</f>
        <v>173.89085000000003</v>
      </c>
      <c r="Q147" s="3">
        <f>G147/VLOOKUP($B147,$N$131:$P$134, 3, FALSE)</f>
        <v>631.91873112519988</v>
      </c>
      <c r="R147" s="3">
        <f t="shared" ref="R147:S194" si="57">H147/VLOOKUP($B147,$N$131:$P$134, 3, FALSE)*VLOOKUP($B147,$N$131:$P$134, 2, FALSE)</f>
        <v>23916.361499999995</v>
      </c>
      <c r="S147" s="3">
        <f t="shared" si="57"/>
        <v>50758.527000000002</v>
      </c>
      <c r="T147" s="3">
        <f t="shared" ref="T147:V194" si="58">J147/VLOOKUP($B147,$N$131:$P$134, 3, FALSE)</f>
        <v>1.1003598399691106</v>
      </c>
      <c r="U147" s="3">
        <f t="shared" si="58"/>
        <v>140.254625</v>
      </c>
      <c r="V147" s="3">
        <f t="shared" si="58"/>
        <v>531.83214749999991</v>
      </c>
      <c r="W147" s="3">
        <f t="shared" ref="W147:X194" si="59">M147/VLOOKUP($B147,$N$131:$P$134, 3, FALSE)*VLOOKUP($B147,$N$131:$P$134, 2, FALSE)</f>
        <v>20498.744999999999</v>
      </c>
      <c r="X147" s="3">
        <f t="shared" si="59"/>
        <v>38845.959000000003</v>
      </c>
      <c r="Y147" s="3">
        <f t="shared" ref="Y147:Y210" si="60">O147/VLOOKUP($B147,$N$131:$P$134, 3, FALSE)</f>
        <v>0.89283720634508634</v>
      </c>
      <c r="Z147" s="3">
        <f>P147-U147</f>
        <v>33.636225000000024</v>
      </c>
      <c r="AA147" s="3">
        <f>Q147-V147</f>
        <v>100.08658362519998</v>
      </c>
      <c r="AB147" s="3">
        <f>R147+S147-W147-X147</f>
        <v>15330.184500000003</v>
      </c>
      <c r="AC147" s="3">
        <f>T147-Y147</f>
        <v>0.20752263362402423</v>
      </c>
      <c r="AD147" s="3">
        <f>Z147*$E147</f>
        <v>285.23518800000022</v>
      </c>
      <c r="AE147" s="3">
        <f t="shared" ref="AE147:AG162" si="61">AA147*$E147</f>
        <v>848.73422914169589</v>
      </c>
      <c r="AF147" s="3">
        <f t="shared" si="61"/>
        <v>129999.96456000004</v>
      </c>
      <c r="AG147" s="3">
        <f t="shared" si="61"/>
        <v>1.7597919331317255</v>
      </c>
      <c r="AH147" s="233">
        <f>P147*$E147</f>
        <v>1474.5944080000004</v>
      </c>
      <c r="AI147" s="233">
        <f t="shared" ref="AI147:AQ162" si="62">Q147*$E147</f>
        <v>5358.6708399416957</v>
      </c>
      <c r="AJ147" s="233">
        <f t="shared" si="62"/>
        <v>202810.74551999997</v>
      </c>
      <c r="AK147" s="233">
        <f t="shared" si="62"/>
        <v>430432.30896000005</v>
      </c>
      <c r="AL147" s="233">
        <f t="shared" si="62"/>
        <v>9.3310514429380582</v>
      </c>
      <c r="AM147" s="233">
        <f t="shared" si="62"/>
        <v>1189.3592200000001</v>
      </c>
      <c r="AN147" s="233">
        <f t="shared" si="62"/>
        <v>4509.9366107999995</v>
      </c>
      <c r="AO147" s="233">
        <f t="shared" si="62"/>
        <v>173829.35759999999</v>
      </c>
      <c r="AP147" s="233">
        <f t="shared" si="62"/>
        <v>329413.73232000001</v>
      </c>
      <c r="AQ147" s="233">
        <f t="shared" si="62"/>
        <v>7.5712595098063327</v>
      </c>
      <c r="AR147" s="372">
        <v>618.01</v>
      </c>
      <c r="AS147" s="231">
        <f>AR147*E147</f>
        <v>5240.7248</v>
      </c>
    </row>
    <row r="148" spans="2:45" ht="29" x14ac:dyDescent="0.35">
      <c r="B148" s="56" t="s">
        <v>91</v>
      </c>
      <c r="C148" s="361" t="s">
        <v>197</v>
      </c>
      <c r="D148" s="56">
        <v>2</v>
      </c>
      <c r="E148" s="3">
        <v>50.335999999999999</v>
      </c>
      <c r="F148" s="3">
        <v>1098.2659000000001</v>
      </c>
      <c r="G148" s="3">
        <v>4040.2315251207297</v>
      </c>
      <c r="H148" s="3">
        <v>29.075699999999998</v>
      </c>
      <c r="I148" s="3">
        <v>41.680399999999999</v>
      </c>
      <c r="J148" s="3">
        <f t="shared" ref="J148:J211" si="63">G148*$G$141*10^-6 + F148*$G$142*10^-6</f>
        <v>6.9615014963188333</v>
      </c>
      <c r="K148" s="3">
        <v>945.35350000000017</v>
      </c>
      <c r="L148" s="3">
        <v>3606.3288329999991</v>
      </c>
      <c r="M148" s="3">
        <v>26.893299999999996</v>
      </c>
      <c r="N148" s="3">
        <v>34.025300000000001</v>
      </c>
      <c r="O148" s="3">
        <f t="shared" ref="O148:O211" si="64">L148*$G$141*10^-6 + K148*$G$142*10^-6</f>
        <v>6.023161364223232</v>
      </c>
      <c r="P148" s="3">
        <f t="shared" ref="P148:P211" si="65">F148/VLOOKUP(B148,$N$131:$P$134, 3, FALSE)</f>
        <v>137.28323750000001</v>
      </c>
      <c r="Q148" s="3">
        <f t="shared" ref="Q148:Q211" si="66">G148/VLOOKUP($B148,$N$131:$P$134, 3, FALSE)</f>
        <v>505.02894064009121</v>
      </c>
      <c r="R148" s="3">
        <f t="shared" si="57"/>
        <v>26604.265499999998</v>
      </c>
      <c r="S148" s="3">
        <f t="shared" si="57"/>
        <v>38137.565999999999</v>
      </c>
      <c r="T148" s="3">
        <f t="shared" si="58"/>
        <v>0.87018768703985416</v>
      </c>
      <c r="U148" s="3">
        <f t="shared" si="58"/>
        <v>118.16918750000002</v>
      </c>
      <c r="V148" s="3">
        <f t="shared" si="58"/>
        <v>450.79110412499989</v>
      </c>
      <c r="W148" s="3">
        <f t="shared" si="59"/>
        <v>24607.369499999997</v>
      </c>
      <c r="X148" s="3">
        <f t="shared" si="59"/>
        <v>31133.1495</v>
      </c>
      <c r="Y148" s="3">
        <f t="shared" si="60"/>
        <v>0.752895170527904</v>
      </c>
      <c r="Z148" s="3">
        <f t="shared" ref="Z148:AA178" si="67">P148-U148</f>
        <v>19.114049999999992</v>
      </c>
      <c r="AA148" s="3">
        <f t="shared" si="67"/>
        <v>54.237836515091317</v>
      </c>
      <c r="AB148" s="3">
        <f t="shared" ref="AB148:AB211" si="68">R148+S148-W148-X148</f>
        <v>9001.3125</v>
      </c>
      <c r="AC148" s="3">
        <f t="shared" ref="AC148:AC211" si="69">T148-Y148</f>
        <v>0.11729251651195016</v>
      </c>
      <c r="AD148" s="3">
        <f t="shared" ref="AD148:AG178" si="70">Z148*$E148</f>
        <v>962.12482079999961</v>
      </c>
      <c r="AE148" s="3">
        <f t="shared" si="61"/>
        <v>2730.1157388236365</v>
      </c>
      <c r="AF148" s="3">
        <f t="shared" si="61"/>
        <v>453090.06599999999</v>
      </c>
      <c r="AG148" s="3">
        <f t="shared" si="61"/>
        <v>5.9040361111455235</v>
      </c>
      <c r="AH148" s="233">
        <f t="shared" ref="AH148:AQ186" si="71">P148*$E148</f>
        <v>6910.2890428000001</v>
      </c>
      <c r="AI148" s="233">
        <f t="shared" si="62"/>
        <v>25421.13675605963</v>
      </c>
      <c r="AJ148" s="233">
        <f t="shared" si="62"/>
        <v>1339152.3082079999</v>
      </c>
      <c r="AK148" s="233">
        <f t="shared" si="62"/>
        <v>1919692.5221759998</v>
      </c>
      <c r="AL148" s="233">
        <f t="shared" si="62"/>
        <v>43.801767414838096</v>
      </c>
      <c r="AM148" s="233">
        <f t="shared" si="62"/>
        <v>5948.1642220000012</v>
      </c>
      <c r="AN148" s="233">
        <f t="shared" si="62"/>
        <v>22691.021017235995</v>
      </c>
      <c r="AO148" s="233">
        <f t="shared" si="62"/>
        <v>1238636.5511519997</v>
      </c>
      <c r="AP148" s="233">
        <f t="shared" si="62"/>
        <v>1567118.2132319999</v>
      </c>
      <c r="AQ148" s="233">
        <f t="shared" si="62"/>
        <v>37.897731303692574</v>
      </c>
      <c r="AR148" s="373">
        <v>557.39</v>
      </c>
      <c r="AS148" s="231">
        <f t="shared" ref="AS148:AS211" si="72">AR148*E148</f>
        <v>28056.783039999998</v>
      </c>
    </row>
    <row r="149" spans="2:45" ht="29" x14ac:dyDescent="0.35">
      <c r="B149" s="56" t="s">
        <v>91</v>
      </c>
      <c r="C149" s="361" t="s">
        <v>197</v>
      </c>
      <c r="D149" s="56">
        <v>11</v>
      </c>
      <c r="E149" s="3">
        <v>35.904000000000003</v>
      </c>
      <c r="F149" s="3">
        <v>1019.1632</v>
      </c>
      <c r="G149" s="3">
        <v>3624.6833600249497</v>
      </c>
      <c r="H149" s="3">
        <v>57.130099999999999</v>
      </c>
      <c r="I149" s="3">
        <v>38.062200000000004</v>
      </c>
      <c r="J149" s="3">
        <f t="shared" si="63"/>
        <v>6.4301623468704801</v>
      </c>
      <c r="K149" s="3">
        <v>882.904</v>
      </c>
      <c r="L149" s="3">
        <v>2945.0451099999996</v>
      </c>
      <c r="M149" s="3">
        <v>52.458100000000002</v>
      </c>
      <c r="N149" s="3">
        <v>31.1892</v>
      </c>
      <c r="O149" s="3">
        <f t="shared" si="64"/>
        <v>5.5235917859842099</v>
      </c>
      <c r="P149" s="3">
        <f t="shared" si="65"/>
        <v>127.3954</v>
      </c>
      <c r="Q149" s="3">
        <f t="shared" si="66"/>
        <v>453.08542000311871</v>
      </c>
      <c r="R149" s="3">
        <f t="shared" si="57"/>
        <v>52274.041499999999</v>
      </c>
      <c r="S149" s="3">
        <f t="shared" si="57"/>
        <v>34826.913</v>
      </c>
      <c r="T149" s="3">
        <f t="shared" si="58"/>
        <v>0.80377029335881001</v>
      </c>
      <c r="U149" s="3">
        <f t="shared" si="58"/>
        <v>110.363</v>
      </c>
      <c r="V149" s="3">
        <f t="shared" si="58"/>
        <v>368.13063874999995</v>
      </c>
      <c r="W149" s="3">
        <f t="shared" si="59"/>
        <v>47999.161500000002</v>
      </c>
      <c r="X149" s="3">
        <f t="shared" si="59"/>
        <v>28538.117999999999</v>
      </c>
      <c r="Y149" s="3">
        <f t="shared" si="60"/>
        <v>0.69044897324802623</v>
      </c>
      <c r="Z149" s="3">
        <f t="shared" si="67"/>
        <v>17.032399999999996</v>
      </c>
      <c r="AA149" s="3">
        <f t="shared" si="67"/>
        <v>84.954781253118767</v>
      </c>
      <c r="AB149" s="3">
        <f t="shared" si="68"/>
        <v>10563.674999999992</v>
      </c>
      <c r="AC149" s="3">
        <f t="shared" si="69"/>
        <v>0.11332132011078377</v>
      </c>
      <c r="AD149" s="3">
        <f t="shared" si="70"/>
        <v>611.53128959999992</v>
      </c>
      <c r="AE149" s="3">
        <f t="shared" si="61"/>
        <v>3050.2164661119764</v>
      </c>
      <c r="AF149" s="3">
        <f t="shared" si="61"/>
        <v>379278.18719999975</v>
      </c>
      <c r="AG149" s="3">
        <f t="shared" si="61"/>
        <v>4.0686886772575814</v>
      </c>
      <c r="AH149" s="233">
        <f t="shared" si="71"/>
        <v>4574.0044416000001</v>
      </c>
      <c r="AI149" s="233">
        <f t="shared" si="62"/>
        <v>16267.578919791977</v>
      </c>
      <c r="AJ149" s="233">
        <f t="shared" si="62"/>
        <v>1876847.1860160001</v>
      </c>
      <c r="AK149" s="233">
        <f t="shared" si="62"/>
        <v>1250425.4843520001</v>
      </c>
      <c r="AL149" s="233">
        <f t="shared" si="62"/>
        <v>28.858568612754716</v>
      </c>
      <c r="AM149" s="233">
        <f t="shared" si="62"/>
        <v>3962.4731520000005</v>
      </c>
      <c r="AN149" s="233">
        <f t="shared" si="62"/>
        <v>13217.36245368</v>
      </c>
      <c r="AO149" s="233">
        <f t="shared" si="62"/>
        <v>1723361.8944960001</v>
      </c>
      <c r="AP149" s="233">
        <f t="shared" si="62"/>
        <v>1024632.5886720001</v>
      </c>
      <c r="AQ149" s="233">
        <f t="shared" si="62"/>
        <v>24.789879935497137</v>
      </c>
      <c r="AR149" s="373">
        <v>618.64</v>
      </c>
      <c r="AS149" s="231">
        <f t="shared" si="72"/>
        <v>22211.650560000002</v>
      </c>
    </row>
    <row r="150" spans="2:45" ht="29" x14ac:dyDescent="0.35">
      <c r="B150" s="56" t="s">
        <v>91</v>
      </c>
      <c r="C150" s="361" t="s">
        <v>197</v>
      </c>
      <c r="D150" s="56">
        <v>12</v>
      </c>
      <c r="E150" s="3">
        <v>202.72000000000003</v>
      </c>
      <c r="F150" s="3">
        <v>1021.47</v>
      </c>
      <c r="G150" s="3">
        <v>3585.9595742223896</v>
      </c>
      <c r="H150" s="3">
        <v>40.2303</v>
      </c>
      <c r="I150" s="3">
        <v>38.054300000000005</v>
      </c>
      <c r="J150" s="3">
        <f t="shared" si="63"/>
        <v>6.4334371138370354</v>
      </c>
      <c r="K150" s="3">
        <v>893.36360000000002</v>
      </c>
      <c r="L150" s="3">
        <v>3242.4706619999997</v>
      </c>
      <c r="M150" s="3">
        <v>37.216499999999996</v>
      </c>
      <c r="N150" s="3">
        <v>31.592100000000002</v>
      </c>
      <c r="O150" s="3">
        <f t="shared" si="64"/>
        <v>5.6521309116827165</v>
      </c>
      <c r="P150" s="3">
        <f t="shared" si="65"/>
        <v>127.68375</v>
      </c>
      <c r="Q150" s="3">
        <f t="shared" si="66"/>
        <v>448.2449467777987</v>
      </c>
      <c r="R150" s="3">
        <f t="shared" si="57"/>
        <v>36810.724499999997</v>
      </c>
      <c r="S150" s="3">
        <f t="shared" si="57"/>
        <v>34819.684500000003</v>
      </c>
      <c r="T150" s="3">
        <f t="shared" si="58"/>
        <v>0.80417963922962943</v>
      </c>
      <c r="U150" s="3">
        <f t="shared" si="58"/>
        <v>111.67045</v>
      </c>
      <c r="V150" s="3">
        <f t="shared" si="58"/>
        <v>405.30883274999997</v>
      </c>
      <c r="W150" s="3">
        <f t="shared" si="59"/>
        <v>34053.097499999996</v>
      </c>
      <c r="X150" s="3">
        <f t="shared" si="59"/>
        <v>28906.771500000003</v>
      </c>
      <c r="Y150" s="3">
        <f t="shared" si="60"/>
        <v>0.70651636396033957</v>
      </c>
      <c r="Z150" s="3">
        <f t="shared" si="67"/>
        <v>16.013300000000001</v>
      </c>
      <c r="AA150" s="3">
        <f t="shared" si="67"/>
        <v>42.936114027798737</v>
      </c>
      <c r="AB150" s="3">
        <f t="shared" si="68"/>
        <v>8670.5400000000009</v>
      </c>
      <c r="AC150" s="3">
        <f t="shared" si="69"/>
        <v>9.7663275269289862E-2</v>
      </c>
      <c r="AD150" s="3">
        <f t="shared" si="70"/>
        <v>3246.2161760000008</v>
      </c>
      <c r="AE150" s="3">
        <f t="shared" si="61"/>
        <v>8704.0090357153604</v>
      </c>
      <c r="AF150" s="3">
        <f t="shared" si="61"/>
        <v>1757691.8688000005</v>
      </c>
      <c r="AG150" s="3">
        <f t="shared" si="61"/>
        <v>19.798299162590443</v>
      </c>
      <c r="AH150" s="233">
        <f t="shared" si="71"/>
        <v>25884.049800000004</v>
      </c>
      <c r="AI150" s="233">
        <f t="shared" si="62"/>
        <v>90868.215610795363</v>
      </c>
      <c r="AJ150" s="233">
        <f t="shared" si="62"/>
        <v>7462270.0706400005</v>
      </c>
      <c r="AK150" s="233">
        <f t="shared" si="62"/>
        <v>7058646.4418400014</v>
      </c>
      <c r="AL150" s="233">
        <f t="shared" si="62"/>
        <v>163.0232964646305</v>
      </c>
      <c r="AM150" s="233">
        <f t="shared" si="62"/>
        <v>22637.833624000003</v>
      </c>
      <c r="AN150" s="233">
        <f t="shared" si="62"/>
        <v>82164.20657508001</v>
      </c>
      <c r="AO150" s="233">
        <f t="shared" si="62"/>
        <v>6903243.9252000004</v>
      </c>
      <c r="AP150" s="233">
        <f t="shared" si="62"/>
        <v>5859980.7184800012</v>
      </c>
      <c r="AQ150" s="233">
        <f t="shared" si="62"/>
        <v>143.22499730204007</v>
      </c>
      <c r="AR150" s="373">
        <v>640.35</v>
      </c>
      <c r="AS150" s="231">
        <f t="shared" si="72"/>
        <v>129811.75200000002</v>
      </c>
    </row>
    <row r="151" spans="2:45" ht="29" x14ac:dyDescent="0.35">
      <c r="B151" s="56" t="s">
        <v>91</v>
      </c>
      <c r="C151" s="361" t="s">
        <v>197</v>
      </c>
      <c r="D151" s="56">
        <v>13</v>
      </c>
      <c r="E151" s="3">
        <v>59.168000000000006</v>
      </c>
      <c r="F151" s="3">
        <v>923.92079999999999</v>
      </c>
      <c r="G151" s="3">
        <v>3239.102339675339</v>
      </c>
      <c r="H151" s="3">
        <v>60.455199999999998</v>
      </c>
      <c r="I151" s="3">
        <v>33.330100000000002</v>
      </c>
      <c r="J151" s="3">
        <f t="shared" si="63"/>
        <v>5.8179932240614285</v>
      </c>
      <c r="K151" s="3">
        <v>814.35569999999996</v>
      </c>
      <c r="L151" s="3">
        <v>2613.2220499999994</v>
      </c>
      <c r="M151" s="3">
        <v>56.040099999999995</v>
      </c>
      <c r="N151" s="3">
        <v>27.784300000000002</v>
      </c>
      <c r="O151" s="3">
        <f t="shared" si="64"/>
        <v>5.0699446412219222</v>
      </c>
      <c r="P151" s="3">
        <f t="shared" si="65"/>
        <v>115.4901</v>
      </c>
      <c r="Q151" s="3">
        <f t="shared" si="66"/>
        <v>404.88779245941737</v>
      </c>
      <c r="R151" s="3">
        <f t="shared" si="57"/>
        <v>55316.508000000002</v>
      </c>
      <c r="S151" s="3">
        <f t="shared" si="57"/>
        <v>30497.041500000003</v>
      </c>
      <c r="T151" s="3">
        <f t="shared" si="58"/>
        <v>0.72724915300767856</v>
      </c>
      <c r="U151" s="3">
        <f t="shared" si="58"/>
        <v>101.79446249999999</v>
      </c>
      <c r="V151" s="3">
        <f t="shared" si="58"/>
        <v>326.65275624999992</v>
      </c>
      <c r="W151" s="3">
        <f t="shared" si="59"/>
        <v>51276.691499999994</v>
      </c>
      <c r="X151" s="3">
        <f t="shared" si="59"/>
        <v>25422.6345</v>
      </c>
      <c r="Y151" s="3">
        <f t="shared" si="60"/>
        <v>0.63374308015274028</v>
      </c>
      <c r="Z151" s="3">
        <f t="shared" si="67"/>
        <v>13.695637500000004</v>
      </c>
      <c r="AA151" s="3">
        <f t="shared" si="67"/>
        <v>78.235036209417444</v>
      </c>
      <c r="AB151" s="3">
        <f t="shared" si="68"/>
        <v>9114.2235000000146</v>
      </c>
      <c r="AC151" s="3">
        <f t="shared" si="69"/>
        <v>9.3506072854938282E-2</v>
      </c>
      <c r="AD151" s="3">
        <f t="shared" si="70"/>
        <v>810.34347960000025</v>
      </c>
      <c r="AE151" s="3">
        <f t="shared" si="61"/>
        <v>4629.0106224388119</v>
      </c>
      <c r="AF151" s="3">
        <f t="shared" si="61"/>
        <v>539270.37604800088</v>
      </c>
      <c r="AG151" s="3">
        <f t="shared" si="61"/>
        <v>5.5325673186809885</v>
      </c>
      <c r="AH151" s="233">
        <f t="shared" si="71"/>
        <v>6833.3182368000007</v>
      </c>
      <c r="AI151" s="233">
        <f t="shared" si="62"/>
        <v>23956.40090423881</v>
      </c>
      <c r="AJ151" s="233">
        <f t="shared" si="62"/>
        <v>3272967.1453440003</v>
      </c>
      <c r="AK151" s="233">
        <f t="shared" si="62"/>
        <v>1804448.9514720005</v>
      </c>
      <c r="AL151" s="233">
        <f t="shared" si="62"/>
        <v>43.029877885158328</v>
      </c>
      <c r="AM151" s="233">
        <f t="shared" si="62"/>
        <v>6022.9747572000006</v>
      </c>
      <c r="AN151" s="233">
        <f t="shared" si="62"/>
        <v>19327.390281799999</v>
      </c>
      <c r="AO151" s="233">
        <f t="shared" si="62"/>
        <v>3033939.2826720001</v>
      </c>
      <c r="AP151" s="233">
        <f t="shared" si="62"/>
        <v>1504206.4380960001</v>
      </c>
      <c r="AQ151" s="233">
        <f t="shared" si="62"/>
        <v>37.497310566477339</v>
      </c>
      <c r="AR151" s="373">
        <v>620.25</v>
      </c>
      <c r="AS151" s="231">
        <f t="shared" si="72"/>
        <v>36698.952000000005</v>
      </c>
    </row>
    <row r="152" spans="2:45" ht="29" x14ac:dyDescent="0.35">
      <c r="B152" s="56" t="s">
        <v>91</v>
      </c>
      <c r="C152" s="361" t="s">
        <v>197</v>
      </c>
      <c r="D152" s="56">
        <v>14</v>
      </c>
      <c r="E152" s="3">
        <v>26.880000000000003</v>
      </c>
      <c r="F152" s="3">
        <v>1000.5745000000001</v>
      </c>
      <c r="G152" s="3">
        <v>3725.002661022399</v>
      </c>
      <c r="H152" s="3">
        <v>48.380399999999995</v>
      </c>
      <c r="I152" s="3">
        <v>37.185300000000005</v>
      </c>
      <c r="J152" s="3">
        <f t="shared" si="63"/>
        <v>6.3528840584620792</v>
      </c>
      <c r="K152" s="3">
        <v>869.48979999999995</v>
      </c>
      <c r="L152" s="3">
        <v>3000.3421299999991</v>
      </c>
      <c r="M152" s="3">
        <v>43.8613</v>
      </c>
      <c r="N152" s="3">
        <v>30.549300000000002</v>
      </c>
      <c r="O152" s="3">
        <f t="shared" si="64"/>
        <v>5.4637160331757091</v>
      </c>
      <c r="P152" s="3">
        <f t="shared" si="65"/>
        <v>125.07181250000001</v>
      </c>
      <c r="Q152" s="3">
        <f t="shared" si="66"/>
        <v>465.62533262779988</v>
      </c>
      <c r="R152" s="3">
        <f t="shared" si="57"/>
        <v>44268.065999999992</v>
      </c>
      <c r="S152" s="3">
        <f t="shared" si="57"/>
        <v>34024.549500000008</v>
      </c>
      <c r="T152" s="3">
        <f t="shared" si="58"/>
        <v>0.79411050730775989</v>
      </c>
      <c r="U152" s="3">
        <f t="shared" si="58"/>
        <v>108.68622499999999</v>
      </c>
      <c r="V152" s="3">
        <f t="shared" si="58"/>
        <v>375.04276624999989</v>
      </c>
      <c r="W152" s="3">
        <f t="shared" si="59"/>
        <v>40133.089500000002</v>
      </c>
      <c r="X152" s="3">
        <f t="shared" si="59"/>
        <v>27952.609500000002</v>
      </c>
      <c r="Y152" s="3">
        <f t="shared" si="60"/>
        <v>0.68296450414696364</v>
      </c>
      <c r="Z152" s="3">
        <f t="shared" si="67"/>
        <v>16.385587500000014</v>
      </c>
      <c r="AA152" s="3">
        <f t="shared" si="67"/>
        <v>90.582566377799992</v>
      </c>
      <c r="AB152" s="3">
        <f t="shared" si="68"/>
        <v>10206.916499999996</v>
      </c>
      <c r="AC152" s="3">
        <f t="shared" si="69"/>
        <v>0.11114600316079626</v>
      </c>
      <c r="AD152" s="3">
        <f t="shared" si="70"/>
        <v>440.4445920000004</v>
      </c>
      <c r="AE152" s="3">
        <f t="shared" si="61"/>
        <v>2434.8593842352639</v>
      </c>
      <c r="AF152" s="3">
        <f t="shared" si="61"/>
        <v>274361.91551999992</v>
      </c>
      <c r="AG152" s="3">
        <f t="shared" si="61"/>
        <v>2.9876045649622038</v>
      </c>
      <c r="AH152" s="233">
        <f t="shared" si="71"/>
        <v>3361.9303200000004</v>
      </c>
      <c r="AI152" s="233">
        <f t="shared" si="62"/>
        <v>12516.008941035261</v>
      </c>
      <c r="AJ152" s="233">
        <f t="shared" si="62"/>
        <v>1189925.61408</v>
      </c>
      <c r="AK152" s="233">
        <f t="shared" si="62"/>
        <v>914579.89056000032</v>
      </c>
      <c r="AL152" s="233">
        <f t="shared" si="62"/>
        <v>21.345690436432587</v>
      </c>
      <c r="AM152" s="233">
        <f t="shared" si="62"/>
        <v>2921.4857280000001</v>
      </c>
      <c r="AN152" s="233">
        <f t="shared" si="62"/>
        <v>10081.149556799997</v>
      </c>
      <c r="AO152" s="233">
        <f t="shared" si="62"/>
        <v>1078777.4457600003</v>
      </c>
      <c r="AP152" s="233">
        <f t="shared" si="62"/>
        <v>751366.1433600001</v>
      </c>
      <c r="AQ152" s="233">
        <f t="shared" si="62"/>
        <v>18.358085871470383</v>
      </c>
      <c r="AR152" s="373">
        <v>621.87</v>
      </c>
      <c r="AS152" s="231">
        <f t="shared" si="72"/>
        <v>16715.865600000001</v>
      </c>
    </row>
    <row r="153" spans="2:45" ht="29" x14ac:dyDescent="0.35">
      <c r="B153" s="56" t="s">
        <v>91</v>
      </c>
      <c r="C153" s="361" t="s">
        <v>197</v>
      </c>
      <c r="D153" s="56">
        <v>15</v>
      </c>
      <c r="E153" s="3">
        <v>17.503999999999998</v>
      </c>
      <c r="F153" s="3">
        <v>646.17339000000004</v>
      </c>
      <c r="G153" s="3">
        <v>2247.2073606020995</v>
      </c>
      <c r="H153" s="3">
        <v>88.308899999999994</v>
      </c>
      <c r="I153" s="3">
        <v>19.631500000000003</v>
      </c>
      <c r="J153" s="3">
        <f t="shared" si="63"/>
        <v>4.0646332472959568</v>
      </c>
      <c r="K153" s="3">
        <v>643.50398000000007</v>
      </c>
      <c r="L153" s="3">
        <v>1201.6617799999995</v>
      </c>
      <c r="M153" s="3">
        <v>81.703900000000004</v>
      </c>
      <c r="N153" s="3">
        <v>19.497199999999999</v>
      </c>
      <c r="O153" s="3">
        <f t="shared" si="64"/>
        <v>3.7987699241286315</v>
      </c>
      <c r="P153" s="3">
        <f t="shared" si="65"/>
        <v>80.771673750000005</v>
      </c>
      <c r="Q153" s="3">
        <f t="shared" si="66"/>
        <v>280.90092007526243</v>
      </c>
      <c r="R153" s="3">
        <f t="shared" si="57"/>
        <v>80802.643499999991</v>
      </c>
      <c r="S153" s="3">
        <f t="shared" si="57"/>
        <v>17962.822500000002</v>
      </c>
      <c r="T153" s="3">
        <f t="shared" si="58"/>
        <v>0.5080791559119946</v>
      </c>
      <c r="U153" s="3">
        <f t="shared" si="58"/>
        <v>80.437997500000009</v>
      </c>
      <c r="V153" s="3">
        <f t="shared" si="58"/>
        <v>150.20772249999993</v>
      </c>
      <c r="W153" s="3">
        <f t="shared" si="59"/>
        <v>74759.068500000008</v>
      </c>
      <c r="X153" s="3">
        <f t="shared" si="59"/>
        <v>17839.937999999998</v>
      </c>
      <c r="Y153" s="3">
        <f t="shared" si="60"/>
        <v>0.47484624051607893</v>
      </c>
      <c r="Z153" s="3">
        <f t="shared" si="67"/>
        <v>0.33367624999999634</v>
      </c>
      <c r="AA153" s="3">
        <f t="shared" si="67"/>
        <v>130.6931975752625</v>
      </c>
      <c r="AB153" s="3">
        <f t="shared" si="68"/>
        <v>6166.459499999979</v>
      </c>
      <c r="AC153" s="3">
        <f t="shared" si="69"/>
        <v>3.3232915395915663E-2</v>
      </c>
      <c r="AD153" s="3">
        <f t="shared" si="70"/>
        <v>5.8406690799999357</v>
      </c>
      <c r="AE153" s="3">
        <f t="shared" si="61"/>
        <v>2287.6537303573946</v>
      </c>
      <c r="AF153" s="3">
        <f t="shared" si="61"/>
        <v>107937.70708799962</v>
      </c>
      <c r="AG153" s="3">
        <f t="shared" si="61"/>
        <v>0.58170895109010767</v>
      </c>
      <c r="AH153" s="233">
        <f t="shared" si="71"/>
        <v>1413.8273773199999</v>
      </c>
      <c r="AI153" s="233">
        <f t="shared" si="62"/>
        <v>4916.889704997393</v>
      </c>
      <c r="AJ153" s="233">
        <f t="shared" si="62"/>
        <v>1414369.4718239997</v>
      </c>
      <c r="AK153" s="233">
        <f t="shared" si="62"/>
        <v>314421.24504000001</v>
      </c>
      <c r="AL153" s="233">
        <f t="shared" si="62"/>
        <v>8.8934175450835529</v>
      </c>
      <c r="AM153" s="233">
        <f t="shared" si="62"/>
        <v>1407.9867082399999</v>
      </c>
      <c r="AN153" s="233">
        <f t="shared" si="62"/>
        <v>2629.2359746399984</v>
      </c>
      <c r="AO153" s="233">
        <f t="shared" si="62"/>
        <v>1308582.7350240001</v>
      </c>
      <c r="AP153" s="233">
        <f t="shared" si="62"/>
        <v>312270.27475199994</v>
      </c>
      <c r="AQ153" s="233">
        <f t="shared" si="62"/>
        <v>8.3117085939934441</v>
      </c>
      <c r="AR153" s="373">
        <v>715.03</v>
      </c>
      <c r="AS153" s="231">
        <f t="shared" si="72"/>
        <v>12515.885119999997</v>
      </c>
    </row>
    <row r="154" spans="2:45" ht="29.5" thickBot="1" x14ac:dyDescent="0.4">
      <c r="B154" s="56" t="s">
        <v>91</v>
      </c>
      <c r="C154" s="361" t="s">
        <v>197</v>
      </c>
      <c r="D154" s="56">
        <v>16</v>
      </c>
      <c r="E154" s="3">
        <v>10.848000000000003</v>
      </c>
      <c r="F154" s="3">
        <v>1487.7359000000001</v>
      </c>
      <c r="G154" s="3">
        <v>4971.8540933801996</v>
      </c>
      <c r="H154" s="3">
        <v>33.255099999999999</v>
      </c>
      <c r="I154" s="3">
        <v>60.766800000000003</v>
      </c>
      <c r="J154" s="3">
        <f t="shared" si="63"/>
        <v>9.3097569510101348</v>
      </c>
      <c r="K154" s="3">
        <v>1234.0827000000002</v>
      </c>
      <c r="L154" s="3">
        <v>4271.5274919999993</v>
      </c>
      <c r="M154" s="3">
        <v>29.669099999999997</v>
      </c>
      <c r="N154" s="3">
        <v>48.2453</v>
      </c>
      <c r="O154" s="3">
        <f t="shared" si="64"/>
        <v>7.7578972294238362</v>
      </c>
      <c r="P154" s="3">
        <f t="shared" si="65"/>
        <v>185.96698750000002</v>
      </c>
      <c r="Q154" s="3">
        <f t="shared" si="66"/>
        <v>621.48176167252495</v>
      </c>
      <c r="R154" s="3">
        <f t="shared" si="57"/>
        <v>30428.416499999999</v>
      </c>
      <c r="S154" s="3">
        <f t="shared" si="57"/>
        <v>55601.622000000003</v>
      </c>
      <c r="T154" s="3">
        <f t="shared" si="58"/>
        <v>1.1637196188762668</v>
      </c>
      <c r="U154" s="3">
        <f t="shared" si="58"/>
        <v>154.26033750000002</v>
      </c>
      <c r="V154" s="3">
        <f t="shared" si="58"/>
        <v>533.94093649999991</v>
      </c>
      <c r="W154" s="3">
        <f t="shared" si="59"/>
        <v>27147.226499999997</v>
      </c>
      <c r="X154" s="3">
        <f t="shared" si="59"/>
        <v>44144.449500000002</v>
      </c>
      <c r="Y154" s="3">
        <f t="shared" si="60"/>
        <v>0.96973715367797952</v>
      </c>
      <c r="Z154" s="3">
        <f t="shared" si="67"/>
        <v>31.706649999999996</v>
      </c>
      <c r="AA154" s="3">
        <f t="shared" si="67"/>
        <v>87.540825172525047</v>
      </c>
      <c r="AB154" s="3">
        <f t="shared" si="68"/>
        <v>14738.362499999996</v>
      </c>
      <c r="AC154" s="3">
        <f t="shared" si="69"/>
        <v>0.19398246519828732</v>
      </c>
      <c r="AD154" s="3">
        <f t="shared" si="70"/>
        <v>343.95373920000003</v>
      </c>
      <c r="AE154" s="3">
        <f t="shared" si="61"/>
        <v>949.64287147155187</v>
      </c>
      <c r="AF154" s="3">
        <f t="shared" si="61"/>
        <v>159881.75639999998</v>
      </c>
      <c r="AG154" s="3">
        <f t="shared" si="61"/>
        <v>2.1043217824710214</v>
      </c>
      <c r="AH154" s="233">
        <f t="shared" si="71"/>
        <v>2017.3698804000007</v>
      </c>
      <c r="AI154" s="233">
        <f t="shared" si="62"/>
        <v>6741.834150623552</v>
      </c>
      <c r="AJ154" s="233">
        <f t="shared" si="62"/>
        <v>330087.46219200006</v>
      </c>
      <c r="AK154" s="233">
        <f t="shared" si="62"/>
        <v>603166.39545600023</v>
      </c>
      <c r="AL154" s="233">
        <f t="shared" si="62"/>
        <v>12.624030425569746</v>
      </c>
      <c r="AM154" s="233">
        <f t="shared" si="62"/>
        <v>1673.4161412000005</v>
      </c>
      <c r="AN154" s="233">
        <f t="shared" si="62"/>
        <v>5792.1912791520008</v>
      </c>
      <c r="AO154" s="233">
        <f t="shared" si="62"/>
        <v>294493.11307200004</v>
      </c>
      <c r="AP154" s="233">
        <f t="shared" si="62"/>
        <v>478878.98817600013</v>
      </c>
      <c r="AQ154" s="233">
        <f t="shared" si="62"/>
        <v>10.519708643098724</v>
      </c>
      <c r="AR154" s="374">
        <v>618.64</v>
      </c>
      <c r="AS154" s="231">
        <f t="shared" si="72"/>
        <v>6711.0067200000012</v>
      </c>
    </row>
    <row r="155" spans="2:45" ht="29" x14ac:dyDescent="0.35">
      <c r="B155" s="56" t="s">
        <v>93</v>
      </c>
      <c r="C155" s="361" t="s">
        <v>197</v>
      </c>
      <c r="D155" s="56">
        <v>1</v>
      </c>
      <c r="E155" s="3">
        <v>122.96000000000001</v>
      </c>
      <c r="F155" s="3">
        <v>26467.4</v>
      </c>
      <c r="G155" s="3">
        <v>493289</v>
      </c>
      <c r="H155" s="3">
        <v>118.763126203151</v>
      </c>
      <c r="I155" s="3">
        <v>68.430163557161407</v>
      </c>
      <c r="J155" s="3">
        <f t="shared" si="63"/>
        <v>262.92941518815206</v>
      </c>
      <c r="K155" s="3">
        <v>22851.3</v>
      </c>
      <c r="L155" s="3">
        <v>493161</v>
      </c>
      <c r="M155" s="3">
        <v>118.54403117281799</v>
      </c>
      <c r="N155" s="3">
        <v>58.887869790641702</v>
      </c>
      <c r="O155" s="3">
        <f t="shared" si="64"/>
        <v>243.17490887126917</v>
      </c>
      <c r="P155" s="3">
        <f t="shared" si="65"/>
        <v>300.76590909090913</v>
      </c>
      <c r="Q155" s="3">
        <f t="shared" si="66"/>
        <v>5605.556818181818</v>
      </c>
      <c r="R155" s="3">
        <f t="shared" si="57"/>
        <v>152637.60879064066</v>
      </c>
      <c r="S155" s="3">
        <f t="shared" si="57"/>
        <v>87948.31248085176</v>
      </c>
      <c r="T155" s="3">
        <f t="shared" si="58"/>
        <v>2.9878342635017279</v>
      </c>
      <c r="U155" s="3">
        <f t="shared" si="58"/>
        <v>259.67386363636365</v>
      </c>
      <c r="V155" s="3">
        <f t="shared" si="58"/>
        <v>5604.102272727273</v>
      </c>
      <c r="W155" s="3">
        <f t="shared" si="59"/>
        <v>152356.02188233766</v>
      </c>
      <c r="X155" s="3">
        <f t="shared" si="59"/>
        <v>75684.296287745194</v>
      </c>
      <c r="Y155" s="3">
        <f t="shared" si="60"/>
        <v>2.7633512371735134</v>
      </c>
      <c r="Z155" s="3">
        <f t="shared" si="67"/>
        <v>41.092045454545485</v>
      </c>
      <c r="AA155" s="3">
        <f t="shared" si="67"/>
        <v>1.4545454545450411</v>
      </c>
      <c r="AB155" s="3">
        <f t="shared" si="68"/>
        <v>12545.603101409579</v>
      </c>
      <c r="AC155" s="3">
        <f t="shared" si="69"/>
        <v>0.22448302632821449</v>
      </c>
      <c r="AD155" s="3">
        <f t="shared" si="70"/>
        <v>5052.6779090909131</v>
      </c>
      <c r="AE155" s="3">
        <f t="shared" si="61"/>
        <v>178.85090909085827</v>
      </c>
      <c r="AF155" s="3">
        <f t="shared" si="61"/>
        <v>1542607.3573493219</v>
      </c>
      <c r="AG155" s="3">
        <f t="shared" si="61"/>
        <v>27.602432917317255</v>
      </c>
      <c r="AH155" s="233">
        <f t="shared" si="71"/>
        <v>36982.176181818191</v>
      </c>
      <c r="AI155" s="233">
        <f t="shared" si="62"/>
        <v>689259.26636363636</v>
      </c>
      <c r="AJ155" s="233">
        <f t="shared" si="62"/>
        <v>18768320.376897179</v>
      </c>
      <c r="AK155" s="233">
        <f t="shared" si="62"/>
        <v>10814124.502645534</v>
      </c>
      <c r="AL155" s="233">
        <f t="shared" si="62"/>
        <v>367.38410104017248</v>
      </c>
      <c r="AM155" s="233">
        <f t="shared" si="62"/>
        <v>31929.498272727276</v>
      </c>
      <c r="AN155" s="233">
        <f t="shared" si="62"/>
        <v>689080.41545454552</v>
      </c>
      <c r="AO155" s="233">
        <f t="shared" si="62"/>
        <v>18733696.450652242</v>
      </c>
      <c r="AP155" s="233">
        <f t="shared" si="62"/>
        <v>9306141.0715411492</v>
      </c>
      <c r="AQ155" s="233">
        <f t="shared" si="62"/>
        <v>339.78166812285525</v>
      </c>
      <c r="AR155" s="372">
        <v>618.01</v>
      </c>
      <c r="AS155" s="231">
        <f t="shared" si="72"/>
        <v>75990.509600000005</v>
      </c>
    </row>
    <row r="156" spans="2:45" ht="29" x14ac:dyDescent="0.35">
      <c r="B156" s="56" t="s">
        <v>93</v>
      </c>
      <c r="C156" s="361" t="s">
        <v>197</v>
      </c>
      <c r="D156" s="56">
        <v>2</v>
      </c>
      <c r="E156" s="3">
        <v>729.87199999999984</v>
      </c>
      <c r="F156" s="3">
        <v>19853</v>
      </c>
      <c r="G156" s="3">
        <v>551251</v>
      </c>
      <c r="H156" s="3">
        <v>144.08871186892199</v>
      </c>
      <c r="I156" s="3">
        <v>51.6231177876871</v>
      </c>
      <c r="J156" s="3">
        <f t="shared" si="63"/>
        <v>240.78319527578702</v>
      </c>
      <c r="K156" s="3">
        <v>17839.099999999999</v>
      </c>
      <c r="L156" s="3">
        <v>557510</v>
      </c>
      <c r="M156" s="3">
        <v>144.35250152290101</v>
      </c>
      <c r="N156" s="3">
        <v>46.079659159244699</v>
      </c>
      <c r="O156" s="3">
        <f t="shared" si="64"/>
        <v>231.30292049814022</v>
      </c>
      <c r="P156" s="3">
        <f t="shared" si="65"/>
        <v>225.60227272727272</v>
      </c>
      <c r="Q156" s="3">
        <f t="shared" si="66"/>
        <v>6264.215909090909</v>
      </c>
      <c r="R156" s="3">
        <f t="shared" si="57"/>
        <v>185186.7421860804</v>
      </c>
      <c r="S156" s="3">
        <f t="shared" si="57"/>
        <v>66347.438883947849</v>
      </c>
      <c r="T156" s="3">
        <f t="shared" si="58"/>
        <v>2.7361726735884888</v>
      </c>
      <c r="U156" s="3">
        <f t="shared" si="58"/>
        <v>202.71704545454543</v>
      </c>
      <c r="V156" s="3">
        <f t="shared" si="58"/>
        <v>6335.340909090909</v>
      </c>
      <c r="W156" s="3">
        <f t="shared" si="59"/>
        <v>185525.77184363754</v>
      </c>
      <c r="X156" s="3">
        <f t="shared" si="59"/>
        <v>59222.834669438358</v>
      </c>
      <c r="Y156" s="3">
        <f t="shared" si="60"/>
        <v>2.6284422783879573</v>
      </c>
      <c r="Z156" s="3">
        <f t="shared" si="67"/>
        <v>22.885227272727292</v>
      </c>
      <c r="AA156" s="3">
        <f t="shared" si="67"/>
        <v>-71.125</v>
      </c>
      <c r="AB156" s="3">
        <f t="shared" si="68"/>
        <v>6785.5745569523497</v>
      </c>
      <c r="AC156" s="3">
        <f t="shared" si="69"/>
        <v>0.10773039520053151</v>
      </c>
      <c r="AD156" s="3">
        <f t="shared" si="70"/>
        <v>16703.28660000001</v>
      </c>
      <c r="AE156" s="3">
        <f t="shared" si="61"/>
        <v>-51912.145999999986</v>
      </c>
      <c r="AF156" s="3">
        <f t="shared" si="61"/>
        <v>4952600.8730319245</v>
      </c>
      <c r="AG156" s="3">
        <f t="shared" si="61"/>
        <v>78.629399005802327</v>
      </c>
      <c r="AH156" s="233">
        <f t="shared" si="71"/>
        <v>164660.78199999995</v>
      </c>
      <c r="AI156" s="233">
        <f t="shared" si="62"/>
        <v>4572075.7939999988</v>
      </c>
      <c r="AJ156" s="233">
        <f t="shared" si="62"/>
        <v>135162617.89283884</v>
      </c>
      <c r="AK156" s="233">
        <f t="shared" si="62"/>
        <v>48425137.913104773</v>
      </c>
      <c r="AL156" s="233">
        <f t="shared" si="62"/>
        <v>1997.055821617377</v>
      </c>
      <c r="AM156" s="233">
        <f t="shared" si="62"/>
        <v>147957.49539999996</v>
      </c>
      <c r="AN156" s="233">
        <f t="shared" si="62"/>
        <v>4623987.9399999985</v>
      </c>
      <c r="AO156" s="233">
        <f t="shared" si="62"/>
        <v>135410066.14705938</v>
      </c>
      <c r="AP156" s="233">
        <f t="shared" si="62"/>
        <v>43225088.785852306</v>
      </c>
      <c r="AQ156" s="233">
        <f t="shared" si="62"/>
        <v>1918.4264226115747</v>
      </c>
      <c r="AR156" s="373">
        <v>557.39</v>
      </c>
      <c r="AS156" s="231">
        <f t="shared" si="72"/>
        <v>406823.3540799999</v>
      </c>
    </row>
    <row r="157" spans="2:45" ht="29" x14ac:dyDescent="0.35">
      <c r="B157" s="56" t="s">
        <v>93</v>
      </c>
      <c r="C157" s="361" t="s">
        <v>197</v>
      </c>
      <c r="D157" s="56">
        <v>11</v>
      </c>
      <c r="E157" s="3">
        <v>520.60799999999995</v>
      </c>
      <c r="F157" s="3">
        <v>19388.7</v>
      </c>
      <c r="G157" s="3">
        <v>628729</v>
      </c>
      <c r="H157" s="3">
        <v>165.597141995789</v>
      </c>
      <c r="I157" s="3">
        <v>51.138196240668201</v>
      </c>
      <c r="J157" s="3">
        <f t="shared" si="63"/>
        <v>256.87301433021867</v>
      </c>
      <c r="K157" s="3">
        <v>17322.5</v>
      </c>
      <c r="L157" s="3">
        <v>625826</v>
      </c>
      <c r="M157" s="3">
        <v>163.454332680905</v>
      </c>
      <c r="N157" s="3">
        <v>45.395159090820201</v>
      </c>
      <c r="O157" s="3">
        <f t="shared" si="64"/>
        <v>244.90533085775195</v>
      </c>
      <c r="P157" s="3">
        <f t="shared" si="65"/>
        <v>220.32613636363638</v>
      </c>
      <c r="Q157" s="3">
        <f t="shared" si="66"/>
        <v>7144.647727272727</v>
      </c>
      <c r="R157" s="3">
        <f t="shared" si="57"/>
        <v>212829.96317867882</v>
      </c>
      <c r="S157" s="3">
        <f t="shared" si="57"/>
        <v>65724.204486586066</v>
      </c>
      <c r="T157" s="3">
        <f t="shared" si="58"/>
        <v>2.9190115264797574</v>
      </c>
      <c r="U157" s="3">
        <f t="shared" si="58"/>
        <v>196.84659090909091</v>
      </c>
      <c r="V157" s="3">
        <f t="shared" si="58"/>
        <v>7111.659090909091</v>
      </c>
      <c r="W157" s="3">
        <f t="shared" si="59"/>
        <v>210075.96620693587</v>
      </c>
      <c r="X157" s="3">
        <f t="shared" si="59"/>
        <v>58343.096513315504</v>
      </c>
      <c r="Y157" s="3">
        <f t="shared" si="60"/>
        <v>2.783015123383545</v>
      </c>
      <c r="Z157" s="3">
        <f t="shared" si="67"/>
        <v>23.479545454545473</v>
      </c>
      <c r="AA157" s="3">
        <f t="shared" si="67"/>
        <v>32.988636363636033</v>
      </c>
      <c r="AB157" s="3">
        <f t="shared" si="68"/>
        <v>10135.10494501354</v>
      </c>
      <c r="AC157" s="3">
        <f t="shared" si="69"/>
        <v>0.13599640309621241</v>
      </c>
      <c r="AD157" s="3">
        <f t="shared" si="70"/>
        <v>12223.639200000009</v>
      </c>
      <c r="AE157" s="3">
        <f t="shared" si="61"/>
        <v>17174.147999999826</v>
      </c>
      <c r="AF157" s="3">
        <f t="shared" si="61"/>
        <v>5276416.715213608</v>
      </c>
      <c r="AG157" s="3">
        <f t="shared" si="61"/>
        <v>70.800815423112951</v>
      </c>
      <c r="AH157" s="233">
        <f t="shared" si="71"/>
        <v>114703.54919999999</v>
      </c>
      <c r="AI157" s="233">
        <f t="shared" si="62"/>
        <v>3719560.7639999995</v>
      </c>
      <c r="AJ157" s="233">
        <f t="shared" si="62"/>
        <v>110800981.47052561</v>
      </c>
      <c r="AK157" s="233">
        <f t="shared" si="62"/>
        <v>34216546.649352595</v>
      </c>
      <c r="AL157" s="233">
        <f t="shared" si="62"/>
        <v>1519.6607527775734</v>
      </c>
      <c r="AM157" s="233">
        <f t="shared" si="62"/>
        <v>102479.90999999999</v>
      </c>
      <c r="AN157" s="233">
        <f t="shared" si="62"/>
        <v>3702386.6159999995</v>
      </c>
      <c r="AO157" s="233">
        <f t="shared" si="62"/>
        <v>109367228.61506046</v>
      </c>
      <c r="AP157" s="233">
        <f t="shared" si="62"/>
        <v>30373882.789604153</v>
      </c>
      <c r="AQ157" s="233">
        <f t="shared" si="62"/>
        <v>1448.8599373544605</v>
      </c>
      <c r="AR157" s="373">
        <v>618.64</v>
      </c>
      <c r="AS157" s="231">
        <f t="shared" si="72"/>
        <v>322068.93311999994</v>
      </c>
    </row>
    <row r="158" spans="2:45" ht="29" x14ac:dyDescent="0.35">
      <c r="B158" s="56" t="s">
        <v>93</v>
      </c>
      <c r="C158" s="361" t="s">
        <v>197</v>
      </c>
      <c r="D158" s="56">
        <v>12</v>
      </c>
      <c r="E158" s="3">
        <v>2939.44</v>
      </c>
      <c r="F158" s="3">
        <v>18486.3</v>
      </c>
      <c r="G158" s="3">
        <v>589655</v>
      </c>
      <c r="H158" s="3">
        <v>153.96548867096399</v>
      </c>
      <c r="I158" s="3">
        <v>48.447451262300198</v>
      </c>
      <c r="J158" s="3">
        <f t="shared" si="63"/>
        <v>242.55926936115392</v>
      </c>
      <c r="K158" s="3">
        <v>16653.7</v>
      </c>
      <c r="L158" s="3">
        <v>592824</v>
      </c>
      <c r="M158" s="3">
        <v>153.33382885901099</v>
      </c>
      <c r="N158" s="3">
        <v>43.359844001466101</v>
      </c>
      <c r="O158" s="3">
        <f t="shared" si="64"/>
        <v>233.32518129247936</v>
      </c>
      <c r="P158" s="3">
        <f t="shared" si="65"/>
        <v>210.0715909090909</v>
      </c>
      <c r="Q158" s="3">
        <f t="shared" si="66"/>
        <v>6700.625</v>
      </c>
      <c r="R158" s="3">
        <f t="shared" si="57"/>
        <v>197880.64509870484</v>
      </c>
      <c r="S158" s="3">
        <f t="shared" si="57"/>
        <v>62265.98565643355</v>
      </c>
      <c r="T158" s="3">
        <f t="shared" si="58"/>
        <v>2.7563553336494766</v>
      </c>
      <c r="U158" s="3">
        <f t="shared" si="58"/>
        <v>189.24659090909091</v>
      </c>
      <c r="V158" s="3">
        <f t="shared" si="58"/>
        <v>6736.636363636364</v>
      </c>
      <c r="W158" s="3">
        <f t="shared" si="59"/>
        <v>197068.8186812971</v>
      </c>
      <c r="X158" s="3">
        <f t="shared" si="59"/>
        <v>55727.254051884272</v>
      </c>
      <c r="Y158" s="3">
        <f t="shared" si="60"/>
        <v>2.6514225146872654</v>
      </c>
      <c r="Z158" s="3">
        <f t="shared" si="67"/>
        <v>20.824999999999989</v>
      </c>
      <c r="AA158" s="3">
        <f t="shared" si="67"/>
        <v>-36.011363636363967</v>
      </c>
      <c r="AB158" s="3">
        <f t="shared" si="68"/>
        <v>7350.5580219570402</v>
      </c>
      <c r="AC158" s="3">
        <f t="shared" si="69"/>
        <v>0.10493281896221118</v>
      </c>
      <c r="AD158" s="3">
        <f t="shared" si="70"/>
        <v>61213.837999999967</v>
      </c>
      <c r="AE158" s="3">
        <f t="shared" si="61"/>
        <v>-105853.2427272737</v>
      </c>
      <c r="AF158" s="3">
        <f t="shared" si="61"/>
        <v>21606524.272061404</v>
      </c>
      <c r="AG158" s="3">
        <f t="shared" si="61"/>
        <v>308.44372537028204</v>
      </c>
      <c r="AH158" s="233">
        <f t="shared" si="71"/>
        <v>617492.83718181821</v>
      </c>
      <c r="AI158" s="233">
        <f t="shared" si="62"/>
        <v>19696085.149999999</v>
      </c>
      <c r="AJ158" s="233">
        <f t="shared" si="62"/>
        <v>581658283.42893696</v>
      </c>
      <c r="AK158" s="233">
        <f t="shared" si="62"/>
        <v>183027128.87794703</v>
      </c>
      <c r="AL158" s="233">
        <f t="shared" si="62"/>
        <v>8102.1411219426172</v>
      </c>
      <c r="AM158" s="233">
        <f t="shared" si="62"/>
        <v>556278.99918181822</v>
      </c>
      <c r="AN158" s="233">
        <f t="shared" si="62"/>
        <v>19801938.392727274</v>
      </c>
      <c r="AO158" s="233">
        <f t="shared" si="62"/>
        <v>579271968.384552</v>
      </c>
      <c r="AP158" s="233">
        <f t="shared" si="62"/>
        <v>163806919.6502707</v>
      </c>
      <c r="AQ158" s="233">
        <f t="shared" si="62"/>
        <v>7793.6973965723355</v>
      </c>
      <c r="AR158" s="373">
        <v>640.35</v>
      </c>
      <c r="AS158" s="231">
        <f t="shared" si="72"/>
        <v>1882270.4040000001</v>
      </c>
    </row>
    <row r="159" spans="2:45" ht="29" x14ac:dyDescent="0.35">
      <c r="B159" s="56" t="s">
        <v>93</v>
      </c>
      <c r="C159" s="361" t="s">
        <v>197</v>
      </c>
      <c r="D159" s="56">
        <v>13</v>
      </c>
      <c r="E159" s="3">
        <v>857.93600000000004</v>
      </c>
      <c r="F159" s="3">
        <v>17049.900000000001</v>
      </c>
      <c r="G159" s="3">
        <v>644419</v>
      </c>
      <c r="H159" s="3">
        <v>170.60272640567999</v>
      </c>
      <c r="I159" s="3">
        <v>44.723445098213702</v>
      </c>
      <c r="J159" s="3">
        <f t="shared" si="63"/>
        <v>247.88739549523723</v>
      </c>
      <c r="K159" s="3">
        <v>15443.6</v>
      </c>
      <c r="L159" s="3">
        <v>643440</v>
      </c>
      <c r="M159" s="3">
        <v>168.92240675054401</v>
      </c>
      <c r="N159" s="3">
        <v>40.240612862266701</v>
      </c>
      <c r="O159" s="3">
        <f t="shared" si="64"/>
        <v>238.89064646611632</v>
      </c>
      <c r="P159" s="3">
        <f t="shared" si="65"/>
        <v>193.74886363636367</v>
      </c>
      <c r="Q159" s="3">
        <f t="shared" si="66"/>
        <v>7322.943181818182</v>
      </c>
      <c r="R159" s="3">
        <f t="shared" si="57"/>
        <v>219263.27677820917</v>
      </c>
      <c r="S159" s="3">
        <f t="shared" si="57"/>
        <v>57479.791370545114</v>
      </c>
      <c r="T159" s="3">
        <f t="shared" si="58"/>
        <v>2.8169022215367865</v>
      </c>
      <c r="U159" s="3">
        <f t="shared" si="58"/>
        <v>175.49545454545455</v>
      </c>
      <c r="V159" s="3">
        <f t="shared" si="58"/>
        <v>7311.818181818182</v>
      </c>
      <c r="W159" s="3">
        <f t="shared" si="59"/>
        <v>217103.68413052874</v>
      </c>
      <c r="X159" s="3">
        <f t="shared" si="59"/>
        <v>51718.33312184504</v>
      </c>
      <c r="Y159" s="3">
        <f t="shared" si="60"/>
        <v>2.7146664371149583</v>
      </c>
      <c r="Z159" s="3">
        <f t="shared" si="67"/>
        <v>18.253409090909116</v>
      </c>
      <c r="AA159" s="3">
        <f t="shared" si="67"/>
        <v>11.125</v>
      </c>
      <c r="AB159" s="3">
        <f t="shared" si="68"/>
        <v>7921.050896380526</v>
      </c>
      <c r="AC159" s="3">
        <f t="shared" si="69"/>
        <v>0.10223578442182824</v>
      </c>
      <c r="AD159" s="3">
        <f t="shared" si="70"/>
        <v>15660.256781818203</v>
      </c>
      <c r="AE159" s="3">
        <f t="shared" si="61"/>
        <v>9544.5380000000005</v>
      </c>
      <c r="AF159" s="3">
        <f t="shared" si="61"/>
        <v>6795754.7218371229</v>
      </c>
      <c r="AG159" s="3">
        <f t="shared" si="61"/>
        <v>87.711759943725639</v>
      </c>
      <c r="AH159" s="233">
        <f t="shared" si="71"/>
        <v>166224.1250727273</v>
      </c>
      <c r="AI159" s="233">
        <f t="shared" si="62"/>
        <v>6282616.5816363636</v>
      </c>
      <c r="AJ159" s="233">
        <f t="shared" si="62"/>
        <v>188113858.62598968</v>
      </c>
      <c r="AK159" s="233">
        <f t="shared" si="62"/>
        <v>49313982.289279997</v>
      </c>
      <c r="AL159" s="233">
        <f t="shared" si="62"/>
        <v>2416.7218243363845</v>
      </c>
      <c r="AM159" s="233">
        <f t="shared" si="62"/>
        <v>150563.8682909091</v>
      </c>
      <c r="AN159" s="233">
        <f t="shared" si="62"/>
        <v>6273072.0436363639</v>
      </c>
      <c r="AO159" s="233">
        <f t="shared" si="62"/>
        <v>186261066.34820932</v>
      </c>
      <c r="AP159" s="233">
        <f t="shared" si="62"/>
        <v>44371019.845223248</v>
      </c>
      <c r="AQ159" s="233">
        <f t="shared" si="62"/>
        <v>2329.0100643926589</v>
      </c>
      <c r="AR159" s="373">
        <v>620.25</v>
      </c>
      <c r="AS159" s="231">
        <f t="shared" si="72"/>
        <v>532134.804</v>
      </c>
    </row>
    <row r="160" spans="2:45" ht="29" x14ac:dyDescent="0.35">
      <c r="B160" s="56" t="s">
        <v>93</v>
      </c>
      <c r="C160" s="361" t="s">
        <v>197</v>
      </c>
      <c r="D160" s="56">
        <v>14</v>
      </c>
      <c r="E160" s="3">
        <v>389.76</v>
      </c>
      <c r="F160" s="3">
        <v>18452.5</v>
      </c>
      <c r="G160" s="3">
        <v>631530</v>
      </c>
      <c r="H160" s="3">
        <v>166.38972709554301</v>
      </c>
      <c r="I160" s="3">
        <v>48.770087626452799</v>
      </c>
      <c r="J160" s="3">
        <f t="shared" si="63"/>
        <v>252.439820432278</v>
      </c>
      <c r="K160" s="3">
        <v>16580.099999999999</v>
      </c>
      <c r="L160" s="3">
        <v>629130</v>
      </c>
      <c r="M160" s="3">
        <v>164.68668148019299</v>
      </c>
      <c r="N160" s="3">
        <v>43.538759652884103</v>
      </c>
      <c r="O160" s="3">
        <f t="shared" si="64"/>
        <v>241.65010333493603</v>
      </c>
      <c r="P160" s="3">
        <f t="shared" si="65"/>
        <v>209.6875</v>
      </c>
      <c r="Q160" s="3">
        <f t="shared" si="66"/>
        <v>7176.477272727273</v>
      </c>
      <c r="R160" s="3">
        <f t="shared" si="57"/>
        <v>213848.61516483992</v>
      </c>
      <c r="S160" s="3">
        <f t="shared" si="57"/>
        <v>62680.646710816043</v>
      </c>
      <c r="T160" s="3">
        <f t="shared" si="58"/>
        <v>2.8686343230940681</v>
      </c>
      <c r="U160" s="3">
        <f t="shared" si="58"/>
        <v>188.41022727272727</v>
      </c>
      <c r="V160" s="3">
        <f t="shared" si="58"/>
        <v>7149.204545454545</v>
      </c>
      <c r="W160" s="3">
        <f t="shared" si="59"/>
        <v>211659.81449329347</v>
      </c>
      <c r="X160" s="3">
        <f t="shared" si="59"/>
        <v>55957.201326604452</v>
      </c>
      <c r="Y160" s="3">
        <f t="shared" si="60"/>
        <v>2.7460239015333641</v>
      </c>
      <c r="Z160" s="3">
        <f t="shared" si="67"/>
        <v>21.277272727272731</v>
      </c>
      <c r="AA160" s="3">
        <f t="shared" si="67"/>
        <v>27.272727272727934</v>
      </c>
      <c r="AB160" s="3">
        <f t="shared" si="68"/>
        <v>8912.2460557580489</v>
      </c>
      <c r="AC160" s="3">
        <f t="shared" si="69"/>
        <v>0.12261042156070401</v>
      </c>
      <c r="AD160" s="3">
        <f t="shared" si="70"/>
        <v>8293.0298181818198</v>
      </c>
      <c r="AE160" s="3">
        <f t="shared" si="61"/>
        <v>10629.81818181844</v>
      </c>
      <c r="AF160" s="3">
        <f t="shared" si="61"/>
        <v>3473637.0226922571</v>
      </c>
      <c r="AG160" s="3">
        <f t="shared" si="61"/>
        <v>47.788637907499997</v>
      </c>
      <c r="AH160" s="233">
        <f t="shared" si="71"/>
        <v>81727.8</v>
      </c>
      <c r="AI160" s="233">
        <f t="shared" si="62"/>
        <v>2797103.7818181817</v>
      </c>
      <c r="AJ160" s="233">
        <f t="shared" si="62"/>
        <v>83349636.246648014</v>
      </c>
      <c r="AK160" s="233">
        <f t="shared" si="62"/>
        <v>24430408.862007659</v>
      </c>
      <c r="AL160" s="233">
        <f t="shared" si="62"/>
        <v>1118.078913769144</v>
      </c>
      <c r="AM160" s="233">
        <f t="shared" si="62"/>
        <v>73434.770181818181</v>
      </c>
      <c r="AN160" s="233">
        <f t="shared" si="62"/>
        <v>2786473.9636363634</v>
      </c>
      <c r="AO160" s="233">
        <f t="shared" si="62"/>
        <v>82496529.296906054</v>
      </c>
      <c r="AP160" s="233">
        <f t="shared" si="62"/>
        <v>21809878.789057352</v>
      </c>
      <c r="AQ160" s="233">
        <f t="shared" si="62"/>
        <v>1070.290275861644</v>
      </c>
      <c r="AR160" s="373">
        <v>621.87</v>
      </c>
      <c r="AS160" s="231">
        <f t="shared" si="72"/>
        <v>242380.05119999999</v>
      </c>
    </row>
    <row r="161" spans="2:45" ht="29" x14ac:dyDescent="0.35">
      <c r="B161" s="56" t="s">
        <v>93</v>
      </c>
      <c r="C161" s="361" t="s">
        <v>197</v>
      </c>
      <c r="D161" s="56">
        <v>15</v>
      </c>
      <c r="E161" s="3">
        <v>253.80799999999999</v>
      </c>
      <c r="F161" s="3">
        <v>11168.4</v>
      </c>
      <c r="G161" s="3">
        <v>752060</v>
      </c>
      <c r="H161" s="3">
        <v>193.56334049577401</v>
      </c>
      <c r="I161" s="3">
        <v>28.840379907973901</v>
      </c>
      <c r="J161" s="3">
        <f t="shared" si="63"/>
        <v>241.67937193359342</v>
      </c>
      <c r="K161" s="3">
        <v>10849</v>
      </c>
      <c r="L161" s="3">
        <v>743360</v>
      </c>
      <c r="M161" s="3">
        <v>190.15633127476099</v>
      </c>
      <c r="N161" s="3">
        <v>27.934376365298998</v>
      </c>
      <c r="O161" s="3">
        <f t="shared" si="64"/>
        <v>237.84613123378392</v>
      </c>
      <c r="P161" s="3">
        <f t="shared" si="65"/>
        <v>126.91363636363636</v>
      </c>
      <c r="Q161" s="3">
        <f t="shared" si="66"/>
        <v>8546.136363636364</v>
      </c>
      <c r="R161" s="3">
        <f t="shared" si="57"/>
        <v>248772.88420536413</v>
      </c>
      <c r="S161" s="3">
        <f t="shared" si="57"/>
        <v>37066.442813543727</v>
      </c>
      <c r="T161" s="3">
        <f t="shared" si="58"/>
        <v>2.7463564992453797</v>
      </c>
      <c r="U161" s="3">
        <f t="shared" si="58"/>
        <v>123.28409090909091</v>
      </c>
      <c r="V161" s="3">
        <f t="shared" si="58"/>
        <v>8447.2727272727279</v>
      </c>
      <c r="W161" s="3">
        <f t="shared" si="59"/>
        <v>244394.10303608488</v>
      </c>
      <c r="X161" s="3">
        <f t="shared" si="59"/>
        <v>35902.022351310421</v>
      </c>
      <c r="Y161" s="3">
        <f t="shared" si="60"/>
        <v>2.7027969458384535</v>
      </c>
      <c r="Z161" s="3">
        <f t="shared" si="67"/>
        <v>3.6295454545454504</v>
      </c>
      <c r="AA161" s="3">
        <f t="shared" si="67"/>
        <v>98.863636363636033</v>
      </c>
      <c r="AB161" s="3">
        <f t="shared" si="68"/>
        <v>5543.2016315125729</v>
      </c>
      <c r="AC161" s="3">
        <f t="shared" si="69"/>
        <v>4.3559553406926188E-2</v>
      </c>
      <c r="AD161" s="3">
        <f t="shared" si="70"/>
        <v>921.20767272727164</v>
      </c>
      <c r="AE161" s="3">
        <f t="shared" si="61"/>
        <v>25092.381818181733</v>
      </c>
      <c r="AF161" s="3">
        <f t="shared" si="61"/>
        <v>1406908.9196909431</v>
      </c>
      <c r="AG161" s="3">
        <f t="shared" si="61"/>
        <v>11.055763131105122</v>
      </c>
      <c r="AH161" s="233">
        <f t="shared" si="71"/>
        <v>32211.696218181816</v>
      </c>
      <c r="AI161" s="233">
        <f t="shared" si="62"/>
        <v>2169077.7781818183</v>
      </c>
      <c r="AJ161" s="233">
        <f t="shared" si="62"/>
        <v>63140548.194395058</v>
      </c>
      <c r="AK161" s="233">
        <f t="shared" si="62"/>
        <v>9407759.7176199052</v>
      </c>
      <c r="AL161" s="233">
        <f t="shared" si="62"/>
        <v>697.04725036047137</v>
      </c>
      <c r="AM161" s="233">
        <f t="shared" si="62"/>
        <v>31290.488545454544</v>
      </c>
      <c r="AN161" s="233">
        <f t="shared" si="62"/>
        <v>2143985.3963636365</v>
      </c>
      <c r="AO161" s="233">
        <f t="shared" si="62"/>
        <v>62029178.503382631</v>
      </c>
      <c r="AP161" s="233">
        <f t="shared" si="62"/>
        <v>9112220.4889413957</v>
      </c>
      <c r="AQ161" s="233">
        <f t="shared" si="62"/>
        <v>685.99148722936616</v>
      </c>
      <c r="AR161" s="373">
        <v>715.03</v>
      </c>
      <c r="AS161" s="231">
        <f t="shared" si="72"/>
        <v>181480.33424</v>
      </c>
    </row>
    <row r="162" spans="2:45" ht="29.5" thickBot="1" x14ac:dyDescent="0.4">
      <c r="B162" s="56" t="s">
        <v>93</v>
      </c>
      <c r="C162" s="361" t="s">
        <v>197</v>
      </c>
      <c r="D162" s="56">
        <v>16</v>
      </c>
      <c r="E162" s="3">
        <v>157.29600000000002</v>
      </c>
      <c r="F162" s="3">
        <v>27956.799999999999</v>
      </c>
      <c r="G162" s="3">
        <v>553648</v>
      </c>
      <c r="H162" s="3">
        <v>132.38383777409999</v>
      </c>
      <c r="I162" s="3">
        <v>73.909888987734803</v>
      </c>
      <c r="J162" s="3">
        <f t="shared" si="63"/>
        <v>285.56088576685113</v>
      </c>
      <c r="K162" s="3">
        <v>24436.5</v>
      </c>
      <c r="L162" s="3">
        <v>555595</v>
      </c>
      <c r="M162" s="3">
        <v>132.18849071966699</v>
      </c>
      <c r="N162" s="3">
        <v>64.371912731119195</v>
      </c>
      <c r="O162" s="3">
        <f t="shared" si="64"/>
        <v>266.82765207203124</v>
      </c>
      <c r="P162" s="3">
        <f t="shared" si="65"/>
        <v>317.69090909090909</v>
      </c>
      <c r="Q162" s="3">
        <f t="shared" si="66"/>
        <v>6291.454545454545</v>
      </c>
      <c r="R162" s="3">
        <f t="shared" si="57"/>
        <v>170143.31877557625</v>
      </c>
      <c r="S162" s="3">
        <f t="shared" si="57"/>
        <v>94991.005051281885</v>
      </c>
      <c r="T162" s="3">
        <f t="shared" si="58"/>
        <v>3.2450100655323992</v>
      </c>
      <c r="U162" s="3">
        <f t="shared" si="58"/>
        <v>277.6875</v>
      </c>
      <c r="V162" s="3">
        <f t="shared" si="58"/>
        <v>6313.579545454545</v>
      </c>
      <c r="W162" s="3">
        <f t="shared" si="59"/>
        <v>169892.25341357201</v>
      </c>
      <c r="X162" s="3">
        <f t="shared" si="59"/>
        <v>82732.537839654338</v>
      </c>
      <c r="Y162" s="3">
        <f t="shared" si="60"/>
        <v>3.0321324099094458</v>
      </c>
      <c r="Z162" s="3">
        <f t="shared" si="67"/>
        <v>40.003409090909088</v>
      </c>
      <c r="AA162" s="3">
        <f t="shared" si="67"/>
        <v>-22.125</v>
      </c>
      <c r="AB162" s="3">
        <f t="shared" si="68"/>
        <v>12509.53257363179</v>
      </c>
      <c r="AC162" s="3">
        <f t="shared" si="69"/>
        <v>0.21287765562295347</v>
      </c>
      <c r="AD162" s="3">
        <f t="shared" si="70"/>
        <v>6292.376236363637</v>
      </c>
      <c r="AE162" s="3">
        <f t="shared" si="61"/>
        <v>-3480.1740000000004</v>
      </c>
      <c r="AF162" s="3">
        <f t="shared" si="61"/>
        <v>1967699.4357019863</v>
      </c>
      <c r="AG162" s="3">
        <f t="shared" si="61"/>
        <v>33.484803718868093</v>
      </c>
      <c r="AH162" s="233">
        <f t="shared" si="71"/>
        <v>49971.509236363643</v>
      </c>
      <c r="AI162" s="233">
        <f t="shared" si="62"/>
        <v>989620.63418181823</v>
      </c>
      <c r="AJ162" s="233">
        <f t="shared" si="62"/>
        <v>26762863.470123045</v>
      </c>
      <c r="AK162" s="233">
        <f t="shared" si="62"/>
        <v>14941705.130546438</v>
      </c>
      <c r="AL162" s="233">
        <f t="shared" si="62"/>
        <v>510.42710326798436</v>
      </c>
      <c r="AM162" s="233">
        <f t="shared" si="62"/>
        <v>43679.133000000009</v>
      </c>
      <c r="AN162" s="233">
        <f t="shared" si="62"/>
        <v>993100.80818181823</v>
      </c>
      <c r="AO162" s="233">
        <f t="shared" si="62"/>
        <v>26723371.892941225</v>
      </c>
      <c r="AP162" s="233">
        <f t="shared" si="62"/>
        <v>13013497.272026271</v>
      </c>
      <c r="AQ162" s="233">
        <f t="shared" si="62"/>
        <v>476.94229954911623</v>
      </c>
      <c r="AR162" s="374">
        <v>618.64</v>
      </c>
      <c r="AS162" s="231">
        <f t="shared" si="72"/>
        <v>97309.597440000012</v>
      </c>
    </row>
    <row r="163" spans="2:45" ht="29" x14ac:dyDescent="0.35">
      <c r="B163" s="56" t="s">
        <v>94</v>
      </c>
      <c r="C163" s="361" t="s">
        <v>197</v>
      </c>
      <c r="D163" s="56">
        <v>1</v>
      </c>
      <c r="E163" s="3">
        <v>10.6</v>
      </c>
      <c r="F163" s="3">
        <v>25212.2</v>
      </c>
      <c r="G163" s="3">
        <v>468076</v>
      </c>
      <c r="H163" s="3">
        <v>102.932461486823</v>
      </c>
      <c r="I163" s="3">
        <v>58.728310070436898</v>
      </c>
      <c r="J163" s="3">
        <f t="shared" si="63"/>
        <v>250.02292515304362</v>
      </c>
      <c r="K163" s="3">
        <v>21002.799999999999</v>
      </c>
      <c r="L163" s="3">
        <v>467744</v>
      </c>
      <c r="M163" s="3">
        <v>102.827475574193</v>
      </c>
      <c r="N163" s="3">
        <v>48.639131874561201</v>
      </c>
      <c r="O163" s="3">
        <f t="shared" si="64"/>
        <v>226.9832767475279</v>
      </c>
      <c r="P163" s="3">
        <f t="shared" si="65"/>
        <v>215.48888888888891</v>
      </c>
      <c r="Q163" s="3">
        <f t="shared" si="66"/>
        <v>4000.6495726495727</v>
      </c>
      <c r="R163" s="3">
        <f t="shared" si="57"/>
        <v>110322.48436280004</v>
      </c>
      <c r="S163" s="3">
        <f t="shared" si="57"/>
        <v>62944.701562673385</v>
      </c>
      <c r="T163" s="3">
        <f t="shared" si="58"/>
        <v>2.1369480782311419</v>
      </c>
      <c r="U163" s="3">
        <f t="shared" si="58"/>
        <v>179.51111111111109</v>
      </c>
      <c r="V163" s="3">
        <f t="shared" si="58"/>
        <v>3997.8119658119658</v>
      </c>
      <c r="W163" s="3">
        <f t="shared" si="59"/>
        <v>110209.9610000325</v>
      </c>
      <c r="X163" s="3">
        <f t="shared" si="59"/>
        <v>52131.17211170918</v>
      </c>
      <c r="Y163" s="3">
        <f t="shared" si="60"/>
        <v>1.9400280063891273</v>
      </c>
      <c r="Z163" s="3">
        <f t="shared" si="67"/>
        <v>35.977777777777817</v>
      </c>
      <c r="AA163" s="3">
        <f t="shared" si="67"/>
        <v>2.837606837606927</v>
      </c>
      <c r="AB163" s="3">
        <f t="shared" si="68"/>
        <v>10926.052813731745</v>
      </c>
      <c r="AC163" s="3">
        <f t="shared" si="69"/>
        <v>0.19692007184201454</v>
      </c>
      <c r="AD163" s="3">
        <f t="shared" si="70"/>
        <v>381.36444444444487</v>
      </c>
      <c r="AE163" s="3">
        <f t="shared" si="70"/>
        <v>30.078632478633427</v>
      </c>
      <c r="AF163" s="3">
        <f t="shared" si="70"/>
        <v>115816.15982555649</v>
      </c>
      <c r="AG163" s="3">
        <f t="shared" si="70"/>
        <v>2.087352761525354</v>
      </c>
      <c r="AH163" s="233">
        <f t="shared" si="71"/>
        <v>2284.1822222222222</v>
      </c>
      <c r="AI163" s="233">
        <f t="shared" si="71"/>
        <v>42406.885470085472</v>
      </c>
      <c r="AJ163" s="233">
        <f t="shared" si="71"/>
        <v>1169418.3342456804</v>
      </c>
      <c r="AK163" s="233">
        <f t="shared" si="71"/>
        <v>667213.83656433783</v>
      </c>
      <c r="AL163" s="233">
        <f t="shared" si="71"/>
        <v>22.651649629250102</v>
      </c>
      <c r="AM163" s="233">
        <f t="shared" si="71"/>
        <v>1902.8177777777776</v>
      </c>
      <c r="AN163" s="233">
        <f t="shared" si="71"/>
        <v>42376.806837606833</v>
      </c>
      <c r="AO163" s="233">
        <f t="shared" si="71"/>
        <v>1168225.5866003444</v>
      </c>
      <c r="AP163" s="233">
        <f t="shared" si="71"/>
        <v>552590.42438411724</v>
      </c>
      <c r="AQ163" s="233">
        <f t="shared" si="71"/>
        <v>20.56429686772475</v>
      </c>
      <c r="AR163" s="372">
        <v>916.9</v>
      </c>
      <c r="AS163" s="231">
        <f t="shared" si="72"/>
        <v>9719.14</v>
      </c>
    </row>
    <row r="164" spans="2:45" ht="29" x14ac:dyDescent="0.35">
      <c r="B164" s="56" t="s">
        <v>94</v>
      </c>
      <c r="C164" s="361" t="s">
        <v>197</v>
      </c>
      <c r="D164" s="56">
        <v>2</v>
      </c>
      <c r="E164" s="3">
        <v>62.92</v>
      </c>
      <c r="F164" s="3">
        <v>20610.2</v>
      </c>
      <c r="G164" s="3">
        <v>525799</v>
      </c>
      <c r="H164" s="3">
        <v>124.38650799902901</v>
      </c>
      <c r="I164" s="3">
        <v>48.187149562989198</v>
      </c>
      <c r="J164" s="3">
        <f t="shared" si="63"/>
        <v>238.79574194656627</v>
      </c>
      <c r="K164" s="3">
        <v>17551.3</v>
      </c>
      <c r="L164" s="3">
        <v>524210</v>
      </c>
      <c r="M164" s="3">
        <v>122.970840167378</v>
      </c>
      <c r="N164" s="3">
        <v>40.656059020276103</v>
      </c>
      <c r="O164" s="3">
        <f t="shared" si="64"/>
        <v>221.72928016810306</v>
      </c>
      <c r="P164" s="3">
        <f t="shared" si="65"/>
        <v>176.15555555555557</v>
      </c>
      <c r="Q164" s="3">
        <f t="shared" si="66"/>
        <v>4494.0085470085469</v>
      </c>
      <c r="R164" s="3">
        <f t="shared" si="57"/>
        <v>133316.82139383108</v>
      </c>
      <c r="S164" s="3">
        <f t="shared" si="57"/>
        <v>51646.739788024322</v>
      </c>
      <c r="T164" s="3">
        <f t="shared" si="58"/>
        <v>2.0409892474065492</v>
      </c>
      <c r="U164" s="3">
        <f t="shared" si="58"/>
        <v>150.01111111111109</v>
      </c>
      <c r="V164" s="3">
        <f t="shared" si="58"/>
        <v>4480.4273504273506</v>
      </c>
      <c r="W164" s="3">
        <f t="shared" si="59"/>
        <v>131799.51587170258</v>
      </c>
      <c r="X164" s="3">
        <f t="shared" si="59"/>
        <v>43574.955565321565</v>
      </c>
      <c r="Y164" s="3">
        <f t="shared" si="60"/>
        <v>1.8951220527188295</v>
      </c>
      <c r="Z164" s="3">
        <f t="shared" si="67"/>
        <v>26.144444444444474</v>
      </c>
      <c r="AA164" s="3">
        <f t="shared" si="67"/>
        <v>13.581196581196309</v>
      </c>
      <c r="AB164" s="3">
        <f t="shared" si="68"/>
        <v>9589.0897448312462</v>
      </c>
      <c r="AC164" s="3">
        <f t="shared" si="69"/>
        <v>0.14586719468771969</v>
      </c>
      <c r="AD164" s="3">
        <f t="shared" si="70"/>
        <v>1645.0084444444465</v>
      </c>
      <c r="AE164" s="3">
        <f t="shared" si="70"/>
        <v>854.52888888887185</v>
      </c>
      <c r="AF164" s="3">
        <f t="shared" si="70"/>
        <v>603345.52674478199</v>
      </c>
      <c r="AG164" s="3">
        <f t="shared" si="70"/>
        <v>9.1779638897513234</v>
      </c>
      <c r="AH164" s="233">
        <f t="shared" si="71"/>
        <v>11083.707555555557</v>
      </c>
      <c r="AI164" s="233">
        <f t="shared" si="71"/>
        <v>282763.0177777778</v>
      </c>
      <c r="AJ164" s="233">
        <f t="shared" si="71"/>
        <v>8388294.4020998515</v>
      </c>
      <c r="AK164" s="233">
        <f t="shared" si="71"/>
        <v>3249612.8674624907</v>
      </c>
      <c r="AL164" s="233">
        <f t="shared" si="71"/>
        <v>128.41904344682007</v>
      </c>
      <c r="AM164" s="233">
        <f t="shared" si="71"/>
        <v>9438.6991111111092</v>
      </c>
      <c r="AN164" s="233">
        <f t="shared" si="71"/>
        <v>281908.48888888891</v>
      </c>
      <c r="AO164" s="233">
        <f t="shared" si="71"/>
        <v>8292825.5386475259</v>
      </c>
      <c r="AP164" s="233">
        <f t="shared" si="71"/>
        <v>2741736.2041700329</v>
      </c>
      <c r="AQ164" s="233">
        <f t="shared" si="71"/>
        <v>119.24107955706876</v>
      </c>
      <c r="AR164" s="373">
        <v>1002.52</v>
      </c>
      <c r="AS164" s="231">
        <f t="shared" si="72"/>
        <v>63078.558400000002</v>
      </c>
    </row>
    <row r="165" spans="2:45" ht="29" x14ac:dyDescent="0.35">
      <c r="B165" s="56" t="s">
        <v>94</v>
      </c>
      <c r="C165" s="361" t="s">
        <v>197</v>
      </c>
      <c r="D165" s="56">
        <v>11</v>
      </c>
      <c r="E165" s="3">
        <v>44.88</v>
      </c>
      <c r="F165" s="3">
        <v>19076.599999999999</v>
      </c>
      <c r="G165" s="3">
        <v>601810</v>
      </c>
      <c r="H165" s="3">
        <v>142.791788569251</v>
      </c>
      <c r="I165" s="3">
        <v>45.196758697350297</v>
      </c>
      <c r="J165" s="3">
        <f t="shared" si="63"/>
        <v>248.7005436157126</v>
      </c>
      <c r="K165" s="3">
        <v>16249.8</v>
      </c>
      <c r="L165" s="3">
        <v>592831</v>
      </c>
      <c r="M165" s="3">
        <v>139.28845660573799</v>
      </c>
      <c r="N165" s="3">
        <v>38.098835017651503</v>
      </c>
      <c r="O165" s="3">
        <f t="shared" si="64"/>
        <v>231.12382214215728</v>
      </c>
      <c r="P165" s="3">
        <f t="shared" si="65"/>
        <v>163.04786324786323</v>
      </c>
      <c r="Q165" s="3">
        <f t="shared" si="66"/>
        <v>5143.6752136752139</v>
      </c>
      <c r="R165" s="3">
        <f t="shared" si="57"/>
        <v>153043.5067229408</v>
      </c>
      <c r="S165" s="3">
        <f t="shared" si="57"/>
        <v>48441.654193570321</v>
      </c>
      <c r="T165" s="3">
        <f t="shared" si="58"/>
        <v>2.1256456719291674</v>
      </c>
      <c r="U165" s="3">
        <f t="shared" si="58"/>
        <v>138.88717948717948</v>
      </c>
      <c r="V165" s="3">
        <f t="shared" si="58"/>
        <v>5066.931623931624</v>
      </c>
      <c r="W165" s="3">
        <f t="shared" si="59"/>
        <v>149288.6534902525</v>
      </c>
      <c r="X165" s="3">
        <f t="shared" si="59"/>
        <v>40834.135993277763</v>
      </c>
      <c r="Y165" s="3">
        <f t="shared" si="60"/>
        <v>1.9754172832663015</v>
      </c>
      <c r="Z165" s="3">
        <f t="shared" si="67"/>
        <v>24.160683760683753</v>
      </c>
      <c r="AA165" s="3">
        <f t="shared" si="67"/>
        <v>76.743589743589837</v>
      </c>
      <c r="AB165" s="3">
        <f t="shared" si="68"/>
        <v>11362.37143298085</v>
      </c>
      <c r="AC165" s="3">
        <f t="shared" si="69"/>
        <v>0.15022838866286592</v>
      </c>
      <c r="AD165" s="3">
        <f t="shared" si="70"/>
        <v>1084.3314871794869</v>
      </c>
      <c r="AE165" s="3">
        <f t="shared" si="70"/>
        <v>3444.2523076923121</v>
      </c>
      <c r="AF165" s="3">
        <f t="shared" si="70"/>
        <v>509943.22991218057</v>
      </c>
      <c r="AG165" s="3">
        <f t="shared" si="70"/>
        <v>6.7422500831894228</v>
      </c>
      <c r="AH165" s="233">
        <f t="shared" si="71"/>
        <v>7317.588102564102</v>
      </c>
      <c r="AI165" s="233">
        <f t="shared" si="71"/>
        <v>230848.14358974362</v>
      </c>
      <c r="AJ165" s="233">
        <f t="shared" si="71"/>
        <v>6868592.5817255834</v>
      </c>
      <c r="AK165" s="233">
        <f t="shared" si="71"/>
        <v>2174061.4402074362</v>
      </c>
      <c r="AL165" s="233">
        <f t="shared" si="71"/>
        <v>95.39897775618104</v>
      </c>
      <c r="AM165" s="233">
        <f t="shared" si="71"/>
        <v>6233.2566153846155</v>
      </c>
      <c r="AN165" s="233">
        <f t="shared" si="71"/>
        <v>227403.89128205131</v>
      </c>
      <c r="AO165" s="233">
        <f t="shared" si="71"/>
        <v>6700074.7686425326</v>
      </c>
      <c r="AP165" s="233">
        <f t="shared" si="71"/>
        <v>1832636.0233783061</v>
      </c>
      <c r="AQ165" s="233">
        <f t="shared" si="71"/>
        <v>88.656727672991622</v>
      </c>
      <c r="AR165" s="373">
        <v>940.67</v>
      </c>
      <c r="AS165" s="231">
        <f t="shared" si="72"/>
        <v>42217.2696</v>
      </c>
    </row>
    <row r="166" spans="2:45" ht="29" x14ac:dyDescent="0.35">
      <c r="B166" s="56" t="s">
        <v>94</v>
      </c>
      <c r="C166" s="361" t="s">
        <v>197</v>
      </c>
      <c r="D166" s="56">
        <v>12</v>
      </c>
      <c r="E166" s="3">
        <v>253.40000000000003</v>
      </c>
      <c r="F166" s="3">
        <v>18214.8</v>
      </c>
      <c r="G166" s="3">
        <v>565249</v>
      </c>
      <c r="H166" s="3">
        <v>133.863072615612</v>
      </c>
      <c r="I166" s="3">
        <v>42.870015716815601</v>
      </c>
      <c r="J166" s="3">
        <f t="shared" si="63"/>
        <v>235.21226305298012</v>
      </c>
      <c r="K166" s="3">
        <v>15700</v>
      </c>
      <c r="L166" s="3">
        <v>559943</v>
      </c>
      <c r="M166" s="3">
        <v>131.26868374699299</v>
      </c>
      <c r="N166" s="3">
        <v>36.5647168034752</v>
      </c>
      <c r="O166" s="3">
        <f t="shared" si="64"/>
        <v>220.22014956318608</v>
      </c>
      <c r="P166" s="3">
        <f t="shared" si="65"/>
        <v>155.68205128205128</v>
      </c>
      <c r="Q166" s="3">
        <f t="shared" si="66"/>
        <v>4831.1880341880342</v>
      </c>
      <c r="R166" s="3">
        <f t="shared" si="57"/>
        <v>143473.75475211747</v>
      </c>
      <c r="S166" s="3">
        <f t="shared" si="57"/>
        <v>45947.862999048521</v>
      </c>
      <c r="T166" s="3">
        <f t="shared" si="58"/>
        <v>2.0103612226750438</v>
      </c>
      <c r="U166" s="3">
        <f t="shared" si="58"/>
        <v>134.18803418803418</v>
      </c>
      <c r="V166" s="3">
        <f t="shared" si="58"/>
        <v>4785.8376068376065</v>
      </c>
      <c r="W166" s="3">
        <f t="shared" si="59"/>
        <v>140693.10206728993</v>
      </c>
      <c r="X166" s="3">
        <f t="shared" si="59"/>
        <v>39189.875958596494</v>
      </c>
      <c r="Y166" s="3">
        <f t="shared" si="60"/>
        <v>1.8822235005400521</v>
      </c>
      <c r="Z166" s="3">
        <f t="shared" si="67"/>
        <v>21.494017094017096</v>
      </c>
      <c r="AA166" s="3">
        <f t="shared" si="67"/>
        <v>45.350427350427708</v>
      </c>
      <c r="AB166" s="3">
        <f t="shared" si="68"/>
        <v>9538.639725279565</v>
      </c>
      <c r="AC166" s="3">
        <f t="shared" si="69"/>
        <v>0.12813772213499175</v>
      </c>
      <c r="AD166" s="3">
        <f t="shared" si="70"/>
        <v>5446.5839316239326</v>
      </c>
      <c r="AE166" s="3">
        <f t="shared" si="70"/>
        <v>11491.798290598383</v>
      </c>
      <c r="AF166" s="3">
        <f t="shared" si="70"/>
        <v>2417091.3063858422</v>
      </c>
      <c r="AG166" s="3">
        <f t="shared" si="70"/>
        <v>32.470098789006911</v>
      </c>
      <c r="AH166" s="233">
        <f t="shared" si="71"/>
        <v>39449.831794871796</v>
      </c>
      <c r="AI166" s="233">
        <f t="shared" si="71"/>
        <v>1224223.047863248</v>
      </c>
      <c r="AJ166" s="233">
        <f t="shared" si="71"/>
        <v>36356249.454186574</v>
      </c>
      <c r="AK166" s="233">
        <f t="shared" si="71"/>
        <v>11643188.483958896</v>
      </c>
      <c r="AL166" s="233">
        <f t="shared" si="71"/>
        <v>509.42553382585618</v>
      </c>
      <c r="AM166" s="233">
        <f t="shared" si="71"/>
        <v>34003.247863247867</v>
      </c>
      <c r="AN166" s="233">
        <f t="shared" si="71"/>
        <v>1212731.2495726496</v>
      </c>
      <c r="AO166" s="233">
        <f t="shared" si="71"/>
        <v>35651632.063851275</v>
      </c>
      <c r="AP166" s="233">
        <f t="shared" si="71"/>
        <v>9930714.5679083522</v>
      </c>
      <c r="AQ166" s="233">
        <f t="shared" si="71"/>
        <v>476.95543503684928</v>
      </c>
      <c r="AR166" s="373">
        <v>943.38</v>
      </c>
      <c r="AS166" s="231">
        <f t="shared" si="72"/>
        <v>239052.49200000003</v>
      </c>
    </row>
    <row r="167" spans="2:45" ht="29" x14ac:dyDescent="0.35">
      <c r="B167" s="56" t="s">
        <v>94</v>
      </c>
      <c r="C167" s="361" t="s">
        <v>197</v>
      </c>
      <c r="D167" s="56">
        <v>13</v>
      </c>
      <c r="E167" s="3">
        <v>73.960000000000008</v>
      </c>
      <c r="F167" s="3">
        <v>16883.099999999999</v>
      </c>
      <c r="G167" s="3">
        <v>621527</v>
      </c>
      <c r="H167" s="3">
        <v>148.072949172959</v>
      </c>
      <c r="I167" s="3">
        <v>39.758186317833001</v>
      </c>
      <c r="J167" s="3">
        <f t="shared" si="63"/>
        <v>241.47536642075659</v>
      </c>
      <c r="K167" s="3">
        <v>14620.4</v>
      </c>
      <c r="L167" s="3">
        <v>610861</v>
      </c>
      <c r="M167" s="3">
        <v>143.861892304414</v>
      </c>
      <c r="N167" s="3">
        <v>34.062316343912997</v>
      </c>
      <c r="O167" s="3">
        <f t="shared" si="64"/>
        <v>226.5700045349723</v>
      </c>
      <c r="P167" s="3">
        <f t="shared" si="65"/>
        <v>144.29999999999998</v>
      </c>
      <c r="Q167" s="3">
        <f t="shared" si="66"/>
        <v>5312.1965811965811</v>
      </c>
      <c r="R167" s="3">
        <f t="shared" si="57"/>
        <v>158703.82757512017</v>
      </c>
      <c r="S167" s="3">
        <f t="shared" si="57"/>
        <v>42612.620207318447</v>
      </c>
      <c r="T167" s="3">
        <f t="shared" si="58"/>
        <v>2.0638920206902274</v>
      </c>
      <c r="U167" s="3">
        <f t="shared" si="58"/>
        <v>124.96068376068376</v>
      </c>
      <c r="V167" s="3">
        <f t="shared" si="58"/>
        <v>5221.0341880341884</v>
      </c>
      <c r="W167" s="3">
        <f t="shared" si="59"/>
        <v>154190.43841857705</v>
      </c>
      <c r="X167" s="3">
        <f t="shared" si="59"/>
        <v>36507.815978860592</v>
      </c>
      <c r="Y167" s="3">
        <f t="shared" si="60"/>
        <v>1.9364957652561734</v>
      </c>
      <c r="Z167" s="3">
        <f t="shared" si="67"/>
        <v>19.339316239316219</v>
      </c>
      <c r="AA167" s="3">
        <f t="shared" si="67"/>
        <v>91.162393162392618</v>
      </c>
      <c r="AB167" s="3">
        <f t="shared" si="68"/>
        <v>10618.193385000988</v>
      </c>
      <c r="AC167" s="3">
        <f t="shared" si="69"/>
        <v>0.12739625543405397</v>
      </c>
      <c r="AD167" s="3">
        <f t="shared" si="70"/>
        <v>1430.3358290598276</v>
      </c>
      <c r="AE167" s="3">
        <f t="shared" si="70"/>
        <v>6742.3705982905585</v>
      </c>
      <c r="AF167" s="3">
        <f t="shared" si="70"/>
        <v>785321.5827546732</v>
      </c>
      <c r="AG167" s="3">
        <f t="shared" si="70"/>
        <v>9.4222270519026328</v>
      </c>
      <c r="AH167" s="233">
        <f t="shared" si="71"/>
        <v>10672.428</v>
      </c>
      <c r="AI167" s="233">
        <f t="shared" si="71"/>
        <v>392890.05914529919</v>
      </c>
      <c r="AJ167" s="233">
        <f t="shared" si="71"/>
        <v>11737735.087455889</v>
      </c>
      <c r="AK167" s="233">
        <f t="shared" si="71"/>
        <v>3151629.3905332726</v>
      </c>
      <c r="AL167" s="233">
        <f t="shared" si="71"/>
        <v>152.64545385024923</v>
      </c>
      <c r="AM167" s="233">
        <f t="shared" si="71"/>
        <v>9242.0921709401719</v>
      </c>
      <c r="AN167" s="233">
        <f t="shared" si="71"/>
        <v>386147.68854700861</v>
      </c>
      <c r="AO167" s="233">
        <f t="shared" si="71"/>
        <v>11403924.825437959</v>
      </c>
      <c r="AP167" s="233">
        <f t="shared" si="71"/>
        <v>2700118.0697965296</v>
      </c>
      <c r="AQ167" s="233">
        <f t="shared" si="71"/>
        <v>143.22322679834659</v>
      </c>
      <c r="AR167" s="373">
        <v>939.6</v>
      </c>
      <c r="AS167" s="231">
        <f t="shared" si="72"/>
        <v>69492.816000000006</v>
      </c>
    </row>
    <row r="168" spans="2:45" ht="29" x14ac:dyDescent="0.35">
      <c r="B168" s="56" t="s">
        <v>94</v>
      </c>
      <c r="C168" s="361" t="s">
        <v>197</v>
      </c>
      <c r="D168" s="56">
        <v>14</v>
      </c>
      <c r="E168" s="3">
        <v>33.6</v>
      </c>
      <c r="F168" s="3">
        <v>18353.400000000001</v>
      </c>
      <c r="G168" s="3">
        <v>604524</v>
      </c>
      <c r="H168" s="3">
        <v>142.58398601531599</v>
      </c>
      <c r="I168" s="3">
        <v>43.595442005809502</v>
      </c>
      <c r="J168" s="3">
        <f t="shared" si="63"/>
        <v>245.40823094021593</v>
      </c>
      <c r="K168" s="3">
        <v>15220.9</v>
      </c>
      <c r="L168" s="3">
        <v>596589</v>
      </c>
      <c r="M168" s="3">
        <v>139.59465714611599</v>
      </c>
      <c r="N168" s="3">
        <v>35.685477702368402</v>
      </c>
      <c r="O168" s="3">
        <f t="shared" si="64"/>
        <v>226.41502395028576</v>
      </c>
      <c r="P168" s="3">
        <f t="shared" si="65"/>
        <v>156.86666666666667</v>
      </c>
      <c r="Q168" s="3">
        <f t="shared" si="66"/>
        <v>5166.8717948717949</v>
      </c>
      <c r="R168" s="3">
        <f t="shared" si="57"/>
        <v>152820.7850112874</v>
      </c>
      <c r="S168" s="3">
        <f t="shared" si="57"/>
        <v>46725.371175457367</v>
      </c>
      <c r="T168" s="3">
        <f t="shared" si="58"/>
        <v>2.097506247352273</v>
      </c>
      <c r="U168" s="3">
        <f t="shared" si="58"/>
        <v>130.0931623931624</v>
      </c>
      <c r="V168" s="3">
        <f t="shared" si="58"/>
        <v>5099.0512820512822</v>
      </c>
      <c r="W168" s="3">
        <f t="shared" si="59"/>
        <v>149616.83765917047</v>
      </c>
      <c r="X168" s="3">
        <f t="shared" si="59"/>
        <v>38247.511998948699</v>
      </c>
      <c r="Y168" s="3">
        <f t="shared" si="60"/>
        <v>1.9351711448742372</v>
      </c>
      <c r="Z168" s="3">
        <f t="shared" si="67"/>
        <v>26.773504273504273</v>
      </c>
      <c r="AA168" s="3">
        <f t="shared" si="67"/>
        <v>67.820512820512704</v>
      </c>
      <c r="AB168" s="3">
        <f t="shared" si="68"/>
        <v>11681.806528625602</v>
      </c>
      <c r="AC168" s="3">
        <f t="shared" si="69"/>
        <v>0.16233510247803573</v>
      </c>
      <c r="AD168" s="3">
        <f t="shared" si="70"/>
        <v>899.58974358974365</v>
      </c>
      <c r="AE168" s="3">
        <f t="shared" si="70"/>
        <v>2278.7692307692269</v>
      </c>
      <c r="AF168" s="3">
        <f t="shared" si="70"/>
        <v>392508.69936182024</v>
      </c>
      <c r="AG168" s="3">
        <f t="shared" si="70"/>
        <v>5.4544594432620004</v>
      </c>
      <c r="AH168" s="233">
        <f t="shared" si="71"/>
        <v>5270.72</v>
      </c>
      <c r="AI168" s="233">
        <f t="shared" si="71"/>
        <v>173606.89230769232</v>
      </c>
      <c r="AJ168" s="233">
        <f t="shared" si="71"/>
        <v>5134778.3763792571</v>
      </c>
      <c r="AK168" s="233">
        <f t="shared" si="71"/>
        <v>1569972.4714953676</v>
      </c>
      <c r="AL168" s="233">
        <f t="shared" si="71"/>
        <v>70.476209911036378</v>
      </c>
      <c r="AM168" s="233">
        <f t="shared" si="71"/>
        <v>4371.1302564102571</v>
      </c>
      <c r="AN168" s="233">
        <f t="shared" si="71"/>
        <v>171328.12307692308</v>
      </c>
      <c r="AO168" s="233">
        <f t="shared" si="71"/>
        <v>5027125.7453481285</v>
      </c>
      <c r="AP168" s="233">
        <f t="shared" si="71"/>
        <v>1285116.4031646764</v>
      </c>
      <c r="AQ168" s="233">
        <f t="shared" si="71"/>
        <v>65.021750467774368</v>
      </c>
      <c r="AR168" s="373">
        <v>914.75</v>
      </c>
      <c r="AS168" s="231">
        <f t="shared" si="72"/>
        <v>30735.600000000002</v>
      </c>
    </row>
    <row r="169" spans="2:45" ht="29" x14ac:dyDescent="0.35">
      <c r="B169" s="56" t="s">
        <v>94</v>
      </c>
      <c r="C169" s="361" t="s">
        <v>197</v>
      </c>
      <c r="D169" s="56">
        <v>15</v>
      </c>
      <c r="E169" s="3">
        <v>21.88</v>
      </c>
      <c r="F169" s="3">
        <v>11707</v>
      </c>
      <c r="G169" s="3">
        <v>738020</v>
      </c>
      <c r="H169" s="3">
        <v>170.60454938433099</v>
      </c>
      <c r="I169" s="3">
        <v>27.2051789414624</v>
      </c>
      <c r="J169" s="3">
        <f t="shared" si="63"/>
        <v>241.24252514469742</v>
      </c>
      <c r="K169" s="3">
        <v>11288.2</v>
      </c>
      <c r="L169" s="3">
        <v>711748</v>
      </c>
      <c r="M169" s="3">
        <v>162.831859675309</v>
      </c>
      <c r="N169" s="3">
        <v>26.134377888370899</v>
      </c>
      <c r="O169" s="3">
        <f t="shared" si="64"/>
        <v>232.64357782473013</v>
      </c>
      <c r="P169" s="3">
        <f t="shared" si="65"/>
        <v>100.05982905982906</v>
      </c>
      <c r="Q169" s="3">
        <f t="shared" si="66"/>
        <v>6307.863247863248</v>
      </c>
      <c r="R169" s="3">
        <f t="shared" si="57"/>
        <v>182853.08113500089</v>
      </c>
      <c r="S169" s="3">
        <f t="shared" si="57"/>
        <v>29158.371275721238</v>
      </c>
      <c r="T169" s="3">
        <f t="shared" si="58"/>
        <v>2.0619019243136534</v>
      </c>
      <c r="U169" s="3">
        <f t="shared" si="58"/>
        <v>96.480341880341882</v>
      </c>
      <c r="V169" s="3">
        <f t="shared" si="58"/>
        <v>6083.3162393162393</v>
      </c>
      <c r="W169" s="3">
        <f t="shared" si="59"/>
        <v>174522.35216481838</v>
      </c>
      <c r="X169" s="3">
        <f t="shared" si="59"/>
        <v>28010.69219830522</v>
      </c>
      <c r="Y169" s="3">
        <f t="shared" si="60"/>
        <v>1.9884066480746165</v>
      </c>
      <c r="Z169" s="3">
        <f t="shared" si="67"/>
        <v>3.5794871794871739</v>
      </c>
      <c r="AA169" s="3">
        <f t="shared" si="67"/>
        <v>224.54700854700877</v>
      </c>
      <c r="AB169" s="3">
        <f t="shared" si="68"/>
        <v>9478.4080475985211</v>
      </c>
      <c r="AC169" s="3">
        <f t="shared" si="69"/>
        <v>7.3495276239036844E-2</v>
      </c>
      <c r="AD169" s="3">
        <f t="shared" si="70"/>
        <v>78.319179487179355</v>
      </c>
      <c r="AE169" s="3">
        <f t="shared" si="70"/>
        <v>4913.0885470085514</v>
      </c>
      <c r="AF169" s="3">
        <f t="shared" si="70"/>
        <v>207387.56808145563</v>
      </c>
      <c r="AG169" s="3">
        <f t="shared" si="70"/>
        <v>1.6080766441101262</v>
      </c>
      <c r="AH169" s="233">
        <f t="shared" si="71"/>
        <v>2189.3090598290596</v>
      </c>
      <c r="AI169" s="233">
        <f t="shared" si="71"/>
        <v>138016.04786324786</v>
      </c>
      <c r="AJ169" s="233">
        <f t="shared" si="71"/>
        <v>4000825.4152338193</v>
      </c>
      <c r="AK169" s="233">
        <f t="shared" si="71"/>
        <v>637985.16351278068</v>
      </c>
      <c r="AL169" s="233">
        <f t="shared" si="71"/>
        <v>45.114414103982732</v>
      </c>
      <c r="AM169" s="233">
        <f t="shared" si="71"/>
        <v>2110.9898803418805</v>
      </c>
      <c r="AN169" s="233">
        <f t="shared" si="71"/>
        <v>133102.95931623931</v>
      </c>
      <c r="AO169" s="233">
        <f t="shared" si="71"/>
        <v>3818549.0653662258</v>
      </c>
      <c r="AP169" s="233">
        <f t="shared" si="71"/>
        <v>612873.94529891817</v>
      </c>
      <c r="AQ169" s="233">
        <f t="shared" si="71"/>
        <v>43.506337459872604</v>
      </c>
      <c r="AR169" s="373">
        <v>929.01</v>
      </c>
      <c r="AS169" s="231">
        <f t="shared" si="72"/>
        <v>20326.738799999999</v>
      </c>
    </row>
    <row r="170" spans="2:45" ht="29.5" thickBot="1" x14ac:dyDescent="0.4">
      <c r="B170" s="56" t="s">
        <v>94</v>
      </c>
      <c r="C170" s="361" t="s">
        <v>197</v>
      </c>
      <c r="D170" s="56">
        <v>16</v>
      </c>
      <c r="E170" s="3">
        <v>13.560000000000002</v>
      </c>
      <c r="F170" s="3">
        <v>28074.3</v>
      </c>
      <c r="G170" s="3">
        <v>529547</v>
      </c>
      <c r="H170" s="3">
        <v>115.416391317294</v>
      </c>
      <c r="I170" s="3">
        <v>66.7996894764009</v>
      </c>
      <c r="J170" s="3">
        <f t="shared" si="63"/>
        <v>280.40895879415763</v>
      </c>
      <c r="K170" s="3">
        <v>21892.799999999999</v>
      </c>
      <c r="L170" s="3">
        <v>529142</v>
      </c>
      <c r="M170" s="3">
        <v>115.26833229829801</v>
      </c>
      <c r="N170" s="3">
        <v>51.673687705609801</v>
      </c>
      <c r="O170" s="3">
        <f t="shared" si="64"/>
        <v>246.59509585394176</v>
      </c>
      <c r="P170" s="3">
        <f t="shared" si="65"/>
        <v>239.95128205128205</v>
      </c>
      <c r="Q170" s="3">
        <f t="shared" si="66"/>
        <v>4526.0427350427353</v>
      </c>
      <c r="R170" s="3">
        <f t="shared" si="57"/>
        <v>123702.69633494588</v>
      </c>
      <c r="S170" s="3">
        <f t="shared" si="57"/>
        <v>71595.564618296354</v>
      </c>
      <c r="T170" s="3">
        <f t="shared" si="58"/>
        <v>2.3966577674714329</v>
      </c>
      <c r="U170" s="3">
        <f t="shared" si="58"/>
        <v>187.11794871794871</v>
      </c>
      <c r="V170" s="3">
        <f t="shared" si="58"/>
        <v>4522.5811965811963</v>
      </c>
      <c r="W170" s="3">
        <f t="shared" si="59"/>
        <v>123544.00743766299</v>
      </c>
      <c r="X170" s="3">
        <f t="shared" si="59"/>
        <v>55383.593489602295</v>
      </c>
      <c r="Y170" s="3">
        <f t="shared" si="60"/>
        <v>2.1076503919140319</v>
      </c>
      <c r="Z170" s="3">
        <f t="shared" si="67"/>
        <v>52.833333333333343</v>
      </c>
      <c r="AA170" s="3">
        <f t="shared" si="67"/>
        <v>3.4615384615390212</v>
      </c>
      <c r="AB170" s="3">
        <f t="shared" si="68"/>
        <v>16370.660025976962</v>
      </c>
      <c r="AC170" s="3">
        <f t="shared" si="69"/>
        <v>0.28900737555740097</v>
      </c>
      <c r="AD170" s="3">
        <f t="shared" si="70"/>
        <v>716.4200000000003</v>
      </c>
      <c r="AE170" s="3">
        <f t="shared" si="70"/>
        <v>46.938461538469134</v>
      </c>
      <c r="AF170" s="3">
        <f t="shared" si="70"/>
        <v>221986.14995224765</v>
      </c>
      <c r="AG170" s="3">
        <f t="shared" si="70"/>
        <v>3.918940012558358</v>
      </c>
      <c r="AH170" s="233">
        <f t="shared" si="71"/>
        <v>3253.739384615385</v>
      </c>
      <c r="AI170" s="233">
        <f t="shared" si="71"/>
        <v>61373.139487179498</v>
      </c>
      <c r="AJ170" s="233">
        <f t="shared" si="71"/>
        <v>1677408.5623018665</v>
      </c>
      <c r="AK170" s="233">
        <f t="shared" si="71"/>
        <v>970835.85622409871</v>
      </c>
      <c r="AL170" s="233">
        <f t="shared" si="71"/>
        <v>32.498679326912637</v>
      </c>
      <c r="AM170" s="233">
        <f t="shared" si="71"/>
        <v>2537.3193846153849</v>
      </c>
      <c r="AN170" s="233">
        <f t="shared" si="71"/>
        <v>61326.201025641036</v>
      </c>
      <c r="AO170" s="233">
        <f t="shared" si="71"/>
        <v>1675256.7408547106</v>
      </c>
      <c r="AP170" s="233">
        <f t="shared" si="71"/>
        <v>751001.52771900722</v>
      </c>
      <c r="AQ170" s="233">
        <f t="shared" si="71"/>
        <v>28.579739314354278</v>
      </c>
      <c r="AR170" s="374">
        <v>918.59</v>
      </c>
      <c r="AS170" s="231">
        <f t="shared" si="72"/>
        <v>12456.080400000003</v>
      </c>
    </row>
    <row r="171" spans="2:45" ht="29" x14ac:dyDescent="0.35">
      <c r="B171" s="56" t="s">
        <v>92</v>
      </c>
      <c r="C171" s="361" t="s">
        <v>197</v>
      </c>
      <c r="D171" s="56">
        <v>1</v>
      </c>
      <c r="E171" s="3">
        <v>69.960000000000008</v>
      </c>
      <c r="F171" s="3">
        <v>8013.2595000000001</v>
      </c>
      <c r="G171" s="3">
        <v>12240.336800000001</v>
      </c>
      <c r="H171" s="3">
        <v>16.911799999999999</v>
      </c>
      <c r="I171" s="3">
        <v>55.923000000000002</v>
      </c>
      <c r="J171" s="3">
        <f t="shared" si="63"/>
        <v>46.649750047139705</v>
      </c>
      <c r="K171" s="3">
        <v>6932.5079000000005</v>
      </c>
      <c r="L171" s="3">
        <v>9577.3643999999986</v>
      </c>
      <c r="M171" s="3">
        <v>14.538200000000002</v>
      </c>
      <c r="N171" s="3">
        <v>46.6721</v>
      </c>
      <c r="O171" s="3">
        <f t="shared" si="64"/>
        <v>40.114811555676951</v>
      </c>
      <c r="P171" s="3">
        <f t="shared" si="65"/>
        <v>222.59054166666667</v>
      </c>
      <c r="Q171" s="3">
        <f t="shared" si="66"/>
        <v>340.0093555555556</v>
      </c>
      <c r="R171" s="3">
        <f t="shared" si="57"/>
        <v>18495.871933333332</v>
      </c>
      <c r="S171" s="3">
        <f t="shared" si="57"/>
        <v>61161.120999999999</v>
      </c>
      <c r="T171" s="3">
        <f t="shared" si="58"/>
        <v>1.2958263901983251</v>
      </c>
      <c r="U171" s="3">
        <f t="shared" si="58"/>
        <v>192.5696638888889</v>
      </c>
      <c r="V171" s="3">
        <f t="shared" si="58"/>
        <v>266.03789999999998</v>
      </c>
      <c r="W171" s="3">
        <f t="shared" si="59"/>
        <v>15899.944733333334</v>
      </c>
      <c r="X171" s="3">
        <f t="shared" si="59"/>
        <v>51043.720033333339</v>
      </c>
      <c r="Y171" s="3">
        <f t="shared" si="60"/>
        <v>1.1143003209910265</v>
      </c>
      <c r="Z171" s="3">
        <f t="shared" si="67"/>
        <v>30.02087777777777</v>
      </c>
      <c r="AA171" s="3">
        <f t="shared" si="67"/>
        <v>73.971455555555622</v>
      </c>
      <c r="AB171" s="3">
        <f t="shared" si="68"/>
        <v>12713.328166666652</v>
      </c>
      <c r="AC171" s="3">
        <f t="shared" si="69"/>
        <v>0.18152606920729863</v>
      </c>
      <c r="AD171" s="3">
        <f t="shared" si="70"/>
        <v>2100.2606093333329</v>
      </c>
      <c r="AE171" s="3">
        <f t="shared" si="70"/>
        <v>5175.0430306666722</v>
      </c>
      <c r="AF171" s="3">
        <f t="shared" si="70"/>
        <v>889424.43853999907</v>
      </c>
      <c r="AG171" s="3">
        <f t="shared" si="70"/>
        <v>12.699563801742613</v>
      </c>
      <c r="AH171" s="233">
        <f t="shared" si="71"/>
        <v>15572.434295000001</v>
      </c>
      <c r="AI171" s="233">
        <f t="shared" si="71"/>
        <v>23787.054514666674</v>
      </c>
      <c r="AJ171" s="233">
        <f t="shared" si="71"/>
        <v>1293971.2004560002</v>
      </c>
      <c r="AK171" s="233">
        <f t="shared" si="71"/>
        <v>4278832.0251600007</v>
      </c>
      <c r="AL171" s="233">
        <f t="shared" si="71"/>
        <v>90.656014258274837</v>
      </c>
      <c r="AM171" s="233">
        <f t="shared" si="71"/>
        <v>13472.173685666668</v>
      </c>
      <c r="AN171" s="233">
        <f t="shared" si="71"/>
        <v>18612.011484000002</v>
      </c>
      <c r="AO171" s="233">
        <f t="shared" si="71"/>
        <v>1112360.1335440001</v>
      </c>
      <c r="AP171" s="233">
        <f t="shared" si="71"/>
        <v>3571018.6535320007</v>
      </c>
      <c r="AQ171" s="233">
        <f t="shared" si="71"/>
        <v>77.956450456532224</v>
      </c>
      <c r="AR171" s="372">
        <v>618.01</v>
      </c>
      <c r="AS171" s="231">
        <f t="shared" si="72"/>
        <v>43235.979600000006</v>
      </c>
    </row>
    <row r="172" spans="2:45" ht="29" x14ac:dyDescent="0.35">
      <c r="B172" s="56" t="s">
        <v>92</v>
      </c>
      <c r="C172" s="361" t="s">
        <v>197</v>
      </c>
      <c r="D172" s="56">
        <v>2</v>
      </c>
      <c r="E172" s="3">
        <v>415.27200000000005</v>
      </c>
      <c r="F172" s="3">
        <v>6936.4565999999995</v>
      </c>
      <c r="G172" s="3">
        <v>7878.5724000000009</v>
      </c>
      <c r="H172" s="3">
        <v>21.465899999999998</v>
      </c>
      <c r="I172" s="3">
        <v>47.088799999999999</v>
      </c>
      <c r="J172" s="3">
        <f t="shared" si="63"/>
        <v>39.728034462573163</v>
      </c>
      <c r="K172" s="3">
        <v>6248.9670000000006</v>
      </c>
      <c r="L172" s="3">
        <v>8066.4884999999995</v>
      </c>
      <c r="M172" s="3">
        <v>21.703200000000002</v>
      </c>
      <c r="N172" s="3">
        <v>41.037399999999998</v>
      </c>
      <c r="O172" s="3">
        <f t="shared" si="64"/>
        <v>36.023341823301507</v>
      </c>
      <c r="P172" s="3">
        <f t="shared" si="65"/>
        <v>192.67935</v>
      </c>
      <c r="Q172" s="3">
        <f t="shared" si="66"/>
        <v>218.84923333333336</v>
      </c>
      <c r="R172" s="3">
        <f t="shared" si="57"/>
        <v>23476.539299999997</v>
      </c>
      <c r="S172" s="3">
        <f t="shared" si="57"/>
        <v>51499.450933333334</v>
      </c>
      <c r="T172" s="3">
        <f t="shared" si="58"/>
        <v>1.1035565128492546</v>
      </c>
      <c r="U172" s="3">
        <f t="shared" si="58"/>
        <v>173.58241666666669</v>
      </c>
      <c r="V172" s="3">
        <f t="shared" si="58"/>
        <v>224.06912499999999</v>
      </c>
      <c r="W172" s="3">
        <f t="shared" si="59"/>
        <v>23736.066400000003</v>
      </c>
      <c r="X172" s="3">
        <f t="shared" si="59"/>
        <v>44881.236466666662</v>
      </c>
      <c r="Y172" s="3">
        <f t="shared" si="60"/>
        <v>1.0006483839805975</v>
      </c>
      <c r="Z172" s="3">
        <f t="shared" si="67"/>
        <v>19.096933333333311</v>
      </c>
      <c r="AA172" s="3">
        <f t="shared" si="67"/>
        <v>-5.2198916666666264</v>
      </c>
      <c r="AB172" s="3">
        <f t="shared" si="68"/>
        <v>6358.6873666666652</v>
      </c>
      <c r="AC172" s="3">
        <f t="shared" si="69"/>
        <v>0.10290812886865708</v>
      </c>
      <c r="AD172" s="3">
        <f t="shared" si="70"/>
        <v>7930.421699199992</v>
      </c>
      <c r="AE172" s="3">
        <f t="shared" si="70"/>
        <v>-2167.6748521999834</v>
      </c>
      <c r="AF172" s="3">
        <f t="shared" si="70"/>
        <v>2640584.8201303999</v>
      </c>
      <c r="AG172" s="3">
        <f t="shared" si="70"/>
        <v>42.734864491544968</v>
      </c>
      <c r="AH172" s="233">
        <f t="shared" si="71"/>
        <v>80014.339033200013</v>
      </c>
      <c r="AI172" s="233">
        <f t="shared" si="71"/>
        <v>90881.958824800022</v>
      </c>
      <c r="AJ172" s="233">
        <f t="shared" si="71"/>
        <v>9749149.4281895999</v>
      </c>
      <c r="AK172" s="233">
        <f t="shared" si="71"/>
        <v>21386279.987987202</v>
      </c>
      <c r="AL172" s="233">
        <f t="shared" si="71"/>
        <v>458.2761202039357</v>
      </c>
      <c r="AM172" s="233">
        <f t="shared" si="71"/>
        <v>72083.917334000012</v>
      </c>
      <c r="AN172" s="233">
        <f t="shared" si="71"/>
        <v>93049.633677000005</v>
      </c>
      <c r="AO172" s="233">
        <f t="shared" si="71"/>
        <v>9856923.7660608031</v>
      </c>
      <c r="AP172" s="233">
        <f t="shared" si="71"/>
        <v>18637920.8299856</v>
      </c>
      <c r="AQ172" s="233">
        <f t="shared" si="71"/>
        <v>415.54125571239075</v>
      </c>
      <c r="AR172" s="373">
        <v>557.39</v>
      </c>
      <c r="AS172" s="231">
        <f t="shared" si="72"/>
        <v>231468.46008000002</v>
      </c>
    </row>
    <row r="173" spans="2:45" ht="29" x14ac:dyDescent="0.35">
      <c r="B173" s="56" t="s">
        <v>92</v>
      </c>
      <c r="C173" s="361" t="s">
        <v>197</v>
      </c>
      <c r="D173" s="56">
        <v>11</v>
      </c>
      <c r="E173" s="3">
        <v>296.20800000000008</v>
      </c>
      <c r="F173" s="3">
        <v>6433.7916999999998</v>
      </c>
      <c r="G173" s="3">
        <v>9143.3675000000003</v>
      </c>
      <c r="H173" s="3">
        <v>40.301899999999996</v>
      </c>
      <c r="I173" s="3">
        <v>43.054100000000005</v>
      </c>
      <c r="J173" s="3">
        <f t="shared" si="63"/>
        <v>37.290288414580829</v>
      </c>
      <c r="K173" s="3">
        <v>5801.3334999999997</v>
      </c>
      <c r="L173" s="3">
        <v>6933.7841000000008</v>
      </c>
      <c r="M173" s="3">
        <v>37.725899999999996</v>
      </c>
      <c r="N173" s="3">
        <v>37.452999999999996</v>
      </c>
      <c r="O173" s="3">
        <f t="shared" si="64"/>
        <v>33.309506769074616</v>
      </c>
      <c r="P173" s="3">
        <f t="shared" si="65"/>
        <v>178.71643611111111</v>
      </c>
      <c r="Q173" s="3">
        <f t="shared" si="66"/>
        <v>253.98243055555557</v>
      </c>
      <c r="R173" s="3">
        <f t="shared" si="57"/>
        <v>44076.844633333327</v>
      </c>
      <c r="S173" s="3">
        <f t="shared" si="57"/>
        <v>47086.834033333333</v>
      </c>
      <c r="T173" s="3">
        <f t="shared" si="58"/>
        <v>1.0358413448494674</v>
      </c>
      <c r="U173" s="3">
        <f t="shared" si="58"/>
        <v>161.14815277777777</v>
      </c>
      <c r="V173" s="3">
        <f t="shared" si="58"/>
        <v>192.60511388888892</v>
      </c>
      <c r="W173" s="3">
        <f t="shared" si="59"/>
        <v>41259.559299999994</v>
      </c>
      <c r="X173" s="3">
        <f t="shared" si="59"/>
        <v>40961.097666666668</v>
      </c>
      <c r="Y173" s="3">
        <f t="shared" si="60"/>
        <v>0.92526407691873935</v>
      </c>
      <c r="Z173" s="3">
        <f t="shared" si="67"/>
        <v>17.568283333333341</v>
      </c>
      <c r="AA173" s="3">
        <f t="shared" si="67"/>
        <v>61.377316666666644</v>
      </c>
      <c r="AB173" s="3">
        <f t="shared" si="68"/>
        <v>8943.0216999999975</v>
      </c>
      <c r="AC173" s="3">
        <f t="shared" si="69"/>
        <v>0.11057726793072808</v>
      </c>
      <c r="AD173" s="3">
        <f t="shared" si="70"/>
        <v>5203.8660696000034</v>
      </c>
      <c r="AE173" s="3">
        <f t="shared" si="70"/>
        <v>18180.452215199999</v>
      </c>
      <c r="AF173" s="3">
        <f t="shared" si="70"/>
        <v>2648994.5717135998</v>
      </c>
      <c r="AG173" s="3">
        <f t="shared" si="70"/>
        <v>32.753871379225117</v>
      </c>
      <c r="AH173" s="233">
        <f t="shared" si="71"/>
        <v>52937.238107600017</v>
      </c>
      <c r="AI173" s="233">
        <f t="shared" si="71"/>
        <v>75231.627790000028</v>
      </c>
      <c r="AJ173" s="233">
        <f t="shared" si="71"/>
        <v>13055913.995150402</v>
      </c>
      <c r="AK173" s="233">
        <f t="shared" si="71"/>
        <v>13947496.935345603</v>
      </c>
      <c r="AL173" s="233">
        <f t="shared" si="71"/>
        <v>306.82449307517112</v>
      </c>
      <c r="AM173" s="233">
        <f t="shared" si="71"/>
        <v>47733.372038000009</v>
      </c>
      <c r="AN173" s="233">
        <f t="shared" si="71"/>
        <v>57051.175574800029</v>
      </c>
      <c r="AO173" s="233">
        <f t="shared" si="71"/>
        <v>12221411.541134402</v>
      </c>
      <c r="AP173" s="233">
        <f t="shared" si="71"/>
        <v>12133004.817648005</v>
      </c>
      <c r="AQ173" s="233">
        <f t="shared" si="71"/>
        <v>274.07062169594604</v>
      </c>
      <c r="AR173" s="373">
        <v>618.64</v>
      </c>
      <c r="AS173" s="231">
        <f t="shared" si="72"/>
        <v>183246.11712000004</v>
      </c>
    </row>
    <row r="174" spans="2:45" ht="29" x14ac:dyDescent="0.35">
      <c r="B174" s="56" t="s">
        <v>92</v>
      </c>
      <c r="C174" s="361" t="s">
        <v>197</v>
      </c>
      <c r="D174" s="56">
        <v>12</v>
      </c>
      <c r="E174" s="3">
        <v>1672.44</v>
      </c>
      <c r="F174" s="3">
        <v>6558.8437000000004</v>
      </c>
      <c r="G174" s="3">
        <v>8419.5635999999995</v>
      </c>
      <c r="H174" s="3">
        <v>29.003399999999999</v>
      </c>
      <c r="I174" s="3">
        <v>44.018100000000004</v>
      </c>
      <c r="J174" s="3">
        <f t="shared" si="63"/>
        <v>37.798404315867643</v>
      </c>
      <c r="K174" s="3">
        <v>5946.7517000000007</v>
      </c>
      <c r="L174" s="3">
        <v>8439.0998</v>
      </c>
      <c r="M174" s="3">
        <v>28.567299999999996</v>
      </c>
      <c r="N174" s="3">
        <v>38.582900000000002</v>
      </c>
      <c r="O174" s="3">
        <f t="shared" si="64"/>
        <v>34.464490984586597</v>
      </c>
      <c r="P174" s="3">
        <f t="shared" si="65"/>
        <v>182.19010277777778</v>
      </c>
      <c r="Q174" s="3">
        <f t="shared" si="66"/>
        <v>233.87676666666664</v>
      </c>
      <c r="R174" s="3">
        <f t="shared" si="57"/>
        <v>31720.051799999997</v>
      </c>
      <c r="S174" s="3">
        <f t="shared" si="57"/>
        <v>48141.128700000001</v>
      </c>
      <c r="T174" s="3">
        <f t="shared" si="58"/>
        <v>1.049955675440768</v>
      </c>
      <c r="U174" s="3">
        <f t="shared" si="58"/>
        <v>165.18754722222224</v>
      </c>
      <c r="V174" s="3">
        <f t="shared" si="58"/>
        <v>234.41943888888889</v>
      </c>
      <c r="W174" s="3">
        <f t="shared" si="59"/>
        <v>31243.103766666663</v>
      </c>
      <c r="X174" s="3">
        <f t="shared" si="59"/>
        <v>42196.831633333335</v>
      </c>
      <c r="Y174" s="3">
        <f t="shared" si="60"/>
        <v>0.95734697179407213</v>
      </c>
      <c r="Z174" s="3">
        <f t="shared" si="67"/>
        <v>17.002555555555546</v>
      </c>
      <c r="AA174" s="3">
        <f t="shared" si="67"/>
        <v>-0.54267222222225087</v>
      </c>
      <c r="AB174" s="3">
        <f t="shared" si="68"/>
        <v>6421.2451000000001</v>
      </c>
      <c r="AC174" s="3">
        <f t="shared" si="69"/>
        <v>9.2608703646695822E-2</v>
      </c>
      <c r="AD174" s="3">
        <f t="shared" si="70"/>
        <v>28435.754013333317</v>
      </c>
      <c r="AE174" s="3">
        <f t="shared" si="70"/>
        <v>-907.58673133338129</v>
      </c>
      <c r="AF174" s="3">
        <f t="shared" si="70"/>
        <v>10739147.155044001</v>
      </c>
      <c r="AG174" s="3">
        <f t="shared" si="70"/>
        <v>154.88250032687998</v>
      </c>
      <c r="AH174" s="233">
        <f t="shared" si="71"/>
        <v>304702.01548966666</v>
      </c>
      <c r="AI174" s="233">
        <f t="shared" si="71"/>
        <v>391144.85964399995</v>
      </c>
      <c r="AJ174" s="233">
        <f t="shared" si="71"/>
        <v>53049883.432392001</v>
      </c>
      <c r="AK174" s="233">
        <f t="shared" si="71"/>
        <v>80513149.283028007</v>
      </c>
      <c r="AL174" s="233">
        <f t="shared" si="71"/>
        <v>1755.9878698341581</v>
      </c>
      <c r="AM174" s="233">
        <f t="shared" si="71"/>
        <v>276266.26147633337</v>
      </c>
      <c r="AN174" s="233">
        <f t="shared" si="71"/>
        <v>392052.44637533335</v>
      </c>
      <c r="AO174" s="233">
        <f t="shared" si="71"/>
        <v>52252216.463523999</v>
      </c>
      <c r="AP174" s="233">
        <f t="shared" si="71"/>
        <v>70571669.096852005</v>
      </c>
      <c r="AQ174" s="233">
        <f t="shared" si="71"/>
        <v>1601.1053695072781</v>
      </c>
      <c r="AR174" s="373">
        <v>640.35</v>
      </c>
      <c r="AS174" s="231">
        <f t="shared" si="72"/>
        <v>1070946.9540000001</v>
      </c>
    </row>
    <row r="175" spans="2:45" ht="29" x14ac:dyDescent="0.35">
      <c r="B175" s="56" t="s">
        <v>92</v>
      </c>
      <c r="C175" s="361" t="s">
        <v>197</v>
      </c>
      <c r="D175" s="56">
        <v>13</v>
      </c>
      <c r="E175" s="3">
        <v>488.13600000000008</v>
      </c>
      <c r="F175" s="3">
        <v>6235.3513000000003</v>
      </c>
      <c r="G175" s="3">
        <v>8959.8665999999994</v>
      </c>
      <c r="H175" s="3">
        <v>44.308100000000003</v>
      </c>
      <c r="I175" s="3">
        <v>41.359099999999998</v>
      </c>
      <c r="J175" s="3">
        <f t="shared" si="63"/>
        <v>36.163804881963166</v>
      </c>
      <c r="K175" s="3">
        <v>5671.8600999999999</v>
      </c>
      <c r="L175" s="3">
        <v>7289.027</v>
      </c>
      <c r="M175" s="3">
        <v>41.897599999999997</v>
      </c>
      <c r="N175" s="3">
        <v>36.342600000000004</v>
      </c>
      <c r="O175" s="3">
        <f t="shared" si="64"/>
        <v>32.688688804955639</v>
      </c>
      <c r="P175" s="3">
        <f t="shared" si="65"/>
        <v>173.20420277777779</v>
      </c>
      <c r="Q175" s="3">
        <f t="shared" si="66"/>
        <v>248.88518333333332</v>
      </c>
      <c r="R175" s="3">
        <f t="shared" si="57"/>
        <v>48458.292033333331</v>
      </c>
      <c r="S175" s="3">
        <f t="shared" si="57"/>
        <v>45233.069033333333</v>
      </c>
      <c r="T175" s="3">
        <f t="shared" si="58"/>
        <v>1.0045501356100879</v>
      </c>
      <c r="U175" s="3">
        <f t="shared" si="58"/>
        <v>157.55166944444443</v>
      </c>
      <c r="V175" s="3">
        <f t="shared" si="58"/>
        <v>202.47297222222221</v>
      </c>
      <c r="W175" s="3">
        <f t="shared" si="59"/>
        <v>45822.008533333326</v>
      </c>
      <c r="X175" s="3">
        <f t="shared" si="59"/>
        <v>39746.690200000005</v>
      </c>
      <c r="Y175" s="3">
        <f t="shared" si="60"/>
        <v>0.90801913347098995</v>
      </c>
      <c r="Z175" s="3">
        <f t="shared" si="67"/>
        <v>15.652533333333366</v>
      </c>
      <c r="AA175" s="3">
        <f t="shared" si="67"/>
        <v>46.412211111111105</v>
      </c>
      <c r="AB175" s="3">
        <f t="shared" si="68"/>
        <v>8122.6623333333337</v>
      </c>
      <c r="AC175" s="3">
        <f t="shared" si="69"/>
        <v>9.6531002139097932E-2</v>
      </c>
      <c r="AD175" s="3">
        <f t="shared" si="70"/>
        <v>7640.5650112000176</v>
      </c>
      <c r="AE175" s="3">
        <f t="shared" si="70"/>
        <v>22655.471082933334</v>
      </c>
      <c r="AF175" s="3">
        <f t="shared" si="70"/>
        <v>3964963.9007440009</v>
      </c>
      <c r="AG175" s="3">
        <f t="shared" si="70"/>
        <v>47.120257260170717</v>
      </c>
      <c r="AH175" s="233">
        <f t="shared" si="71"/>
        <v>84547.206727133351</v>
      </c>
      <c r="AI175" s="233">
        <f t="shared" si="71"/>
        <v>121489.81785160002</v>
      </c>
      <c r="AJ175" s="233">
        <f t="shared" si="71"/>
        <v>23654236.839983203</v>
      </c>
      <c r="AK175" s="233">
        <f t="shared" si="71"/>
        <v>22079889.385655202</v>
      </c>
      <c r="AL175" s="233">
        <f t="shared" si="71"/>
        <v>490.35708499616595</v>
      </c>
      <c r="AM175" s="233">
        <f t="shared" si="71"/>
        <v>76906.641715933336</v>
      </c>
      <c r="AN175" s="233">
        <f t="shared" si="71"/>
        <v>98834.346768666685</v>
      </c>
      <c r="AO175" s="233">
        <f t="shared" si="71"/>
        <v>22367371.9574272</v>
      </c>
      <c r="AP175" s="233">
        <f t="shared" si="71"/>
        <v>19401790.367467206</v>
      </c>
      <c r="AQ175" s="233">
        <f t="shared" si="71"/>
        <v>443.23682773599523</v>
      </c>
      <c r="AR175" s="373">
        <v>620.25</v>
      </c>
      <c r="AS175" s="231">
        <f t="shared" si="72"/>
        <v>302766.35400000005</v>
      </c>
    </row>
    <row r="176" spans="2:45" ht="29" x14ac:dyDescent="0.35">
      <c r="B176" s="56" t="s">
        <v>92</v>
      </c>
      <c r="C176" s="361" t="s">
        <v>197</v>
      </c>
      <c r="D176" s="56">
        <v>14</v>
      </c>
      <c r="E176" s="3">
        <v>221.76000000000002</v>
      </c>
      <c r="F176" s="3">
        <v>6468.5277000000006</v>
      </c>
      <c r="G176" s="3">
        <v>9625.3017</v>
      </c>
      <c r="H176" s="3">
        <v>40.5199</v>
      </c>
      <c r="I176" s="3">
        <v>43.442</v>
      </c>
      <c r="J176" s="3">
        <f t="shared" si="63"/>
        <v>37.595589080595438</v>
      </c>
      <c r="K176" s="3">
        <v>5829.8759000000009</v>
      </c>
      <c r="L176" s="3">
        <v>7245.4109000000008</v>
      </c>
      <c r="M176" s="3">
        <v>38.097900000000003</v>
      </c>
      <c r="N176" s="3">
        <v>37.761900000000004</v>
      </c>
      <c r="O176" s="3">
        <f t="shared" si="64"/>
        <v>33.540090499854806</v>
      </c>
      <c r="P176" s="3">
        <f t="shared" si="65"/>
        <v>179.68132500000002</v>
      </c>
      <c r="Q176" s="3">
        <f t="shared" si="66"/>
        <v>267.36949166666665</v>
      </c>
      <c r="R176" s="3">
        <f t="shared" si="57"/>
        <v>44315.263966666673</v>
      </c>
      <c r="S176" s="3">
        <f t="shared" si="57"/>
        <v>47511.067333333332</v>
      </c>
      <c r="T176" s="3">
        <f t="shared" si="58"/>
        <v>1.0443219189054289</v>
      </c>
      <c r="U176" s="3">
        <f t="shared" si="58"/>
        <v>161.94099722222225</v>
      </c>
      <c r="V176" s="3">
        <f t="shared" si="58"/>
        <v>201.26141388888891</v>
      </c>
      <c r="W176" s="3">
        <f t="shared" si="59"/>
        <v>41666.403300000005</v>
      </c>
      <c r="X176" s="3">
        <f t="shared" si="59"/>
        <v>41298.931300000011</v>
      </c>
      <c r="Y176" s="3">
        <f t="shared" si="60"/>
        <v>0.93166918055152237</v>
      </c>
      <c r="Z176" s="3">
        <f t="shared" si="67"/>
        <v>17.740327777777765</v>
      </c>
      <c r="AA176" s="3">
        <f t="shared" si="67"/>
        <v>66.108077777777737</v>
      </c>
      <c r="AB176" s="3">
        <f t="shared" si="68"/>
        <v>8860.9966999999888</v>
      </c>
      <c r="AC176" s="3">
        <f t="shared" si="69"/>
        <v>0.11265273835390655</v>
      </c>
      <c r="AD176" s="3">
        <f t="shared" si="70"/>
        <v>3934.0950879999973</v>
      </c>
      <c r="AE176" s="3">
        <f t="shared" si="70"/>
        <v>14660.127327999991</v>
      </c>
      <c r="AF176" s="3">
        <f t="shared" si="70"/>
        <v>1965014.6281919978</v>
      </c>
      <c r="AG176" s="3">
        <f t="shared" si="70"/>
        <v>24.981871257362318</v>
      </c>
      <c r="AH176" s="233">
        <f t="shared" si="71"/>
        <v>39846.130632000008</v>
      </c>
      <c r="AI176" s="233">
        <f t="shared" si="71"/>
        <v>59291.858472</v>
      </c>
      <c r="AJ176" s="233">
        <f t="shared" si="71"/>
        <v>9827352.9372480027</v>
      </c>
      <c r="AK176" s="233">
        <f t="shared" si="71"/>
        <v>10536054.29184</v>
      </c>
      <c r="AL176" s="233">
        <f t="shared" si="71"/>
        <v>231.58882873646795</v>
      </c>
      <c r="AM176" s="233">
        <f t="shared" si="71"/>
        <v>35912.035544000013</v>
      </c>
      <c r="AN176" s="233">
        <f t="shared" si="71"/>
        <v>44631.731144000012</v>
      </c>
      <c r="AO176" s="233">
        <f t="shared" si="71"/>
        <v>9239941.5958080012</v>
      </c>
      <c r="AP176" s="233">
        <f t="shared" si="71"/>
        <v>9158451.0050880034</v>
      </c>
      <c r="AQ176" s="233">
        <f t="shared" si="71"/>
        <v>206.60695747910563</v>
      </c>
      <c r="AR176" s="373">
        <v>621.87</v>
      </c>
      <c r="AS176" s="231">
        <f t="shared" si="72"/>
        <v>137905.89120000001</v>
      </c>
    </row>
    <row r="177" spans="2:45" ht="29" x14ac:dyDescent="0.35">
      <c r="B177" s="56" t="s">
        <v>92</v>
      </c>
      <c r="C177" s="361" t="s">
        <v>197</v>
      </c>
      <c r="D177" s="56">
        <v>15</v>
      </c>
      <c r="E177" s="3">
        <v>144.40800000000002</v>
      </c>
      <c r="F177" s="3">
        <v>4627.8284999999996</v>
      </c>
      <c r="G177" s="3">
        <v>5795.7039999999997</v>
      </c>
      <c r="H177" s="3">
        <v>75.355000000000004</v>
      </c>
      <c r="I177" s="3">
        <v>27.560000000000002</v>
      </c>
      <c r="J177" s="3">
        <f t="shared" si="63"/>
        <v>26.635169080959354</v>
      </c>
      <c r="K177" s="3">
        <v>4627.71</v>
      </c>
      <c r="L177" s="3">
        <v>1971.7838000000002</v>
      </c>
      <c r="M177" s="3">
        <v>70.892900000000012</v>
      </c>
      <c r="N177" s="3">
        <v>27.560000000000002</v>
      </c>
      <c r="O177" s="3">
        <f t="shared" si="64"/>
        <v>25.715420286500137</v>
      </c>
      <c r="P177" s="3">
        <f t="shared" si="65"/>
        <v>128.55079166666667</v>
      </c>
      <c r="Q177" s="3">
        <f t="shared" si="66"/>
        <v>160.99177777777777</v>
      </c>
      <c r="R177" s="3">
        <f t="shared" si="57"/>
        <v>82413.251666666663</v>
      </c>
      <c r="S177" s="3">
        <f t="shared" si="57"/>
        <v>30141.453333333338</v>
      </c>
      <c r="T177" s="3">
        <f t="shared" si="58"/>
        <v>0.73986580780442646</v>
      </c>
      <c r="U177" s="3">
        <f t="shared" si="58"/>
        <v>128.54750000000001</v>
      </c>
      <c r="V177" s="3">
        <f t="shared" si="58"/>
        <v>54.771772222222225</v>
      </c>
      <c r="W177" s="3">
        <f t="shared" si="59"/>
        <v>77533.201633333345</v>
      </c>
      <c r="X177" s="3">
        <f t="shared" si="59"/>
        <v>30141.453333333338</v>
      </c>
      <c r="Y177" s="3">
        <f t="shared" si="60"/>
        <v>0.71431723018055937</v>
      </c>
      <c r="Z177" s="3">
        <f t="shared" si="67"/>
        <v>3.2916666666551464E-3</v>
      </c>
      <c r="AA177" s="3">
        <f t="shared" si="67"/>
        <v>106.22000555555555</v>
      </c>
      <c r="AB177" s="3">
        <f t="shared" si="68"/>
        <v>4880.0500333333184</v>
      </c>
      <c r="AC177" s="3">
        <f t="shared" si="69"/>
        <v>2.5548577623867086E-2</v>
      </c>
      <c r="AD177" s="3">
        <f t="shared" si="70"/>
        <v>0.47534299999833646</v>
      </c>
      <c r="AE177" s="3">
        <f t="shared" si="70"/>
        <v>15339.018562266667</v>
      </c>
      <c r="AF177" s="3">
        <f t="shared" si="70"/>
        <v>704718.26521359792</v>
      </c>
      <c r="AG177" s="3">
        <f t="shared" si="70"/>
        <v>3.6894189975073983</v>
      </c>
      <c r="AH177" s="233">
        <f t="shared" si="71"/>
        <v>18563.762723000003</v>
      </c>
      <c r="AI177" s="233">
        <f t="shared" si="71"/>
        <v>23248.500645333334</v>
      </c>
      <c r="AJ177" s="233">
        <f t="shared" si="71"/>
        <v>11901132.84668</v>
      </c>
      <c r="AK177" s="233">
        <f t="shared" si="71"/>
        <v>4352666.9929600013</v>
      </c>
      <c r="AL177" s="233">
        <f t="shared" si="71"/>
        <v>106.84254157342163</v>
      </c>
      <c r="AM177" s="233">
        <f t="shared" si="71"/>
        <v>18563.287380000005</v>
      </c>
      <c r="AN177" s="233">
        <f t="shared" si="71"/>
        <v>7909.4820830666677</v>
      </c>
      <c r="AO177" s="233">
        <f t="shared" si="71"/>
        <v>11196414.581466403</v>
      </c>
      <c r="AP177" s="233">
        <f t="shared" si="71"/>
        <v>4352666.9929600013</v>
      </c>
      <c r="AQ177" s="233">
        <f t="shared" si="71"/>
        <v>103.15312257591422</v>
      </c>
      <c r="AR177" s="373">
        <v>715.03</v>
      </c>
      <c r="AS177" s="231">
        <f t="shared" si="72"/>
        <v>103256.05224</v>
      </c>
    </row>
    <row r="178" spans="2:45" ht="29.5" thickBot="1" x14ac:dyDescent="0.4">
      <c r="B178" s="56" t="s">
        <v>92</v>
      </c>
      <c r="C178" s="361" t="s">
        <v>197</v>
      </c>
      <c r="D178" s="56">
        <v>16</v>
      </c>
      <c r="E178" s="3">
        <v>89.496000000000009</v>
      </c>
      <c r="F178" s="3">
        <v>8983.5626000000011</v>
      </c>
      <c r="G178" s="3">
        <v>15614.318500000001</v>
      </c>
      <c r="H178" s="3">
        <v>26.718799999999998</v>
      </c>
      <c r="I178" s="3">
        <v>64.837900000000005</v>
      </c>
      <c r="J178" s="3">
        <f t="shared" si="63"/>
        <v>52.753151050759186</v>
      </c>
      <c r="K178" s="3">
        <v>7733.1980000000003</v>
      </c>
      <c r="L178" s="3">
        <v>12904.436799999999</v>
      </c>
      <c r="M178" s="3">
        <v>24.2804</v>
      </c>
      <c r="N178" s="3">
        <v>53.935900000000004</v>
      </c>
      <c r="O178" s="3">
        <f t="shared" si="64"/>
        <v>45.281796494725207</v>
      </c>
      <c r="P178" s="3">
        <f t="shared" si="65"/>
        <v>249.54340555555558</v>
      </c>
      <c r="Q178" s="3">
        <f t="shared" si="66"/>
        <v>433.73106944444447</v>
      </c>
      <c r="R178" s="3">
        <f t="shared" si="57"/>
        <v>29221.460933333328</v>
      </c>
      <c r="S178" s="3">
        <f t="shared" si="57"/>
        <v>70911.049966666673</v>
      </c>
      <c r="T178" s="3">
        <f t="shared" si="58"/>
        <v>1.465365306965533</v>
      </c>
      <c r="U178" s="3">
        <f t="shared" si="58"/>
        <v>214.81105555555555</v>
      </c>
      <c r="V178" s="3">
        <f t="shared" si="58"/>
        <v>358.45657777777774</v>
      </c>
      <c r="W178" s="3">
        <f t="shared" si="59"/>
        <v>26554.664133333335</v>
      </c>
      <c r="X178" s="3">
        <f t="shared" si="59"/>
        <v>58987.895966666671</v>
      </c>
      <c r="Y178" s="3">
        <f t="shared" si="60"/>
        <v>1.2578276804090336</v>
      </c>
      <c r="Z178" s="3">
        <f t="shared" si="67"/>
        <v>34.732350000000025</v>
      </c>
      <c r="AA178" s="3">
        <f t="shared" si="67"/>
        <v>75.274491666666734</v>
      </c>
      <c r="AB178" s="3">
        <f t="shared" si="68"/>
        <v>14589.950799999984</v>
      </c>
      <c r="AC178" s="3">
        <f t="shared" si="69"/>
        <v>0.20753762655649943</v>
      </c>
      <c r="AD178" s="3">
        <f t="shared" si="70"/>
        <v>3108.4063956000027</v>
      </c>
      <c r="AE178" s="3">
        <f t="shared" si="70"/>
        <v>6736.7659062000066</v>
      </c>
      <c r="AF178" s="3">
        <f t="shared" si="70"/>
        <v>1305742.2367967987</v>
      </c>
      <c r="AG178" s="3">
        <f t="shared" si="70"/>
        <v>18.573787426300473</v>
      </c>
      <c r="AH178" s="233">
        <f t="shared" si="71"/>
        <v>22333.136623600003</v>
      </c>
      <c r="AI178" s="233">
        <f t="shared" si="71"/>
        <v>38817.195791000006</v>
      </c>
      <c r="AJ178" s="233">
        <f t="shared" si="71"/>
        <v>2615203.8676895997</v>
      </c>
      <c r="AK178" s="233">
        <f t="shared" si="71"/>
        <v>6346255.3278168011</v>
      </c>
      <c r="AL178" s="233">
        <f t="shared" si="71"/>
        <v>131.14433351218736</v>
      </c>
      <c r="AM178" s="233">
        <f t="shared" si="71"/>
        <v>19224.730228</v>
      </c>
      <c r="AN178" s="233">
        <f t="shared" si="71"/>
        <v>32080.4298848</v>
      </c>
      <c r="AO178" s="233">
        <f t="shared" si="71"/>
        <v>2376536.2212768006</v>
      </c>
      <c r="AP178" s="233">
        <f t="shared" si="71"/>
        <v>5279180.7374328012</v>
      </c>
      <c r="AQ178" s="233">
        <f t="shared" si="71"/>
        <v>112.57054608588687</v>
      </c>
      <c r="AR178" s="374">
        <v>618.64</v>
      </c>
      <c r="AS178" s="231">
        <f t="shared" si="72"/>
        <v>55365.805440000004</v>
      </c>
    </row>
    <row r="179" spans="2:45" ht="72.5" x14ac:dyDescent="0.35">
      <c r="B179" s="56" t="s">
        <v>93</v>
      </c>
      <c r="C179" s="361" t="s">
        <v>202</v>
      </c>
      <c r="D179" s="56">
        <v>1</v>
      </c>
      <c r="E179" s="3">
        <v>59.942999999999998</v>
      </c>
      <c r="F179" s="3">
        <v>12156.861106601054</v>
      </c>
      <c r="G179" s="3">
        <v>380361.01119177288</v>
      </c>
      <c r="H179" s="3">
        <v>87.926003985553038</v>
      </c>
      <c r="I179" s="3">
        <v>21.977499639293264</v>
      </c>
      <c r="J179" s="3">
        <f t="shared" si="63"/>
        <v>157.73074786582509</v>
      </c>
      <c r="K179" s="3">
        <v>9205.6010128430535</v>
      </c>
      <c r="L179" s="3">
        <v>376579.90838179947</v>
      </c>
      <c r="M179" s="3">
        <v>87.478367327420145</v>
      </c>
      <c r="N179" s="3">
        <v>16.651239647867932</v>
      </c>
      <c r="O179" s="3">
        <f t="shared" si="64"/>
        <v>140.7245144946842</v>
      </c>
      <c r="P179" s="3">
        <f t="shared" si="65"/>
        <v>138.14614893864834</v>
      </c>
      <c r="Q179" s="3">
        <f t="shared" si="66"/>
        <v>4322.2842180883281</v>
      </c>
      <c r="R179" s="3">
        <f t="shared" si="57"/>
        <v>113004.89830415965</v>
      </c>
      <c r="S179" s="3">
        <f t="shared" si="57"/>
        <v>28246.081922773501</v>
      </c>
      <c r="T179" s="3">
        <f t="shared" si="58"/>
        <v>1.7923948621116488</v>
      </c>
      <c r="U179" s="3">
        <f t="shared" si="58"/>
        <v>104.60910241867106</v>
      </c>
      <c r="V179" s="3">
        <f t="shared" si="58"/>
        <v>4279.3171407022664</v>
      </c>
      <c r="W179" s="3">
        <f t="shared" si="59"/>
        <v>112429.58346285475</v>
      </c>
      <c r="X179" s="3">
        <f t="shared" si="59"/>
        <v>21400.627320157535</v>
      </c>
      <c r="Y179" s="3">
        <f t="shared" si="60"/>
        <v>1.599142210166866</v>
      </c>
      <c r="Z179" s="3">
        <f t="shared" ref="Z179:AA227" si="73">P179-U179</f>
        <v>33.537046519977281</v>
      </c>
      <c r="AA179" s="3">
        <f t="shared" si="73"/>
        <v>42.967077386061646</v>
      </c>
      <c r="AB179" s="3">
        <f t="shared" si="68"/>
        <v>7420.7694439208608</v>
      </c>
      <c r="AC179" s="3">
        <f t="shared" si="69"/>
        <v>0.19325265194478281</v>
      </c>
      <c r="AD179" s="3">
        <f t="shared" ref="AD179:AG227" si="74">Z179*$E179</f>
        <v>2010.3111795469981</v>
      </c>
      <c r="AE179" s="3">
        <f t="shared" si="74"/>
        <v>2575.5755197526933</v>
      </c>
      <c r="AF179" s="3">
        <f t="shared" si="74"/>
        <v>444823.18277694815</v>
      </c>
      <c r="AG179" s="3">
        <f t="shared" si="74"/>
        <v>11.584143715526116</v>
      </c>
      <c r="AH179" s="233">
        <f t="shared" si="71"/>
        <v>8280.8946058293968</v>
      </c>
      <c r="AI179" s="233">
        <f t="shared" si="71"/>
        <v>259090.68288486864</v>
      </c>
      <c r="AJ179" s="233">
        <f t="shared" si="71"/>
        <v>6773852.619046242</v>
      </c>
      <c r="AK179" s="233">
        <f t="shared" si="71"/>
        <v>1693154.8886968119</v>
      </c>
      <c r="AL179" s="233">
        <f t="shared" si="71"/>
        <v>107.44152521955856</v>
      </c>
      <c r="AM179" s="233">
        <f t="shared" si="71"/>
        <v>6270.5834262823992</v>
      </c>
      <c r="AN179" s="233">
        <f t="shared" si="71"/>
        <v>256515.10736511595</v>
      </c>
      <c r="AO179" s="233">
        <f t="shared" si="71"/>
        <v>6739366.5215139017</v>
      </c>
      <c r="AP179" s="233">
        <f t="shared" si="71"/>
        <v>1282817.8034522031</v>
      </c>
      <c r="AQ179" s="233">
        <f t="shared" si="71"/>
        <v>95.857381504032446</v>
      </c>
      <c r="AR179" s="373">
        <v>78.3</v>
      </c>
      <c r="AS179" s="231">
        <f t="shared" si="72"/>
        <v>4693.5369000000001</v>
      </c>
    </row>
    <row r="180" spans="2:45" ht="72.5" x14ac:dyDescent="0.35">
      <c r="B180" s="56" t="s">
        <v>93</v>
      </c>
      <c r="C180" s="361" t="s">
        <v>202</v>
      </c>
      <c r="D180" s="56">
        <v>2</v>
      </c>
      <c r="E180" s="3">
        <v>355.81259999999997</v>
      </c>
      <c r="F180" s="3">
        <v>9038.946236628206</v>
      </c>
      <c r="G180" s="3">
        <v>419476.72706867952</v>
      </c>
      <c r="H180" s="3">
        <v>103.43989502407626</v>
      </c>
      <c r="I180" s="3">
        <v>16.594868624402494</v>
      </c>
      <c r="J180" s="3">
        <f t="shared" si="63"/>
        <v>150.12601968280848</v>
      </c>
      <c r="K180" s="3">
        <v>6989.4166888138607</v>
      </c>
      <c r="L180" s="3">
        <v>417550.11152543541</v>
      </c>
      <c r="M180" s="3">
        <v>87.926003985553038</v>
      </c>
      <c r="N180" s="3">
        <v>21.977499639293264</v>
      </c>
      <c r="O180" s="3">
        <f t="shared" si="64"/>
        <v>138.48394385054772</v>
      </c>
      <c r="P180" s="3">
        <f t="shared" si="65"/>
        <v>102.71529814350234</v>
      </c>
      <c r="Q180" s="3">
        <f t="shared" si="66"/>
        <v>4766.7809894168131</v>
      </c>
      <c r="R180" s="3">
        <f t="shared" si="57"/>
        <v>132943.77417298892</v>
      </c>
      <c r="S180" s="3">
        <f t="shared" si="57"/>
        <v>21328.177743408207</v>
      </c>
      <c r="T180" s="3">
        <f t="shared" si="58"/>
        <v>1.705977496395551</v>
      </c>
      <c r="U180" s="3">
        <f t="shared" si="58"/>
        <v>79.425189645612051</v>
      </c>
      <c r="V180" s="3">
        <f t="shared" si="58"/>
        <v>4744.8876309708567</v>
      </c>
      <c r="W180" s="3">
        <f t="shared" si="59"/>
        <v>113004.89830415965</v>
      </c>
      <c r="X180" s="3">
        <f t="shared" si="59"/>
        <v>28246.081922773501</v>
      </c>
      <c r="Y180" s="3">
        <f t="shared" si="60"/>
        <v>1.5736811801198605</v>
      </c>
      <c r="Z180" s="3">
        <f t="shared" si="73"/>
        <v>23.290108497890287</v>
      </c>
      <c r="AA180" s="3">
        <f t="shared" si="73"/>
        <v>21.893358445956437</v>
      </c>
      <c r="AB180" s="3">
        <f t="shared" si="68"/>
        <v>13020.97168946399</v>
      </c>
      <c r="AC180" s="3">
        <f t="shared" si="69"/>
        <v>0.1322963162756905</v>
      </c>
      <c r="AD180" s="3">
        <f t="shared" si="74"/>
        <v>8286.9140589164363</v>
      </c>
      <c r="AE180" s="3">
        <f t="shared" si="74"/>
        <v>7789.9327913877187</v>
      </c>
      <c r="AF180" s="3">
        <f t="shared" si="74"/>
        <v>4633025.7913545743</v>
      </c>
      <c r="AG180" s="3">
        <f t="shared" si="74"/>
        <v>47.072696264475752</v>
      </c>
      <c r="AH180" s="233">
        <f t="shared" si="71"/>
        <v>36547.397292214737</v>
      </c>
      <c r="AI180" s="233">
        <f t="shared" si="71"/>
        <v>1696080.7374749687</v>
      </c>
      <c r="AJ180" s="233">
        <f t="shared" si="71"/>
        <v>47303069.942304038</v>
      </c>
      <c r="AK180" s="233">
        <f t="shared" si="71"/>
        <v>7588834.3761442062</v>
      </c>
      <c r="AL180" s="233">
        <f t="shared" si="71"/>
        <v>607.00828853399162</v>
      </c>
      <c r="AM180" s="233">
        <f t="shared" si="71"/>
        <v>28260.483233298299</v>
      </c>
      <c r="AN180" s="233">
        <f t="shared" si="71"/>
        <v>1688290.804683581</v>
      </c>
      <c r="AO180" s="233">
        <f t="shared" si="71"/>
        <v>40208566.678338632</v>
      </c>
      <c r="AP180" s="233">
        <f t="shared" si="71"/>
        <v>10050311.848755037</v>
      </c>
      <c r="AQ180" s="233">
        <f t="shared" si="71"/>
        <v>559.93559226951584</v>
      </c>
      <c r="AR180" s="373">
        <v>83.65</v>
      </c>
      <c r="AS180" s="231">
        <f t="shared" si="72"/>
        <v>29763.723989999999</v>
      </c>
    </row>
    <row r="181" spans="2:45" ht="72.5" x14ac:dyDescent="0.35">
      <c r="B181" s="56" t="s">
        <v>93</v>
      </c>
      <c r="C181" s="361" t="s">
        <v>202</v>
      </c>
      <c r="D181" s="56">
        <v>3</v>
      </c>
      <c r="E181" s="3">
        <v>1725.9059999999999</v>
      </c>
      <c r="F181" s="3">
        <v>6249.0457088299609</v>
      </c>
      <c r="G181" s="3">
        <v>395910.08874290076</v>
      </c>
      <c r="H181" s="3">
        <v>94.383233699111557</v>
      </c>
      <c r="I181" s="3">
        <v>11.536925999214631</v>
      </c>
      <c r="J181" s="3">
        <f t="shared" si="63"/>
        <v>129.24433608474601</v>
      </c>
      <c r="K181" s="3">
        <v>4783.058307289919</v>
      </c>
      <c r="L181" s="3">
        <v>396228.83567836566</v>
      </c>
      <c r="M181" s="3">
        <v>94.536444156882709</v>
      </c>
      <c r="N181" s="3">
        <v>8.7991123325355041</v>
      </c>
      <c r="O181" s="3">
        <f t="shared" si="64"/>
        <v>121.32483274496785</v>
      </c>
      <c r="P181" s="3">
        <f t="shared" si="65"/>
        <v>71.011883054885914</v>
      </c>
      <c r="Q181" s="3">
        <f t="shared" si="66"/>
        <v>4498.9782811693267</v>
      </c>
      <c r="R181" s="3">
        <f t="shared" si="57"/>
        <v>121303.90603828996</v>
      </c>
      <c r="S181" s="3">
        <f t="shared" si="57"/>
        <v>14827.571937626986</v>
      </c>
      <c r="T181" s="3">
        <f t="shared" si="58"/>
        <v>1.4686856373266592</v>
      </c>
      <c r="U181" s="3">
        <f t="shared" si="58"/>
        <v>54.352935310112713</v>
      </c>
      <c r="V181" s="3">
        <f t="shared" si="58"/>
        <v>4502.6004054359737</v>
      </c>
      <c r="W181" s="3">
        <f t="shared" si="59"/>
        <v>121500.81629708447</v>
      </c>
      <c r="X181" s="3">
        <f t="shared" si="59"/>
        <v>11308.859145565517</v>
      </c>
      <c r="Y181" s="3">
        <f t="shared" si="60"/>
        <v>1.3786912811928165</v>
      </c>
      <c r="Z181" s="3">
        <f t="shared" si="73"/>
        <v>16.658947744773201</v>
      </c>
      <c r="AA181" s="3">
        <f t="shared" si="73"/>
        <v>-3.6221242666470062</v>
      </c>
      <c r="AB181" s="3">
        <f t="shared" si="68"/>
        <v>3321.8025332669731</v>
      </c>
      <c r="AC181" s="3">
        <f t="shared" si="69"/>
        <v>8.9994356133842768E-2</v>
      </c>
      <c r="AD181" s="3">
        <f t="shared" si="74"/>
        <v>28751.777866390534</v>
      </c>
      <c r="AE181" s="3">
        <f t="shared" si="74"/>
        <v>-6251.446004551668</v>
      </c>
      <c r="AF181" s="3">
        <f t="shared" si="74"/>
        <v>5733118.922980668</v>
      </c>
      <c r="AG181" s="3">
        <f t="shared" si="74"/>
        <v>155.32179921753604</v>
      </c>
      <c r="AH181" s="233">
        <f t="shared" si="71"/>
        <v>122559.83503572592</v>
      </c>
      <c r="AI181" s="233">
        <f t="shared" si="71"/>
        <v>7764813.6093398277</v>
      </c>
      <c r="AJ181" s="233">
        <f t="shared" si="71"/>
        <v>209359139.25492087</v>
      </c>
      <c r="AK181" s="233">
        <f t="shared" si="71"/>
        <v>25590995.372582041</v>
      </c>
      <c r="AL181" s="233">
        <f t="shared" si="71"/>
        <v>2534.8133535759052</v>
      </c>
      <c r="AM181" s="233">
        <f t="shared" si="71"/>
        <v>93808.057169335385</v>
      </c>
      <c r="AN181" s="233">
        <f t="shared" si="71"/>
        <v>7771065.0553443795</v>
      </c>
      <c r="AO181" s="233">
        <f t="shared" si="71"/>
        <v>209698987.85203588</v>
      </c>
      <c r="AP181" s="233">
        <f t="shared" si="71"/>
        <v>19518027.852486398</v>
      </c>
      <c r="AQ181" s="233">
        <f t="shared" si="71"/>
        <v>2379.4915543583688</v>
      </c>
      <c r="AR181" s="373">
        <v>84.18</v>
      </c>
      <c r="AS181" s="231">
        <f t="shared" si="72"/>
        <v>145286.76708000002</v>
      </c>
    </row>
    <row r="182" spans="2:45" ht="72.5" x14ac:dyDescent="0.35">
      <c r="B182" s="56" t="s">
        <v>93</v>
      </c>
      <c r="C182" s="361" t="s">
        <v>202</v>
      </c>
      <c r="D182" s="56">
        <v>4</v>
      </c>
      <c r="E182" s="3">
        <v>899.14499999999998</v>
      </c>
      <c r="F182" s="3">
        <v>6611.9621992284201</v>
      </c>
      <c r="G182" s="3">
        <v>424709.03617618576</v>
      </c>
      <c r="H182" s="3">
        <v>104.58657930824243</v>
      </c>
      <c r="I182" s="3">
        <v>12.26938238077248</v>
      </c>
      <c r="J182" s="3">
        <f t="shared" si="63"/>
        <v>138.14583824131961</v>
      </c>
      <c r="K182" s="3">
        <v>5126.9200449877299</v>
      </c>
      <c r="L182" s="3">
        <v>423664.81635816942</v>
      </c>
      <c r="M182" s="3">
        <v>103.79054472315919</v>
      </c>
      <c r="N182" s="3">
        <v>9.4805732863094789</v>
      </c>
      <c r="O182" s="3">
        <f t="shared" si="64"/>
        <v>129.79480487363853</v>
      </c>
      <c r="P182" s="3">
        <f t="shared" si="65"/>
        <v>75.135934082141134</v>
      </c>
      <c r="Q182" s="3">
        <f t="shared" si="66"/>
        <v>4826.2390474566564</v>
      </c>
      <c r="R182" s="3">
        <f t="shared" si="57"/>
        <v>134417.52408820705</v>
      </c>
      <c r="S182" s="3">
        <f t="shared" si="57"/>
        <v>15768.944855288268</v>
      </c>
      <c r="T182" s="3">
        <f t="shared" si="58"/>
        <v>1.5698390709240864</v>
      </c>
      <c r="U182" s="3">
        <f t="shared" si="58"/>
        <v>58.260455056678751</v>
      </c>
      <c r="V182" s="3">
        <f t="shared" si="58"/>
        <v>4814.3729131610162</v>
      </c>
      <c r="W182" s="3">
        <f t="shared" si="59"/>
        <v>133394.43872942391</v>
      </c>
      <c r="X182" s="3">
        <f t="shared" si="59"/>
        <v>12184.691348654569</v>
      </c>
      <c r="Y182" s="3">
        <f t="shared" si="60"/>
        <v>1.474940964473165</v>
      </c>
      <c r="Z182" s="3">
        <f t="shared" si="73"/>
        <v>16.875479025462383</v>
      </c>
      <c r="AA182" s="3">
        <f t="shared" si="73"/>
        <v>11.866134295640222</v>
      </c>
      <c r="AB182" s="3">
        <f t="shared" si="68"/>
        <v>4607.3388654168211</v>
      </c>
      <c r="AC182" s="3">
        <f t="shared" si="69"/>
        <v>9.4898106450921338E-2</v>
      </c>
      <c r="AD182" s="3">
        <f t="shared" si="74"/>
        <v>15173.502588349374</v>
      </c>
      <c r="AE182" s="3">
        <f t="shared" si="74"/>
        <v>10669.375321253427</v>
      </c>
      <c r="AF182" s="3">
        <f t="shared" si="74"/>
        <v>4142665.7041452075</v>
      </c>
      <c r="AG182" s="3">
        <f t="shared" si="74"/>
        <v>85.327157924813662</v>
      </c>
      <c r="AH182" s="233">
        <f t="shared" si="71"/>
        <v>67558.099450286783</v>
      </c>
      <c r="AI182" s="233">
        <f t="shared" si="71"/>
        <v>4339488.7083254149</v>
      </c>
      <c r="AJ182" s="233">
        <f t="shared" si="71"/>
        <v>120860844.69629093</v>
      </c>
      <c r="AK182" s="233">
        <f t="shared" si="71"/>
        <v>14178567.92190817</v>
      </c>
      <c r="AL182" s="233">
        <f t="shared" si="71"/>
        <v>1411.5129514260377</v>
      </c>
      <c r="AM182" s="233">
        <f t="shared" si="71"/>
        <v>52384.596861937418</v>
      </c>
      <c r="AN182" s="233">
        <f t="shared" si="71"/>
        <v>4328819.3330041617</v>
      </c>
      <c r="AO182" s="233">
        <f t="shared" si="71"/>
        <v>119940942.61136787</v>
      </c>
      <c r="AP182" s="233">
        <f t="shared" si="71"/>
        <v>10955804.302686011</v>
      </c>
      <c r="AQ182" s="233">
        <f t="shared" si="71"/>
        <v>1326.185793501224</v>
      </c>
      <c r="AR182" s="373">
        <v>83.25</v>
      </c>
      <c r="AS182" s="231">
        <f t="shared" si="72"/>
        <v>74853.821249999994</v>
      </c>
    </row>
    <row r="183" spans="2:45" ht="72.5" x14ac:dyDescent="0.35">
      <c r="B183" s="56" t="s">
        <v>93</v>
      </c>
      <c r="C183" s="361" t="s">
        <v>202</v>
      </c>
      <c r="D183" s="56">
        <v>5</v>
      </c>
      <c r="E183" s="3">
        <v>159.69720000000001</v>
      </c>
      <c r="F183" s="3">
        <v>7289.0437078691284</v>
      </c>
      <c r="G183" s="3">
        <v>394467.87553213589</v>
      </c>
      <c r="H183" s="3">
        <v>92.55899029144048</v>
      </c>
      <c r="I183" s="3">
        <v>13.270239703857362</v>
      </c>
      <c r="J183" s="3">
        <f t="shared" si="63"/>
        <v>134.57028088324151</v>
      </c>
      <c r="K183" s="3">
        <v>5627.4830225768083</v>
      </c>
      <c r="L183" s="3">
        <v>394870.76285642444</v>
      </c>
      <c r="M183" s="3">
        <v>92.944590987390228</v>
      </c>
      <c r="N183" s="3">
        <v>10.224108830107939</v>
      </c>
      <c r="O183" s="3">
        <f t="shared" si="64"/>
        <v>125.60426168635399</v>
      </c>
      <c r="P183" s="3">
        <f t="shared" si="65"/>
        <v>82.830042134876464</v>
      </c>
      <c r="Q183" s="3">
        <f t="shared" si="66"/>
        <v>4482.5894946833623</v>
      </c>
      <c r="R183" s="3">
        <f t="shared" si="57"/>
        <v>118959.33865865816</v>
      </c>
      <c r="S183" s="3">
        <f t="shared" si="57"/>
        <v>17055.273983025767</v>
      </c>
      <c r="T183" s="3">
        <f t="shared" si="58"/>
        <v>1.5292077373095625</v>
      </c>
      <c r="U183" s="3">
        <f t="shared" si="58"/>
        <v>63.948670711100092</v>
      </c>
      <c r="V183" s="3">
        <f t="shared" si="58"/>
        <v>4487.1677597320959</v>
      </c>
      <c r="W183" s="3">
        <f t="shared" si="59"/>
        <v>119454.9231894754</v>
      </c>
      <c r="X183" s="3">
        <f t="shared" si="59"/>
        <v>13140.303507786453</v>
      </c>
      <c r="Y183" s="3">
        <f t="shared" si="60"/>
        <v>1.42732115552675</v>
      </c>
      <c r="Z183" s="3">
        <f t="shared" si="73"/>
        <v>18.881371423776372</v>
      </c>
      <c r="AA183" s="3">
        <f t="shared" si="73"/>
        <v>-4.5782650487335559</v>
      </c>
      <c r="AB183" s="3">
        <f t="shared" si="68"/>
        <v>3419.385944422067</v>
      </c>
      <c r="AC183" s="3">
        <f t="shared" si="69"/>
        <v>0.10188658178281251</v>
      </c>
      <c r="AD183" s="3">
        <f t="shared" si="74"/>
        <v>3015.3021485371</v>
      </c>
      <c r="AE183" s="3">
        <f t="shared" si="74"/>
        <v>-731.13610914061246</v>
      </c>
      <c r="AF183" s="3">
        <f t="shared" si="74"/>
        <v>546066.36104355974</v>
      </c>
      <c r="AG183" s="3">
        <f t="shared" si="74"/>
        <v>16.271001828286167</v>
      </c>
      <c r="AH183" s="233">
        <f t="shared" si="71"/>
        <v>13227.725804821794</v>
      </c>
      <c r="AI183" s="233">
        <f t="shared" si="71"/>
        <v>715856.99105034792</v>
      </c>
      <c r="AJ183" s="233">
        <f t="shared" si="71"/>
        <v>18997473.297639467</v>
      </c>
      <c r="AK183" s="233">
        <f t="shared" si="71"/>
        <v>2723679.5003220625</v>
      </c>
      <c r="AL183" s="233">
        <f t="shared" si="71"/>
        <v>244.21019386667268</v>
      </c>
      <c r="AM183" s="233">
        <f t="shared" si="71"/>
        <v>10212.423656284695</v>
      </c>
      <c r="AN183" s="233">
        <f t="shared" si="71"/>
        <v>716588.1271594885</v>
      </c>
      <c r="AO183" s="233">
        <f t="shared" si="71"/>
        <v>19076616.759574294</v>
      </c>
      <c r="AP183" s="233">
        <f t="shared" si="71"/>
        <v>2098469.6773436749</v>
      </c>
      <c r="AQ183" s="233">
        <f t="shared" si="71"/>
        <v>227.93919203838652</v>
      </c>
      <c r="AR183" s="373">
        <v>78.47</v>
      </c>
      <c r="AS183" s="231">
        <f t="shared" si="72"/>
        <v>12531.439284</v>
      </c>
    </row>
    <row r="184" spans="2:45" ht="72.5" x14ac:dyDescent="0.35">
      <c r="B184" s="56" t="s">
        <v>93</v>
      </c>
      <c r="C184" s="361" t="s">
        <v>202</v>
      </c>
      <c r="D184" s="56">
        <v>6</v>
      </c>
      <c r="E184" s="3">
        <v>762.29399999999998</v>
      </c>
      <c r="F184" s="3">
        <v>3630.9094786294668</v>
      </c>
      <c r="G184" s="3">
        <v>424141.66222942993</v>
      </c>
      <c r="H184" s="3">
        <v>100.9934947385527</v>
      </c>
      <c r="I184" s="3">
        <v>6.6905632057885231</v>
      </c>
      <c r="J184" s="3">
        <f t="shared" si="63"/>
        <v>121.74954251824482</v>
      </c>
      <c r="K184" s="3">
        <v>2931.1863244323881</v>
      </c>
      <c r="L184" s="3">
        <v>426136.6825550904</v>
      </c>
      <c r="M184" s="3">
        <v>101.2675447629376</v>
      </c>
      <c r="N184" s="3">
        <v>5.3692704139049017</v>
      </c>
      <c r="O184" s="3">
        <f t="shared" si="64"/>
        <v>118.41247137012067</v>
      </c>
      <c r="P184" s="3">
        <f t="shared" si="65"/>
        <v>41.260334984425761</v>
      </c>
      <c r="Q184" s="3">
        <f t="shared" si="66"/>
        <v>4819.7916162435222</v>
      </c>
      <c r="R184" s="3">
        <f t="shared" si="57"/>
        <v>129799.59380602624</v>
      </c>
      <c r="S184" s="3">
        <f t="shared" si="57"/>
        <v>8598.894301985023</v>
      </c>
      <c r="T184" s="3">
        <f t="shared" si="58"/>
        <v>1.3835175286164185</v>
      </c>
      <c r="U184" s="3">
        <f t="shared" si="58"/>
        <v>33.308935504913499</v>
      </c>
      <c r="V184" s="3">
        <f t="shared" si="58"/>
        <v>4842.4623017623908</v>
      </c>
      <c r="W184" s="3">
        <f t="shared" si="59"/>
        <v>130151.81037145731</v>
      </c>
      <c r="X184" s="3">
        <f t="shared" si="59"/>
        <v>6900.7327705982316</v>
      </c>
      <c r="Y184" s="3">
        <f t="shared" si="60"/>
        <v>1.345596265569553</v>
      </c>
      <c r="Z184" s="3">
        <f t="shared" si="73"/>
        <v>7.9513994795122613</v>
      </c>
      <c r="AA184" s="3">
        <f t="shared" si="73"/>
        <v>-22.670685518868595</v>
      </c>
      <c r="AB184" s="3">
        <f t="shared" si="68"/>
        <v>1345.944965955714</v>
      </c>
      <c r="AC184" s="3">
        <f t="shared" si="69"/>
        <v>3.7921263046865494E-2</v>
      </c>
      <c r="AD184" s="3">
        <f t="shared" si="74"/>
        <v>6061.3041148353195</v>
      </c>
      <c r="AE184" s="3">
        <f t="shared" si="74"/>
        <v>-17281.727546920418</v>
      </c>
      <c r="AF184" s="3">
        <f t="shared" si="74"/>
        <v>1026005.7718782451</v>
      </c>
      <c r="AG184" s="3">
        <f t="shared" si="74"/>
        <v>28.907151293047285</v>
      </c>
      <c r="AH184" s="233">
        <f t="shared" si="71"/>
        <v>31452.50579661785</v>
      </c>
      <c r="AI184" s="233">
        <f t="shared" si="71"/>
        <v>3674098.2303127395</v>
      </c>
      <c r="AJ184" s="233">
        <f t="shared" si="71"/>
        <v>98945451.560770959</v>
      </c>
      <c r="AK184" s="233">
        <f t="shared" si="71"/>
        <v>6554885.533037371</v>
      </c>
      <c r="AL184" s="233">
        <f t="shared" si="71"/>
        <v>1054.6471109591241</v>
      </c>
      <c r="AM184" s="233">
        <f t="shared" si="71"/>
        <v>25391.201681782532</v>
      </c>
      <c r="AN184" s="233">
        <f t="shared" si="71"/>
        <v>3691379.95785966</v>
      </c>
      <c r="AO184" s="233">
        <f t="shared" si="71"/>
        <v>99213944.135299668</v>
      </c>
      <c r="AP184" s="233">
        <f t="shared" si="71"/>
        <v>5260387.1866304083</v>
      </c>
      <c r="AQ184" s="233">
        <f t="shared" si="71"/>
        <v>1025.7399596660769</v>
      </c>
      <c r="AR184" s="373">
        <v>78.2</v>
      </c>
      <c r="AS184" s="231">
        <f t="shared" si="72"/>
        <v>59611.390800000001</v>
      </c>
    </row>
    <row r="185" spans="2:45" ht="72.5" x14ac:dyDescent="0.35">
      <c r="B185" s="56" t="s">
        <v>93</v>
      </c>
      <c r="C185" s="361" t="s">
        <v>202</v>
      </c>
      <c r="D185" s="56">
        <v>7</v>
      </c>
      <c r="E185" s="3">
        <v>819.5225999999999</v>
      </c>
      <c r="F185" s="3">
        <v>2098.6510539221308</v>
      </c>
      <c r="G185" s="3">
        <v>419890.16351043637</v>
      </c>
      <c r="H185" s="3">
        <v>99.342324005346001</v>
      </c>
      <c r="I185" s="3">
        <v>3.7837517004166572</v>
      </c>
      <c r="J185" s="3">
        <f t="shared" si="63"/>
        <v>112.37008265259351</v>
      </c>
      <c r="K185" s="3">
        <v>1797.7800577360765</v>
      </c>
      <c r="L185" s="3">
        <v>423817.25540354464</v>
      </c>
      <c r="M185" s="3">
        <v>100.13525627611807</v>
      </c>
      <c r="N185" s="3">
        <v>3.2192382480349151</v>
      </c>
      <c r="O185" s="3">
        <f t="shared" si="64"/>
        <v>111.67290521543813</v>
      </c>
      <c r="P185" s="3">
        <f t="shared" si="65"/>
        <v>23.848307430933303</v>
      </c>
      <c r="Q185" s="3">
        <f t="shared" si="66"/>
        <v>4771.4791308004133</v>
      </c>
      <c r="R185" s="3">
        <f t="shared" si="57"/>
        <v>127677.46414777992</v>
      </c>
      <c r="S185" s="3">
        <f t="shared" si="57"/>
        <v>4862.980878603681</v>
      </c>
      <c r="T185" s="3">
        <f t="shared" si="58"/>
        <v>1.2769327574158353</v>
      </c>
      <c r="U185" s="3">
        <f t="shared" si="58"/>
        <v>20.42931883790996</v>
      </c>
      <c r="V185" s="3">
        <f t="shared" si="58"/>
        <v>4816.1051750402803</v>
      </c>
      <c r="W185" s="3">
        <f t="shared" si="59"/>
        <v>128696.56232760176</v>
      </c>
      <c r="X185" s="3">
        <f t="shared" si="59"/>
        <v>4137.4527937812372</v>
      </c>
      <c r="Y185" s="3">
        <f t="shared" si="60"/>
        <v>1.2690102865390698</v>
      </c>
      <c r="Z185" s="3">
        <f t="shared" si="73"/>
        <v>3.418988593023343</v>
      </c>
      <c r="AA185" s="3">
        <f t="shared" si="73"/>
        <v>-44.626044239867042</v>
      </c>
      <c r="AB185" s="3">
        <f t="shared" si="68"/>
        <v>-293.57009499940523</v>
      </c>
      <c r="AC185" s="3">
        <f t="shared" si="69"/>
        <v>7.9224708767655638E-3</v>
      </c>
      <c r="AD185" s="3">
        <f t="shared" si="74"/>
        <v>2801.9384211248316</v>
      </c>
      <c r="AE185" s="3">
        <f t="shared" si="74"/>
        <v>-36572.051803170856</v>
      </c>
      <c r="AF185" s="3">
        <f t="shared" si="74"/>
        <v>-240587.32753615954</v>
      </c>
      <c r="AG185" s="3">
        <f t="shared" si="74"/>
        <v>6.4926439313511937</v>
      </c>
      <c r="AH185" s="233">
        <f t="shared" si="71"/>
        <v>19544.226911397778</v>
      </c>
      <c r="AI185" s="233">
        <f t="shared" si="71"/>
        <v>3910334.983119294</v>
      </c>
      <c r="AJ185" s="233">
        <f t="shared" si="71"/>
        <v>104634567.37979537</v>
      </c>
      <c r="AK185" s="233">
        <f t="shared" si="71"/>
        <v>3985322.7333835727</v>
      </c>
      <c r="AL185" s="233">
        <f t="shared" si="71"/>
        <v>1046.4752533825945</v>
      </c>
      <c r="AM185" s="233">
        <f t="shared" si="71"/>
        <v>16742.288490272946</v>
      </c>
      <c r="AN185" s="233">
        <f t="shared" si="71"/>
        <v>3946907.0349224652</v>
      </c>
      <c r="AO185" s="233">
        <f t="shared" si="71"/>
        <v>105469741.36977823</v>
      </c>
      <c r="AP185" s="233">
        <f t="shared" si="71"/>
        <v>3390736.0709368628</v>
      </c>
      <c r="AQ185" s="233">
        <f t="shared" si="71"/>
        <v>1039.9826094512434</v>
      </c>
      <c r="AR185" s="373">
        <v>81.63</v>
      </c>
      <c r="AS185" s="231">
        <f t="shared" si="72"/>
        <v>66897.629837999993</v>
      </c>
    </row>
    <row r="186" spans="2:45" ht="72.5" x14ac:dyDescent="0.35">
      <c r="B186" s="56" t="s">
        <v>93</v>
      </c>
      <c r="C186" s="361" t="s">
        <v>202</v>
      </c>
      <c r="D186" s="56">
        <v>8</v>
      </c>
      <c r="E186" s="3">
        <v>1071.7356</v>
      </c>
      <c r="F186" s="3">
        <v>3078.9341034767535</v>
      </c>
      <c r="G186" s="3">
        <v>440109.54893520032</v>
      </c>
      <c r="H186" s="3">
        <v>106.13867593310573</v>
      </c>
      <c r="I186" s="3">
        <v>5.6660251635134005</v>
      </c>
      <c r="J186" s="3">
        <f t="shared" si="63"/>
        <v>122.57681362594663</v>
      </c>
      <c r="K186" s="3">
        <v>2507.7786934242417</v>
      </c>
      <c r="L186" s="3">
        <v>440492.94107892679</v>
      </c>
      <c r="M186" s="3">
        <v>105.75624007417454</v>
      </c>
      <c r="N186" s="3">
        <v>4.5832715275732596</v>
      </c>
      <c r="O186" s="3">
        <f t="shared" si="64"/>
        <v>119.5536407780053</v>
      </c>
      <c r="P186" s="3">
        <f t="shared" si="65"/>
        <v>34.987887539508563</v>
      </c>
      <c r="Q186" s="3">
        <f t="shared" si="66"/>
        <v>5001.2448742636398</v>
      </c>
      <c r="R186" s="3">
        <f t="shared" si="57"/>
        <v>136412.32100038929</v>
      </c>
      <c r="S186" s="3">
        <f t="shared" si="57"/>
        <v>7282.1300681064276</v>
      </c>
      <c r="T186" s="3">
        <f t="shared" si="58"/>
        <v>1.3929183366584843</v>
      </c>
      <c r="U186" s="3">
        <f t="shared" si="58"/>
        <v>28.497485152548201</v>
      </c>
      <c r="V186" s="3">
        <f t="shared" si="58"/>
        <v>5005.6016031696226</v>
      </c>
      <c r="W186" s="3">
        <f t="shared" si="59"/>
        <v>135920.80400442204</v>
      </c>
      <c r="X186" s="3">
        <f t="shared" si="59"/>
        <v>5890.5455655515416</v>
      </c>
      <c r="Y186" s="3">
        <f t="shared" si="60"/>
        <v>1.3585640997500603</v>
      </c>
      <c r="Z186" s="3">
        <f t="shared" si="73"/>
        <v>6.490402386960362</v>
      </c>
      <c r="AA186" s="3">
        <f t="shared" si="73"/>
        <v>-4.3567289059828909</v>
      </c>
      <c r="AB186" s="3">
        <f t="shared" si="68"/>
        <v>1883.1014985221391</v>
      </c>
      <c r="AC186" s="3">
        <f t="shared" si="69"/>
        <v>3.4354236908423985E-2</v>
      </c>
      <c r="AD186" s="3">
        <f t="shared" si="74"/>
        <v>6955.9952964303957</v>
      </c>
      <c r="AE186" s="3">
        <f t="shared" si="74"/>
        <v>-4669.2614680909173</v>
      </c>
      <c r="AF186" s="3">
        <f t="shared" si="74"/>
        <v>2018186.9143795238</v>
      </c>
      <c r="AG186" s="3">
        <f t="shared" si="74"/>
        <v>36.818658705591922</v>
      </c>
      <c r="AH186" s="233">
        <f t="shared" si="71"/>
        <v>37497.764644887735</v>
      </c>
      <c r="AI186" s="233">
        <f t="shared" si="71"/>
        <v>5360012.1760658668</v>
      </c>
      <c r="AJ186" s="233">
        <f t="shared" si="71"/>
        <v>146197940.69474483</v>
      </c>
      <c r="AK186" s="233">
        <f t="shared" si="71"/>
        <v>7804518.0378200831</v>
      </c>
      <c r="AL186" s="233">
        <f t="shared" si="71"/>
        <v>1492.8401692896825</v>
      </c>
      <c r="AM186" s="233">
        <f t="shared" si="71"/>
        <v>30541.769348457336</v>
      </c>
      <c r="AN186" s="233">
        <f t="shared" si="71"/>
        <v>5364681.437533957</v>
      </c>
      <c r="AO186" s="233">
        <f t="shared" si="71"/>
        <v>145671164.43216166</v>
      </c>
      <c r="AP186" s="233">
        <f t="shared" si="71"/>
        <v>6313107.3860237207</v>
      </c>
      <c r="AQ186" s="233">
        <f t="shared" si="71"/>
        <v>1456.0215105840907</v>
      </c>
      <c r="AR186" s="373">
        <v>79.75</v>
      </c>
      <c r="AS186" s="231">
        <f t="shared" si="72"/>
        <v>85470.914099999995</v>
      </c>
    </row>
    <row r="187" spans="2:45" ht="72.5" x14ac:dyDescent="0.35">
      <c r="B187" s="56" t="s">
        <v>93</v>
      </c>
      <c r="C187" s="361" t="s">
        <v>202</v>
      </c>
      <c r="D187" s="56">
        <v>9</v>
      </c>
      <c r="E187" s="3">
        <v>2516.2487999999998</v>
      </c>
      <c r="F187" s="3">
        <v>3847.0635697617213</v>
      </c>
      <c r="G187" s="3">
        <v>453325.70367244107</v>
      </c>
      <c r="H187" s="3">
        <v>111.88938610308378</v>
      </c>
      <c r="I187" s="3">
        <v>7.1068715074765008</v>
      </c>
      <c r="J187" s="3">
        <f t="shared" si="63"/>
        <v>129.94310008271589</v>
      </c>
      <c r="K187" s="3">
        <v>3079.4338013501838</v>
      </c>
      <c r="L187" s="3">
        <v>451052.38352995535</v>
      </c>
      <c r="M187" s="3">
        <v>110.4844073404677</v>
      </c>
      <c r="N187" s="3">
        <v>5.6578362497929335</v>
      </c>
      <c r="O187" s="3">
        <f t="shared" si="64"/>
        <v>125.20971594771108</v>
      </c>
      <c r="P187" s="3">
        <f t="shared" si="65"/>
        <v>43.716631474565013</v>
      </c>
      <c r="Q187" s="3">
        <f t="shared" si="66"/>
        <v>5151.428450823194</v>
      </c>
      <c r="R187" s="3">
        <f t="shared" si="57"/>
        <v>143803.29054839519</v>
      </c>
      <c r="S187" s="3">
        <f t="shared" si="57"/>
        <v>9133.9450851771835</v>
      </c>
      <c r="T187" s="3">
        <f t="shared" si="58"/>
        <v>1.4766261373035896</v>
      </c>
      <c r="U187" s="3">
        <f t="shared" si="58"/>
        <v>34.993565924433909</v>
      </c>
      <c r="V187" s="3">
        <f t="shared" si="58"/>
        <v>5125.5952673858565</v>
      </c>
      <c r="W187" s="3">
        <f t="shared" si="59"/>
        <v>141997.57352507836</v>
      </c>
      <c r="X187" s="3">
        <f t="shared" si="59"/>
        <v>7271.605452858872</v>
      </c>
      <c r="Y187" s="3">
        <f t="shared" si="60"/>
        <v>1.4228376812239896</v>
      </c>
      <c r="Z187" s="3">
        <f t="shared" si="73"/>
        <v>8.7230655501311034</v>
      </c>
      <c r="AA187" s="3">
        <f t="shared" si="73"/>
        <v>25.833183437337539</v>
      </c>
      <c r="AB187" s="3">
        <f t="shared" si="68"/>
        <v>3668.056655635155</v>
      </c>
      <c r="AC187" s="3">
        <f t="shared" si="69"/>
        <v>5.3788456079600033E-2</v>
      </c>
      <c r="AD187" s="3">
        <f t="shared" si="74"/>
        <v>21949.403222838726</v>
      </c>
      <c r="AE187" s="3">
        <f t="shared" si="74"/>
        <v>65002.716824380455</v>
      </c>
      <c r="AF187" s="3">
        <f t="shared" si="74"/>
        <v>9229743.158073971</v>
      </c>
      <c r="AG187" s="3">
        <f t="shared" si="74"/>
        <v>135.34513806414628</v>
      </c>
      <c r="AH187" s="233">
        <f t="shared" ref="AH187:AQ212" si="75">P187*$E187</f>
        <v>110001.92148791644</v>
      </c>
      <c r="AI187" s="233">
        <f t="shared" si="75"/>
        <v>12962275.657669719</v>
      </c>
      <c r="AJ187" s="233">
        <f t="shared" si="75"/>
        <v>361844857.27845073</v>
      </c>
      <c r="AK187" s="233">
        <f t="shared" si="75"/>
        <v>22983278.359842986</v>
      </c>
      <c r="AL187" s="233">
        <f t="shared" si="75"/>
        <v>3715.5587460387924</v>
      </c>
      <c r="AM187" s="233">
        <f t="shared" si="75"/>
        <v>88052.518265077713</v>
      </c>
      <c r="AN187" s="233">
        <f t="shared" si="75"/>
        <v>12897272.94084534</v>
      </c>
      <c r="AO187" s="233">
        <f t="shared" si="75"/>
        <v>357301223.98539019</v>
      </c>
      <c r="AP187" s="233">
        <f t="shared" si="75"/>
        <v>18297168.494829591</v>
      </c>
      <c r="AQ187" s="233">
        <f t="shared" si="75"/>
        <v>3580.213607974646</v>
      </c>
      <c r="AR187" s="373">
        <v>77.180000000000007</v>
      </c>
      <c r="AS187" s="231">
        <f t="shared" si="72"/>
        <v>194204.08238400001</v>
      </c>
    </row>
    <row r="188" spans="2:45" ht="72.5" x14ac:dyDescent="0.35">
      <c r="B188" s="56" t="s">
        <v>93</v>
      </c>
      <c r="C188" s="361" t="s">
        <v>202</v>
      </c>
      <c r="D188" s="56">
        <v>10</v>
      </c>
      <c r="E188" s="3">
        <v>888.96600000000001</v>
      </c>
      <c r="F188" s="3">
        <v>4523.7425210328756</v>
      </c>
      <c r="G188" s="3">
        <v>460645.71983067674</v>
      </c>
      <c r="H188" s="3">
        <v>113.66068152723804</v>
      </c>
      <c r="I188" s="3">
        <v>8.3580461986325343</v>
      </c>
      <c r="J188" s="3">
        <f t="shared" si="63"/>
        <v>135.39340398467255</v>
      </c>
      <c r="K188" s="3">
        <v>3600.9835516498779</v>
      </c>
      <c r="L188" s="3">
        <v>457585.00122783548</v>
      </c>
      <c r="M188" s="3">
        <v>112.16659724223587</v>
      </c>
      <c r="N188" s="3">
        <v>6.622350292160748</v>
      </c>
      <c r="O188" s="3">
        <f t="shared" si="64"/>
        <v>129.62462349139713</v>
      </c>
      <c r="P188" s="3">
        <f t="shared" si="65"/>
        <v>51.406165011737222</v>
      </c>
      <c r="Q188" s="3">
        <f t="shared" si="66"/>
        <v>5234.6104526213267</v>
      </c>
      <c r="R188" s="3">
        <f t="shared" si="57"/>
        <v>146079.80773557525</v>
      </c>
      <c r="S188" s="3">
        <f t="shared" si="57"/>
        <v>10741.98892119704</v>
      </c>
      <c r="T188" s="3">
        <f t="shared" si="58"/>
        <v>1.5385614089167334</v>
      </c>
      <c r="U188" s="3">
        <f t="shared" si="58"/>
        <v>40.920267632384977</v>
      </c>
      <c r="V188" s="3">
        <f t="shared" si="58"/>
        <v>5199.8295594072215</v>
      </c>
      <c r="W188" s="3">
        <f t="shared" si="59"/>
        <v>144159.56986473725</v>
      </c>
      <c r="X188" s="3">
        <f t="shared" si="59"/>
        <v>8511.2252050384159</v>
      </c>
      <c r="Y188" s="3">
        <f t="shared" si="60"/>
        <v>1.4730070851295129</v>
      </c>
      <c r="Z188" s="3">
        <f t="shared" si="73"/>
        <v>10.485897379352245</v>
      </c>
      <c r="AA188" s="3">
        <f t="shared" si="73"/>
        <v>34.780893214105163</v>
      </c>
      <c r="AB188" s="3">
        <f t="shared" si="68"/>
        <v>4151.0015869966264</v>
      </c>
      <c r="AC188" s="3">
        <f t="shared" si="69"/>
        <v>6.5554323787220481E-2</v>
      </c>
      <c r="AD188" s="3">
        <f t="shared" si="74"/>
        <v>9321.6062497332478</v>
      </c>
      <c r="AE188" s="3">
        <f t="shared" si="74"/>
        <v>30919.031516970212</v>
      </c>
      <c r="AF188" s="3">
        <f t="shared" si="74"/>
        <v>3690099.2767860428</v>
      </c>
      <c r="AG188" s="3">
        <f t="shared" si="74"/>
        <v>58.275564999830245</v>
      </c>
      <c r="AH188" s="233">
        <f t="shared" si="75"/>
        <v>45698.332885823991</v>
      </c>
      <c r="AI188" s="233">
        <f t="shared" si="75"/>
        <v>4653390.7156249704</v>
      </c>
      <c r="AJ188" s="233">
        <f t="shared" si="75"/>
        <v>129859982.36346339</v>
      </c>
      <c r="AK188" s="233">
        <f t="shared" si="75"/>
        <v>9549262.9233208485</v>
      </c>
      <c r="AL188" s="233">
        <f t="shared" si="75"/>
        <v>1367.7287814390729</v>
      </c>
      <c r="AM188" s="233">
        <f t="shared" si="75"/>
        <v>36376.726636090745</v>
      </c>
      <c r="AN188" s="233">
        <f t="shared" si="75"/>
        <v>4622471.6841080002</v>
      </c>
      <c r="AO188" s="233">
        <f t="shared" si="75"/>
        <v>128152956.18437602</v>
      </c>
      <c r="AP188" s="233">
        <f t="shared" si="75"/>
        <v>7566189.8256221805</v>
      </c>
      <c r="AQ188" s="233">
        <f t="shared" si="75"/>
        <v>1309.4532164392426</v>
      </c>
      <c r="AR188" s="373">
        <v>79</v>
      </c>
      <c r="AS188" s="231">
        <f t="shared" si="72"/>
        <v>70228.313999999998</v>
      </c>
    </row>
    <row r="189" spans="2:45" ht="72.5" x14ac:dyDescent="0.35">
      <c r="B189" s="56" t="s">
        <v>93</v>
      </c>
      <c r="C189" s="361" t="s">
        <v>202</v>
      </c>
      <c r="D189" s="56">
        <v>11</v>
      </c>
      <c r="E189" s="3">
        <v>253.79639999999995</v>
      </c>
      <c r="F189" s="3">
        <v>8378.3592860586523</v>
      </c>
      <c r="G189" s="3">
        <v>476535.47712240997</v>
      </c>
      <c r="H189" s="3">
        <v>119.74286666408656</v>
      </c>
      <c r="I189" s="3">
        <v>15.705531561491854</v>
      </c>
      <c r="J189" s="3">
        <f t="shared" si="63"/>
        <v>160.23731584134043</v>
      </c>
      <c r="K189" s="3">
        <v>6573.8792177665682</v>
      </c>
      <c r="L189" s="3">
        <v>469239.2191814633</v>
      </c>
      <c r="M189" s="3">
        <v>117.02849289322948</v>
      </c>
      <c r="N189" s="3">
        <v>12.294481572606204</v>
      </c>
      <c r="O189" s="3">
        <f t="shared" si="64"/>
        <v>148.64121747980977</v>
      </c>
      <c r="P189" s="3">
        <f t="shared" si="65"/>
        <v>95.208628250666507</v>
      </c>
      <c r="Q189" s="3">
        <f t="shared" si="66"/>
        <v>5415.175876391022</v>
      </c>
      <c r="R189" s="3">
        <f t="shared" si="57"/>
        <v>153896.79795122944</v>
      </c>
      <c r="S189" s="3">
        <f t="shared" si="57"/>
        <v>20185.177495508284</v>
      </c>
      <c r="T189" s="3">
        <f t="shared" si="58"/>
        <v>1.8208785891061412</v>
      </c>
      <c r="U189" s="3">
        <f t="shared" si="58"/>
        <v>74.703172929165547</v>
      </c>
      <c r="V189" s="3">
        <f t="shared" si="58"/>
        <v>5332.2638543348103</v>
      </c>
      <c r="W189" s="3">
        <f t="shared" si="59"/>
        <v>150408.21075254836</v>
      </c>
      <c r="X189" s="3">
        <f t="shared" si="59"/>
        <v>15801.203021156382</v>
      </c>
      <c r="Y189" s="3">
        <f t="shared" si="60"/>
        <v>1.6891047440887474</v>
      </c>
      <c r="Z189" s="3">
        <f t="shared" si="73"/>
        <v>20.505455321500961</v>
      </c>
      <c r="AA189" s="3">
        <f t="shared" si="73"/>
        <v>82.912022056211754</v>
      </c>
      <c r="AB189" s="3">
        <f t="shared" si="68"/>
        <v>7872.5616730329803</v>
      </c>
      <c r="AC189" s="3">
        <f t="shared" si="69"/>
        <v>0.13177384501739375</v>
      </c>
      <c r="AD189" s="3">
        <f t="shared" si="74"/>
        <v>5204.2107409577857</v>
      </c>
      <c r="AE189" s="3">
        <f t="shared" si="74"/>
        <v>21042.772714587136</v>
      </c>
      <c r="AF189" s="3">
        <f t="shared" si="74"/>
        <v>1998027.8113937471</v>
      </c>
      <c r="AG189" s="3">
        <f t="shared" si="74"/>
        <v>33.443727479572466</v>
      </c>
      <c r="AH189" s="233">
        <f t="shared" si="75"/>
        <v>24163.607098957451</v>
      </c>
      <c r="AI189" s="233">
        <f t="shared" si="75"/>
        <v>1374352.1427948861</v>
      </c>
      <c r="AJ189" s="233">
        <f t="shared" si="75"/>
        <v>39058453.291549399</v>
      </c>
      <c r="AK189" s="233">
        <f t="shared" si="75"/>
        <v>5122925.3817210179</v>
      </c>
      <c r="AL189" s="233">
        <f t="shared" si="75"/>
        <v>462.13243075221777</v>
      </c>
      <c r="AM189" s="233">
        <f t="shared" si="75"/>
        <v>18959.396357999667</v>
      </c>
      <c r="AN189" s="233">
        <f t="shared" si="75"/>
        <v>1353309.370080299</v>
      </c>
      <c r="AO189" s="233">
        <f t="shared" si="75"/>
        <v>38173062.419438057</v>
      </c>
      <c r="AP189" s="233">
        <f t="shared" si="75"/>
        <v>4010288.4424386127</v>
      </c>
      <c r="AQ189" s="233">
        <f t="shared" si="75"/>
        <v>428.68870327264528</v>
      </c>
      <c r="AR189" s="373">
        <v>78.25</v>
      </c>
      <c r="AS189" s="231">
        <f t="shared" si="72"/>
        <v>19859.568299999995</v>
      </c>
    </row>
    <row r="190" spans="2:45" ht="72.5" x14ac:dyDescent="0.35">
      <c r="B190" s="56" t="s">
        <v>93</v>
      </c>
      <c r="C190" s="361" t="s">
        <v>202</v>
      </c>
      <c r="D190" s="56">
        <v>12</v>
      </c>
      <c r="E190" s="3">
        <v>1432.9770000000003</v>
      </c>
      <c r="F190" s="3">
        <v>8366.5942009442333</v>
      </c>
      <c r="G190" s="3">
        <v>451278.15035715984</v>
      </c>
      <c r="H190" s="3">
        <v>113.23097159259174</v>
      </c>
      <c r="I190" s="3">
        <v>15.687354171173022</v>
      </c>
      <c r="J190" s="3">
        <f t="shared" si="63"/>
        <v>154.10239219232139</v>
      </c>
      <c r="K190" s="3">
        <v>6529.8760316957068</v>
      </c>
      <c r="L190" s="3">
        <v>446429.36268383462</v>
      </c>
      <c r="M190" s="3">
        <v>111.20096725086688</v>
      </c>
      <c r="N190" s="3">
        <v>12.210802108689329</v>
      </c>
      <c r="O190" s="3">
        <f t="shared" si="64"/>
        <v>142.91871791997715</v>
      </c>
      <c r="P190" s="3">
        <f t="shared" si="65"/>
        <v>95.074934101639016</v>
      </c>
      <c r="Q190" s="3">
        <f t="shared" si="66"/>
        <v>5128.1607995131799</v>
      </c>
      <c r="R190" s="3">
        <f t="shared" si="57"/>
        <v>145527.53280820599</v>
      </c>
      <c r="S190" s="3">
        <f t="shared" si="57"/>
        <v>20161.815417723508</v>
      </c>
      <c r="T190" s="3">
        <f t="shared" si="58"/>
        <v>1.7511635476400158</v>
      </c>
      <c r="U190" s="3">
        <f t="shared" si="58"/>
        <v>74.20313672381485</v>
      </c>
      <c r="V190" s="3">
        <f t="shared" si="58"/>
        <v>5073.0609395890297</v>
      </c>
      <c r="W190" s="3">
        <f t="shared" si="59"/>
        <v>142918.5158644664</v>
      </c>
      <c r="X190" s="3">
        <f t="shared" si="59"/>
        <v>15693.655891963215</v>
      </c>
      <c r="Y190" s="3">
        <f t="shared" si="60"/>
        <v>1.6240763399997404</v>
      </c>
      <c r="Z190" s="3">
        <f t="shared" si="73"/>
        <v>20.871797377824166</v>
      </c>
      <c r="AA190" s="3">
        <f t="shared" si="73"/>
        <v>55.099859924150223</v>
      </c>
      <c r="AB190" s="3">
        <f t="shared" si="68"/>
        <v>7077.1764694998637</v>
      </c>
      <c r="AC190" s="3">
        <f t="shared" si="69"/>
        <v>0.12708720764027537</v>
      </c>
      <c r="AD190" s="3">
        <f t="shared" si="74"/>
        <v>29908.805591082346</v>
      </c>
      <c r="AE190" s="3">
        <f t="shared" si="74"/>
        <v>78956.831974529036</v>
      </c>
      <c r="AF190" s="3">
        <f t="shared" si="74"/>
        <v>10141431.105734508</v>
      </c>
      <c r="AG190" s="3">
        <f t="shared" si="74"/>
        <v>182.11304554273892</v>
      </c>
      <c r="AH190" s="233">
        <f t="shared" si="75"/>
        <v>136240.1938441644</v>
      </c>
      <c r="AI190" s="233">
        <f t="shared" si="75"/>
        <v>7348536.4780039992</v>
      </c>
      <c r="AJ190" s="233">
        <f t="shared" si="75"/>
        <v>208537607.38090464</v>
      </c>
      <c r="AK190" s="233">
        <f t="shared" si="75"/>
        <v>28891417.771843188</v>
      </c>
      <c r="AL190" s="233">
        <f t="shared" si="75"/>
        <v>2509.3770870065473</v>
      </c>
      <c r="AM190" s="233">
        <f t="shared" si="75"/>
        <v>106331.38825308206</v>
      </c>
      <c r="AN190" s="233">
        <f t="shared" si="75"/>
        <v>7269579.6460294705</v>
      </c>
      <c r="AO190" s="233">
        <f t="shared" si="75"/>
        <v>204798946.10791552</v>
      </c>
      <c r="AP190" s="233">
        <f t="shared" si="75"/>
        <v>22488647.939097777</v>
      </c>
      <c r="AQ190" s="233">
        <f t="shared" si="75"/>
        <v>2327.2640414638086</v>
      </c>
      <c r="AR190" s="373">
        <v>79.66</v>
      </c>
      <c r="AS190" s="231">
        <f t="shared" si="72"/>
        <v>114150.94782000002</v>
      </c>
    </row>
    <row r="191" spans="2:45" ht="72.5" x14ac:dyDescent="0.35">
      <c r="B191" s="56" t="s">
        <v>93</v>
      </c>
      <c r="C191" s="361" t="s">
        <v>202</v>
      </c>
      <c r="D191" s="56">
        <v>13</v>
      </c>
      <c r="E191" s="3">
        <v>418.24380000000002</v>
      </c>
      <c r="F191" s="3">
        <v>7510.9357833840395</v>
      </c>
      <c r="G191" s="3">
        <v>478155.14415417518</v>
      </c>
      <c r="H191" s="3">
        <v>119.46476361669235</v>
      </c>
      <c r="I191" s="3">
        <v>14.165906193609034</v>
      </c>
      <c r="J191" s="3">
        <f t="shared" si="63"/>
        <v>155.89531753122353</v>
      </c>
      <c r="K191" s="3">
        <v>5873.2632315316987</v>
      </c>
      <c r="L191" s="3">
        <v>470904.69845224131</v>
      </c>
      <c r="M191" s="3">
        <v>116.81938812522665</v>
      </c>
      <c r="N191" s="3">
        <v>11.042278777505663</v>
      </c>
      <c r="O191" s="3">
        <f t="shared" si="64"/>
        <v>145.22006925359392</v>
      </c>
      <c r="P191" s="3">
        <f t="shared" si="65"/>
        <v>85.35154299300045</v>
      </c>
      <c r="Q191" s="3">
        <f t="shared" si="66"/>
        <v>5433.5811835701725</v>
      </c>
      <c r="R191" s="3">
        <f t="shared" si="57"/>
        <v>153539.37233008983</v>
      </c>
      <c r="S191" s="3">
        <f t="shared" si="57"/>
        <v>18206.408982922519</v>
      </c>
      <c r="T191" s="3">
        <f t="shared" si="58"/>
        <v>1.7715376992184491</v>
      </c>
      <c r="U191" s="3">
        <f t="shared" si="58"/>
        <v>66.741627631042036</v>
      </c>
      <c r="V191" s="3">
        <f t="shared" si="58"/>
        <v>5351.1897551391057</v>
      </c>
      <c r="W191" s="3">
        <f t="shared" si="59"/>
        <v>150139.46360185381</v>
      </c>
      <c r="X191" s="3">
        <f t="shared" si="59"/>
        <v>14191.837837907846</v>
      </c>
      <c r="Y191" s="3">
        <f t="shared" si="60"/>
        <v>1.6502280596999308</v>
      </c>
      <c r="Z191" s="3">
        <f t="shared" si="73"/>
        <v>18.609915361958414</v>
      </c>
      <c r="AA191" s="3">
        <f t="shared" si="73"/>
        <v>82.391428431066743</v>
      </c>
      <c r="AB191" s="3">
        <f t="shared" si="68"/>
        <v>7414.4798732506933</v>
      </c>
      <c r="AC191" s="3">
        <f t="shared" si="69"/>
        <v>0.12130963951851825</v>
      </c>
      <c r="AD191" s="3">
        <f t="shared" si="74"/>
        <v>7783.4817186638629</v>
      </c>
      <c r="AE191" s="3">
        <f t="shared" si="74"/>
        <v>34459.704114437394</v>
      </c>
      <c r="AF191" s="3">
        <f t="shared" si="74"/>
        <v>3101060.2372118887</v>
      </c>
      <c r="AG191" s="3">
        <f t="shared" si="74"/>
        <v>50.737004608855244</v>
      </c>
      <c r="AH191" s="233">
        <f t="shared" si="75"/>
        <v>35697.753677255881</v>
      </c>
      <c r="AI191" s="233">
        <f t="shared" si="75"/>
        <v>2272561.6418248867</v>
      </c>
      <c r="AJ191" s="233">
        <f t="shared" si="75"/>
        <v>64216890.532951631</v>
      </c>
      <c r="AK191" s="233">
        <f t="shared" si="75"/>
        <v>7614717.67737165</v>
      </c>
      <c r="AL191" s="233">
        <f t="shared" si="75"/>
        <v>740.93465916438117</v>
      </c>
      <c r="AM191" s="233">
        <f t="shared" si="75"/>
        <v>27914.27195859202</v>
      </c>
      <c r="AN191" s="233">
        <f t="shared" si="75"/>
        <v>2238101.9377104491</v>
      </c>
      <c r="AO191" s="233">
        <f t="shared" si="75"/>
        <v>62794899.786801033</v>
      </c>
      <c r="AP191" s="233">
        <f t="shared" si="75"/>
        <v>5935648.1863103621</v>
      </c>
      <c r="AQ191" s="233">
        <f t="shared" si="75"/>
        <v>690.1976545555259</v>
      </c>
      <c r="AR191" s="373">
        <v>78.39</v>
      </c>
      <c r="AS191" s="231">
        <f t="shared" si="72"/>
        <v>32786.131482000004</v>
      </c>
    </row>
    <row r="192" spans="2:45" ht="72.5" x14ac:dyDescent="0.35">
      <c r="B192" s="56" t="s">
        <v>93</v>
      </c>
      <c r="C192" s="361" t="s">
        <v>202</v>
      </c>
      <c r="D192" s="56">
        <v>14</v>
      </c>
      <c r="E192" s="3">
        <v>190.00800000000001</v>
      </c>
      <c r="F192" s="3">
        <v>8415.9299538269115</v>
      </c>
      <c r="G192" s="3">
        <v>478347.4498927372</v>
      </c>
      <c r="H192" s="3">
        <v>118.2033950653957</v>
      </c>
      <c r="I192" s="3">
        <v>15.79557063449526</v>
      </c>
      <c r="J192" s="3">
        <f t="shared" si="63"/>
        <v>160.87776083436881</v>
      </c>
      <c r="K192" s="3">
        <v>6615.3262246967115</v>
      </c>
      <c r="L192" s="3">
        <v>471871.79050375638</v>
      </c>
      <c r="M192" s="3">
        <v>115.90525310572347</v>
      </c>
      <c r="N192" s="3">
        <v>12.387850555202725</v>
      </c>
      <c r="O192" s="3">
        <f t="shared" si="64"/>
        <v>149.50004151417716</v>
      </c>
      <c r="P192" s="3">
        <f t="shared" si="65"/>
        <v>95.635567657124</v>
      </c>
      <c r="Q192" s="3">
        <f t="shared" si="66"/>
        <v>5435.7664760538319</v>
      </c>
      <c r="R192" s="3">
        <f t="shared" si="57"/>
        <v>151918.22706700288</v>
      </c>
      <c r="S192" s="3">
        <f t="shared" si="57"/>
        <v>20300.89816774334</v>
      </c>
      <c r="T192" s="3">
        <f t="shared" si="58"/>
        <v>1.8281563731178274</v>
      </c>
      <c r="U192" s="3">
        <f t="shared" si="58"/>
        <v>75.174161644280815</v>
      </c>
      <c r="V192" s="3">
        <f t="shared" si="58"/>
        <v>5362.1794375426862</v>
      </c>
      <c r="W192" s="3">
        <f t="shared" si="59"/>
        <v>148964.59234383324</v>
      </c>
      <c r="X192" s="3">
        <f t="shared" si="59"/>
        <v>15921.203384016229</v>
      </c>
      <c r="Y192" s="3">
        <f t="shared" si="60"/>
        <v>1.6988641081156495</v>
      </c>
      <c r="Z192" s="3">
        <f t="shared" si="73"/>
        <v>20.461406012843184</v>
      </c>
      <c r="AA192" s="3">
        <f t="shared" si="73"/>
        <v>73.587038511145693</v>
      </c>
      <c r="AB192" s="3">
        <f t="shared" si="68"/>
        <v>7333.32950689676</v>
      </c>
      <c r="AC192" s="3">
        <f t="shared" si="69"/>
        <v>0.12929226500217794</v>
      </c>
      <c r="AD192" s="3">
        <f t="shared" si="74"/>
        <v>3887.8308336883078</v>
      </c>
      <c r="AE192" s="3">
        <f t="shared" si="74"/>
        <v>13982.126013425772</v>
      </c>
      <c r="AF192" s="3">
        <f t="shared" si="74"/>
        <v>1393391.2729464397</v>
      </c>
      <c r="AG192" s="3">
        <f t="shared" si="74"/>
        <v>24.566564688533827</v>
      </c>
      <c r="AH192" s="233">
        <f t="shared" si="75"/>
        <v>18171.522939394818</v>
      </c>
      <c r="AI192" s="233">
        <f t="shared" si="75"/>
        <v>1032839.1165820365</v>
      </c>
      <c r="AJ192" s="233">
        <f t="shared" si="75"/>
        <v>28865678.488547087</v>
      </c>
      <c r="AK192" s="233">
        <f t="shared" si="75"/>
        <v>3857333.0590565768</v>
      </c>
      <c r="AL192" s="233">
        <f t="shared" si="75"/>
        <v>347.36433614337216</v>
      </c>
      <c r="AM192" s="233">
        <f t="shared" si="75"/>
        <v>14283.69210570651</v>
      </c>
      <c r="AN192" s="233">
        <f t="shared" si="75"/>
        <v>1018856.9905686107</v>
      </c>
      <c r="AO192" s="233">
        <f t="shared" si="75"/>
        <v>28304464.262067068</v>
      </c>
      <c r="AP192" s="233">
        <f t="shared" si="75"/>
        <v>3025156.0125901559</v>
      </c>
      <c r="AQ192" s="233">
        <f t="shared" si="75"/>
        <v>322.79777145483837</v>
      </c>
      <c r="AR192" s="373">
        <v>78.260000000000005</v>
      </c>
      <c r="AS192" s="231">
        <f t="shared" si="72"/>
        <v>14870.026080000001</v>
      </c>
    </row>
    <row r="193" spans="2:45" ht="72.5" x14ac:dyDescent="0.35">
      <c r="B193" s="56" t="s">
        <v>93</v>
      </c>
      <c r="C193" s="361" t="s">
        <v>202</v>
      </c>
      <c r="D193" s="56">
        <v>15</v>
      </c>
      <c r="E193" s="3">
        <v>123.73139999999999</v>
      </c>
      <c r="F193" s="3">
        <v>2487.4586801717396</v>
      </c>
      <c r="G193" s="3">
        <v>577533.54780942108</v>
      </c>
      <c r="H193" s="3">
        <v>142.13817690538448</v>
      </c>
      <c r="I193" s="3">
        <v>4.5946832020859203</v>
      </c>
      <c r="J193" s="3">
        <f t="shared" si="63"/>
        <v>152.38134898693932</v>
      </c>
      <c r="K193" s="3">
        <v>2083.7089387255196</v>
      </c>
      <c r="L193" s="3">
        <v>562033.67762158415</v>
      </c>
      <c r="M193" s="3">
        <v>137.40850815303119</v>
      </c>
      <c r="N193" s="3">
        <v>3.8181049183305351</v>
      </c>
      <c r="O193" s="3">
        <f t="shared" si="64"/>
        <v>146.45363897723254</v>
      </c>
      <c r="P193" s="3">
        <f t="shared" si="65"/>
        <v>28.266575911042494</v>
      </c>
      <c r="Q193" s="3">
        <f t="shared" si="66"/>
        <v>6562.8812251070576</v>
      </c>
      <c r="R193" s="3">
        <f t="shared" si="57"/>
        <v>182679.86145453394</v>
      </c>
      <c r="S193" s="3">
        <f t="shared" si="57"/>
        <v>5905.2121608626994</v>
      </c>
      <c r="T193" s="3">
        <f t="shared" si="58"/>
        <v>1.7316062384879467</v>
      </c>
      <c r="U193" s="3">
        <f t="shared" si="58"/>
        <v>23.678510667335448</v>
      </c>
      <c r="V193" s="3">
        <f t="shared" si="58"/>
        <v>6386.7463366089105</v>
      </c>
      <c r="W193" s="3">
        <f t="shared" si="59"/>
        <v>176601.16218304349</v>
      </c>
      <c r="X193" s="3">
        <f t="shared" si="59"/>
        <v>4907.1325711725394</v>
      </c>
      <c r="Y193" s="3">
        <f t="shared" si="60"/>
        <v>1.6642458974685517</v>
      </c>
      <c r="Z193" s="3">
        <f t="shared" si="73"/>
        <v>4.5880652437070459</v>
      </c>
      <c r="AA193" s="3">
        <f t="shared" si="73"/>
        <v>176.13488849814712</v>
      </c>
      <c r="AB193" s="3">
        <f t="shared" si="68"/>
        <v>7076.7788611806</v>
      </c>
      <c r="AC193" s="3">
        <f t="shared" si="69"/>
        <v>6.7360341019395031E-2</v>
      </c>
      <c r="AD193" s="3">
        <f t="shared" si="74"/>
        <v>567.6877358952139</v>
      </c>
      <c r="AE193" s="3">
        <f t="shared" si="74"/>
        <v>21793.41634271964</v>
      </c>
      <c r="AF193" s="3">
        <f t="shared" si="74"/>
        <v>875619.75598428119</v>
      </c>
      <c r="AG193" s="3">
        <f t="shared" si="74"/>
        <v>8.3345892988071739</v>
      </c>
      <c r="AH193" s="233">
        <f t="shared" si="75"/>
        <v>3497.463010679563</v>
      </c>
      <c r="AI193" s="233">
        <f t="shared" si="75"/>
        <v>812034.48201621138</v>
      </c>
      <c r="AJ193" s="233">
        <f t="shared" si="75"/>
        <v>22603235.00957552</v>
      </c>
      <c r="AK193" s="233">
        <f t="shared" si="75"/>
        <v>730660.16796056693</v>
      </c>
      <c r="AL193" s="233">
        <f t="shared" si="75"/>
        <v>214.25406413684752</v>
      </c>
      <c r="AM193" s="233">
        <f t="shared" si="75"/>
        <v>2929.7752747843492</v>
      </c>
      <c r="AN193" s="233">
        <f t="shared" si="75"/>
        <v>790241.06567349168</v>
      </c>
      <c r="AO193" s="233">
        <f t="shared" si="75"/>
        <v>21851109.038535025</v>
      </c>
      <c r="AP193" s="233">
        <f t="shared" si="75"/>
        <v>607166.38301677792</v>
      </c>
      <c r="AQ193" s="233">
        <f t="shared" si="75"/>
        <v>205.91947483804034</v>
      </c>
      <c r="AR193" s="373">
        <v>86.51</v>
      </c>
      <c r="AS193" s="231">
        <f t="shared" si="72"/>
        <v>10704.003414000001</v>
      </c>
    </row>
    <row r="194" spans="2:45" ht="72.5" x14ac:dyDescent="0.35">
      <c r="B194" s="56" t="s">
        <v>93</v>
      </c>
      <c r="C194" s="361" t="s">
        <v>202</v>
      </c>
      <c r="D194" s="56">
        <v>16</v>
      </c>
      <c r="E194" s="3">
        <v>76.68180000000001</v>
      </c>
      <c r="F194" s="3">
        <v>15922.99032124557</v>
      </c>
      <c r="G194" s="3">
        <v>421108.51103748882</v>
      </c>
      <c r="H194" s="3">
        <v>101.47084527801468</v>
      </c>
      <c r="I194" s="3">
        <v>29.340262001608963</v>
      </c>
      <c r="J194" s="3">
        <f t="shared" si="63"/>
        <v>188.06672055059636</v>
      </c>
      <c r="K194" s="3">
        <v>12705.384011387474</v>
      </c>
      <c r="L194" s="3">
        <v>419396.26380987064</v>
      </c>
      <c r="M194" s="3">
        <v>100.93368070096189</v>
      </c>
      <c r="N194" s="3">
        <v>23.400922986306732</v>
      </c>
      <c r="O194" s="3">
        <f t="shared" si="64"/>
        <v>170.10498412978723</v>
      </c>
      <c r="P194" s="3">
        <f t="shared" si="65"/>
        <v>180.94307183233602</v>
      </c>
      <c r="Q194" s="3">
        <f t="shared" si="66"/>
        <v>4785.3239890623727</v>
      </c>
      <c r="R194" s="3">
        <f t="shared" si="57"/>
        <v>130413.09773799386</v>
      </c>
      <c r="S194" s="3">
        <f t="shared" si="57"/>
        <v>37708.904913431514</v>
      </c>
      <c r="T194" s="3">
        <f t="shared" si="58"/>
        <v>2.1371218244385948</v>
      </c>
      <c r="U194" s="3">
        <f t="shared" si="58"/>
        <v>144.37936376576675</v>
      </c>
      <c r="V194" s="3">
        <f t="shared" si="58"/>
        <v>4765.8666342030756</v>
      </c>
      <c r="W194" s="3">
        <f t="shared" si="59"/>
        <v>129722.71917362261</v>
      </c>
      <c r="X194" s="3">
        <f t="shared" si="59"/>
        <v>30075.504428991946</v>
      </c>
      <c r="Y194" s="3">
        <f t="shared" si="60"/>
        <v>1.9330111832930366</v>
      </c>
      <c r="Z194" s="3">
        <f t="shared" si="73"/>
        <v>36.563708066569262</v>
      </c>
      <c r="AA194" s="3">
        <f t="shared" si="73"/>
        <v>19.457354859297084</v>
      </c>
      <c r="AB194" s="3">
        <f t="shared" si="68"/>
        <v>8323.7790488108149</v>
      </c>
      <c r="AC194" s="3">
        <f t="shared" si="69"/>
        <v>0.20411064114555821</v>
      </c>
      <c r="AD194" s="3">
        <f t="shared" si="74"/>
        <v>2803.7709492190511</v>
      </c>
      <c r="AE194" s="3">
        <f t="shared" si="74"/>
        <v>1492.0249938496472</v>
      </c>
      <c r="AF194" s="3">
        <f t="shared" si="74"/>
        <v>638282.36026510119</v>
      </c>
      <c r="AG194" s="3">
        <f t="shared" si="74"/>
        <v>15.651571362195467</v>
      </c>
      <c r="AH194" s="233">
        <f t="shared" si="75"/>
        <v>13875.040445632825</v>
      </c>
      <c r="AI194" s="233">
        <f t="shared" si="75"/>
        <v>366947.25706448307</v>
      </c>
      <c r="AJ194" s="233">
        <f t="shared" si="75"/>
        <v>10000311.078125298</v>
      </c>
      <c r="AK194" s="233">
        <f t="shared" si="75"/>
        <v>2891586.7047907729</v>
      </c>
      <c r="AL194" s="233">
        <f t="shared" si="75"/>
        <v>163.87834831723546</v>
      </c>
      <c r="AM194" s="233">
        <f t="shared" si="75"/>
        <v>11071.269496413775</v>
      </c>
      <c r="AN194" s="233">
        <f t="shared" si="75"/>
        <v>365455.23207063344</v>
      </c>
      <c r="AO194" s="233">
        <f t="shared" si="75"/>
        <v>9947371.6071278956</v>
      </c>
      <c r="AP194" s="233">
        <f t="shared" si="75"/>
        <v>2306243.8155230749</v>
      </c>
      <c r="AQ194" s="233">
        <f t="shared" si="75"/>
        <v>148.22677695503998</v>
      </c>
      <c r="AR194" s="375">
        <v>78.25</v>
      </c>
      <c r="AS194" s="231">
        <f t="shared" si="72"/>
        <v>6000.3508500000007</v>
      </c>
    </row>
    <row r="195" spans="2:45" ht="72.5" x14ac:dyDescent="0.35">
      <c r="B195" s="56" t="s">
        <v>94</v>
      </c>
      <c r="C195" s="361" t="s">
        <v>202</v>
      </c>
      <c r="D195" s="56">
        <v>1</v>
      </c>
      <c r="E195" s="3">
        <v>7.95</v>
      </c>
      <c r="F195" s="3">
        <v>16163.099425821854</v>
      </c>
      <c r="G195" s="3">
        <v>505707.25351633434</v>
      </c>
      <c r="H195" s="3">
        <v>116.90161893533755</v>
      </c>
      <c r="I195" s="3">
        <v>29.220084747696728</v>
      </c>
      <c r="J195" s="3">
        <f t="shared" si="63"/>
        <v>209.7101988670629</v>
      </c>
      <c r="K195" s="3">
        <v>12239.264982984514</v>
      </c>
      <c r="L195" s="3">
        <v>500680.10546216514</v>
      </c>
      <c r="M195" s="3">
        <v>116.30646565122905</v>
      </c>
      <c r="N195" s="3">
        <v>22.138579986369866</v>
      </c>
      <c r="O195" s="3">
        <f t="shared" si="64"/>
        <v>187.09963858952329</v>
      </c>
      <c r="P195" s="3">
        <f t="shared" si="65"/>
        <v>138.14614893864834</v>
      </c>
      <c r="Q195" s="3">
        <f t="shared" si="66"/>
        <v>4322.2842180883281</v>
      </c>
      <c r="R195" s="3">
        <f t="shared" ref="R195:S258" si="76">H195/VLOOKUP($B195,$N$131:$P$134, 3, FALSE)*VLOOKUP($B195,$N$131:$P$134, 2, FALSE)</f>
        <v>125294.55567941307</v>
      </c>
      <c r="S195" s="3">
        <f t="shared" si="76"/>
        <v>31317.936985992903</v>
      </c>
      <c r="T195" s="3">
        <f t="shared" ref="T195:V258" si="77">J195/VLOOKUP($B195,$N$131:$P$134, 3, FALSE)</f>
        <v>1.7923948621116488</v>
      </c>
      <c r="U195" s="3">
        <f t="shared" si="77"/>
        <v>104.60910241867106</v>
      </c>
      <c r="V195" s="3">
        <f t="shared" si="77"/>
        <v>4279.3171407022664</v>
      </c>
      <c r="W195" s="3">
        <f t="shared" ref="W195:X258" si="78">M195/VLOOKUP($B195,$N$131:$P$134, 3, FALSE)*VLOOKUP($B195,$N$131:$P$134, 2, FALSE)</f>
        <v>124656.6734415737</v>
      </c>
      <c r="X195" s="3">
        <f t="shared" si="78"/>
        <v>23728.016498211804</v>
      </c>
      <c r="Y195" s="3">
        <f t="shared" si="60"/>
        <v>1.5991422101668658</v>
      </c>
      <c r="Z195" s="3">
        <f t="shared" si="73"/>
        <v>33.537046519977281</v>
      </c>
      <c r="AA195" s="3">
        <f t="shared" si="73"/>
        <v>42.967077386061646</v>
      </c>
      <c r="AB195" s="3">
        <f t="shared" si="68"/>
        <v>8227.8027256204623</v>
      </c>
      <c r="AC195" s="3">
        <f t="shared" si="69"/>
        <v>0.19325265194478303</v>
      </c>
      <c r="AD195" s="3">
        <f t="shared" si="74"/>
        <v>266.61951983381937</v>
      </c>
      <c r="AE195" s="3">
        <f t="shared" si="74"/>
        <v>341.58826521919008</v>
      </c>
      <c r="AF195" s="3">
        <f t="shared" si="74"/>
        <v>65411.031668682677</v>
      </c>
      <c r="AG195" s="3">
        <f t="shared" si="74"/>
        <v>1.5363585829610251</v>
      </c>
      <c r="AH195" s="233">
        <f t="shared" si="75"/>
        <v>1098.2618840622542</v>
      </c>
      <c r="AI195" s="233">
        <f t="shared" si="75"/>
        <v>34362.159533802209</v>
      </c>
      <c r="AJ195" s="233">
        <f t="shared" si="75"/>
        <v>996091.71765133389</v>
      </c>
      <c r="AK195" s="233">
        <f t="shared" si="75"/>
        <v>248977.59903864359</v>
      </c>
      <c r="AL195" s="233">
        <f t="shared" si="75"/>
        <v>14.249539153787609</v>
      </c>
      <c r="AM195" s="233">
        <f t="shared" si="75"/>
        <v>831.64236422843487</v>
      </c>
      <c r="AN195" s="233">
        <f t="shared" si="75"/>
        <v>34020.571268583022</v>
      </c>
      <c r="AO195" s="233">
        <f t="shared" si="75"/>
        <v>991020.55386051093</v>
      </c>
      <c r="AP195" s="233">
        <f t="shared" si="75"/>
        <v>188637.73116078385</v>
      </c>
      <c r="AQ195" s="233">
        <f t="shared" si="75"/>
        <v>12.713180570826584</v>
      </c>
      <c r="AR195" s="373">
        <v>78.3</v>
      </c>
      <c r="AS195" s="231">
        <f t="shared" si="72"/>
        <v>622.48500000000001</v>
      </c>
    </row>
    <row r="196" spans="2:45" ht="72.5" x14ac:dyDescent="0.35">
      <c r="B196" s="56" t="s">
        <v>94</v>
      </c>
      <c r="C196" s="361" t="s">
        <v>202</v>
      </c>
      <c r="D196" s="56">
        <v>2</v>
      </c>
      <c r="E196" s="3">
        <v>47.19</v>
      </c>
      <c r="F196" s="3">
        <v>12017.689882789773</v>
      </c>
      <c r="G196" s="3">
        <v>557713.37576176715</v>
      </c>
      <c r="H196" s="3">
        <v>137.52804224791956</v>
      </c>
      <c r="I196" s="3">
        <v>22.063632148353314</v>
      </c>
      <c r="J196" s="3">
        <f t="shared" si="63"/>
        <v>199.59936707827947</v>
      </c>
      <c r="K196" s="3">
        <v>9292.7471885366103</v>
      </c>
      <c r="L196" s="3">
        <v>555151.85282359028</v>
      </c>
      <c r="M196" s="3">
        <v>116.90161893533755</v>
      </c>
      <c r="N196" s="3">
        <v>29.220084747696728</v>
      </c>
      <c r="O196" s="3">
        <f t="shared" si="64"/>
        <v>184.12069807402366</v>
      </c>
      <c r="P196" s="3">
        <f t="shared" si="65"/>
        <v>102.71529814350234</v>
      </c>
      <c r="Q196" s="3">
        <f t="shared" si="66"/>
        <v>4766.7809894168131</v>
      </c>
      <c r="R196" s="3">
        <f t="shared" si="76"/>
        <v>147401.85040930868</v>
      </c>
      <c r="S196" s="3">
        <f t="shared" si="76"/>
        <v>23647.68778977355</v>
      </c>
      <c r="T196" s="3">
        <f t="shared" si="77"/>
        <v>1.705977496395551</v>
      </c>
      <c r="U196" s="3">
        <f t="shared" si="77"/>
        <v>79.425189645612051</v>
      </c>
      <c r="V196" s="3">
        <f t="shared" si="77"/>
        <v>4744.8876309708567</v>
      </c>
      <c r="W196" s="3">
        <f t="shared" si="78"/>
        <v>125294.55567941307</v>
      </c>
      <c r="X196" s="3">
        <f t="shared" si="78"/>
        <v>31317.936985992903</v>
      </c>
      <c r="Y196" s="3">
        <f t="shared" si="60"/>
        <v>1.5736811801198605</v>
      </c>
      <c r="Z196" s="3">
        <f t="shared" si="73"/>
        <v>23.290108497890287</v>
      </c>
      <c r="AA196" s="3">
        <f t="shared" si="73"/>
        <v>21.893358445956437</v>
      </c>
      <c r="AB196" s="3">
        <f t="shared" si="68"/>
        <v>14437.04553367625</v>
      </c>
      <c r="AC196" s="3">
        <f t="shared" si="69"/>
        <v>0.1322963162756905</v>
      </c>
      <c r="AD196" s="3">
        <f t="shared" si="74"/>
        <v>1099.0602200154426</v>
      </c>
      <c r="AE196" s="3">
        <f t="shared" si="74"/>
        <v>1033.1475850646843</v>
      </c>
      <c r="AF196" s="3">
        <f t="shared" si="74"/>
        <v>681284.17873418215</v>
      </c>
      <c r="AG196" s="3">
        <f t="shared" si="74"/>
        <v>6.2430631650498345</v>
      </c>
      <c r="AH196" s="233">
        <f t="shared" si="75"/>
        <v>4847.134919391875</v>
      </c>
      <c r="AI196" s="233">
        <f t="shared" si="75"/>
        <v>224944.39489057939</v>
      </c>
      <c r="AJ196" s="233">
        <f t="shared" si="75"/>
        <v>6955893.3208152764</v>
      </c>
      <c r="AK196" s="233">
        <f t="shared" si="75"/>
        <v>1115934.3867994137</v>
      </c>
      <c r="AL196" s="233">
        <f t="shared" si="75"/>
        <v>80.505078054906051</v>
      </c>
      <c r="AM196" s="233">
        <f t="shared" si="75"/>
        <v>3748.0746993764324</v>
      </c>
      <c r="AN196" s="233">
        <f t="shared" si="75"/>
        <v>223911.24730551473</v>
      </c>
      <c r="AO196" s="233">
        <f t="shared" si="75"/>
        <v>5912650.0825115023</v>
      </c>
      <c r="AP196" s="233">
        <f t="shared" si="75"/>
        <v>1477893.4463690049</v>
      </c>
      <c r="AQ196" s="233">
        <f t="shared" si="75"/>
        <v>74.262014889856218</v>
      </c>
      <c r="AR196" s="373">
        <v>83.65</v>
      </c>
      <c r="AS196" s="231">
        <f t="shared" si="72"/>
        <v>3947.4434999999999</v>
      </c>
    </row>
    <row r="197" spans="2:45" ht="72.5" x14ac:dyDescent="0.35">
      <c r="B197" s="56" t="s">
        <v>94</v>
      </c>
      <c r="C197" s="361" t="s">
        <v>202</v>
      </c>
      <c r="D197" s="56">
        <v>3</v>
      </c>
      <c r="E197" s="3">
        <v>228.89999999999998</v>
      </c>
      <c r="F197" s="3">
        <v>8308.3903174216521</v>
      </c>
      <c r="G197" s="3">
        <v>526380.45889681124</v>
      </c>
      <c r="H197" s="3">
        <v>125.48679934995513</v>
      </c>
      <c r="I197" s="3">
        <v>15.33886752168309</v>
      </c>
      <c r="J197" s="3">
        <f t="shared" si="63"/>
        <v>171.83621956721913</v>
      </c>
      <c r="K197" s="3">
        <v>6359.2934312831885</v>
      </c>
      <c r="L197" s="3">
        <v>526804.24743600888</v>
      </c>
      <c r="M197" s="3">
        <v>125.69049961767358</v>
      </c>
      <c r="N197" s="3">
        <v>11.698819805757431</v>
      </c>
      <c r="O197" s="3">
        <f t="shared" si="64"/>
        <v>161.3068798995595</v>
      </c>
      <c r="P197" s="3">
        <f t="shared" si="65"/>
        <v>71.011883054885914</v>
      </c>
      <c r="Q197" s="3">
        <f t="shared" si="66"/>
        <v>4498.9782811693267</v>
      </c>
      <c r="R197" s="3">
        <f t="shared" si="76"/>
        <v>134496.10802123396</v>
      </c>
      <c r="S197" s="3">
        <f t="shared" si="76"/>
        <v>16440.119548880852</v>
      </c>
      <c r="T197" s="3">
        <f t="shared" si="77"/>
        <v>1.4686856373266592</v>
      </c>
      <c r="U197" s="3">
        <f t="shared" si="77"/>
        <v>54.35293531011272</v>
      </c>
      <c r="V197" s="3">
        <f t="shared" si="77"/>
        <v>4502.6004054359737</v>
      </c>
      <c r="W197" s="3">
        <f t="shared" si="78"/>
        <v>134714.43292355785</v>
      </c>
      <c r="X197" s="3">
        <f t="shared" si="78"/>
        <v>12538.735073863092</v>
      </c>
      <c r="Y197" s="3">
        <f t="shared" si="60"/>
        <v>1.3786912811928163</v>
      </c>
      <c r="Z197" s="3">
        <f t="shared" si="73"/>
        <v>16.658947744773194</v>
      </c>
      <c r="AA197" s="3">
        <f t="shared" si="73"/>
        <v>-3.6221242666470062</v>
      </c>
      <c r="AB197" s="3">
        <f t="shared" si="68"/>
        <v>3683.0595726938627</v>
      </c>
      <c r="AC197" s="3">
        <f t="shared" si="69"/>
        <v>8.999435613384299E-2</v>
      </c>
      <c r="AD197" s="3">
        <f t="shared" si="74"/>
        <v>3813.2331387785835</v>
      </c>
      <c r="AE197" s="3">
        <f t="shared" si="74"/>
        <v>-829.10424463549964</v>
      </c>
      <c r="AF197" s="3">
        <f t="shared" si="74"/>
        <v>843052.33618962509</v>
      </c>
      <c r="AG197" s="3">
        <f t="shared" si="74"/>
        <v>20.599708119036659</v>
      </c>
      <c r="AH197" s="233">
        <f t="shared" si="75"/>
        <v>16254.620031263385</v>
      </c>
      <c r="AI197" s="233">
        <f t="shared" si="75"/>
        <v>1029816.1285596588</v>
      </c>
      <c r="AJ197" s="233">
        <f t="shared" si="75"/>
        <v>30786159.126060449</v>
      </c>
      <c r="AK197" s="233">
        <f t="shared" si="75"/>
        <v>3763143.3647388266</v>
      </c>
      <c r="AL197" s="233">
        <f t="shared" si="75"/>
        <v>336.18214238407228</v>
      </c>
      <c r="AM197" s="233">
        <f t="shared" si="75"/>
        <v>12441.386892484801</v>
      </c>
      <c r="AN197" s="233">
        <f t="shared" si="75"/>
        <v>1030645.2328042943</v>
      </c>
      <c r="AO197" s="233">
        <f t="shared" si="75"/>
        <v>30836133.69620239</v>
      </c>
      <c r="AP197" s="233">
        <f t="shared" si="75"/>
        <v>2870116.4584072614</v>
      </c>
      <c r="AQ197" s="233">
        <f t="shared" si="75"/>
        <v>315.5824342650356</v>
      </c>
      <c r="AR197" s="373">
        <v>84.18</v>
      </c>
      <c r="AS197" s="231">
        <f t="shared" si="72"/>
        <v>19268.802</v>
      </c>
    </row>
    <row r="198" spans="2:45" ht="72.5" x14ac:dyDescent="0.35">
      <c r="B198" s="56" t="s">
        <v>94</v>
      </c>
      <c r="C198" s="361" t="s">
        <v>202</v>
      </c>
      <c r="D198" s="56">
        <v>4</v>
      </c>
      <c r="E198" s="3">
        <v>119.25000000000001</v>
      </c>
      <c r="F198" s="3">
        <v>8790.9042876105123</v>
      </c>
      <c r="G198" s="3">
        <v>564669.96855242876</v>
      </c>
      <c r="H198" s="3">
        <v>139.05261112573143</v>
      </c>
      <c r="I198" s="3">
        <v>16.31270157443614</v>
      </c>
      <c r="J198" s="3">
        <f t="shared" si="63"/>
        <v>183.67117129811805</v>
      </c>
      <c r="K198" s="3">
        <v>6816.4732416314127</v>
      </c>
      <c r="L198" s="3">
        <v>563281.63083983888</v>
      </c>
      <c r="M198" s="3">
        <v>137.99424696147301</v>
      </c>
      <c r="N198" s="3">
        <v>12.604853119297831</v>
      </c>
      <c r="O198" s="3">
        <f t="shared" si="64"/>
        <v>172.56809284336029</v>
      </c>
      <c r="P198" s="3">
        <f t="shared" si="65"/>
        <v>75.135934082141134</v>
      </c>
      <c r="Q198" s="3">
        <f t="shared" si="66"/>
        <v>4826.2390474566564</v>
      </c>
      <c r="R198" s="3">
        <f t="shared" si="76"/>
        <v>149035.87551424548</v>
      </c>
      <c r="S198" s="3">
        <f t="shared" si="76"/>
        <v>17483.869892600786</v>
      </c>
      <c r="T198" s="3">
        <f t="shared" si="77"/>
        <v>1.5698390709240859</v>
      </c>
      <c r="U198" s="3">
        <f t="shared" si="77"/>
        <v>58.260455056678744</v>
      </c>
      <c r="V198" s="3">
        <f t="shared" si="77"/>
        <v>4814.3729131610162</v>
      </c>
      <c r="W198" s="3">
        <f t="shared" si="78"/>
        <v>147901.52623050186</v>
      </c>
      <c r="X198" s="3">
        <f t="shared" si="78"/>
        <v>13509.816932991009</v>
      </c>
      <c r="Y198" s="3">
        <f t="shared" si="60"/>
        <v>1.4749409644731648</v>
      </c>
      <c r="Z198" s="3">
        <f t="shared" si="73"/>
        <v>16.87547902546239</v>
      </c>
      <c r="AA198" s="3">
        <f t="shared" si="73"/>
        <v>11.866134295640222</v>
      </c>
      <c r="AB198" s="3">
        <f t="shared" si="68"/>
        <v>5108.4022433533901</v>
      </c>
      <c r="AC198" s="3">
        <f t="shared" si="69"/>
        <v>9.4898106450921116E-2</v>
      </c>
      <c r="AD198" s="3">
        <f t="shared" si="74"/>
        <v>2012.4008737863903</v>
      </c>
      <c r="AE198" s="3">
        <f t="shared" si="74"/>
        <v>1415.0365147550967</v>
      </c>
      <c r="AF198" s="3">
        <f t="shared" si="74"/>
        <v>609176.9675198918</v>
      </c>
      <c r="AG198" s="3">
        <f t="shared" si="74"/>
        <v>11.316599194272344</v>
      </c>
      <c r="AH198" s="233">
        <f t="shared" si="75"/>
        <v>8959.9601392953318</v>
      </c>
      <c r="AI198" s="233">
        <f t="shared" si="75"/>
        <v>575529.00640920631</v>
      </c>
      <c r="AJ198" s="233">
        <f t="shared" si="75"/>
        <v>17772528.155073777</v>
      </c>
      <c r="AK198" s="233">
        <f t="shared" si="75"/>
        <v>2084951.4846926439</v>
      </c>
      <c r="AL198" s="233">
        <f t="shared" si="75"/>
        <v>187.20330920769726</v>
      </c>
      <c r="AM198" s="233">
        <f t="shared" si="75"/>
        <v>6947.5592655089413</v>
      </c>
      <c r="AN198" s="233">
        <f t="shared" si="75"/>
        <v>574113.96989445121</v>
      </c>
      <c r="AO198" s="233">
        <f t="shared" si="75"/>
        <v>17637257.002987348</v>
      </c>
      <c r="AP198" s="233">
        <f t="shared" si="75"/>
        <v>1611045.669259178</v>
      </c>
      <c r="AQ198" s="233">
        <f t="shared" si="75"/>
        <v>175.88671001342493</v>
      </c>
      <c r="AR198" s="373">
        <v>83.25</v>
      </c>
      <c r="AS198" s="231">
        <f t="shared" si="72"/>
        <v>9927.5625000000018</v>
      </c>
    </row>
    <row r="199" spans="2:45" ht="72.5" x14ac:dyDescent="0.35">
      <c r="B199" s="56" t="s">
        <v>94</v>
      </c>
      <c r="C199" s="361" t="s">
        <v>202</v>
      </c>
      <c r="D199" s="56">
        <v>5</v>
      </c>
      <c r="E199" s="3">
        <v>21.18</v>
      </c>
      <c r="F199" s="3">
        <v>9691.1149297805459</v>
      </c>
      <c r="G199" s="3">
        <v>524462.97087795334</v>
      </c>
      <c r="H199" s="3">
        <v>123.06138481930154</v>
      </c>
      <c r="I199" s="3">
        <v>17.643386878992175</v>
      </c>
      <c r="J199" s="3">
        <f t="shared" si="63"/>
        <v>178.91730526521883</v>
      </c>
      <c r="K199" s="3">
        <v>7481.9944731987107</v>
      </c>
      <c r="L199" s="3">
        <v>524998.62788865517</v>
      </c>
      <c r="M199" s="3">
        <v>123.57405847187111</v>
      </c>
      <c r="N199" s="3">
        <v>13.593417421848056</v>
      </c>
      <c r="O199" s="3">
        <f t="shared" si="64"/>
        <v>166.99657519662972</v>
      </c>
      <c r="P199" s="3">
        <f t="shared" si="65"/>
        <v>82.830042134876464</v>
      </c>
      <c r="Q199" s="3">
        <f t="shared" si="66"/>
        <v>4482.5894946833623</v>
      </c>
      <c r="R199" s="3">
        <f t="shared" si="76"/>
        <v>131896.56116530267</v>
      </c>
      <c r="S199" s="3">
        <f t="shared" si="76"/>
        <v>18910.09157799674</v>
      </c>
      <c r="T199" s="3">
        <f t="shared" si="77"/>
        <v>1.5292077373095627</v>
      </c>
      <c r="U199" s="3">
        <f t="shared" si="77"/>
        <v>63.948670711100092</v>
      </c>
      <c r="V199" s="3">
        <f t="shared" si="77"/>
        <v>4487.1677597320959</v>
      </c>
      <c r="W199" s="3">
        <f t="shared" si="78"/>
        <v>132446.04215703107</v>
      </c>
      <c r="X199" s="3">
        <f t="shared" si="78"/>
        <v>14569.355082903814</v>
      </c>
      <c r="Y199" s="3">
        <f t="shared" si="60"/>
        <v>1.4273211555267498</v>
      </c>
      <c r="Z199" s="3">
        <f t="shared" si="73"/>
        <v>18.881371423776372</v>
      </c>
      <c r="AA199" s="3">
        <f t="shared" si="73"/>
        <v>-4.5782650487335559</v>
      </c>
      <c r="AB199" s="3">
        <f t="shared" si="68"/>
        <v>3791.2555033645185</v>
      </c>
      <c r="AC199" s="3">
        <f t="shared" si="69"/>
        <v>0.10188658178281296</v>
      </c>
      <c r="AD199" s="3">
        <f t="shared" si="74"/>
        <v>399.90744675558358</v>
      </c>
      <c r="AE199" s="3">
        <f t="shared" si="74"/>
        <v>-96.967653732176714</v>
      </c>
      <c r="AF199" s="3">
        <f t="shared" si="74"/>
        <v>80298.791561260499</v>
      </c>
      <c r="AG199" s="3">
        <f t="shared" si="74"/>
        <v>2.1579578021599786</v>
      </c>
      <c r="AH199" s="233">
        <f t="shared" si="75"/>
        <v>1754.3402924166835</v>
      </c>
      <c r="AI199" s="233">
        <f t="shared" si="75"/>
        <v>94941.245497393611</v>
      </c>
      <c r="AJ199" s="233">
        <f t="shared" si="75"/>
        <v>2793569.1654811106</v>
      </c>
      <c r="AK199" s="233">
        <f t="shared" si="75"/>
        <v>400515.73962197092</v>
      </c>
      <c r="AL199" s="233">
        <f t="shared" si="75"/>
        <v>32.388619876216538</v>
      </c>
      <c r="AM199" s="233">
        <f t="shared" si="75"/>
        <v>1354.4328456610999</v>
      </c>
      <c r="AN199" s="233">
        <f t="shared" si="75"/>
        <v>95038.21315112579</v>
      </c>
      <c r="AO199" s="233">
        <f t="shared" si="75"/>
        <v>2805207.1728859181</v>
      </c>
      <c r="AP199" s="233">
        <f t="shared" si="75"/>
        <v>308578.94065590278</v>
      </c>
      <c r="AQ199" s="233">
        <f t="shared" si="75"/>
        <v>30.230662074056561</v>
      </c>
      <c r="AR199" s="373">
        <v>78.47</v>
      </c>
      <c r="AS199" s="231">
        <f t="shared" si="72"/>
        <v>1661.9946</v>
      </c>
    </row>
    <row r="200" spans="2:45" ht="72.5" x14ac:dyDescent="0.35">
      <c r="B200" s="56" t="s">
        <v>94</v>
      </c>
      <c r="C200" s="361" t="s">
        <v>202</v>
      </c>
      <c r="D200" s="56">
        <v>6</v>
      </c>
      <c r="E200" s="3">
        <v>101.10000000000002</v>
      </c>
      <c r="F200" s="3">
        <v>4827.4591931778141</v>
      </c>
      <c r="G200" s="3">
        <v>563915.6191004921</v>
      </c>
      <c r="H200" s="3">
        <v>134.27544186830301</v>
      </c>
      <c r="I200" s="3">
        <v>8.8954078986051961</v>
      </c>
      <c r="J200" s="3">
        <f t="shared" si="63"/>
        <v>161.87155084812096</v>
      </c>
      <c r="K200" s="3">
        <v>3897.1454540748796</v>
      </c>
      <c r="L200" s="3">
        <v>566568.08930619969</v>
      </c>
      <c r="M200" s="3">
        <v>134.63980383254204</v>
      </c>
      <c r="N200" s="3">
        <v>7.138689073032654</v>
      </c>
      <c r="O200" s="3">
        <f t="shared" si="64"/>
        <v>157.43476307163769</v>
      </c>
      <c r="P200" s="3">
        <f t="shared" si="65"/>
        <v>41.260334984425761</v>
      </c>
      <c r="Q200" s="3">
        <f t="shared" si="66"/>
        <v>4819.7916162435222</v>
      </c>
      <c r="R200" s="3">
        <f t="shared" si="76"/>
        <v>143915.73000243757</v>
      </c>
      <c r="S200" s="3">
        <f t="shared" si="76"/>
        <v>9534.0525682486459</v>
      </c>
      <c r="T200" s="3">
        <f t="shared" si="77"/>
        <v>1.3835175286164185</v>
      </c>
      <c r="U200" s="3">
        <f t="shared" si="77"/>
        <v>33.308935504913499</v>
      </c>
      <c r="V200" s="3">
        <f t="shared" si="77"/>
        <v>4842.4623017623908</v>
      </c>
      <c r="W200" s="3">
        <f t="shared" si="78"/>
        <v>144306.25128718608</v>
      </c>
      <c r="X200" s="3">
        <f t="shared" si="78"/>
        <v>7651.2103398144855</v>
      </c>
      <c r="Y200" s="3">
        <f t="shared" si="60"/>
        <v>1.3455962655695528</v>
      </c>
      <c r="Z200" s="3">
        <f t="shared" si="73"/>
        <v>7.9513994795122613</v>
      </c>
      <c r="AA200" s="3">
        <f t="shared" si="73"/>
        <v>-22.670685518868595</v>
      </c>
      <c r="AB200" s="3">
        <f t="shared" si="68"/>
        <v>1492.3209436856532</v>
      </c>
      <c r="AC200" s="3">
        <f t="shared" si="69"/>
        <v>3.7921263046865716E-2</v>
      </c>
      <c r="AD200" s="3">
        <f t="shared" si="74"/>
        <v>803.88648737868982</v>
      </c>
      <c r="AE200" s="3">
        <f t="shared" si="74"/>
        <v>-2292.0063059576155</v>
      </c>
      <c r="AF200" s="3">
        <f t="shared" si="74"/>
        <v>150873.64740661957</v>
      </c>
      <c r="AG200" s="3">
        <f t="shared" si="74"/>
        <v>3.833839694038125</v>
      </c>
      <c r="AH200" s="233">
        <f t="shared" si="75"/>
        <v>4171.4198669254456</v>
      </c>
      <c r="AI200" s="233">
        <f t="shared" si="75"/>
        <v>487280.93240222021</v>
      </c>
      <c r="AJ200" s="233">
        <f t="shared" si="75"/>
        <v>14549880.303246442</v>
      </c>
      <c r="AK200" s="233">
        <f t="shared" si="75"/>
        <v>963892.71464993828</v>
      </c>
      <c r="AL200" s="233">
        <f t="shared" si="75"/>
        <v>139.87362214311995</v>
      </c>
      <c r="AM200" s="233">
        <f t="shared" si="75"/>
        <v>3367.5333795467554</v>
      </c>
      <c r="AN200" s="233">
        <f t="shared" si="75"/>
        <v>489572.93870817783</v>
      </c>
      <c r="AO200" s="233">
        <f t="shared" si="75"/>
        <v>14589362.005134515</v>
      </c>
      <c r="AP200" s="233">
        <f t="shared" si="75"/>
        <v>773537.3653552446</v>
      </c>
      <c r="AQ200" s="233">
        <f t="shared" si="75"/>
        <v>136.03978244908183</v>
      </c>
      <c r="AR200" s="373">
        <v>78.2</v>
      </c>
      <c r="AS200" s="231">
        <f t="shared" si="72"/>
        <v>7906.0200000000023</v>
      </c>
    </row>
    <row r="201" spans="2:45" ht="72.5" x14ac:dyDescent="0.35">
      <c r="B201" s="56" t="s">
        <v>94</v>
      </c>
      <c r="C201" s="361" t="s">
        <v>202</v>
      </c>
      <c r="D201" s="56">
        <v>7</v>
      </c>
      <c r="E201" s="3">
        <v>108.69</v>
      </c>
      <c r="F201" s="3">
        <v>2790.2519694191965</v>
      </c>
      <c r="G201" s="3">
        <v>558263.05830364837</v>
      </c>
      <c r="H201" s="3">
        <v>132.08013532528958</v>
      </c>
      <c r="I201" s="3">
        <v>5.0306698744176011</v>
      </c>
      <c r="J201" s="3">
        <f t="shared" si="63"/>
        <v>149.40113261765273</v>
      </c>
      <c r="K201" s="3">
        <v>2390.2303040354655</v>
      </c>
      <c r="L201" s="3">
        <v>563484.30547971278</v>
      </c>
      <c r="M201" s="3">
        <v>133.13437482165699</v>
      </c>
      <c r="N201" s="3">
        <v>4.2801235797736945</v>
      </c>
      <c r="O201" s="3">
        <f t="shared" si="64"/>
        <v>148.47420352507115</v>
      </c>
      <c r="P201" s="3">
        <f t="shared" si="65"/>
        <v>23.848307430933303</v>
      </c>
      <c r="Q201" s="3">
        <f t="shared" si="66"/>
        <v>4771.4791308004133</v>
      </c>
      <c r="R201" s="3">
        <f t="shared" si="76"/>
        <v>141562.81170761806</v>
      </c>
      <c r="S201" s="3">
        <f t="shared" si="76"/>
        <v>5391.846173093737</v>
      </c>
      <c r="T201" s="3">
        <f t="shared" si="77"/>
        <v>1.2769327574158353</v>
      </c>
      <c r="U201" s="3">
        <f t="shared" si="77"/>
        <v>20.42931883790996</v>
      </c>
      <c r="V201" s="3">
        <f t="shared" si="77"/>
        <v>4816.1051750402803</v>
      </c>
      <c r="W201" s="3">
        <f t="shared" si="78"/>
        <v>142692.74019346826</v>
      </c>
      <c r="X201" s="3">
        <f t="shared" si="78"/>
        <v>4587.4145034497542</v>
      </c>
      <c r="Y201" s="3">
        <f t="shared" si="60"/>
        <v>1.2690102865390696</v>
      </c>
      <c r="Z201" s="3">
        <f t="shared" si="73"/>
        <v>3.418988593023343</v>
      </c>
      <c r="AA201" s="3">
        <f t="shared" si="73"/>
        <v>-44.626044239867042</v>
      </c>
      <c r="AB201" s="3">
        <f t="shared" si="68"/>
        <v>-325.49681620620504</v>
      </c>
      <c r="AC201" s="3">
        <f t="shared" si="69"/>
        <v>7.9224708767657859E-3</v>
      </c>
      <c r="AD201" s="3">
        <f t="shared" si="74"/>
        <v>371.60987017570716</v>
      </c>
      <c r="AE201" s="3">
        <f t="shared" si="74"/>
        <v>-4850.4047484311486</v>
      </c>
      <c r="AF201" s="3">
        <f t="shared" si="74"/>
        <v>-35378.248953452428</v>
      </c>
      <c r="AG201" s="3">
        <f t="shared" si="74"/>
        <v>0.86109335959567324</v>
      </c>
      <c r="AH201" s="233">
        <f t="shared" si="75"/>
        <v>2592.0725346681406</v>
      </c>
      <c r="AI201" s="233">
        <f t="shared" si="75"/>
        <v>518612.06672669691</v>
      </c>
      <c r="AJ201" s="233">
        <f t="shared" si="75"/>
        <v>15386462.004501007</v>
      </c>
      <c r="AK201" s="233">
        <f t="shared" si="75"/>
        <v>586039.76055355824</v>
      </c>
      <c r="AL201" s="233">
        <f t="shared" si="75"/>
        <v>138.78982140352713</v>
      </c>
      <c r="AM201" s="233">
        <f t="shared" si="75"/>
        <v>2220.4626644924338</v>
      </c>
      <c r="AN201" s="233">
        <f t="shared" si="75"/>
        <v>523462.47147512803</v>
      </c>
      <c r="AO201" s="233">
        <f t="shared" si="75"/>
        <v>15509273.931628065</v>
      </c>
      <c r="AP201" s="233">
        <f t="shared" si="75"/>
        <v>498606.08237995376</v>
      </c>
      <c r="AQ201" s="233">
        <f t="shared" si="75"/>
        <v>137.92872804393147</v>
      </c>
      <c r="AR201" s="373">
        <v>81.63</v>
      </c>
      <c r="AS201" s="231">
        <f t="shared" si="72"/>
        <v>8872.3647000000001</v>
      </c>
    </row>
    <row r="202" spans="2:45" ht="72.5" x14ac:dyDescent="0.35">
      <c r="B202" s="56" t="s">
        <v>94</v>
      </c>
      <c r="C202" s="361" t="s">
        <v>202</v>
      </c>
      <c r="D202" s="56">
        <v>8</v>
      </c>
      <c r="E202" s="3">
        <v>142.13999999999999</v>
      </c>
      <c r="F202" s="3">
        <v>4093.5828421225015</v>
      </c>
      <c r="G202" s="3">
        <v>585145.65028884588</v>
      </c>
      <c r="H202" s="3">
        <v>141.11619413833375</v>
      </c>
      <c r="I202" s="3">
        <v>7.5332380014894085</v>
      </c>
      <c r="J202" s="3">
        <f t="shared" si="63"/>
        <v>162.97144538904266</v>
      </c>
      <c r="K202" s="3">
        <v>3334.2057628481393</v>
      </c>
      <c r="L202" s="3">
        <v>585655.38757084589</v>
      </c>
      <c r="M202" s="3">
        <v>140.60772828043662</v>
      </c>
      <c r="N202" s="3">
        <v>6.0936678264326289</v>
      </c>
      <c r="O202" s="3">
        <f t="shared" si="64"/>
        <v>158.95199967075709</v>
      </c>
      <c r="P202" s="3">
        <f t="shared" si="65"/>
        <v>34.987887539508563</v>
      </c>
      <c r="Q202" s="3">
        <f t="shared" si="66"/>
        <v>5001.2448742636398</v>
      </c>
      <c r="R202" s="3">
        <f t="shared" si="76"/>
        <v>151247.61320467567</v>
      </c>
      <c r="S202" s="3">
        <f t="shared" si="76"/>
        <v>8074.085858006596</v>
      </c>
      <c r="T202" s="3">
        <f t="shared" si="77"/>
        <v>1.3929183366584843</v>
      </c>
      <c r="U202" s="3">
        <f t="shared" si="77"/>
        <v>28.497485152548201</v>
      </c>
      <c r="V202" s="3">
        <f t="shared" si="77"/>
        <v>5005.6016031696226</v>
      </c>
      <c r="W202" s="3">
        <f t="shared" si="78"/>
        <v>150702.64210569873</v>
      </c>
      <c r="X202" s="3">
        <f t="shared" si="78"/>
        <v>6531.161926791895</v>
      </c>
      <c r="Y202" s="3">
        <f t="shared" si="60"/>
        <v>1.3585640997500605</v>
      </c>
      <c r="Z202" s="3">
        <f t="shared" si="73"/>
        <v>6.490402386960362</v>
      </c>
      <c r="AA202" s="3">
        <f t="shared" si="73"/>
        <v>-4.3567289059828909</v>
      </c>
      <c r="AB202" s="3">
        <f t="shared" si="68"/>
        <v>2087.8950301916257</v>
      </c>
      <c r="AC202" s="3">
        <f t="shared" si="69"/>
        <v>3.4354236908423763E-2</v>
      </c>
      <c r="AD202" s="3">
        <f t="shared" si="74"/>
        <v>922.54579528254578</v>
      </c>
      <c r="AE202" s="3">
        <f t="shared" si="74"/>
        <v>-619.26544669640805</v>
      </c>
      <c r="AF202" s="3">
        <f t="shared" si="74"/>
        <v>296773.39959143766</v>
      </c>
      <c r="AG202" s="3">
        <f t="shared" si="74"/>
        <v>4.8831112341633531</v>
      </c>
      <c r="AH202" s="233">
        <f t="shared" si="75"/>
        <v>4973.1783348657464</v>
      </c>
      <c r="AI202" s="233">
        <f t="shared" si="75"/>
        <v>710876.94642783364</v>
      </c>
      <c r="AJ202" s="233">
        <f t="shared" si="75"/>
        <v>21498335.740912598</v>
      </c>
      <c r="AK202" s="233">
        <f t="shared" si="75"/>
        <v>1147650.5638570574</v>
      </c>
      <c r="AL202" s="233">
        <f t="shared" si="75"/>
        <v>197.98941237263693</v>
      </c>
      <c r="AM202" s="233">
        <f t="shared" si="75"/>
        <v>4050.6325395832009</v>
      </c>
      <c r="AN202" s="233">
        <f t="shared" si="75"/>
        <v>711496.21187453007</v>
      </c>
      <c r="AO202" s="233">
        <f t="shared" si="75"/>
        <v>21420873.548904017</v>
      </c>
      <c r="AP202" s="233">
        <f t="shared" si="75"/>
        <v>928339.3562741999</v>
      </c>
      <c r="AQ202" s="233">
        <f t="shared" si="75"/>
        <v>193.10630113847358</v>
      </c>
      <c r="AR202" s="373">
        <v>79.75</v>
      </c>
      <c r="AS202" s="231">
        <f t="shared" si="72"/>
        <v>11335.664999999999</v>
      </c>
    </row>
    <row r="203" spans="2:45" ht="72.5" x14ac:dyDescent="0.35">
      <c r="B203" s="56" t="s">
        <v>94</v>
      </c>
      <c r="C203" s="361" t="s">
        <v>202</v>
      </c>
      <c r="D203" s="56">
        <v>9</v>
      </c>
      <c r="E203" s="3">
        <v>333.72</v>
      </c>
      <c r="F203" s="3">
        <v>5114.8458825241069</v>
      </c>
      <c r="G203" s="3">
        <v>602717.12874631374</v>
      </c>
      <c r="H203" s="3">
        <v>148.7620247052364</v>
      </c>
      <c r="I203" s="3">
        <v>9.4489087088039838</v>
      </c>
      <c r="J203" s="3">
        <f t="shared" si="63"/>
        <v>172.76525806451997</v>
      </c>
      <c r="K203" s="3">
        <v>4094.2472131587674</v>
      </c>
      <c r="L203" s="3">
        <v>599694.64628414519</v>
      </c>
      <c r="M203" s="3">
        <v>146.89404157766728</v>
      </c>
      <c r="N203" s="3">
        <v>7.5223504684746958</v>
      </c>
      <c r="O203" s="3">
        <f t="shared" si="64"/>
        <v>166.47200870320677</v>
      </c>
      <c r="P203" s="3">
        <f t="shared" si="65"/>
        <v>43.716631474565013</v>
      </c>
      <c r="Q203" s="3">
        <f t="shared" si="66"/>
        <v>5151.428450823194</v>
      </c>
      <c r="R203" s="3">
        <f t="shared" si="76"/>
        <v>159442.3751968944</v>
      </c>
      <c r="S203" s="3">
        <f t="shared" si="76"/>
        <v>10127.291898154013</v>
      </c>
      <c r="T203" s="3">
        <f t="shared" si="77"/>
        <v>1.4766261373035894</v>
      </c>
      <c r="U203" s="3">
        <f t="shared" si="77"/>
        <v>34.993565924433909</v>
      </c>
      <c r="V203" s="3">
        <f t="shared" si="77"/>
        <v>5125.5952673858565</v>
      </c>
      <c r="W203" s="3">
        <f t="shared" si="78"/>
        <v>157440.28046016645</v>
      </c>
      <c r="X203" s="3">
        <f t="shared" si="78"/>
        <v>8062.4166559549294</v>
      </c>
      <c r="Y203" s="3">
        <f t="shared" si="60"/>
        <v>1.4228376812239896</v>
      </c>
      <c r="Z203" s="3">
        <f t="shared" si="73"/>
        <v>8.7230655501311034</v>
      </c>
      <c r="AA203" s="3">
        <f t="shared" si="73"/>
        <v>25.833183437337539</v>
      </c>
      <c r="AB203" s="3">
        <f t="shared" si="68"/>
        <v>4066.969978927028</v>
      </c>
      <c r="AC203" s="3">
        <f t="shared" si="69"/>
        <v>5.3788456079599811E-2</v>
      </c>
      <c r="AD203" s="3">
        <f t="shared" si="74"/>
        <v>2911.0614353897522</v>
      </c>
      <c r="AE203" s="3">
        <f t="shared" si="74"/>
        <v>8621.0499767082838</v>
      </c>
      <c r="AF203" s="3">
        <f t="shared" si="74"/>
        <v>1357229.221367528</v>
      </c>
      <c r="AG203" s="3">
        <f t="shared" si="74"/>
        <v>17.950283562884049</v>
      </c>
      <c r="AH203" s="233">
        <f t="shared" si="75"/>
        <v>14589.114255691837</v>
      </c>
      <c r="AI203" s="233">
        <f t="shared" si="75"/>
        <v>1719134.7026087164</v>
      </c>
      <c r="AJ203" s="233">
        <f t="shared" si="75"/>
        <v>53209109.4507076</v>
      </c>
      <c r="AK203" s="233">
        <f t="shared" si="75"/>
        <v>3379679.8522519576</v>
      </c>
      <c r="AL203" s="233">
        <f t="shared" si="75"/>
        <v>492.77967454095386</v>
      </c>
      <c r="AM203" s="233">
        <f t="shared" si="75"/>
        <v>11678.052820302086</v>
      </c>
      <c r="AN203" s="233">
        <f t="shared" si="75"/>
        <v>1710513.6526320081</v>
      </c>
      <c r="AO203" s="233">
        <f t="shared" si="75"/>
        <v>52540970.395166755</v>
      </c>
      <c r="AP203" s="233">
        <f t="shared" si="75"/>
        <v>2690589.6864252794</v>
      </c>
      <c r="AQ203" s="233">
        <f t="shared" si="75"/>
        <v>474.82939097806985</v>
      </c>
      <c r="AR203" s="373">
        <v>77.180000000000007</v>
      </c>
      <c r="AS203" s="231">
        <f t="shared" si="72"/>
        <v>25756.509600000005</v>
      </c>
    </row>
    <row r="204" spans="2:45" ht="72.5" x14ac:dyDescent="0.35">
      <c r="B204" s="56" t="s">
        <v>94</v>
      </c>
      <c r="C204" s="361" t="s">
        <v>202</v>
      </c>
      <c r="D204" s="56">
        <v>10</v>
      </c>
      <c r="E204" s="3">
        <v>117.90000000000002</v>
      </c>
      <c r="F204" s="3">
        <v>6014.5213063732554</v>
      </c>
      <c r="G204" s="3">
        <v>612449.4229566952</v>
      </c>
      <c r="H204" s="3">
        <v>151.11704248507786</v>
      </c>
      <c r="I204" s="3">
        <v>11.112402332272801</v>
      </c>
      <c r="J204" s="3">
        <f t="shared" si="63"/>
        <v>180.0116848432578</v>
      </c>
      <c r="K204" s="3">
        <v>4787.6713129890422</v>
      </c>
      <c r="L204" s="3">
        <v>608380.05845064495</v>
      </c>
      <c r="M204" s="3">
        <v>149.13058951524542</v>
      </c>
      <c r="N204" s="3">
        <v>8.804715729350086</v>
      </c>
      <c r="O204" s="3">
        <f t="shared" si="64"/>
        <v>172.34182896015301</v>
      </c>
      <c r="P204" s="3">
        <f t="shared" si="65"/>
        <v>51.406165011737222</v>
      </c>
      <c r="Q204" s="3">
        <f t="shared" si="66"/>
        <v>5234.6104526213267</v>
      </c>
      <c r="R204" s="3">
        <f t="shared" si="76"/>
        <v>161966.47117631423</v>
      </c>
      <c r="S204" s="3">
        <f t="shared" si="76"/>
        <v>11910.215833051361</v>
      </c>
      <c r="T204" s="3">
        <f t="shared" si="77"/>
        <v>1.5385614089167332</v>
      </c>
      <c r="U204" s="3">
        <f t="shared" si="77"/>
        <v>40.920267632384977</v>
      </c>
      <c r="V204" s="3">
        <f t="shared" si="77"/>
        <v>5199.8295594072215</v>
      </c>
      <c r="W204" s="3">
        <f t="shared" si="78"/>
        <v>159837.40107018611</v>
      </c>
      <c r="X204" s="3">
        <f t="shared" si="78"/>
        <v>9436.8491663290661</v>
      </c>
      <c r="Y204" s="3">
        <f t="shared" si="60"/>
        <v>1.4730070851295129</v>
      </c>
      <c r="Z204" s="3">
        <f t="shared" si="73"/>
        <v>10.485897379352245</v>
      </c>
      <c r="AA204" s="3">
        <f t="shared" si="73"/>
        <v>34.780893214105163</v>
      </c>
      <c r="AB204" s="3">
        <f t="shared" si="68"/>
        <v>4602.4367728504112</v>
      </c>
      <c r="AC204" s="3">
        <f t="shared" si="69"/>
        <v>6.5554323787220259E-2</v>
      </c>
      <c r="AD204" s="3">
        <f t="shared" si="74"/>
        <v>1236.2873010256299</v>
      </c>
      <c r="AE204" s="3">
        <f t="shared" si="74"/>
        <v>4100.6673099429991</v>
      </c>
      <c r="AF204" s="3">
        <f t="shared" si="74"/>
        <v>542627.2955190636</v>
      </c>
      <c r="AG204" s="3">
        <f t="shared" si="74"/>
        <v>7.7288547745132696</v>
      </c>
      <c r="AH204" s="233">
        <f t="shared" si="75"/>
        <v>6060.7868548838196</v>
      </c>
      <c r="AI204" s="233">
        <f t="shared" si="75"/>
        <v>617160.5723640545</v>
      </c>
      <c r="AJ204" s="233">
        <f t="shared" si="75"/>
        <v>19095846.951687451</v>
      </c>
      <c r="AK204" s="233">
        <f t="shared" si="75"/>
        <v>1404214.4467167556</v>
      </c>
      <c r="AL204" s="233">
        <f t="shared" si="75"/>
        <v>181.39639011128287</v>
      </c>
      <c r="AM204" s="233">
        <f t="shared" si="75"/>
        <v>4824.4995538581898</v>
      </c>
      <c r="AN204" s="233">
        <f t="shared" si="75"/>
        <v>613059.9050541115</v>
      </c>
      <c r="AO204" s="233">
        <f t="shared" si="75"/>
        <v>18844829.586174946</v>
      </c>
      <c r="AP204" s="233">
        <f t="shared" si="75"/>
        <v>1112604.5167101971</v>
      </c>
      <c r="AQ204" s="233">
        <f t="shared" si="75"/>
        <v>173.66753533676962</v>
      </c>
      <c r="AR204" s="373">
        <v>79</v>
      </c>
      <c r="AS204" s="231">
        <f t="shared" si="72"/>
        <v>9314.1000000000022</v>
      </c>
    </row>
    <row r="205" spans="2:45" ht="72.5" x14ac:dyDescent="0.35">
      <c r="B205" s="56" t="s">
        <v>94</v>
      </c>
      <c r="C205" s="361" t="s">
        <v>202</v>
      </c>
      <c r="D205" s="56">
        <v>11</v>
      </c>
      <c r="E205" s="3">
        <v>33.659999999999997</v>
      </c>
      <c r="F205" s="3">
        <v>11139.409505327982</v>
      </c>
      <c r="G205" s="3">
        <v>633575.57753774954</v>
      </c>
      <c r="H205" s="3">
        <v>159.20358408747873</v>
      </c>
      <c r="I205" s="3">
        <v>20.881218098801671</v>
      </c>
      <c r="J205" s="3">
        <f t="shared" si="63"/>
        <v>213.04279492541846</v>
      </c>
      <c r="K205" s="3">
        <v>8740.2712327123681</v>
      </c>
      <c r="L205" s="3">
        <v>623874.87095717283</v>
      </c>
      <c r="M205" s="3">
        <v>155.59470077849829</v>
      </c>
      <c r="N205" s="3">
        <v>16.346072090851429</v>
      </c>
      <c r="O205" s="3">
        <f t="shared" si="64"/>
        <v>197.62525505838343</v>
      </c>
      <c r="P205" s="3">
        <f t="shared" si="65"/>
        <v>95.208628250666507</v>
      </c>
      <c r="Q205" s="3">
        <f t="shared" si="66"/>
        <v>5415.175876391022</v>
      </c>
      <c r="R205" s="3">
        <f t="shared" si="76"/>
        <v>170633.58499632333</v>
      </c>
      <c r="S205" s="3">
        <f t="shared" si="76"/>
        <v>22380.382475125894</v>
      </c>
      <c r="T205" s="3">
        <f t="shared" si="77"/>
        <v>1.8208785891061408</v>
      </c>
      <c r="U205" s="3">
        <f t="shared" si="77"/>
        <v>74.703172929165547</v>
      </c>
      <c r="V205" s="3">
        <f t="shared" si="77"/>
        <v>5332.2638543348103</v>
      </c>
      <c r="W205" s="3">
        <f t="shared" si="78"/>
        <v>166765.60237285201</v>
      </c>
      <c r="X205" s="3">
        <f t="shared" si="78"/>
        <v>17519.636240963839</v>
      </c>
      <c r="Y205" s="3">
        <f t="shared" si="60"/>
        <v>1.6891047440887472</v>
      </c>
      <c r="Z205" s="3">
        <f t="shared" si="73"/>
        <v>20.505455321500961</v>
      </c>
      <c r="AA205" s="3">
        <f t="shared" si="73"/>
        <v>82.912022056211754</v>
      </c>
      <c r="AB205" s="3">
        <f t="shared" si="68"/>
        <v>8728.7288576333813</v>
      </c>
      <c r="AC205" s="3">
        <f t="shared" si="69"/>
        <v>0.13177384501739353</v>
      </c>
      <c r="AD205" s="3">
        <f t="shared" si="74"/>
        <v>690.21362612172231</v>
      </c>
      <c r="AE205" s="3">
        <f t="shared" si="74"/>
        <v>2790.8186624120872</v>
      </c>
      <c r="AF205" s="3">
        <f t="shared" si="74"/>
        <v>293809.01334793959</v>
      </c>
      <c r="AG205" s="3">
        <f t="shared" si="74"/>
        <v>4.4355076232854662</v>
      </c>
      <c r="AH205" s="233">
        <f t="shared" si="75"/>
        <v>3204.7224269174344</v>
      </c>
      <c r="AI205" s="233">
        <f t="shared" si="75"/>
        <v>182274.81999932177</v>
      </c>
      <c r="AJ205" s="233">
        <f t="shared" si="75"/>
        <v>5743526.4709762428</v>
      </c>
      <c r="AK205" s="233">
        <f t="shared" si="75"/>
        <v>753323.67411273753</v>
      </c>
      <c r="AL205" s="233">
        <f t="shared" si="75"/>
        <v>61.290773309312691</v>
      </c>
      <c r="AM205" s="233">
        <f t="shared" si="75"/>
        <v>2514.508800795712</v>
      </c>
      <c r="AN205" s="233">
        <f t="shared" si="75"/>
        <v>179484.00133690969</v>
      </c>
      <c r="AO205" s="233">
        <f t="shared" si="75"/>
        <v>5613330.1758701978</v>
      </c>
      <c r="AP205" s="233">
        <f t="shared" si="75"/>
        <v>589710.95587084279</v>
      </c>
      <c r="AQ205" s="233">
        <f t="shared" si="75"/>
        <v>56.855265686027224</v>
      </c>
      <c r="AR205" s="373">
        <v>78.25</v>
      </c>
      <c r="AS205" s="231">
        <f t="shared" si="72"/>
        <v>2633.8949999999995</v>
      </c>
    </row>
    <row r="206" spans="2:45" ht="72.5" x14ac:dyDescent="0.35">
      <c r="B206" s="56" t="s">
        <v>94</v>
      </c>
      <c r="C206" s="361" t="s">
        <v>202</v>
      </c>
      <c r="D206" s="56">
        <v>12</v>
      </c>
      <c r="E206" s="3">
        <v>190.05</v>
      </c>
      <c r="F206" s="3">
        <v>11123.767289891764</v>
      </c>
      <c r="G206" s="3">
        <v>599994.81354304205</v>
      </c>
      <c r="H206" s="3">
        <v>150.54572359469586</v>
      </c>
      <c r="I206" s="3">
        <v>20.857050432127767</v>
      </c>
      <c r="J206" s="3">
        <f t="shared" si="63"/>
        <v>204.88613507388183</v>
      </c>
      <c r="K206" s="3">
        <v>8681.7669966863377</v>
      </c>
      <c r="L206" s="3">
        <v>593548.12993191648</v>
      </c>
      <c r="M206" s="3">
        <v>147.84674054944801</v>
      </c>
      <c r="N206" s="3">
        <v>16.234816439961946</v>
      </c>
      <c r="O206" s="3">
        <f t="shared" si="64"/>
        <v>190.01693177996967</v>
      </c>
      <c r="P206" s="3">
        <f t="shared" si="65"/>
        <v>95.074934101639016</v>
      </c>
      <c r="Q206" s="3">
        <f t="shared" si="66"/>
        <v>5128.1607995131799</v>
      </c>
      <c r="R206" s="3">
        <f t="shared" si="76"/>
        <v>161354.13451944324</v>
      </c>
      <c r="S206" s="3">
        <f t="shared" si="76"/>
        <v>22354.479693921556</v>
      </c>
      <c r="T206" s="3">
        <f t="shared" si="77"/>
        <v>1.7511635476400156</v>
      </c>
      <c r="U206" s="3">
        <f t="shared" si="77"/>
        <v>74.20313672381485</v>
      </c>
      <c r="V206" s="3">
        <f t="shared" si="77"/>
        <v>5073.0609395890297</v>
      </c>
      <c r="W206" s="3">
        <f t="shared" si="78"/>
        <v>158461.3783324853</v>
      </c>
      <c r="X206" s="3">
        <f t="shared" si="78"/>
        <v>17400.393004882291</v>
      </c>
      <c r="Y206" s="3">
        <f t="shared" si="60"/>
        <v>1.6240763399997407</v>
      </c>
      <c r="Z206" s="3">
        <f t="shared" si="73"/>
        <v>20.871797377824166</v>
      </c>
      <c r="AA206" s="3">
        <f t="shared" si="73"/>
        <v>55.099859924150223</v>
      </c>
      <c r="AB206" s="3">
        <f t="shared" si="68"/>
        <v>7846.8428759971903</v>
      </c>
      <c r="AC206" s="3">
        <f t="shared" si="69"/>
        <v>0.12708720764027492</v>
      </c>
      <c r="AD206" s="3">
        <f t="shared" si="74"/>
        <v>3966.6850916554831</v>
      </c>
      <c r="AE206" s="3">
        <f t="shared" si="74"/>
        <v>10471.72837858475</v>
      </c>
      <c r="AF206" s="3">
        <f t="shared" si="74"/>
        <v>1491292.488583266</v>
      </c>
      <c r="AG206" s="3">
        <f t="shared" si="74"/>
        <v>24.152923812034249</v>
      </c>
      <c r="AH206" s="233">
        <f t="shared" si="75"/>
        <v>18068.991226016497</v>
      </c>
      <c r="AI206" s="233">
        <f t="shared" si="75"/>
        <v>974606.95994747989</v>
      </c>
      <c r="AJ206" s="233">
        <f t="shared" si="75"/>
        <v>30665353.265420187</v>
      </c>
      <c r="AK206" s="233">
        <f t="shared" si="75"/>
        <v>4248468.8658297919</v>
      </c>
      <c r="AL206" s="233">
        <f t="shared" si="75"/>
        <v>332.808632228985</v>
      </c>
      <c r="AM206" s="233">
        <f t="shared" si="75"/>
        <v>14102.306134361013</v>
      </c>
      <c r="AN206" s="233">
        <f t="shared" si="75"/>
        <v>964135.23156889516</v>
      </c>
      <c r="AO206" s="233">
        <f t="shared" si="75"/>
        <v>30115584.952088833</v>
      </c>
      <c r="AP206" s="233">
        <f t="shared" si="75"/>
        <v>3306944.6905778795</v>
      </c>
      <c r="AQ206" s="233">
        <f t="shared" si="75"/>
        <v>308.65570841695074</v>
      </c>
      <c r="AR206" s="373">
        <v>79.66</v>
      </c>
      <c r="AS206" s="231">
        <f t="shared" si="72"/>
        <v>15139.383</v>
      </c>
    </row>
    <row r="207" spans="2:45" ht="72.5" x14ac:dyDescent="0.35">
      <c r="B207" s="56" t="s">
        <v>94</v>
      </c>
      <c r="C207" s="361" t="s">
        <v>202</v>
      </c>
      <c r="D207" s="56">
        <v>13</v>
      </c>
      <c r="E207" s="3">
        <v>55.47</v>
      </c>
      <c r="F207" s="3">
        <v>9986.1305301810535</v>
      </c>
      <c r="G207" s="3">
        <v>635728.99847771018</v>
      </c>
      <c r="H207" s="3">
        <v>158.83383344492051</v>
      </c>
      <c r="I207" s="3">
        <v>18.834216189230194</v>
      </c>
      <c r="J207" s="3">
        <f t="shared" si="63"/>
        <v>207.26991080855854</v>
      </c>
      <c r="K207" s="3">
        <v>7808.7704328319187</v>
      </c>
      <c r="L207" s="3">
        <v>626089.20135127532</v>
      </c>
      <c r="M207" s="3">
        <v>155.31668648467635</v>
      </c>
      <c r="N207" s="3">
        <v>14.681211556456391</v>
      </c>
      <c r="O207" s="3">
        <f t="shared" si="64"/>
        <v>193.07668298489193</v>
      </c>
      <c r="P207" s="3">
        <f t="shared" si="65"/>
        <v>85.35154299300045</v>
      </c>
      <c r="Q207" s="3">
        <f t="shared" si="66"/>
        <v>5433.5811835701725</v>
      </c>
      <c r="R207" s="3">
        <f t="shared" si="76"/>
        <v>170237.28815378662</v>
      </c>
      <c r="S207" s="3">
        <f t="shared" si="76"/>
        <v>20186.416325892875</v>
      </c>
      <c r="T207" s="3">
        <f t="shared" si="77"/>
        <v>1.7715376992184491</v>
      </c>
      <c r="U207" s="3">
        <f t="shared" si="77"/>
        <v>66.741627631042036</v>
      </c>
      <c r="V207" s="3">
        <f t="shared" si="77"/>
        <v>5351.1897551391057</v>
      </c>
      <c r="W207" s="3">
        <f t="shared" si="78"/>
        <v>166467.62807844797</v>
      </c>
      <c r="X207" s="3">
        <f t="shared" si="78"/>
        <v>15735.24725794557</v>
      </c>
      <c r="Y207" s="3">
        <f t="shared" si="60"/>
        <v>1.650228059699931</v>
      </c>
      <c r="Z207" s="3">
        <f t="shared" si="73"/>
        <v>18.609915361958414</v>
      </c>
      <c r="AA207" s="3">
        <f t="shared" si="73"/>
        <v>82.391428431066743</v>
      </c>
      <c r="AB207" s="3">
        <f t="shared" si="68"/>
        <v>8220.8291432859496</v>
      </c>
      <c r="AC207" s="3">
        <f t="shared" si="69"/>
        <v>0.12130963951851803</v>
      </c>
      <c r="AD207" s="3">
        <f t="shared" si="74"/>
        <v>1032.2920051278331</v>
      </c>
      <c r="AE207" s="3">
        <f t="shared" si="74"/>
        <v>4570.2525350712722</v>
      </c>
      <c r="AF207" s="3">
        <f t="shared" si="74"/>
        <v>456009.39257807162</v>
      </c>
      <c r="AG207" s="3">
        <f t="shared" si="74"/>
        <v>6.7290457040921954</v>
      </c>
      <c r="AH207" s="233">
        <f t="shared" si="75"/>
        <v>4734.4500898217348</v>
      </c>
      <c r="AI207" s="233">
        <f t="shared" si="75"/>
        <v>301400.74825263745</v>
      </c>
      <c r="AJ207" s="233">
        <f t="shared" si="75"/>
        <v>9443062.3738905434</v>
      </c>
      <c r="AK207" s="233">
        <f t="shared" si="75"/>
        <v>1119740.5135972777</v>
      </c>
      <c r="AL207" s="233">
        <f t="shared" si="75"/>
        <v>98.267196175647371</v>
      </c>
      <c r="AM207" s="233">
        <f t="shared" si="75"/>
        <v>3702.1580846939019</v>
      </c>
      <c r="AN207" s="233">
        <f t="shared" si="75"/>
        <v>296830.49571756617</v>
      </c>
      <c r="AO207" s="233">
        <f t="shared" si="75"/>
        <v>9233959.3295115083</v>
      </c>
      <c r="AP207" s="233">
        <f t="shared" si="75"/>
        <v>872834.16539824079</v>
      </c>
      <c r="AQ207" s="233">
        <f t="shared" si="75"/>
        <v>91.53815047155517</v>
      </c>
      <c r="AR207" s="373">
        <v>78.39</v>
      </c>
      <c r="AS207" s="231">
        <f t="shared" si="72"/>
        <v>4348.2933000000003</v>
      </c>
    </row>
    <row r="208" spans="2:45" ht="72.5" x14ac:dyDescent="0.35">
      <c r="B208" s="56" t="s">
        <v>94</v>
      </c>
      <c r="C208" s="361" t="s">
        <v>202</v>
      </c>
      <c r="D208" s="56">
        <v>14</v>
      </c>
      <c r="E208" s="3">
        <v>25.200000000000003</v>
      </c>
      <c r="F208" s="3">
        <v>11189.361415883506</v>
      </c>
      <c r="G208" s="3">
        <v>635984.67769829836</v>
      </c>
      <c r="H208" s="3">
        <v>157.15678662103747</v>
      </c>
      <c r="I208" s="3">
        <v>21.000929139044835</v>
      </c>
      <c r="J208" s="3">
        <f t="shared" si="63"/>
        <v>213.89429565478582</v>
      </c>
      <c r="K208" s="3">
        <v>8795.3769123808561</v>
      </c>
      <c r="L208" s="3">
        <v>627374.99419249431</v>
      </c>
      <c r="M208" s="3">
        <v>154.10130242465507</v>
      </c>
      <c r="N208" s="3">
        <v>16.470210397258167</v>
      </c>
      <c r="O208" s="3">
        <f t="shared" si="64"/>
        <v>198.76710064953096</v>
      </c>
      <c r="P208" s="3">
        <f t="shared" si="65"/>
        <v>95.635567657123985</v>
      </c>
      <c r="Q208" s="3">
        <f t="shared" si="66"/>
        <v>5435.7664760538319</v>
      </c>
      <c r="R208" s="3">
        <f t="shared" si="76"/>
        <v>168439.83796818886</v>
      </c>
      <c r="S208" s="3">
        <f t="shared" si="76"/>
        <v>22508.688154155745</v>
      </c>
      <c r="T208" s="3">
        <f t="shared" si="77"/>
        <v>1.8281563731178276</v>
      </c>
      <c r="U208" s="3">
        <f t="shared" si="77"/>
        <v>75.174161644280815</v>
      </c>
      <c r="V208" s="3">
        <f t="shared" si="77"/>
        <v>5362.1794375426862</v>
      </c>
      <c r="W208" s="3">
        <f t="shared" si="78"/>
        <v>165164.98567565595</v>
      </c>
      <c r="X208" s="3">
        <f t="shared" si="78"/>
        <v>17652.687041163885</v>
      </c>
      <c r="Y208" s="3">
        <f t="shared" si="60"/>
        <v>1.6988641081156493</v>
      </c>
      <c r="Z208" s="3">
        <f t="shared" si="73"/>
        <v>20.46140601284317</v>
      </c>
      <c r="AA208" s="3">
        <f t="shared" si="73"/>
        <v>73.587038511145693</v>
      </c>
      <c r="AB208" s="3">
        <f t="shared" si="68"/>
        <v>8130.8534055247692</v>
      </c>
      <c r="AC208" s="3">
        <f t="shared" si="69"/>
        <v>0.12929226500217839</v>
      </c>
      <c r="AD208" s="3">
        <f t="shared" si="74"/>
        <v>515.62743152364794</v>
      </c>
      <c r="AE208" s="3">
        <f t="shared" si="74"/>
        <v>1854.3933704808717</v>
      </c>
      <c r="AF208" s="3">
        <f t="shared" si="74"/>
        <v>204897.5058192242</v>
      </c>
      <c r="AG208" s="3">
        <f t="shared" si="74"/>
        <v>3.2581650780548959</v>
      </c>
      <c r="AH208" s="233">
        <f t="shared" si="75"/>
        <v>2410.0163049595249</v>
      </c>
      <c r="AI208" s="233">
        <f t="shared" si="75"/>
        <v>136981.31519655659</v>
      </c>
      <c r="AJ208" s="233">
        <f t="shared" si="75"/>
        <v>4244683.9167983597</v>
      </c>
      <c r="AK208" s="233">
        <f t="shared" si="75"/>
        <v>567218.94148472487</v>
      </c>
      <c r="AL208" s="233">
        <f t="shared" si="75"/>
        <v>46.069540602569262</v>
      </c>
      <c r="AM208" s="233">
        <f t="shared" si="75"/>
        <v>1894.3888734358768</v>
      </c>
      <c r="AN208" s="233">
        <f t="shared" si="75"/>
        <v>135126.9218260757</v>
      </c>
      <c r="AO208" s="233">
        <f t="shared" si="75"/>
        <v>4162157.6390265301</v>
      </c>
      <c r="AP208" s="233">
        <f t="shared" si="75"/>
        <v>444847.71343732992</v>
      </c>
      <c r="AQ208" s="233">
        <f t="shared" si="75"/>
        <v>42.811375524514368</v>
      </c>
      <c r="AR208" s="373">
        <v>78.260000000000005</v>
      </c>
      <c r="AS208" s="231">
        <f t="shared" si="72"/>
        <v>1972.1520000000003</v>
      </c>
    </row>
    <row r="209" spans="2:45" ht="72.5" x14ac:dyDescent="0.35">
      <c r="B209" s="56" t="s">
        <v>94</v>
      </c>
      <c r="C209" s="361" t="s">
        <v>202</v>
      </c>
      <c r="D209" s="56">
        <v>15</v>
      </c>
      <c r="E209" s="3">
        <v>16.41</v>
      </c>
      <c r="F209" s="3">
        <v>3307.1893815919721</v>
      </c>
      <c r="G209" s="3">
        <v>767857.10333752574</v>
      </c>
      <c r="H209" s="3">
        <v>188.97916702193166</v>
      </c>
      <c r="I209" s="3">
        <v>6.1088401664096894</v>
      </c>
      <c r="J209" s="3">
        <f t="shared" si="63"/>
        <v>202.59792990308978</v>
      </c>
      <c r="K209" s="3">
        <v>2770.3857480782476</v>
      </c>
      <c r="L209" s="3">
        <v>747249.32138324261</v>
      </c>
      <c r="M209" s="3">
        <v>182.69085743073467</v>
      </c>
      <c r="N209" s="3">
        <v>5.0763440391440069</v>
      </c>
      <c r="O209" s="3">
        <f t="shared" si="64"/>
        <v>194.71677000382056</v>
      </c>
      <c r="P209" s="3">
        <f t="shared" si="65"/>
        <v>28.266575911042498</v>
      </c>
      <c r="Q209" s="3">
        <f t="shared" si="66"/>
        <v>6562.8812251070576</v>
      </c>
      <c r="R209" s="3">
        <f t="shared" si="76"/>
        <v>202546.90209017289</v>
      </c>
      <c r="S209" s="3">
        <f t="shared" si="76"/>
        <v>6547.4235629724362</v>
      </c>
      <c r="T209" s="3">
        <f t="shared" si="77"/>
        <v>1.7316062384879469</v>
      </c>
      <c r="U209" s="3">
        <f t="shared" si="77"/>
        <v>23.678510667335448</v>
      </c>
      <c r="V209" s="3">
        <f t="shared" si="77"/>
        <v>6386.7463366089114</v>
      </c>
      <c r="W209" s="3">
        <f t="shared" si="78"/>
        <v>195807.12411806945</v>
      </c>
      <c r="X209" s="3">
        <f t="shared" si="78"/>
        <v>5440.7995086210121</v>
      </c>
      <c r="Y209" s="3">
        <f t="shared" si="60"/>
        <v>1.6642458974685517</v>
      </c>
      <c r="Z209" s="3">
        <f t="shared" si="73"/>
        <v>4.5880652437070495</v>
      </c>
      <c r="AA209" s="3">
        <f t="shared" si="73"/>
        <v>176.13488849814621</v>
      </c>
      <c r="AB209" s="3">
        <f t="shared" si="68"/>
        <v>7846.4020264548617</v>
      </c>
      <c r="AC209" s="3">
        <f t="shared" si="69"/>
        <v>6.7360341019395253E-2</v>
      </c>
      <c r="AD209" s="3">
        <f t="shared" si="74"/>
        <v>75.290150649232686</v>
      </c>
      <c r="AE209" s="3">
        <f t="shared" si="74"/>
        <v>2890.3735202545795</v>
      </c>
      <c r="AF209" s="3">
        <f t="shared" si="74"/>
        <v>128759.45725412428</v>
      </c>
      <c r="AG209" s="3">
        <f t="shared" si="74"/>
        <v>1.1053831961282761</v>
      </c>
      <c r="AH209" s="233">
        <f t="shared" si="75"/>
        <v>463.85451070020741</v>
      </c>
      <c r="AI209" s="233">
        <f t="shared" si="75"/>
        <v>107696.88090400682</v>
      </c>
      <c r="AJ209" s="233">
        <f t="shared" si="75"/>
        <v>3323794.663299737</v>
      </c>
      <c r="AK209" s="233">
        <f t="shared" si="75"/>
        <v>107443.22066837767</v>
      </c>
      <c r="AL209" s="233">
        <f t="shared" si="75"/>
        <v>28.41565837358721</v>
      </c>
      <c r="AM209" s="233">
        <f t="shared" si="75"/>
        <v>388.5643600509747</v>
      </c>
      <c r="AN209" s="233">
        <f t="shared" si="75"/>
        <v>104806.50738375224</v>
      </c>
      <c r="AO209" s="233">
        <f t="shared" si="75"/>
        <v>3213194.9067775197</v>
      </c>
      <c r="AP209" s="233">
        <f t="shared" si="75"/>
        <v>89283.51993647081</v>
      </c>
      <c r="AQ209" s="233">
        <f t="shared" si="75"/>
        <v>27.310275177458934</v>
      </c>
      <c r="AR209" s="373">
        <v>86.51</v>
      </c>
      <c r="AS209" s="231">
        <f t="shared" si="72"/>
        <v>1419.6291000000001</v>
      </c>
    </row>
    <row r="210" spans="2:45" ht="72.5" x14ac:dyDescent="0.35">
      <c r="B210" s="56" t="s">
        <v>94</v>
      </c>
      <c r="C210" s="361" t="s">
        <v>202</v>
      </c>
      <c r="D210" s="56">
        <v>16</v>
      </c>
      <c r="E210" s="3">
        <v>10.170000000000002</v>
      </c>
      <c r="F210" s="3">
        <v>21170.339404383314</v>
      </c>
      <c r="G210" s="3">
        <v>559882.90672029764</v>
      </c>
      <c r="H210" s="3">
        <v>134.91010110826952</v>
      </c>
      <c r="I210" s="3">
        <v>39.009211979411916</v>
      </c>
      <c r="J210" s="3">
        <f t="shared" si="63"/>
        <v>250.04325345931559</v>
      </c>
      <c r="K210" s="3">
        <v>16892.38556059471</v>
      </c>
      <c r="L210" s="3">
        <v>557606.39620175981</v>
      </c>
      <c r="M210" s="3">
        <v>134.19591638650613</v>
      </c>
      <c r="N210" s="3">
        <v>31.112590788612362</v>
      </c>
      <c r="O210" s="3">
        <f t="shared" si="64"/>
        <v>226.16230844528525</v>
      </c>
      <c r="P210" s="3">
        <f t="shared" si="65"/>
        <v>180.94307183233602</v>
      </c>
      <c r="Q210" s="3">
        <f t="shared" si="66"/>
        <v>4785.3239890623727</v>
      </c>
      <c r="R210" s="3">
        <f t="shared" si="76"/>
        <v>144595.9545211709</v>
      </c>
      <c r="S210" s="3">
        <f t="shared" si="76"/>
        <v>41809.873352292772</v>
      </c>
      <c r="T210" s="3">
        <f t="shared" si="77"/>
        <v>2.1371218244385948</v>
      </c>
      <c r="U210" s="3">
        <f t="shared" si="77"/>
        <v>144.37936376576675</v>
      </c>
      <c r="V210" s="3">
        <f t="shared" si="77"/>
        <v>4765.8666342030756</v>
      </c>
      <c r="W210" s="3">
        <f t="shared" si="78"/>
        <v>143830.49499887068</v>
      </c>
      <c r="X210" s="3">
        <f t="shared" si="78"/>
        <v>33346.31525548709</v>
      </c>
      <c r="Y210" s="3">
        <f t="shared" si="60"/>
        <v>1.9330111832930363</v>
      </c>
      <c r="Z210" s="3">
        <f t="shared" si="73"/>
        <v>36.563708066569262</v>
      </c>
      <c r="AA210" s="3">
        <f t="shared" si="73"/>
        <v>19.457354859297084</v>
      </c>
      <c r="AB210" s="3">
        <f t="shared" si="68"/>
        <v>9229.0176191059145</v>
      </c>
      <c r="AC210" s="3">
        <f t="shared" si="69"/>
        <v>0.20411064114555844</v>
      </c>
      <c r="AD210" s="3">
        <f t="shared" si="74"/>
        <v>371.85291103700945</v>
      </c>
      <c r="AE210" s="3">
        <f t="shared" si="74"/>
        <v>197.88129891905137</v>
      </c>
      <c r="AF210" s="3">
        <f t="shared" si="74"/>
        <v>93859.109186307163</v>
      </c>
      <c r="AG210" s="3">
        <f t="shared" si="74"/>
        <v>2.0758052204503294</v>
      </c>
      <c r="AH210" s="233">
        <f t="shared" si="75"/>
        <v>1840.1910405348576</v>
      </c>
      <c r="AI210" s="233">
        <f t="shared" si="75"/>
        <v>48666.744968764338</v>
      </c>
      <c r="AJ210" s="233">
        <f t="shared" si="75"/>
        <v>1470540.8574803083</v>
      </c>
      <c r="AK210" s="233">
        <f t="shared" si="75"/>
        <v>425206.41199281759</v>
      </c>
      <c r="AL210" s="233">
        <f t="shared" si="75"/>
        <v>21.734528954540512</v>
      </c>
      <c r="AM210" s="233">
        <f t="shared" si="75"/>
        <v>1468.3381294978481</v>
      </c>
      <c r="AN210" s="233">
        <f t="shared" si="75"/>
        <v>48468.86366984529</v>
      </c>
      <c r="AO210" s="233">
        <f t="shared" si="75"/>
        <v>1462756.134138515</v>
      </c>
      <c r="AP210" s="233">
        <f t="shared" si="75"/>
        <v>339132.02614830376</v>
      </c>
      <c r="AQ210" s="233">
        <f t="shared" si="75"/>
        <v>19.658723734090184</v>
      </c>
      <c r="AR210" s="375">
        <v>78.25</v>
      </c>
      <c r="AS210" s="231">
        <f t="shared" si="72"/>
        <v>795.80250000000012</v>
      </c>
    </row>
    <row r="211" spans="2:45" ht="72.5" x14ac:dyDescent="0.35">
      <c r="B211" s="56" t="s">
        <v>92</v>
      </c>
      <c r="C211" s="361" t="s">
        <v>202</v>
      </c>
      <c r="D211" s="56">
        <v>1</v>
      </c>
      <c r="E211" s="3">
        <v>8.745000000000001</v>
      </c>
      <c r="F211" s="3">
        <v>4973.2613617913403</v>
      </c>
      <c r="G211" s="3">
        <v>155602.23185117982</v>
      </c>
      <c r="H211" s="3">
        <v>35.969728903180787</v>
      </c>
      <c r="I211" s="3">
        <v>8.9907953069836086</v>
      </c>
      <c r="J211" s="3">
        <f t="shared" si="63"/>
        <v>64.526215036019366</v>
      </c>
      <c r="K211" s="3">
        <v>3765.9276870721578</v>
      </c>
      <c r="L211" s="3">
        <v>154055.4170652816</v>
      </c>
      <c r="M211" s="3">
        <v>35.786604815762786</v>
      </c>
      <c r="N211" s="3">
        <v>6.8118707650368817</v>
      </c>
      <c r="O211" s="3">
        <f t="shared" si="64"/>
        <v>57.569119566007174</v>
      </c>
      <c r="P211" s="3">
        <f t="shared" si="65"/>
        <v>138.14614893864834</v>
      </c>
      <c r="Q211" s="3">
        <f t="shared" si="66"/>
        <v>4322.2842180883281</v>
      </c>
      <c r="R211" s="3">
        <f t="shared" si="76"/>
        <v>39338.893510445385</v>
      </c>
      <c r="S211" s="3">
        <f t="shared" si="76"/>
        <v>9832.9331340710723</v>
      </c>
      <c r="T211" s="3">
        <f t="shared" si="77"/>
        <v>1.792394862111649</v>
      </c>
      <c r="U211" s="3">
        <f t="shared" si="77"/>
        <v>104.60910241867106</v>
      </c>
      <c r="V211" s="3">
        <f t="shared" si="77"/>
        <v>4279.3171407022664</v>
      </c>
      <c r="W211" s="3">
        <f t="shared" si="78"/>
        <v>39138.616800172567</v>
      </c>
      <c r="X211" s="3">
        <f t="shared" si="78"/>
        <v>7449.9159933620031</v>
      </c>
      <c r="Y211" s="3">
        <f t="shared" ref="Y211:Y274" si="79">O211/VLOOKUP($B211,$N$131:$P$134, 3, FALSE)</f>
        <v>1.599142210166866</v>
      </c>
      <c r="Z211" s="3">
        <f t="shared" si="73"/>
        <v>33.537046519977281</v>
      </c>
      <c r="AA211" s="3">
        <f t="shared" si="73"/>
        <v>42.967077386061646</v>
      </c>
      <c r="AB211" s="3">
        <f t="shared" si="68"/>
        <v>2583.293850981885</v>
      </c>
      <c r="AC211" s="3">
        <f t="shared" si="69"/>
        <v>0.19325265194478303</v>
      </c>
      <c r="AD211" s="3">
        <f t="shared" si="74"/>
        <v>293.28147181720135</v>
      </c>
      <c r="AE211" s="3">
        <f t="shared" si="74"/>
        <v>375.74709174110916</v>
      </c>
      <c r="AF211" s="3">
        <f t="shared" si="74"/>
        <v>22590.904726836587</v>
      </c>
      <c r="AG211" s="3">
        <f t="shared" si="74"/>
        <v>1.6899944412571277</v>
      </c>
      <c r="AH211" s="233">
        <f t="shared" si="75"/>
        <v>1208.0880724684798</v>
      </c>
      <c r="AI211" s="233">
        <f t="shared" si="75"/>
        <v>37798.375487182435</v>
      </c>
      <c r="AJ211" s="233">
        <f t="shared" si="75"/>
        <v>344018.62374884496</v>
      </c>
      <c r="AK211" s="233">
        <f t="shared" si="75"/>
        <v>85989.000257451538</v>
      </c>
      <c r="AL211" s="233">
        <f t="shared" si="75"/>
        <v>15.674493069166372</v>
      </c>
      <c r="AM211" s="233">
        <f t="shared" si="75"/>
        <v>914.80660065127847</v>
      </c>
      <c r="AN211" s="233">
        <f t="shared" si="75"/>
        <v>37422.628395441323</v>
      </c>
      <c r="AO211" s="233">
        <f t="shared" si="75"/>
        <v>342267.20391750912</v>
      </c>
      <c r="AP211" s="233">
        <f t="shared" si="75"/>
        <v>65149.515361950725</v>
      </c>
      <c r="AQ211" s="233">
        <f t="shared" si="75"/>
        <v>13.984498627909245</v>
      </c>
      <c r="AR211" s="373">
        <v>78.3</v>
      </c>
      <c r="AS211" s="231">
        <f t="shared" si="72"/>
        <v>684.73350000000005</v>
      </c>
    </row>
    <row r="212" spans="2:45" ht="72.5" x14ac:dyDescent="0.35">
      <c r="B212" s="56" t="s">
        <v>92</v>
      </c>
      <c r="C212" s="361" t="s">
        <v>202</v>
      </c>
      <c r="D212" s="56">
        <v>2</v>
      </c>
      <c r="E212" s="3">
        <v>51.909000000000006</v>
      </c>
      <c r="F212" s="3">
        <v>3697.750733166084</v>
      </c>
      <c r="G212" s="3">
        <v>171604.11561900529</v>
      </c>
      <c r="H212" s="3">
        <v>42.316320691667556</v>
      </c>
      <c r="I212" s="3">
        <v>6.7888098918010193</v>
      </c>
      <c r="J212" s="3">
        <f t="shared" ref="J212:J275" si="80">G212*$G$141*10^-6 + F212*$G$142*10^-6</f>
        <v>61.415189870239828</v>
      </c>
      <c r="K212" s="3">
        <v>2859.3068272420337</v>
      </c>
      <c r="L212" s="3">
        <v>170815.95471495084</v>
      </c>
      <c r="M212" s="3">
        <v>35.969728903180787</v>
      </c>
      <c r="N212" s="3">
        <v>8.9907953069836086</v>
      </c>
      <c r="O212" s="3">
        <f t="shared" ref="O212:O275" si="81">L212*$G$141*10^-6 + K212*$G$142*10^-6</f>
        <v>56.652522484314979</v>
      </c>
      <c r="P212" s="3">
        <f t="shared" ref="P212:P275" si="82">F212/VLOOKUP(B212,$N$131:$P$134, 3, FALSE)</f>
        <v>102.71529814350234</v>
      </c>
      <c r="Q212" s="3">
        <f t="shared" ref="Q212:Q275" si="83">G212/VLOOKUP($B212,$N$131:$P$134, 3, FALSE)</f>
        <v>4766.7809894168131</v>
      </c>
      <c r="R212" s="3">
        <f t="shared" si="76"/>
        <v>46279.949396453754</v>
      </c>
      <c r="S212" s="3">
        <f t="shared" si="76"/>
        <v>7424.6950849997156</v>
      </c>
      <c r="T212" s="3">
        <f t="shared" si="77"/>
        <v>1.7059774963955507</v>
      </c>
      <c r="U212" s="3">
        <f t="shared" si="77"/>
        <v>79.425189645612051</v>
      </c>
      <c r="V212" s="3">
        <f t="shared" si="77"/>
        <v>4744.8876309708567</v>
      </c>
      <c r="W212" s="3">
        <f t="shared" si="78"/>
        <v>39338.893510445385</v>
      </c>
      <c r="X212" s="3">
        <f t="shared" si="78"/>
        <v>9832.9331340710723</v>
      </c>
      <c r="Y212" s="3">
        <f t="shared" si="79"/>
        <v>1.5736811801198605</v>
      </c>
      <c r="Z212" s="3">
        <f t="shared" si="73"/>
        <v>23.290108497890287</v>
      </c>
      <c r="AA212" s="3">
        <f t="shared" si="73"/>
        <v>21.893358445956437</v>
      </c>
      <c r="AB212" s="3">
        <f t="shared" ref="AB212:AB275" si="84">R212+S212-W212-X212</f>
        <v>4532.8178369370125</v>
      </c>
      <c r="AC212" s="3">
        <f t="shared" ref="AC212:AC275" si="85">T212-Y212</f>
        <v>0.13229631627569027</v>
      </c>
      <c r="AD212" s="3">
        <f t="shared" si="74"/>
        <v>1208.9662420169871</v>
      </c>
      <c r="AE212" s="3">
        <f t="shared" si="74"/>
        <v>1136.4623435711528</v>
      </c>
      <c r="AF212" s="3">
        <f t="shared" si="74"/>
        <v>235294.0410975634</v>
      </c>
      <c r="AG212" s="3">
        <f t="shared" si="74"/>
        <v>6.8673694815548068</v>
      </c>
      <c r="AH212" s="233">
        <f t="shared" si="75"/>
        <v>5331.8484113310633</v>
      </c>
      <c r="AI212" s="233">
        <f t="shared" si="75"/>
        <v>247438.83437963738</v>
      </c>
      <c r="AJ212" s="233">
        <f t="shared" si="75"/>
        <v>2402345.8932205183</v>
      </c>
      <c r="AK212" s="233">
        <f t="shared" si="75"/>
        <v>385408.49716725026</v>
      </c>
      <c r="AL212" s="233">
        <f t="shared" si="75"/>
        <v>88.555585860396647</v>
      </c>
      <c r="AM212" s="233">
        <f t="shared" ref="AM212:AQ262" si="86">U212*$E212</f>
        <v>4122.8821693140762</v>
      </c>
      <c r="AN212" s="233">
        <f t="shared" si="86"/>
        <v>246302.37203606623</v>
      </c>
      <c r="AO212" s="233">
        <f t="shared" si="86"/>
        <v>2042042.6232337097</v>
      </c>
      <c r="AP212" s="233">
        <f t="shared" si="86"/>
        <v>510417.72605649533</v>
      </c>
      <c r="AQ212" s="233">
        <f t="shared" si="86"/>
        <v>81.688216378841844</v>
      </c>
      <c r="AR212" s="373">
        <v>83.65</v>
      </c>
      <c r="AS212" s="231">
        <f t="shared" ref="AS212:AS275" si="87">AR212*E212</f>
        <v>4342.1878500000012</v>
      </c>
    </row>
    <row r="213" spans="2:45" ht="72.5" x14ac:dyDescent="0.35">
      <c r="B213" s="56" t="s">
        <v>92</v>
      </c>
      <c r="C213" s="361" t="s">
        <v>202</v>
      </c>
      <c r="D213" s="56">
        <v>3</v>
      </c>
      <c r="E213" s="3">
        <v>251.79</v>
      </c>
      <c r="F213" s="3">
        <v>2556.4277899758927</v>
      </c>
      <c r="G213" s="3">
        <v>161963.21812209577</v>
      </c>
      <c r="H213" s="3">
        <v>38.61132287690927</v>
      </c>
      <c r="I213" s="3">
        <v>4.7196515451332584</v>
      </c>
      <c r="J213" s="3">
        <f t="shared" si="80"/>
        <v>52.872682943759727</v>
      </c>
      <c r="K213" s="3">
        <v>1956.705671164058</v>
      </c>
      <c r="L213" s="3">
        <v>162093.61459569505</v>
      </c>
      <c r="M213" s="3">
        <v>38.673999882361102</v>
      </c>
      <c r="N213" s="3">
        <v>3.5996368633099785</v>
      </c>
      <c r="O213" s="3">
        <f t="shared" si="81"/>
        <v>49.632886122941393</v>
      </c>
      <c r="P213" s="3">
        <f t="shared" si="82"/>
        <v>71.011883054885914</v>
      </c>
      <c r="Q213" s="3">
        <f t="shared" si="83"/>
        <v>4498.9782811693267</v>
      </c>
      <c r="R213" s="3">
        <f t="shared" si="76"/>
        <v>42227.91678637977</v>
      </c>
      <c r="S213" s="3">
        <f t="shared" si="76"/>
        <v>5161.7255731940741</v>
      </c>
      <c r="T213" s="3">
        <f t="shared" si="77"/>
        <v>1.468685637326659</v>
      </c>
      <c r="U213" s="3">
        <f t="shared" si="77"/>
        <v>54.35293531011272</v>
      </c>
      <c r="V213" s="3">
        <f t="shared" si="77"/>
        <v>4502.6004054359737</v>
      </c>
      <c r="W213" s="3">
        <f t="shared" si="78"/>
        <v>42296.464538008928</v>
      </c>
      <c r="X213" s="3">
        <f t="shared" si="78"/>
        <v>3936.8028495066801</v>
      </c>
      <c r="Y213" s="3">
        <f t="shared" si="79"/>
        <v>1.3786912811928165</v>
      </c>
      <c r="Z213" s="3">
        <f t="shared" si="73"/>
        <v>16.658947744773194</v>
      </c>
      <c r="AA213" s="3">
        <f t="shared" si="73"/>
        <v>-3.6221242666470062</v>
      </c>
      <c r="AB213" s="3">
        <f t="shared" si="84"/>
        <v>1156.3749720582373</v>
      </c>
      <c r="AC213" s="3">
        <f t="shared" si="85"/>
        <v>8.9994356133842546E-2</v>
      </c>
      <c r="AD213" s="3">
        <f t="shared" si="74"/>
        <v>4194.5564526564422</v>
      </c>
      <c r="AE213" s="3">
        <f t="shared" si="74"/>
        <v>-912.01466909904968</v>
      </c>
      <c r="AF213" s="3">
        <f t="shared" si="74"/>
        <v>291163.65421454358</v>
      </c>
      <c r="AG213" s="3">
        <f t="shared" si="74"/>
        <v>22.659678930940213</v>
      </c>
      <c r="AH213" s="233">
        <f t="shared" ref="AH213:AL263" si="88">P213*$E213</f>
        <v>17880.082034389725</v>
      </c>
      <c r="AI213" s="233">
        <f t="shared" si="88"/>
        <v>1132797.7414156247</v>
      </c>
      <c r="AJ213" s="233">
        <f t="shared" si="88"/>
        <v>10632567.167642562</v>
      </c>
      <c r="AK213" s="233">
        <f t="shared" si="88"/>
        <v>1299670.8820745358</v>
      </c>
      <c r="AL213" s="233">
        <f t="shared" si="88"/>
        <v>369.80035662247946</v>
      </c>
      <c r="AM213" s="233">
        <f t="shared" si="86"/>
        <v>13685.525581733282</v>
      </c>
      <c r="AN213" s="233">
        <f t="shared" si="86"/>
        <v>1133709.7560847239</v>
      </c>
      <c r="AO213" s="233">
        <f t="shared" si="86"/>
        <v>10649826.806025269</v>
      </c>
      <c r="AP213" s="233">
        <f t="shared" si="86"/>
        <v>991247.58947728691</v>
      </c>
      <c r="AQ213" s="233">
        <f t="shared" si="86"/>
        <v>347.14067769153922</v>
      </c>
      <c r="AR213" s="373">
        <v>84.18</v>
      </c>
      <c r="AS213" s="231">
        <f t="shared" si="87"/>
        <v>21195.682199999999</v>
      </c>
    </row>
    <row r="214" spans="2:45" ht="72.5" x14ac:dyDescent="0.35">
      <c r="B214" s="56" t="s">
        <v>92</v>
      </c>
      <c r="C214" s="361" t="s">
        <v>202</v>
      </c>
      <c r="D214" s="56">
        <v>4</v>
      </c>
      <c r="E214" s="3">
        <v>131.17500000000004</v>
      </c>
      <c r="F214" s="3">
        <v>2704.8936269570809</v>
      </c>
      <c r="G214" s="3">
        <v>173744.60570843963</v>
      </c>
      <c r="H214" s="3">
        <v>42.78541880791736</v>
      </c>
      <c r="I214" s="3">
        <v>5.0192927921341965</v>
      </c>
      <c r="J214" s="3">
        <f t="shared" si="80"/>
        <v>56.514206553267108</v>
      </c>
      <c r="K214" s="3">
        <v>2097.3763820404347</v>
      </c>
      <c r="L214" s="3">
        <v>173317.42487379658</v>
      </c>
      <c r="M214" s="3">
        <v>42.459768295837847</v>
      </c>
      <c r="N214" s="3">
        <v>3.8784163443993327</v>
      </c>
      <c r="O214" s="3">
        <f t="shared" si="81"/>
        <v>53.097874721033939</v>
      </c>
      <c r="P214" s="3">
        <f t="shared" si="82"/>
        <v>75.135934082141134</v>
      </c>
      <c r="Q214" s="3">
        <f t="shared" si="83"/>
        <v>4826.2390474566564</v>
      </c>
      <c r="R214" s="3">
        <f t="shared" si="76"/>
        <v>46792.986369592283</v>
      </c>
      <c r="S214" s="3">
        <f t="shared" si="76"/>
        <v>5489.4332169974332</v>
      </c>
      <c r="T214" s="3">
        <f t="shared" si="77"/>
        <v>1.5698390709240864</v>
      </c>
      <c r="U214" s="3">
        <f t="shared" si="77"/>
        <v>58.260455056678744</v>
      </c>
      <c r="V214" s="3">
        <f t="shared" si="77"/>
        <v>4814.3729131610162</v>
      </c>
      <c r="W214" s="3">
        <f t="shared" si="78"/>
        <v>46436.833259547995</v>
      </c>
      <c r="X214" s="3">
        <f t="shared" si="78"/>
        <v>4241.6946753247366</v>
      </c>
      <c r="Y214" s="3">
        <f t="shared" si="79"/>
        <v>1.474940964473165</v>
      </c>
      <c r="Z214" s="3">
        <f t="shared" si="73"/>
        <v>16.87547902546239</v>
      </c>
      <c r="AA214" s="3">
        <f t="shared" si="73"/>
        <v>11.866134295640222</v>
      </c>
      <c r="AB214" s="3">
        <f t="shared" si="84"/>
        <v>1603.8916517169882</v>
      </c>
      <c r="AC214" s="3">
        <f t="shared" si="85"/>
        <v>9.4898106450921338E-2</v>
      </c>
      <c r="AD214" s="3">
        <f t="shared" si="74"/>
        <v>2213.6409611650297</v>
      </c>
      <c r="AE214" s="3">
        <f t="shared" si="74"/>
        <v>1556.5401662306067</v>
      </c>
      <c r="AF214" s="3">
        <f t="shared" si="74"/>
        <v>210390.48741397599</v>
      </c>
      <c r="AG214" s="3">
        <f t="shared" si="74"/>
        <v>12.44825911369961</v>
      </c>
      <c r="AH214" s="233">
        <f t="shared" si="88"/>
        <v>9855.9561532248663</v>
      </c>
      <c r="AI214" s="233">
        <f t="shared" si="88"/>
        <v>633081.90705012705</v>
      </c>
      <c r="AJ214" s="233">
        <f t="shared" si="88"/>
        <v>6138069.9870312698</v>
      </c>
      <c r="AK214" s="233">
        <f t="shared" si="88"/>
        <v>720076.4022396385</v>
      </c>
      <c r="AL214" s="233">
        <f t="shared" si="88"/>
        <v>205.9236401284671</v>
      </c>
      <c r="AM214" s="233">
        <f t="shared" si="86"/>
        <v>7642.3151920598366</v>
      </c>
      <c r="AN214" s="233">
        <f t="shared" si="86"/>
        <v>631525.36688389652</v>
      </c>
      <c r="AO214" s="233">
        <f t="shared" si="86"/>
        <v>6091351.6028212104</v>
      </c>
      <c r="AP214" s="233">
        <f t="shared" si="86"/>
        <v>556404.29903572251</v>
      </c>
      <c r="AQ214" s="233">
        <f t="shared" si="86"/>
        <v>193.47538101476749</v>
      </c>
      <c r="AR214" s="373">
        <v>83.25</v>
      </c>
      <c r="AS214" s="231">
        <f t="shared" si="87"/>
        <v>10920.318750000004</v>
      </c>
    </row>
    <row r="215" spans="2:45" ht="72.5" x14ac:dyDescent="0.35">
      <c r="B215" s="56" t="s">
        <v>92</v>
      </c>
      <c r="C215" s="361" t="s">
        <v>202</v>
      </c>
      <c r="D215" s="56">
        <v>5</v>
      </c>
      <c r="E215" s="3">
        <v>23.298000000000002</v>
      </c>
      <c r="F215" s="3">
        <v>2981.8815168555529</v>
      </c>
      <c r="G215" s="3">
        <v>161373.22180860105</v>
      </c>
      <c r="H215" s="3">
        <v>37.865041482862011</v>
      </c>
      <c r="I215" s="3">
        <v>5.4287344243052846</v>
      </c>
      <c r="J215" s="3">
        <f t="shared" si="80"/>
        <v>55.051478543144263</v>
      </c>
      <c r="K215" s="3">
        <v>2302.1521455996035</v>
      </c>
      <c r="L215" s="3">
        <v>161538.03935035545</v>
      </c>
      <c r="M215" s="3">
        <v>38.022787222114182</v>
      </c>
      <c r="N215" s="3">
        <v>4.1825899759532481</v>
      </c>
      <c r="O215" s="3">
        <f t="shared" si="81"/>
        <v>51.383561598962999</v>
      </c>
      <c r="P215" s="3">
        <f t="shared" si="82"/>
        <v>82.830042134876464</v>
      </c>
      <c r="Q215" s="3">
        <f t="shared" si="83"/>
        <v>4482.5894946833623</v>
      </c>
      <c r="R215" s="3">
        <f t="shared" si="76"/>
        <v>41411.733701756755</v>
      </c>
      <c r="S215" s="3">
        <f t="shared" si="76"/>
        <v>5937.2258820485458</v>
      </c>
      <c r="T215" s="3">
        <f t="shared" si="77"/>
        <v>1.5292077373095629</v>
      </c>
      <c r="U215" s="3">
        <f t="shared" si="77"/>
        <v>63.9486707111001</v>
      </c>
      <c r="V215" s="3">
        <f t="shared" si="77"/>
        <v>4487.1677597320959</v>
      </c>
      <c r="W215" s="3">
        <f t="shared" si="78"/>
        <v>41584.254958585545</v>
      </c>
      <c r="X215" s="3">
        <f t="shared" si="78"/>
        <v>4574.359237034203</v>
      </c>
      <c r="Y215" s="3">
        <f t="shared" si="79"/>
        <v>1.42732115552675</v>
      </c>
      <c r="Z215" s="3">
        <f t="shared" si="73"/>
        <v>18.881371423776365</v>
      </c>
      <c r="AA215" s="3">
        <f t="shared" si="73"/>
        <v>-4.5782650487335559</v>
      </c>
      <c r="AB215" s="3">
        <f t="shared" si="84"/>
        <v>1190.3453881855512</v>
      </c>
      <c r="AC215" s="3">
        <f t="shared" si="85"/>
        <v>0.10188658178281296</v>
      </c>
      <c r="AD215" s="3">
        <f t="shared" si="74"/>
        <v>439.89819143114175</v>
      </c>
      <c r="AE215" s="3">
        <f t="shared" si="74"/>
        <v>-106.66441910539439</v>
      </c>
      <c r="AF215" s="3">
        <f t="shared" si="74"/>
        <v>27732.666853946976</v>
      </c>
      <c r="AG215" s="3">
        <f t="shared" si="74"/>
        <v>2.3737535823759766</v>
      </c>
      <c r="AH215" s="233">
        <f t="shared" si="88"/>
        <v>1929.7743216583519</v>
      </c>
      <c r="AI215" s="233">
        <f t="shared" si="88"/>
        <v>104435.37004713298</v>
      </c>
      <c r="AJ215" s="233">
        <f t="shared" si="88"/>
        <v>964810.57178352901</v>
      </c>
      <c r="AK215" s="233">
        <f t="shared" si="88"/>
        <v>138325.48859996704</v>
      </c>
      <c r="AL215" s="233">
        <f t="shared" si="88"/>
        <v>35.627481863838199</v>
      </c>
      <c r="AM215" s="233">
        <f t="shared" si="86"/>
        <v>1489.8761302272103</v>
      </c>
      <c r="AN215" s="233">
        <f t="shared" si="86"/>
        <v>104542.03446623837</v>
      </c>
      <c r="AO215" s="233">
        <f t="shared" si="86"/>
        <v>968829.9720251261</v>
      </c>
      <c r="AP215" s="233">
        <f t="shared" si="86"/>
        <v>106573.42150442288</v>
      </c>
      <c r="AQ215" s="233">
        <f t="shared" si="86"/>
        <v>33.253728281462223</v>
      </c>
      <c r="AR215" s="373">
        <v>78.47</v>
      </c>
      <c r="AS215" s="231">
        <f t="shared" si="87"/>
        <v>1828.19406</v>
      </c>
    </row>
    <row r="216" spans="2:45" ht="72.5" x14ac:dyDescent="0.35">
      <c r="B216" s="56" t="s">
        <v>92</v>
      </c>
      <c r="C216" s="361" t="s">
        <v>202</v>
      </c>
      <c r="D216" s="56">
        <v>6</v>
      </c>
      <c r="E216" s="3">
        <v>111.21000000000002</v>
      </c>
      <c r="F216" s="3">
        <v>1485.3720594393274</v>
      </c>
      <c r="G216" s="3">
        <v>173512.4981847668</v>
      </c>
      <c r="H216" s="3">
        <v>41.315520574862461</v>
      </c>
      <c r="I216" s="3">
        <v>2.7370485841862142</v>
      </c>
      <c r="J216" s="3">
        <f t="shared" si="80"/>
        <v>49.80663103019107</v>
      </c>
      <c r="K216" s="3">
        <v>1199.121678176886</v>
      </c>
      <c r="L216" s="3">
        <v>174328.64286344606</v>
      </c>
      <c r="M216" s="3">
        <v>41.427631948474477</v>
      </c>
      <c r="N216" s="3">
        <v>2.1965197147792779</v>
      </c>
      <c r="O216" s="3">
        <f t="shared" si="81"/>
        <v>48.4414655605039</v>
      </c>
      <c r="P216" s="3">
        <f t="shared" si="82"/>
        <v>41.260334984425761</v>
      </c>
      <c r="Q216" s="3">
        <f t="shared" si="83"/>
        <v>4819.7916162435222</v>
      </c>
      <c r="R216" s="3">
        <f t="shared" si="76"/>
        <v>45185.407668707914</v>
      </c>
      <c r="S216" s="3">
        <f t="shared" si="76"/>
        <v>2993.4188015716563</v>
      </c>
      <c r="T216" s="3">
        <f t="shared" si="77"/>
        <v>1.3835175286164185</v>
      </c>
      <c r="U216" s="3">
        <f t="shared" si="77"/>
        <v>33.308935504913499</v>
      </c>
      <c r="V216" s="3">
        <f t="shared" si="77"/>
        <v>4842.4623017623908</v>
      </c>
      <c r="W216" s="3">
        <f t="shared" si="78"/>
        <v>45308.020140981585</v>
      </c>
      <c r="X216" s="3">
        <f t="shared" si="78"/>
        <v>2402.26039473027</v>
      </c>
      <c r="Y216" s="3">
        <f t="shared" si="79"/>
        <v>1.3455962655695528</v>
      </c>
      <c r="Z216" s="3">
        <f t="shared" si="73"/>
        <v>7.9513994795122613</v>
      </c>
      <c r="AA216" s="3">
        <f t="shared" si="73"/>
        <v>-22.670685518868595</v>
      </c>
      <c r="AB216" s="3">
        <f t="shared" si="84"/>
        <v>468.5459345677159</v>
      </c>
      <c r="AC216" s="3">
        <f t="shared" si="85"/>
        <v>3.7921263046865716E-2</v>
      </c>
      <c r="AD216" s="3">
        <f t="shared" si="74"/>
        <v>884.27513611655877</v>
      </c>
      <c r="AE216" s="3">
        <f t="shared" si="74"/>
        <v>-2521.2069365533771</v>
      </c>
      <c r="AF216" s="3">
        <f t="shared" si="74"/>
        <v>52106.993383275694</v>
      </c>
      <c r="AG216" s="3">
        <f t="shared" si="74"/>
        <v>4.2172236634419376</v>
      </c>
      <c r="AH216" s="233">
        <f t="shared" si="88"/>
        <v>4588.56185361799</v>
      </c>
      <c r="AI216" s="233">
        <f t="shared" si="88"/>
        <v>536009.02564244217</v>
      </c>
      <c r="AJ216" s="233">
        <f t="shared" si="88"/>
        <v>5025069.1868370082</v>
      </c>
      <c r="AK216" s="233">
        <f t="shared" si="88"/>
        <v>332898.10492278397</v>
      </c>
      <c r="AL216" s="233">
        <f t="shared" si="88"/>
        <v>153.86098435743193</v>
      </c>
      <c r="AM216" s="233">
        <f t="shared" si="86"/>
        <v>3704.2867175014312</v>
      </c>
      <c r="AN216" s="233">
        <f t="shared" si="86"/>
        <v>538530.23257899564</v>
      </c>
      <c r="AO216" s="233">
        <f t="shared" si="86"/>
        <v>5038704.9198785629</v>
      </c>
      <c r="AP216" s="233">
        <f t="shared" si="86"/>
        <v>267155.37849795341</v>
      </c>
      <c r="AQ216" s="233">
        <f t="shared" si="86"/>
        <v>149.64376069399</v>
      </c>
      <c r="AR216" s="373">
        <v>78.2</v>
      </c>
      <c r="AS216" s="231">
        <f t="shared" si="87"/>
        <v>8696.6220000000012</v>
      </c>
    </row>
    <row r="217" spans="2:45" ht="72.5" x14ac:dyDescent="0.35">
      <c r="B217" s="56" t="s">
        <v>92</v>
      </c>
      <c r="C217" s="361" t="s">
        <v>202</v>
      </c>
      <c r="D217" s="56">
        <v>7</v>
      </c>
      <c r="E217" s="3">
        <v>119.55900000000001</v>
      </c>
      <c r="F217" s="3">
        <v>858.53906751359887</v>
      </c>
      <c r="G217" s="3">
        <v>171773.24870881488</v>
      </c>
      <c r="H217" s="3">
        <v>40.640041638550635</v>
      </c>
      <c r="I217" s="3">
        <v>1.5478984228977235</v>
      </c>
      <c r="J217" s="3">
        <f t="shared" si="80"/>
        <v>45.969579266970072</v>
      </c>
      <c r="K217" s="3">
        <v>735.45547816475857</v>
      </c>
      <c r="L217" s="3">
        <v>173379.78630145011</v>
      </c>
      <c r="M217" s="3">
        <v>40.964423022048308</v>
      </c>
      <c r="N217" s="3">
        <v>1.3169611014688289</v>
      </c>
      <c r="O217" s="3">
        <f t="shared" si="81"/>
        <v>45.684370315406518</v>
      </c>
      <c r="P217" s="3">
        <f t="shared" si="82"/>
        <v>23.848307430933303</v>
      </c>
      <c r="Q217" s="3">
        <f t="shared" si="83"/>
        <v>4771.4791308004133</v>
      </c>
      <c r="R217" s="3">
        <f t="shared" si="76"/>
        <v>44446.658872028216</v>
      </c>
      <c r="S217" s="3">
        <f t="shared" si="76"/>
        <v>1692.8849085091435</v>
      </c>
      <c r="T217" s="3">
        <f t="shared" si="77"/>
        <v>1.2769327574158353</v>
      </c>
      <c r="U217" s="3">
        <f t="shared" si="77"/>
        <v>20.42931883790996</v>
      </c>
      <c r="V217" s="3">
        <f t="shared" si="77"/>
        <v>4816.1051750402803</v>
      </c>
      <c r="W217" s="3">
        <f t="shared" si="78"/>
        <v>44801.42397844683</v>
      </c>
      <c r="X217" s="3">
        <f t="shared" si="78"/>
        <v>1440.316457973076</v>
      </c>
      <c r="Y217" s="3">
        <f t="shared" si="79"/>
        <v>1.26901028653907</v>
      </c>
      <c r="Z217" s="3">
        <f t="shared" si="73"/>
        <v>3.418988593023343</v>
      </c>
      <c r="AA217" s="3">
        <f t="shared" si="73"/>
        <v>-44.626044239867042</v>
      </c>
      <c r="AB217" s="3">
        <f t="shared" si="84"/>
        <v>-102.19665588254747</v>
      </c>
      <c r="AC217" s="3">
        <f t="shared" si="85"/>
        <v>7.9224708767653418E-3</v>
      </c>
      <c r="AD217" s="3">
        <f t="shared" si="74"/>
        <v>408.77085719327789</v>
      </c>
      <c r="AE217" s="3">
        <f t="shared" si="74"/>
        <v>-5335.4452232742642</v>
      </c>
      <c r="AF217" s="3">
        <f t="shared" si="74"/>
        <v>-12218.529980661495</v>
      </c>
      <c r="AG217" s="3">
        <f t="shared" si="74"/>
        <v>0.94720269555518755</v>
      </c>
      <c r="AH217" s="233">
        <f t="shared" si="88"/>
        <v>2851.2797881349552</v>
      </c>
      <c r="AI217" s="233">
        <f t="shared" si="88"/>
        <v>570473.27339936665</v>
      </c>
      <c r="AJ217" s="233">
        <f t="shared" si="88"/>
        <v>5313998.0880808216</v>
      </c>
      <c r="AK217" s="233">
        <f t="shared" si="88"/>
        <v>202399.62677644473</v>
      </c>
      <c r="AL217" s="233">
        <f t="shared" si="88"/>
        <v>152.66880354387987</v>
      </c>
      <c r="AM217" s="233">
        <f t="shared" si="86"/>
        <v>2442.5089309416771</v>
      </c>
      <c r="AN217" s="233">
        <f t="shared" si="86"/>
        <v>575808.71862264094</v>
      </c>
      <c r="AO217" s="233">
        <f t="shared" si="86"/>
        <v>5356413.4494391251</v>
      </c>
      <c r="AP217" s="233">
        <f t="shared" si="86"/>
        <v>172202.79539880302</v>
      </c>
      <c r="AQ217" s="233">
        <f t="shared" si="86"/>
        <v>151.7216008483247</v>
      </c>
      <c r="AR217" s="373">
        <v>81.63</v>
      </c>
      <c r="AS217" s="231">
        <f t="shared" si="87"/>
        <v>9759.6011699999999</v>
      </c>
    </row>
    <row r="218" spans="2:45" ht="72.5" x14ac:dyDescent="0.35">
      <c r="B218" s="56" t="s">
        <v>92</v>
      </c>
      <c r="C218" s="361" t="s">
        <v>202</v>
      </c>
      <c r="D218" s="56">
        <v>8</v>
      </c>
      <c r="E218" s="3">
        <v>156.35400000000001</v>
      </c>
      <c r="F218" s="3">
        <v>1259.5639514223083</v>
      </c>
      <c r="G218" s="3">
        <v>180044.81547349103</v>
      </c>
      <c r="H218" s="3">
        <v>43.42036742717962</v>
      </c>
      <c r="I218" s="3">
        <v>2.3179193850736639</v>
      </c>
      <c r="J218" s="3">
        <f t="shared" si="80"/>
        <v>50.145060119705434</v>
      </c>
      <c r="K218" s="3">
        <v>1025.9094654917353</v>
      </c>
      <c r="L218" s="3">
        <v>180201.6577141064</v>
      </c>
      <c r="M218" s="3">
        <v>43.263916393980494</v>
      </c>
      <c r="N218" s="3">
        <v>1.8749747158254242</v>
      </c>
      <c r="O218" s="3">
        <f t="shared" si="81"/>
        <v>48.908307591002178</v>
      </c>
      <c r="P218" s="3">
        <f t="shared" si="82"/>
        <v>34.987887539508563</v>
      </c>
      <c r="Q218" s="3">
        <f t="shared" si="83"/>
        <v>5001.2448742636398</v>
      </c>
      <c r="R218" s="3">
        <f t="shared" si="76"/>
        <v>47487.408509525441</v>
      </c>
      <c r="S218" s="3">
        <f t="shared" si="76"/>
        <v>2535.031167475564</v>
      </c>
      <c r="T218" s="3">
        <f t="shared" si="77"/>
        <v>1.3929183366584843</v>
      </c>
      <c r="U218" s="3">
        <f t="shared" si="77"/>
        <v>28.497485152548204</v>
      </c>
      <c r="V218" s="3">
        <f t="shared" si="77"/>
        <v>5005.6016031696226</v>
      </c>
      <c r="W218" s="3">
        <f t="shared" si="78"/>
        <v>47316.303229550002</v>
      </c>
      <c r="X218" s="3">
        <f t="shared" si="78"/>
        <v>2050.5973475410724</v>
      </c>
      <c r="Y218" s="3">
        <f t="shared" si="79"/>
        <v>1.3585640997500605</v>
      </c>
      <c r="Z218" s="3">
        <f t="shared" si="73"/>
        <v>6.4904023869603584</v>
      </c>
      <c r="AA218" s="3">
        <f t="shared" si="73"/>
        <v>-4.3567289059828909</v>
      </c>
      <c r="AB218" s="3">
        <f t="shared" si="84"/>
        <v>655.53909990993225</v>
      </c>
      <c r="AC218" s="3">
        <f t="shared" si="85"/>
        <v>3.4354236908423763E-2</v>
      </c>
      <c r="AD218" s="3">
        <f t="shared" si="74"/>
        <v>1014.8003748108</v>
      </c>
      <c r="AE218" s="3">
        <f t="shared" si="74"/>
        <v>-681.19199136604902</v>
      </c>
      <c r="AF218" s="3">
        <f t="shared" si="74"/>
        <v>102496.16042731756</v>
      </c>
      <c r="AG218" s="3">
        <f t="shared" si="74"/>
        <v>5.3714223575796893</v>
      </c>
      <c r="AH218" s="233">
        <f t="shared" si="88"/>
        <v>5470.4961683523225</v>
      </c>
      <c r="AI218" s="233">
        <f t="shared" si="88"/>
        <v>781964.64107061725</v>
      </c>
      <c r="AJ218" s="233">
        <f t="shared" si="88"/>
        <v>7424846.2700983416</v>
      </c>
      <c r="AK218" s="233">
        <f t="shared" si="88"/>
        <v>396362.26315947436</v>
      </c>
      <c r="AL218" s="233">
        <f t="shared" si="88"/>
        <v>217.78835360990067</v>
      </c>
      <c r="AM218" s="233">
        <f t="shared" si="86"/>
        <v>4455.6957935415221</v>
      </c>
      <c r="AN218" s="233">
        <f t="shared" si="86"/>
        <v>782645.83306198323</v>
      </c>
      <c r="AO218" s="233">
        <f t="shared" si="86"/>
        <v>7398093.2751530614</v>
      </c>
      <c r="AP218" s="233">
        <f t="shared" si="86"/>
        <v>320619.09767743683</v>
      </c>
      <c r="AQ218" s="233">
        <f t="shared" si="86"/>
        <v>212.41693125232098</v>
      </c>
      <c r="AR218" s="373">
        <v>79.75</v>
      </c>
      <c r="AS218" s="231">
        <f t="shared" si="87"/>
        <v>12469.231500000002</v>
      </c>
    </row>
    <row r="219" spans="2:45" ht="72.5" x14ac:dyDescent="0.35">
      <c r="B219" s="56" t="s">
        <v>92</v>
      </c>
      <c r="C219" s="361" t="s">
        <v>202</v>
      </c>
      <c r="D219" s="56">
        <v>9</v>
      </c>
      <c r="E219" s="3">
        <v>367.09200000000004</v>
      </c>
      <c r="F219" s="3">
        <v>1573.7987330843405</v>
      </c>
      <c r="G219" s="3">
        <v>185451.42422963498</v>
      </c>
      <c r="H219" s="3">
        <v>45.77293067853428</v>
      </c>
      <c r="I219" s="3">
        <v>2.9073565257858411</v>
      </c>
      <c r="J219" s="3">
        <f t="shared" si="80"/>
        <v>53.158540942929221</v>
      </c>
      <c r="K219" s="3">
        <v>1259.7683732796208</v>
      </c>
      <c r="L219" s="3">
        <v>184521.42962589083</v>
      </c>
      <c r="M219" s="3">
        <v>45.198166639282242</v>
      </c>
      <c r="N219" s="3">
        <v>2.3145693749152909</v>
      </c>
      <c r="O219" s="3">
        <f t="shared" si="81"/>
        <v>51.222156524063621</v>
      </c>
      <c r="P219" s="3">
        <f t="shared" si="82"/>
        <v>43.716631474565013</v>
      </c>
      <c r="Q219" s="3">
        <f t="shared" si="83"/>
        <v>5151.428450823194</v>
      </c>
      <c r="R219" s="3">
        <f t="shared" si="76"/>
        <v>50060.328518756985</v>
      </c>
      <c r="S219" s="3">
        <f t="shared" si="76"/>
        <v>3179.6789203677818</v>
      </c>
      <c r="T219" s="3">
        <f t="shared" si="77"/>
        <v>1.4766261373035894</v>
      </c>
      <c r="U219" s="3">
        <f t="shared" si="77"/>
        <v>34.993565924433909</v>
      </c>
      <c r="V219" s="3">
        <f t="shared" si="77"/>
        <v>5125.5952673858565</v>
      </c>
      <c r="W219" s="3">
        <f t="shared" si="78"/>
        <v>49431.728247828345</v>
      </c>
      <c r="X219" s="3">
        <f t="shared" si="78"/>
        <v>2531.3673730323562</v>
      </c>
      <c r="Y219" s="3">
        <f t="shared" si="79"/>
        <v>1.4228376812239896</v>
      </c>
      <c r="Z219" s="3">
        <f t="shared" si="73"/>
        <v>8.7230655501311034</v>
      </c>
      <c r="AA219" s="3">
        <f t="shared" si="73"/>
        <v>25.833183437337539</v>
      </c>
      <c r="AB219" s="3">
        <f t="shared" si="84"/>
        <v>1276.9118182640677</v>
      </c>
      <c r="AC219" s="3">
        <f t="shared" si="85"/>
        <v>5.3788456079599811E-2</v>
      </c>
      <c r="AD219" s="3">
        <f t="shared" si="74"/>
        <v>3202.1675789287274</v>
      </c>
      <c r="AE219" s="3">
        <f t="shared" si="74"/>
        <v>9483.1549743791129</v>
      </c>
      <c r="AF219" s="3">
        <f t="shared" si="74"/>
        <v>468744.11319019319</v>
      </c>
      <c r="AG219" s="3">
        <f t="shared" si="74"/>
        <v>19.745311919172455</v>
      </c>
      <c r="AH219" s="233">
        <f t="shared" si="88"/>
        <v>16048.025681261022</v>
      </c>
      <c r="AI219" s="233">
        <f t="shared" si="88"/>
        <v>1891048.1728695882</v>
      </c>
      <c r="AJ219" s="233">
        <f t="shared" si="88"/>
        <v>18376746.116607543</v>
      </c>
      <c r="AK219" s="233">
        <f t="shared" si="88"/>
        <v>1167234.6942356499</v>
      </c>
      <c r="AL219" s="233">
        <f t="shared" si="88"/>
        <v>542.05764199504927</v>
      </c>
      <c r="AM219" s="233">
        <f t="shared" si="86"/>
        <v>12845.858102332295</v>
      </c>
      <c r="AN219" s="233">
        <f t="shared" si="86"/>
        <v>1881565.0178952091</v>
      </c>
      <c r="AO219" s="233">
        <f t="shared" si="86"/>
        <v>18145991.985951804</v>
      </c>
      <c r="AP219" s="233">
        <f t="shared" si="86"/>
        <v>929244.71170119382</v>
      </c>
      <c r="AQ219" s="233">
        <f t="shared" si="86"/>
        <v>522.31233007587684</v>
      </c>
      <c r="AR219" s="373">
        <v>77.180000000000007</v>
      </c>
      <c r="AS219" s="231">
        <f t="shared" si="87"/>
        <v>28332.160560000004</v>
      </c>
    </row>
    <row r="220" spans="2:45" ht="72.5" x14ac:dyDescent="0.35">
      <c r="B220" s="56" t="s">
        <v>92</v>
      </c>
      <c r="C220" s="361" t="s">
        <v>202</v>
      </c>
      <c r="D220" s="56">
        <v>10</v>
      </c>
      <c r="E220" s="3">
        <v>129.69000000000003</v>
      </c>
      <c r="F220" s="3">
        <v>1850.6219404225401</v>
      </c>
      <c r="G220" s="3">
        <v>188445.97629436775</v>
      </c>
      <c r="H220" s="3">
        <v>46.497551533870109</v>
      </c>
      <c r="I220" s="3">
        <v>3.4192007176224002</v>
      </c>
      <c r="J220" s="3">
        <f t="shared" si="80"/>
        <v>55.388210721002402</v>
      </c>
      <c r="K220" s="3">
        <v>1473.1296347658592</v>
      </c>
      <c r="L220" s="3">
        <v>187193.86413865996</v>
      </c>
      <c r="M220" s="3">
        <v>45.88633523546013</v>
      </c>
      <c r="N220" s="3">
        <v>2.709143301338488</v>
      </c>
      <c r="O220" s="3">
        <f t="shared" si="81"/>
        <v>53.02825506466246</v>
      </c>
      <c r="P220" s="3">
        <f t="shared" si="82"/>
        <v>51.406165011737222</v>
      </c>
      <c r="Q220" s="3">
        <f t="shared" si="83"/>
        <v>5234.6104526213267</v>
      </c>
      <c r="R220" s="3">
        <f t="shared" si="76"/>
        <v>50852.822194209279</v>
      </c>
      <c r="S220" s="3">
        <f t="shared" si="76"/>
        <v>3739.4658515063652</v>
      </c>
      <c r="T220" s="3">
        <f t="shared" si="77"/>
        <v>1.5385614089167334</v>
      </c>
      <c r="U220" s="3">
        <f t="shared" si="77"/>
        <v>40.920267632384977</v>
      </c>
      <c r="V220" s="3">
        <f t="shared" si="77"/>
        <v>5199.8295594072215</v>
      </c>
      <c r="W220" s="3">
        <f t="shared" si="78"/>
        <v>50184.355302514894</v>
      </c>
      <c r="X220" s="3">
        <f t="shared" si="78"/>
        <v>2962.8997238971929</v>
      </c>
      <c r="Y220" s="3">
        <f t="shared" si="79"/>
        <v>1.4730070851295127</v>
      </c>
      <c r="Z220" s="3">
        <f t="shared" si="73"/>
        <v>10.485897379352245</v>
      </c>
      <c r="AA220" s="3">
        <f t="shared" si="73"/>
        <v>34.780893214105163</v>
      </c>
      <c r="AB220" s="3">
        <f t="shared" si="84"/>
        <v>1445.0330193035556</v>
      </c>
      <c r="AC220" s="3">
        <f t="shared" si="85"/>
        <v>6.5554323787220703E-2</v>
      </c>
      <c r="AD220" s="3">
        <f t="shared" si="74"/>
        <v>1359.916031128193</v>
      </c>
      <c r="AE220" s="3">
        <f t="shared" si="74"/>
        <v>4510.7340409372991</v>
      </c>
      <c r="AF220" s="3">
        <f t="shared" si="74"/>
        <v>187406.33227347818</v>
      </c>
      <c r="AG220" s="3">
        <f t="shared" si="74"/>
        <v>8.5017402519646552</v>
      </c>
      <c r="AH220" s="233">
        <f t="shared" si="88"/>
        <v>6666.8655403722014</v>
      </c>
      <c r="AI220" s="233">
        <f t="shared" si="88"/>
        <v>678876.62960045994</v>
      </c>
      <c r="AJ220" s="233">
        <f t="shared" si="88"/>
        <v>6595102.5103670023</v>
      </c>
      <c r="AK220" s="233">
        <f t="shared" si="88"/>
        <v>484971.32628186059</v>
      </c>
      <c r="AL220" s="233">
        <f t="shared" si="88"/>
        <v>199.53602912241121</v>
      </c>
      <c r="AM220" s="233">
        <f t="shared" si="86"/>
        <v>5306.9495092440084</v>
      </c>
      <c r="AN220" s="233">
        <f t="shared" si="86"/>
        <v>674365.89555952267</v>
      </c>
      <c r="AO220" s="233">
        <f t="shared" si="86"/>
        <v>6508409.0391831575</v>
      </c>
      <c r="AP220" s="233">
        <f t="shared" si="86"/>
        <v>384258.46519222704</v>
      </c>
      <c r="AQ220" s="233">
        <f t="shared" si="86"/>
        <v>191.03428887044655</v>
      </c>
      <c r="AR220" s="373">
        <v>79</v>
      </c>
      <c r="AS220" s="231">
        <f t="shared" si="87"/>
        <v>10245.510000000002</v>
      </c>
    </row>
    <row r="221" spans="2:45" ht="72.5" x14ac:dyDescent="0.35">
      <c r="B221" s="56" t="s">
        <v>92</v>
      </c>
      <c r="C221" s="361" t="s">
        <v>202</v>
      </c>
      <c r="D221" s="56">
        <v>11</v>
      </c>
      <c r="E221" s="3">
        <v>37.02600000000001</v>
      </c>
      <c r="F221" s="3">
        <v>3427.5106170239942</v>
      </c>
      <c r="G221" s="3">
        <v>194946.33155007678</v>
      </c>
      <c r="H221" s="3">
        <v>48.985718180762682</v>
      </c>
      <c r="I221" s="3">
        <v>6.4249901842466679</v>
      </c>
      <c r="J221" s="3">
        <f t="shared" si="80"/>
        <v>65.551629207821065</v>
      </c>
      <c r="K221" s="3">
        <v>2689.3142254499598</v>
      </c>
      <c r="L221" s="3">
        <v>191961.49875605316</v>
      </c>
      <c r="M221" s="3">
        <v>47.875292547230245</v>
      </c>
      <c r="N221" s="3">
        <v>5.0295606433389013</v>
      </c>
      <c r="O221" s="3">
        <f t="shared" si="81"/>
        <v>60.807770787194897</v>
      </c>
      <c r="P221" s="3">
        <f t="shared" si="82"/>
        <v>95.208628250666507</v>
      </c>
      <c r="Q221" s="3">
        <f t="shared" si="83"/>
        <v>5415.175876391022</v>
      </c>
      <c r="R221" s="3">
        <f t="shared" si="76"/>
        <v>53574.047117027454</v>
      </c>
      <c r="S221" s="3">
        <f t="shared" si="76"/>
        <v>7026.7975981711061</v>
      </c>
      <c r="T221" s="3">
        <f t="shared" si="77"/>
        <v>1.8208785891061408</v>
      </c>
      <c r="U221" s="3">
        <f t="shared" si="77"/>
        <v>74.703172929165547</v>
      </c>
      <c r="V221" s="3">
        <f t="shared" si="77"/>
        <v>5332.2638543348103</v>
      </c>
      <c r="W221" s="3">
        <f t="shared" si="78"/>
        <v>52359.61161582081</v>
      </c>
      <c r="X221" s="3">
        <f t="shared" si="78"/>
        <v>5500.6628235983117</v>
      </c>
      <c r="Y221" s="3">
        <f t="shared" si="79"/>
        <v>1.6891047440887472</v>
      </c>
      <c r="Z221" s="3">
        <f t="shared" si="73"/>
        <v>20.505455321500961</v>
      </c>
      <c r="AA221" s="3">
        <f t="shared" si="73"/>
        <v>82.912022056211754</v>
      </c>
      <c r="AB221" s="3">
        <f t="shared" si="84"/>
        <v>2740.5702757794388</v>
      </c>
      <c r="AC221" s="3">
        <f t="shared" si="85"/>
        <v>0.13177384501739353</v>
      </c>
      <c r="AD221" s="3">
        <f t="shared" si="74"/>
        <v>759.23498873389474</v>
      </c>
      <c r="AE221" s="3">
        <f t="shared" si="74"/>
        <v>3069.9005286532974</v>
      </c>
      <c r="AF221" s="3">
        <f t="shared" si="74"/>
        <v>101472.35503100953</v>
      </c>
      <c r="AG221" s="3">
        <f t="shared" si="74"/>
        <v>4.8790583856140142</v>
      </c>
      <c r="AH221" s="233">
        <f t="shared" si="88"/>
        <v>3525.1946696091791</v>
      </c>
      <c r="AI221" s="233">
        <f t="shared" si="88"/>
        <v>200502.30199925404</v>
      </c>
      <c r="AJ221" s="233">
        <f t="shared" si="88"/>
        <v>1983632.668555059</v>
      </c>
      <c r="AK221" s="233">
        <f t="shared" si="88"/>
        <v>260174.20786988345</v>
      </c>
      <c r="AL221" s="233">
        <f t="shared" si="88"/>
        <v>67.419850640243993</v>
      </c>
      <c r="AM221" s="233">
        <f t="shared" si="86"/>
        <v>2765.9596808752844</v>
      </c>
      <c r="AN221" s="233">
        <f t="shared" si="86"/>
        <v>197432.40147060074</v>
      </c>
      <c r="AO221" s="233">
        <f t="shared" si="86"/>
        <v>1938666.9796873818</v>
      </c>
      <c r="AP221" s="233">
        <f t="shared" si="86"/>
        <v>203667.54170655116</v>
      </c>
      <c r="AQ221" s="233">
        <f t="shared" si="86"/>
        <v>62.54079225462997</v>
      </c>
      <c r="AR221" s="373">
        <v>78.25</v>
      </c>
      <c r="AS221" s="231">
        <f t="shared" si="87"/>
        <v>2897.2845000000007</v>
      </c>
    </row>
    <row r="222" spans="2:45" ht="72.5" x14ac:dyDescent="0.35">
      <c r="B222" s="56" t="s">
        <v>92</v>
      </c>
      <c r="C222" s="361" t="s">
        <v>202</v>
      </c>
      <c r="D222" s="56">
        <v>12</v>
      </c>
      <c r="E222" s="3">
        <v>209.05500000000001</v>
      </c>
      <c r="F222" s="3">
        <v>3422.6976276590044</v>
      </c>
      <c r="G222" s="3">
        <v>184613.78878247447</v>
      </c>
      <c r="H222" s="3">
        <v>46.321761106060265</v>
      </c>
      <c r="I222" s="3">
        <v>6.4175539791162359</v>
      </c>
      <c r="J222" s="3">
        <f t="shared" si="80"/>
        <v>63.041887715040566</v>
      </c>
      <c r="K222" s="3">
        <v>2671.3129220573346</v>
      </c>
      <c r="L222" s="3">
        <v>182630.19382520506</v>
      </c>
      <c r="M222" s="3">
        <v>45.491304784445539</v>
      </c>
      <c r="N222" s="3">
        <v>4.9953281353729064</v>
      </c>
      <c r="O222" s="3">
        <f t="shared" si="81"/>
        <v>58.46674823999065</v>
      </c>
      <c r="P222" s="3">
        <f t="shared" si="82"/>
        <v>95.074934101639016</v>
      </c>
      <c r="Q222" s="3">
        <f t="shared" si="83"/>
        <v>5128.1607995131799</v>
      </c>
      <c r="R222" s="3">
        <f t="shared" si="76"/>
        <v>50660.566062994571</v>
      </c>
      <c r="S222" s="3">
        <f t="shared" si="76"/>
        <v>7018.6648684934562</v>
      </c>
      <c r="T222" s="3">
        <f t="shared" si="77"/>
        <v>1.7511635476400158</v>
      </c>
      <c r="U222" s="3">
        <f t="shared" si="77"/>
        <v>74.20313672381485</v>
      </c>
      <c r="V222" s="3">
        <f t="shared" si="77"/>
        <v>5073.0609395890297</v>
      </c>
      <c r="W222" s="3">
        <f t="shared" si="78"/>
        <v>49752.32366592194</v>
      </c>
      <c r="X222" s="3">
        <f t="shared" si="78"/>
        <v>5463.2238707195029</v>
      </c>
      <c r="Y222" s="3">
        <f t="shared" si="79"/>
        <v>1.6240763399997402</v>
      </c>
      <c r="Z222" s="3">
        <f t="shared" si="73"/>
        <v>20.871797377824166</v>
      </c>
      <c r="AA222" s="3">
        <f t="shared" si="73"/>
        <v>55.099859924150223</v>
      </c>
      <c r="AB222" s="3">
        <f t="shared" si="84"/>
        <v>2463.6833948465828</v>
      </c>
      <c r="AC222" s="3">
        <f t="shared" si="85"/>
        <v>0.12708720764027559</v>
      </c>
      <c r="AD222" s="3">
        <f t="shared" si="74"/>
        <v>4363.3536008210313</v>
      </c>
      <c r="AE222" s="3">
        <f t="shared" si="74"/>
        <v>11518.901216443226</v>
      </c>
      <c r="AF222" s="3">
        <f t="shared" si="74"/>
        <v>515045.3321096524</v>
      </c>
      <c r="AG222" s="3">
        <f t="shared" si="74"/>
        <v>26.568216193237813</v>
      </c>
      <c r="AH222" s="233">
        <f t="shared" si="88"/>
        <v>19875.890348618144</v>
      </c>
      <c r="AI222" s="233">
        <f t="shared" si="88"/>
        <v>1072067.6559422279</v>
      </c>
      <c r="AJ222" s="233">
        <f t="shared" si="88"/>
        <v>10590844.638299331</v>
      </c>
      <c r="AK222" s="233">
        <f t="shared" si="88"/>
        <v>1467286.9840828995</v>
      </c>
      <c r="AL222" s="233">
        <f t="shared" si="88"/>
        <v>366.08949545188352</v>
      </c>
      <c r="AM222" s="233">
        <f t="shared" si="86"/>
        <v>15512.536747797114</v>
      </c>
      <c r="AN222" s="233">
        <f t="shared" si="86"/>
        <v>1060548.7547257845</v>
      </c>
      <c r="AO222" s="233">
        <f t="shared" si="86"/>
        <v>10400972.023979312</v>
      </c>
      <c r="AP222" s="233">
        <f t="shared" si="86"/>
        <v>1142114.2662932656</v>
      </c>
      <c r="AQ222" s="233">
        <f t="shared" si="86"/>
        <v>339.52127925864568</v>
      </c>
      <c r="AR222" s="373">
        <v>79.66</v>
      </c>
      <c r="AS222" s="231">
        <f t="shared" si="87"/>
        <v>16653.3213</v>
      </c>
    </row>
    <row r="223" spans="2:45" ht="72.5" x14ac:dyDescent="0.35">
      <c r="B223" s="56" t="s">
        <v>92</v>
      </c>
      <c r="C223" s="361" t="s">
        <v>202</v>
      </c>
      <c r="D223" s="56">
        <v>13</v>
      </c>
      <c r="E223" s="3">
        <v>61.01700000000001</v>
      </c>
      <c r="F223" s="3">
        <v>3072.655547748016</v>
      </c>
      <c r="G223" s="3">
        <v>195608.92260852622</v>
      </c>
      <c r="H223" s="3">
        <v>48.871948752283238</v>
      </c>
      <c r="I223" s="3">
        <v>5.7951434428400592</v>
      </c>
      <c r="J223" s="3">
        <f t="shared" si="80"/>
        <v>63.775357171864172</v>
      </c>
      <c r="K223" s="3">
        <v>2402.6985947175135</v>
      </c>
      <c r="L223" s="3">
        <v>192642.83118500782</v>
      </c>
      <c r="M223" s="3">
        <v>47.789749687592725</v>
      </c>
      <c r="N223" s="3">
        <v>4.5172958635250442</v>
      </c>
      <c r="O223" s="3">
        <f t="shared" si="81"/>
        <v>59.408210149197515</v>
      </c>
      <c r="P223" s="3">
        <f t="shared" si="82"/>
        <v>85.35154299300045</v>
      </c>
      <c r="Q223" s="3">
        <f t="shared" si="83"/>
        <v>5433.5811835701725</v>
      </c>
      <c r="R223" s="3">
        <f t="shared" si="76"/>
        <v>53449.621285413763</v>
      </c>
      <c r="S223" s="3">
        <f t="shared" si="76"/>
        <v>6337.9552119860782</v>
      </c>
      <c r="T223" s="3">
        <f t="shared" si="77"/>
        <v>1.7715376992184493</v>
      </c>
      <c r="U223" s="3">
        <f t="shared" si="77"/>
        <v>66.741627631042036</v>
      </c>
      <c r="V223" s="3">
        <f t="shared" si="77"/>
        <v>5351.1897551391057</v>
      </c>
      <c r="W223" s="3">
        <f t="shared" si="78"/>
        <v>52266.056241663908</v>
      </c>
      <c r="X223" s="3">
        <f t="shared" si="78"/>
        <v>4940.4159094085562</v>
      </c>
      <c r="Y223" s="3">
        <f t="shared" si="79"/>
        <v>1.650228059699931</v>
      </c>
      <c r="Z223" s="3">
        <f t="shared" si="73"/>
        <v>18.609915361958414</v>
      </c>
      <c r="AA223" s="3">
        <f t="shared" si="73"/>
        <v>82.391428431066743</v>
      </c>
      <c r="AB223" s="3">
        <f t="shared" si="84"/>
        <v>2581.1043463273809</v>
      </c>
      <c r="AC223" s="3">
        <f t="shared" si="85"/>
        <v>0.12130963951851825</v>
      </c>
      <c r="AD223" s="3">
        <f t="shared" si="74"/>
        <v>1135.5212056406167</v>
      </c>
      <c r="AE223" s="3">
        <f t="shared" si="74"/>
        <v>5027.2777885783998</v>
      </c>
      <c r="AF223" s="3">
        <f t="shared" si="74"/>
        <v>157491.24389985783</v>
      </c>
      <c r="AG223" s="3">
        <f t="shared" si="74"/>
        <v>7.4019502745014298</v>
      </c>
      <c r="AH223" s="233">
        <f t="shared" si="88"/>
        <v>5207.8950988039096</v>
      </c>
      <c r="AI223" s="233">
        <f t="shared" si="88"/>
        <v>331540.82307790127</v>
      </c>
      <c r="AJ223" s="233">
        <f t="shared" si="88"/>
        <v>3261335.5419720919</v>
      </c>
      <c r="AK223" s="233">
        <f t="shared" si="88"/>
        <v>386723.01316975459</v>
      </c>
      <c r="AL223" s="233">
        <f t="shared" si="88"/>
        <v>108.09391579321213</v>
      </c>
      <c r="AM223" s="233">
        <f t="shared" si="86"/>
        <v>4072.3738931632925</v>
      </c>
      <c r="AN223" s="233">
        <f t="shared" si="86"/>
        <v>326513.54528932285</v>
      </c>
      <c r="AO223" s="233">
        <f t="shared" si="86"/>
        <v>3189117.9536976074</v>
      </c>
      <c r="AP223" s="233">
        <f t="shared" si="86"/>
        <v>301449.35754438193</v>
      </c>
      <c r="AQ223" s="233">
        <f t="shared" si="86"/>
        <v>100.6919655187107</v>
      </c>
      <c r="AR223" s="373">
        <v>78.39</v>
      </c>
      <c r="AS223" s="231">
        <f t="shared" si="87"/>
        <v>4783.1226300000008</v>
      </c>
    </row>
    <row r="224" spans="2:45" ht="72.5" x14ac:dyDescent="0.35">
      <c r="B224" s="56" t="s">
        <v>92</v>
      </c>
      <c r="C224" s="361" t="s">
        <v>202</v>
      </c>
      <c r="D224" s="56">
        <v>14</v>
      </c>
      <c r="E224" s="3">
        <v>27.720000000000002</v>
      </c>
      <c r="F224" s="3">
        <v>3442.8804356564633</v>
      </c>
      <c r="G224" s="3">
        <v>195687.59313793795</v>
      </c>
      <c r="H224" s="3">
        <v>48.355934344934603</v>
      </c>
      <c r="I224" s="3">
        <v>6.4618243504753332</v>
      </c>
      <c r="J224" s="3">
        <f t="shared" si="80"/>
        <v>65.813629432241783</v>
      </c>
      <c r="K224" s="3">
        <v>2706.2698191941095</v>
      </c>
      <c r="L224" s="3">
        <v>193038.45975153669</v>
      </c>
      <c r="M224" s="3">
        <v>47.415785361432327</v>
      </c>
      <c r="N224" s="3">
        <v>5.0677570453102057</v>
      </c>
      <c r="O224" s="3">
        <f t="shared" si="81"/>
        <v>61.159107892163377</v>
      </c>
      <c r="P224" s="3">
        <f t="shared" si="82"/>
        <v>95.635567657123985</v>
      </c>
      <c r="Q224" s="3">
        <f t="shared" si="83"/>
        <v>5435.7664760538319</v>
      </c>
      <c r="R224" s="3">
        <f t="shared" si="76"/>
        <v>52885.273528576814</v>
      </c>
      <c r="S224" s="3">
        <f t="shared" si="76"/>
        <v>7067.0818979698561</v>
      </c>
      <c r="T224" s="3">
        <f t="shared" si="77"/>
        <v>1.8281563731178272</v>
      </c>
      <c r="U224" s="3">
        <f t="shared" si="77"/>
        <v>75.174161644280815</v>
      </c>
      <c r="V224" s="3">
        <f t="shared" si="77"/>
        <v>5362.1794375426862</v>
      </c>
      <c r="W224" s="3">
        <f t="shared" si="78"/>
        <v>51857.063923619826</v>
      </c>
      <c r="X224" s="3">
        <f t="shared" si="78"/>
        <v>5542.4369552209282</v>
      </c>
      <c r="Y224" s="3">
        <f t="shared" si="79"/>
        <v>1.6988641081156493</v>
      </c>
      <c r="Z224" s="3">
        <f t="shared" si="73"/>
        <v>20.46140601284317</v>
      </c>
      <c r="AA224" s="3">
        <f t="shared" si="73"/>
        <v>73.587038511145693</v>
      </c>
      <c r="AB224" s="3">
        <f t="shared" si="84"/>
        <v>2552.8545477059124</v>
      </c>
      <c r="AC224" s="3">
        <f t="shared" si="85"/>
        <v>0.12929226500217794</v>
      </c>
      <c r="AD224" s="3">
        <f t="shared" si="74"/>
        <v>567.1901746760127</v>
      </c>
      <c r="AE224" s="3">
        <f t="shared" si="74"/>
        <v>2039.8327075289587</v>
      </c>
      <c r="AF224" s="3">
        <f t="shared" si="74"/>
        <v>70765.128062407894</v>
      </c>
      <c r="AG224" s="3">
        <f t="shared" si="74"/>
        <v>3.5839815858603727</v>
      </c>
      <c r="AH224" s="233">
        <f t="shared" si="88"/>
        <v>2651.0179354554771</v>
      </c>
      <c r="AI224" s="233">
        <f t="shared" si="88"/>
        <v>150679.44671621223</v>
      </c>
      <c r="AJ224" s="233">
        <f t="shared" si="88"/>
        <v>1465979.7822121494</v>
      </c>
      <c r="AK224" s="233">
        <f t="shared" si="88"/>
        <v>195899.51021172444</v>
      </c>
      <c r="AL224" s="233">
        <f t="shared" si="88"/>
        <v>50.676494662826173</v>
      </c>
      <c r="AM224" s="233">
        <f t="shared" si="86"/>
        <v>2083.8277607794644</v>
      </c>
      <c r="AN224" s="233">
        <f t="shared" si="86"/>
        <v>148639.61400868327</v>
      </c>
      <c r="AO224" s="233">
        <f t="shared" si="86"/>
        <v>1437477.8119627417</v>
      </c>
      <c r="AP224" s="233">
        <f t="shared" si="86"/>
        <v>153636.35239872415</v>
      </c>
      <c r="AQ224" s="233">
        <f t="shared" si="86"/>
        <v>47.092513076965801</v>
      </c>
      <c r="AR224" s="373">
        <v>78.260000000000005</v>
      </c>
      <c r="AS224" s="231">
        <f t="shared" si="87"/>
        <v>2169.3672000000001</v>
      </c>
    </row>
    <row r="225" spans="2:47" ht="72.5" x14ac:dyDescent="0.35">
      <c r="B225" s="56" t="s">
        <v>92</v>
      </c>
      <c r="C225" s="361" t="s">
        <v>202</v>
      </c>
      <c r="D225" s="56">
        <v>15</v>
      </c>
      <c r="E225" s="3">
        <v>18.051000000000002</v>
      </c>
      <c r="F225" s="3">
        <v>1017.59673279753</v>
      </c>
      <c r="G225" s="3">
        <v>236263.72410385407</v>
      </c>
      <c r="H225" s="3">
        <v>58.147436006748201</v>
      </c>
      <c r="I225" s="3">
        <v>1.8796431281260582</v>
      </c>
      <c r="J225" s="3">
        <f t="shared" si="80"/>
        <v>62.337824585566089</v>
      </c>
      <c r="K225" s="3">
        <v>852.42638402407613</v>
      </c>
      <c r="L225" s="3">
        <v>229922.86811792082</v>
      </c>
      <c r="M225" s="3">
        <v>56.212571517149122</v>
      </c>
      <c r="N225" s="3">
        <v>1.5619520120443098</v>
      </c>
      <c r="O225" s="3">
        <f t="shared" si="81"/>
        <v>59.912852308867869</v>
      </c>
      <c r="P225" s="3">
        <f t="shared" si="82"/>
        <v>28.266575911042498</v>
      </c>
      <c r="Q225" s="3">
        <f t="shared" si="83"/>
        <v>6562.8812251070576</v>
      </c>
      <c r="R225" s="3">
        <f t="shared" si="76"/>
        <v>63593.912512713614</v>
      </c>
      <c r="S225" s="3">
        <f t="shared" si="76"/>
        <v>2055.7030344605323</v>
      </c>
      <c r="T225" s="3">
        <f t="shared" si="77"/>
        <v>1.7316062384879469</v>
      </c>
      <c r="U225" s="3">
        <f t="shared" si="77"/>
        <v>23.678510667335448</v>
      </c>
      <c r="V225" s="3">
        <f t="shared" si="77"/>
        <v>6386.7463366089114</v>
      </c>
      <c r="W225" s="3">
        <f t="shared" si="78"/>
        <v>61477.815715922094</v>
      </c>
      <c r="X225" s="3">
        <f t="shared" si="78"/>
        <v>1708.2548505057935</v>
      </c>
      <c r="Y225" s="3">
        <f t="shared" si="79"/>
        <v>1.6642458974685519</v>
      </c>
      <c r="Z225" s="3">
        <f t="shared" si="73"/>
        <v>4.5880652437070495</v>
      </c>
      <c r="AA225" s="3">
        <f t="shared" si="73"/>
        <v>176.13488849814621</v>
      </c>
      <c r="AB225" s="3">
        <f t="shared" si="84"/>
        <v>2463.5449807462642</v>
      </c>
      <c r="AC225" s="3">
        <f t="shared" si="85"/>
        <v>6.7360341019395031E-2</v>
      </c>
      <c r="AD225" s="3">
        <f t="shared" si="74"/>
        <v>82.819165714155957</v>
      </c>
      <c r="AE225" s="3">
        <f t="shared" si="74"/>
        <v>3179.4108722800374</v>
      </c>
      <c r="AF225" s="3">
        <f t="shared" si="74"/>
        <v>44469.450447450821</v>
      </c>
      <c r="AG225" s="3">
        <f t="shared" si="74"/>
        <v>1.2159215157410999</v>
      </c>
      <c r="AH225" s="233">
        <f t="shared" si="88"/>
        <v>510.23996177022821</v>
      </c>
      <c r="AI225" s="233">
        <f t="shared" si="88"/>
        <v>118466.56899440751</v>
      </c>
      <c r="AJ225" s="233">
        <f t="shared" si="88"/>
        <v>1147933.7147669937</v>
      </c>
      <c r="AK225" s="233">
        <f t="shared" si="88"/>
        <v>37107.495475047072</v>
      </c>
      <c r="AL225" s="233">
        <f t="shared" si="88"/>
        <v>31.257224210945932</v>
      </c>
      <c r="AM225" s="233">
        <f t="shared" si="86"/>
        <v>427.42079605607222</v>
      </c>
      <c r="AN225" s="233">
        <f t="shared" si="86"/>
        <v>115287.15812212747</v>
      </c>
      <c r="AO225" s="233">
        <f t="shared" si="86"/>
        <v>1109736.0514881099</v>
      </c>
      <c r="AP225" s="233">
        <f t="shared" si="86"/>
        <v>30835.708306480083</v>
      </c>
      <c r="AQ225" s="233">
        <f t="shared" si="86"/>
        <v>30.041302695204834</v>
      </c>
      <c r="AR225" s="373">
        <v>86.51</v>
      </c>
      <c r="AS225" s="231">
        <f t="shared" si="87"/>
        <v>1561.5920100000003</v>
      </c>
    </row>
    <row r="226" spans="2:47" ht="72.5" x14ac:dyDescent="0.35">
      <c r="B226" s="56" t="s">
        <v>92</v>
      </c>
      <c r="C226" s="361" t="s">
        <v>202</v>
      </c>
      <c r="D226" s="56">
        <v>16</v>
      </c>
      <c r="E226" s="3">
        <v>11.187000000000001</v>
      </c>
      <c r="F226" s="3">
        <v>6513.9505859640967</v>
      </c>
      <c r="G226" s="3">
        <v>172271.66360624542</v>
      </c>
      <c r="H226" s="3">
        <v>41.510800341006004</v>
      </c>
      <c r="I226" s="3">
        <v>12.002834455203665</v>
      </c>
      <c r="J226" s="3">
        <f t="shared" si="80"/>
        <v>76.936385679789424</v>
      </c>
      <c r="K226" s="3">
        <v>5197.6570955676034</v>
      </c>
      <c r="L226" s="3">
        <v>171571.19883131073</v>
      </c>
      <c r="M226" s="3">
        <v>41.291051195848041</v>
      </c>
      <c r="N226" s="3">
        <v>9.5731048580345721</v>
      </c>
      <c r="O226" s="3">
        <f t="shared" si="81"/>
        <v>69.588402598549322</v>
      </c>
      <c r="P226" s="3">
        <f t="shared" si="82"/>
        <v>180.94307183233602</v>
      </c>
      <c r="Q226" s="3">
        <f t="shared" si="83"/>
        <v>4785.3239890623727</v>
      </c>
      <c r="R226" s="3">
        <f t="shared" si="76"/>
        <v>45398.978639613568</v>
      </c>
      <c r="S226" s="3">
        <f t="shared" si="76"/>
        <v>13127.09994917441</v>
      </c>
      <c r="T226" s="3">
        <f t="shared" si="77"/>
        <v>2.1371218244385952</v>
      </c>
      <c r="U226" s="3">
        <f t="shared" si="77"/>
        <v>144.37936376576675</v>
      </c>
      <c r="V226" s="3">
        <f t="shared" si="77"/>
        <v>4765.8666342030756</v>
      </c>
      <c r="W226" s="3">
        <f t="shared" si="78"/>
        <v>45158.646324525813</v>
      </c>
      <c r="X226" s="3">
        <f t="shared" si="78"/>
        <v>10469.785679737144</v>
      </c>
      <c r="Y226" s="3">
        <f t="shared" si="79"/>
        <v>1.9330111832930368</v>
      </c>
      <c r="Z226" s="3">
        <f t="shared" si="73"/>
        <v>36.563708066569262</v>
      </c>
      <c r="AA226" s="3">
        <f t="shared" si="73"/>
        <v>19.457354859297084</v>
      </c>
      <c r="AB226" s="3">
        <f t="shared" si="84"/>
        <v>2897.6465845250186</v>
      </c>
      <c r="AC226" s="3">
        <f t="shared" si="85"/>
        <v>0.20411064114555844</v>
      </c>
      <c r="AD226" s="3">
        <f t="shared" si="74"/>
        <v>409.03820214071038</v>
      </c>
      <c r="AE226" s="3">
        <f t="shared" si="74"/>
        <v>217.6694288109565</v>
      </c>
      <c r="AF226" s="3">
        <f t="shared" si="74"/>
        <v>32415.972341081386</v>
      </c>
      <c r="AG226" s="3">
        <f t="shared" si="74"/>
        <v>2.2833857424953625</v>
      </c>
      <c r="AH226" s="233">
        <f t="shared" si="88"/>
        <v>2024.2101445883432</v>
      </c>
      <c r="AI226" s="233">
        <f t="shared" si="88"/>
        <v>53533.419465640771</v>
      </c>
      <c r="AJ226" s="233">
        <f t="shared" si="88"/>
        <v>507878.37404135702</v>
      </c>
      <c r="AK226" s="233">
        <f t="shared" si="88"/>
        <v>146852.86713141412</v>
      </c>
      <c r="AL226" s="233">
        <f t="shared" si="88"/>
        <v>23.907981849994567</v>
      </c>
      <c r="AM226" s="233">
        <f t="shared" si="86"/>
        <v>1615.1719424476328</v>
      </c>
      <c r="AN226" s="233">
        <f t="shared" si="86"/>
        <v>53315.750036829813</v>
      </c>
      <c r="AO226" s="233">
        <f t="shared" si="86"/>
        <v>505189.7764324703</v>
      </c>
      <c r="AP226" s="233">
        <f t="shared" si="86"/>
        <v>117125.49239921944</v>
      </c>
      <c r="AQ226" s="233">
        <f t="shared" si="86"/>
        <v>21.624596107499205</v>
      </c>
      <c r="AR226" s="375">
        <v>78.25</v>
      </c>
      <c r="AS226" s="231">
        <f t="shared" si="87"/>
        <v>875.3827500000001</v>
      </c>
    </row>
    <row r="227" spans="2:47" ht="58" x14ac:dyDescent="0.35">
      <c r="B227" s="56" t="s">
        <v>91</v>
      </c>
      <c r="C227" s="361" t="s">
        <v>205</v>
      </c>
      <c r="D227" s="56">
        <v>1</v>
      </c>
      <c r="E227" s="3">
        <v>3.9219999999999997</v>
      </c>
      <c r="F227" s="3">
        <v>254.33766904389699</v>
      </c>
      <c r="G227" s="3">
        <v>0</v>
      </c>
      <c r="H227" s="3">
        <v>0</v>
      </c>
      <c r="I227" s="3">
        <v>10.845997461265794</v>
      </c>
      <c r="J227" s="3">
        <f t="shared" si="80"/>
        <v>1.3872653534191108</v>
      </c>
      <c r="K227" s="3">
        <v>250.63621195903801</v>
      </c>
      <c r="L227" s="3">
        <v>0</v>
      </c>
      <c r="M227" s="3">
        <v>0</v>
      </c>
      <c r="N227" s="3">
        <v>10.688141362657058</v>
      </c>
      <c r="O227" s="3">
        <f t="shared" si="81"/>
        <v>1.3670760389919727</v>
      </c>
      <c r="P227" s="3">
        <f t="shared" si="82"/>
        <v>31.792208630487124</v>
      </c>
      <c r="Q227" s="3">
        <f t="shared" si="83"/>
        <v>0</v>
      </c>
      <c r="R227" s="3">
        <f t="shared" si="76"/>
        <v>0</v>
      </c>
      <c r="S227" s="3">
        <f t="shared" si="76"/>
        <v>9924.0876770582017</v>
      </c>
      <c r="T227" s="3">
        <f t="shared" si="77"/>
        <v>0.17340816917738885</v>
      </c>
      <c r="U227" s="3">
        <f t="shared" si="77"/>
        <v>31.329526494879751</v>
      </c>
      <c r="V227" s="3">
        <f t="shared" si="77"/>
        <v>0</v>
      </c>
      <c r="W227" s="3">
        <f t="shared" si="78"/>
        <v>0</v>
      </c>
      <c r="X227" s="3">
        <f t="shared" si="78"/>
        <v>9779.6493468312074</v>
      </c>
      <c r="Y227" s="3">
        <f t="shared" si="79"/>
        <v>0.17088450487399659</v>
      </c>
      <c r="Z227" s="3">
        <f t="shared" si="73"/>
        <v>0.46268213560737337</v>
      </c>
      <c r="AA227" s="3">
        <f t="shared" si="73"/>
        <v>0</v>
      </c>
      <c r="AB227" s="3">
        <f t="shared" si="84"/>
        <v>144.43833022699437</v>
      </c>
      <c r="AC227" s="3">
        <f t="shared" si="85"/>
        <v>2.5236643033922646E-3</v>
      </c>
      <c r="AD227" s="3">
        <f t="shared" si="74"/>
        <v>1.8146393358521182</v>
      </c>
      <c r="AE227" s="3">
        <f t="shared" si="74"/>
        <v>0</v>
      </c>
      <c r="AF227" s="3">
        <f t="shared" si="74"/>
        <v>566.48713115027192</v>
      </c>
      <c r="AG227" s="3">
        <f t="shared" si="74"/>
        <v>9.8978113979044605E-3</v>
      </c>
      <c r="AH227" s="233">
        <f t="shared" si="88"/>
        <v>124.68904224877049</v>
      </c>
      <c r="AI227" s="233">
        <f t="shared" si="88"/>
        <v>0</v>
      </c>
      <c r="AJ227" s="233">
        <f t="shared" si="88"/>
        <v>0</v>
      </c>
      <c r="AK227" s="233">
        <f t="shared" si="88"/>
        <v>38922.271869422264</v>
      </c>
      <c r="AL227" s="233">
        <f t="shared" si="88"/>
        <v>0.68010683951371909</v>
      </c>
      <c r="AM227" s="233">
        <f t="shared" si="86"/>
        <v>122.87440291291837</v>
      </c>
      <c r="AN227" s="233">
        <f t="shared" si="86"/>
        <v>0</v>
      </c>
      <c r="AO227" s="233">
        <f t="shared" si="86"/>
        <v>0</v>
      </c>
      <c r="AP227" s="233">
        <f t="shared" si="86"/>
        <v>38355.784738271992</v>
      </c>
      <c r="AQ227" s="233">
        <f t="shared" si="86"/>
        <v>0.67020902811581462</v>
      </c>
      <c r="AR227" s="376">
        <v>10.625</v>
      </c>
      <c r="AS227" s="231">
        <f t="shared" si="87"/>
        <v>41.671249999999993</v>
      </c>
    </row>
    <row r="228" spans="2:47" ht="58" x14ac:dyDescent="0.35">
      <c r="B228" s="56" t="s">
        <v>91</v>
      </c>
      <c r="C228" s="361" t="s">
        <v>205</v>
      </c>
      <c r="D228" s="56">
        <v>2</v>
      </c>
      <c r="E228" s="3">
        <v>23.2804</v>
      </c>
      <c r="F228" s="3">
        <v>231.57874039072399</v>
      </c>
      <c r="G228" s="3">
        <v>0</v>
      </c>
      <c r="H228" s="3">
        <v>0</v>
      </c>
      <c r="I228" s="3">
        <v>9.9310348405886977</v>
      </c>
      <c r="J228" s="3">
        <f t="shared" si="80"/>
        <v>1.2631285186349752</v>
      </c>
      <c r="K228" s="3">
        <v>228.208501241547</v>
      </c>
      <c r="L228" s="3">
        <v>0</v>
      </c>
      <c r="M228" s="3">
        <v>0</v>
      </c>
      <c r="N228" s="3">
        <v>9.7864953991328782</v>
      </c>
      <c r="O228" s="3">
        <f t="shared" si="81"/>
        <v>1.2447458070926161</v>
      </c>
      <c r="P228" s="3">
        <f t="shared" si="82"/>
        <v>28.947342548840499</v>
      </c>
      <c r="Q228" s="3">
        <f t="shared" si="83"/>
        <v>0</v>
      </c>
      <c r="R228" s="3">
        <f t="shared" si="76"/>
        <v>0</v>
      </c>
      <c r="S228" s="3">
        <f t="shared" si="76"/>
        <v>9086.8968791386578</v>
      </c>
      <c r="T228" s="3">
        <f t="shared" si="77"/>
        <v>0.1578910648293719</v>
      </c>
      <c r="U228" s="3">
        <f t="shared" si="77"/>
        <v>28.526062655193375</v>
      </c>
      <c r="V228" s="3">
        <f t="shared" si="77"/>
        <v>0</v>
      </c>
      <c r="W228" s="3">
        <f t="shared" si="78"/>
        <v>0</v>
      </c>
      <c r="X228" s="3">
        <f t="shared" si="78"/>
        <v>8954.6432902065844</v>
      </c>
      <c r="Y228" s="3">
        <f t="shared" si="79"/>
        <v>0.15559322588657701</v>
      </c>
      <c r="Z228" s="3">
        <f t="shared" ref="Z228:AA291" si="89">P228-U228</f>
        <v>0.42127989364712448</v>
      </c>
      <c r="AA228" s="3">
        <f t="shared" si="89"/>
        <v>0</v>
      </c>
      <c r="AB228" s="3">
        <f t="shared" si="84"/>
        <v>132.2535889320734</v>
      </c>
      <c r="AC228" s="3">
        <f t="shared" si="85"/>
        <v>2.2978389427948942E-3</v>
      </c>
      <c r="AD228" s="3">
        <f t="shared" ref="AD228:AG291" si="90">Z228*$E228</f>
        <v>9.8075644360625169</v>
      </c>
      <c r="AE228" s="3">
        <f t="shared" si="90"/>
        <v>0</v>
      </c>
      <c r="AF228" s="3">
        <f t="shared" si="90"/>
        <v>3078.9164517742415</v>
      </c>
      <c r="AG228" s="3">
        <f t="shared" si="90"/>
        <v>5.3494609723842255E-2</v>
      </c>
      <c r="AH228" s="233">
        <f t="shared" si="88"/>
        <v>673.90571347402636</v>
      </c>
      <c r="AI228" s="233">
        <f t="shared" si="88"/>
        <v>0</v>
      </c>
      <c r="AJ228" s="233">
        <f t="shared" si="88"/>
        <v>0</v>
      </c>
      <c r="AK228" s="233">
        <f t="shared" si="88"/>
        <v>211546.59410509962</v>
      </c>
      <c r="AL228" s="233">
        <f t="shared" si="88"/>
        <v>3.6757671456537095</v>
      </c>
      <c r="AM228" s="233">
        <f t="shared" si="86"/>
        <v>664.09814903796382</v>
      </c>
      <c r="AN228" s="233">
        <f t="shared" si="86"/>
        <v>0</v>
      </c>
      <c r="AO228" s="233">
        <f t="shared" si="86"/>
        <v>0</v>
      </c>
      <c r="AP228" s="233">
        <f t="shared" si="86"/>
        <v>208467.67765332537</v>
      </c>
      <c r="AQ228" s="233">
        <f t="shared" si="86"/>
        <v>3.6222725359298673</v>
      </c>
      <c r="AR228" s="376">
        <v>10.625</v>
      </c>
      <c r="AS228" s="231">
        <f t="shared" si="87"/>
        <v>247.35425000000001</v>
      </c>
    </row>
    <row r="229" spans="2:47" ht="58" x14ac:dyDescent="0.35">
      <c r="B229" s="57" t="s">
        <v>91</v>
      </c>
      <c r="C229" s="377" t="s">
        <v>205</v>
      </c>
      <c r="D229" s="57">
        <v>3</v>
      </c>
      <c r="E229" s="59">
        <v>112.92399999999999</v>
      </c>
      <c r="F229" s="59">
        <v>233.734498126278</v>
      </c>
      <c r="G229" s="59">
        <v>0</v>
      </c>
      <c r="H229" s="59">
        <v>0</v>
      </c>
      <c r="I229" s="59">
        <v>10.000416138632486</v>
      </c>
      <c r="J229" s="59">
        <f t="shared" si="80"/>
        <v>1.2748869342410534</v>
      </c>
      <c r="K229" s="59">
        <v>230.33288554833001</v>
      </c>
      <c r="L229" s="59">
        <v>0</v>
      </c>
      <c r="M229" s="59">
        <v>0</v>
      </c>
      <c r="N229" s="59">
        <v>9.8548668996854953</v>
      </c>
      <c r="O229" s="59">
        <f t="shared" si="81"/>
        <v>1.2563330987322148</v>
      </c>
      <c r="P229" s="59">
        <f t="shared" si="82"/>
        <v>29.21681226578475</v>
      </c>
      <c r="Q229" s="59">
        <f t="shared" si="83"/>
        <v>0</v>
      </c>
      <c r="R229" s="59">
        <f t="shared" si="76"/>
        <v>0</v>
      </c>
      <c r="S229" s="59">
        <f t="shared" si="76"/>
        <v>9150.3807668487243</v>
      </c>
      <c r="T229" s="59">
        <f t="shared" si="77"/>
        <v>0.15936086678013167</v>
      </c>
      <c r="U229" s="59">
        <f t="shared" si="77"/>
        <v>28.791610693541251</v>
      </c>
      <c r="V229" s="59">
        <f t="shared" si="77"/>
        <v>0</v>
      </c>
      <c r="W229" s="59">
        <f t="shared" si="78"/>
        <v>0</v>
      </c>
      <c r="X229" s="59">
        <f t="shared" si="78"/>
        <v>9017.2032132122276</v>
      </c>
      <c r="Y229" s="59">
        <f t="shared" si="79"/>
        <v>0.15704163734152685</v>
      </c>
      <c r="Z229" s="59">
        <f t="shared" si="89"/>
        <v>0.4252015722434983</v>
      </c>
      <c r="AA229" s="59">
        <f t="shared" si="89"/>
        <v>0</v>
      </c>
      <c r="AB229" s="59">
        <f t="shared" si="84"/>
        <v>133.17755363649667</v>
      </c>
      <c r="AC229" s="59">
        <f t="shared" si="85"/>
        <v>2.3192294386048251E-3</v>
      </c>
      <c r="AD229" s="59">
        <f t="shared" si="90"/>
        <v>48.015462344024797</v>
      </c>
      <c r="AE229" s="59">
        <f t="shared" si="90"/>
        <v>0</v>
      </c>
      <c r="AF229" s="59">
        <f t="shared" si="90"/>
        <v>15038.942066847749</v>
      </c>
      <c r="AG229" s="59">
        <f t="shared" si="90"/>
        <v>0.26189666512501125</v>
      </c>
      <c r="AH229" s="233">
        <f t="shared" si="88"/>
        <v>3299.2793083014767</v>
      </c>
      <c r="AI229" s="233">
        <f t="shared" si="88"/>
        <v>0</v>
      </c>
      <c r="AJ229" s="233">
        <f t="shared" si="88"/>
        <v>0</v>
      </c>
      <c r="AK229" s="233">
        <f t="shared" si="88"/>
        <v>1033297.5977156253</v>
      </c>
      <c r="AL229" s="233">
        <f t="shared" si="88"/>
        <v>17.995666520279588</v>
      </c>
      <c r="AM229" s="233">
        <f t="shared" si="86"/>
        <v>3251.2638459574518</v>
      </c>
      <c r="AN229" s="233">
        <f t="shared" si="86"/>
        <v>0</v>
      </c>
      <c r="AO229" s="233">
        <f t="shared" si="86"/>
        <v>0</v>
      </c>
      <c r="AP229" s="233">
        <f t="shared" si="86"/>
        <v>1018258.6556487775</v>
      </c>
      <c r="AQ229" s="233">
        <f t="shared" si="86"/>
        <v>17.733769855154577</v>
      </c>
      <c r="AR229" s="376">
        <v>10.625</v>
      </c>
      <c r="AS229" s="231">
        <f t="shared" si="87"/>
        <v>1199.8174999999999</v>
      </c>
      <c r="AT229" s="378"/>
      <c r="AU229" s="378"/>
    </row>
    <row r="230" spans="2:47" ht="58" x14ac:dyDescent="0.35">
      <c r="B230" s="56" t="s">
        <v>91</v>
      </c>
      <c r="C230" s="361" t="s">
        <v>205</v>
      </c>
      <c r="D230" s="56">
        <v>4</v>
      </c>
      <c r="E230" s="3">
        <v>58.830000000000005</v>
      </c>
      <c r="F230" s="3">
        <v>229.00368574714199</v>
      </c>
      <c r="G230" s="3">
        <v>0</v>
      </c>
      <c r="H230" s="3">
        <v>0</v>
      </c>
      <c r="I230" s="3">
        <v>9.8270653211273178</v>
      </c>
      <c r="J230" s="3">
        <f t="shared" si="80"/>
        <v>1.2490830801294202</v>
      </c>
      <c r="K230" s="3">
        <v>225.67092218815199</v>
      </c>
      <c r="L230" s="3">
        <v>0</v>
      </c>
      <c r="M230" s="3">
        <v>0</v>
      </c>
      <c r="N230" s="3">
        <v>9.6840390851442972</v>
      </c>
      <c r="O230" s="3">
        <f t="shared" si="81"/>
        <v>1.2309047763260355</v>
      </c>
      <c r="P230" s="3">
        <f t="shared" si="82"/>
        <v>28.625460718392748</v>
      </c>
      <c r="Q230" s="3">
        <f t="shared" si="83"/>
        <v>0</v>
      </c>
      <c r="R230" s="3">
        <f t="shared" si="76"/>
        <v>0</v>
      </c>
      <c r="S230" s="3">
        <f t="shared" si="76"/>
        <v>8991.7647688314955</v>
      </c>
      <c r="T230" s="3">
        <f t="shared" si="77"/>
        <v>0.15613538501617752</v>
      </c>
      <c r="U230" s="3">
        <f t="shared" si="77"/>
        <v>28.208865273518999</v>
      </c>
      <c r="V230" s="3">
        <f t="shared" si="77"/>
        <v>0</v>
      </c>
      <c r="W230" s="3">
        <f t="shared" si="78"/>
        <v>0</v>
      </c>
      <c r="X230" s="3">
        <f t="shared" si="78"/>
        <v>8860.8957629070319</v>
      </c>
      <c r="Y230" s="3">
        <f t="shared" si="79"/>
        <v>0.15386309704075443</v>
      </c>
      <c r="Z230" s="3">
        <f t="shared" si="89"/>
        <v>0.41659544487374944</v>
      </c>
      <c r="AA230" s="3">
        <f t="shared" si="89"/>
        <v>0</v>
      </c>
      <c r="AB230" s="3">
        <f t="shared" si="84"/>
        <v>130.86900592446364</v>
      </c>
      <c r="AC230" s="3">
        <f t="shared" si="85"/>
        <v>2.2722879754230874E-3</v>
      </c>
      <c r="AD230" s="3">
        <f t="shared" si="90"/>
        <v>24.508310021922682</v>
      </c>
      <c r="AE230" s="3">
        <f t="shared" si="90"/>
        <v>0</v>
      </c>
      <c r="AF230" s="3">
        <f t="shared" si="90"/>
        <v>7699.0236185361964</v>
      </c>
      <c r="AG230" s="3">
        <f t="shared" si="90"/>
        <v>0.13367870159414025</v>
      </c>
      <c r="AH230" s="233">
        <f t="shared" si="88"/>
        <v>1684.0358540630455</v>
      </c>
      <c r="AI230" s="233">
        <f t="shared" si="88"/>
        <v>0</v>
      </c>
      <c r="AJ230" s="233">
        <f t="shared" si="88"/>
        <v>0</v>
      </c>
      <c r="AK230" s="233">
        <f t="shared" si="88"/>
        <v>528985.52135035698</v>
      </c>
      <c r="AL230" s="233">
        <f t="shared" si="88"/>
        <v>9.1854447005017246</v>
      </c>
      <c r="AM230" s="233">
        <f t="shared" si="86"/>
        <v>1659.5275440411228</v>
      </c>
      <c r="AN230" s="233">
        <f t="shared" si="86"/>
        <v>0</v>
      </c>
      <c r="AO230" s="233">
        <f t="shared" si="86"/>
        <v>0</v>
      </c>
      <c r="AP230" s="233">
        <f t="shared" si="86"/>
        <v>521286.49773182074</v>
      </c>
      <c r="AQ230" s="233">
        <f t="shared" si="86"/>
        <v>9.0517659989075838</v>
      </c>
      <c r="AR230" s="376">
        <v>10.625</v>
      </c>
      <c r="AS230" s="231">
        <f t="shared" si="87"/>
        <v>625.06875000000002</v>
      </c>
    </row>
    <row r="231" spans="2:47" ht="58" x14ac:dyDescent="0.35">
      <c r="B231" s="56" t="s">
        <v>91</v>
      </c>
      <c r="C231" s="361" t="s">
        <v>205</v>
      </c>
      <c r="D231" s="56">
        <v>5</v>
      </c>
      <c r="E231" s="3">
        <v>10.4488</v>
      </c>
      <c r="F231" s="3">
        <v>244.46311103953599</v>
      </c>
      <c r="G231" s="3">
        <v>0</v>
      </c>
      <c r="H231" s="3">
        <v>0</v>
      </c>
      <c r="I231" s="3">
        <v>10.449596639621184</v>
      </c>
      <c r="J231" s="3">
        <f t="shared" si="80"/>
        <v>1.3334053324034543</v>
      </c>
      <c r="K231" s="3">
        <v>240.905361541612</v>
      </c>
      <c r="L231" s="3">
        <v>0</v>
      </c>
      <c r="M231" s="3">
        <v>0</v>
      </c>
      <c r="N231" s="3">
        <v>10.297509884718608</v>
      </c>
      <c r="O231" s="3">
        <f t="shared" si="81"/>
        <v>1.3139998600124874</v>
      </c>
      <c r="P231" s="3">
        <f t="shared" si="82"/>
        <v>30.557888879941999</v>
      </c>
      <c r="Q231" s="3">
        <f t="shared" si="83"/>
        <v>0</v>
      </c>
      <c r="R231" s="3">
        <f t="shared" si="76"/>
        <v>0</v>
      </c>
      <c r="S231" s="3">
        <f t="shared" si="76"/>
        <v>9561.3809252533829</v>
      </c>
      <c r="T231" s="3">
        <f t="shared" si="77"/>
        <v>0.16667566655043178</v>
      </c>
      <c r="U231" s="3">
        <f t="shared" si="77"/>
        <v>30.113170192701499</v>
      </c>
      <c r="V231" s="3">
        <f t="shared" si="77"/>
        <v>0</v>
      </c>
      <c r="W231" s="3">
        <f t="shared" si="78"/>
        <v>0</v>
      </c>
      <c r="X231" s="3">
        <f t="shared" si="78"/>
        <v>9422.2215445175261</v>
      </c>
      <c r="Y231" s="3">
        <f t="shared" si="79"/>
        <v>0.16424998250156092</v>
      </c>
      <c r="Z231" s="3">
        <f t="shared" si="89"/>
        <v>0.44471868724049912</v>
      </c>
      <c r="AA231" s="3">
        <f t="shared" si="89"/>
        <v>0</v>
      </c>
      <c r="AB231" s="3">
        <f t="shared" si="84"/>
        <v>139.15938073585676</v>
      </c>
      <c r="AC231" s="3">
        <f t="shared" si="85"/>
        <v>2.4256840488708631E-3</v>
      </c>
      <c r="AD231" s="3">
        <f t="shared" si="90"/>
        <v>4.6467766192385271</v>
      </c>
      <c r="AE231" s="3">
        <f t="shared" si="90"/>
        <v>0</v>
      </c>
      <c r="AF231" s="3">
        <f t="shared" si="90"/>
        <v>1454.0485374328202</v>
      </c>
      <c r="AG231" s="3">
        <f t="shared" si="90"/>
        <v>2.5345487489841875E-2</v>
      </c>
      <c r="AH231" s="233">
        <f t="shared" si="88"/>
        <v>319.29326932873795</v>
      </c>
      <c r="AI231" s="233">
        <f t="shared" si="88"/>
        <v>0</v>
      </c>
      <c r="AJ231" s="233">
        <f t="shared" si="88"/>
        <v>0</v>
      </c>
      <c r="AK231" s="233">
        <f t="shared" si="88"/>
        <v>99904.957011787556</v>
      </c>
      <c r="AL231" s="233">
        <f t="shared" si="88"/>
        <v>1.7415607046521517</v>
      </c>
      <c r="AM231" s="233">
        <f t="shared" si="86"/>
        <v>314.64649270949946</v>
      </c>
      <c r="AN231" s="233">
        <f t="shared" si="86"/>
        <v>0</v>
      </c>
      <c r="AO231" s="233">
        <f t="shared" si="86"/>
        <v>0</v>
      </c>
      <c r="AP231" s="233">
        <f t="shared" si="86"/>
        <v>98450.908474354728</v>
      </c>
      <c r="AQ231" s="233">
        <f t="shared" si="86"/>
        <v>1.7162152171623097</v>
      </c>
      <c r="AR231" s="376">
        <v>10.625</v>
      </c>
      <c r="AS231" s="231">
        <f t="shared" si="87"/>
        <v>111.0185</v>
      </c>
    </row>
    <row r="232" spans="2:47" ht="58" x14ac:dyDescent="0.35">
      <c r="B232" s="56" t="s">
        <v>91</v>
      </c>
      <c r="C232" s="361" t="s">
        <v>205</v>
      </c>
      <c r="D232" s="56">
        <v>6</v>
      </c>
      <c r="E232" s="3">
        <v>49.876000000000005</v>
      </c>
      <c r="F232" s="3">
        <v>225.98026056792</v>
      </c>
      <c r="G232" s="3">
        <v>0</v>
      </c>
      <c r="H232" s="3">
        <v>0</v>
      </c>
      <c r="I232" s="3">
        <v>9.6991711078125125</v>
      </c>
      <c r="J232" s="3">
        <f t="shared" si="80"/>
        <v>1.232592038847345</v>
      </c>
      <c r="K232" s="3">
        <v>222.69149787829599</v>
      </c>
      <c r="L232" s="3">
        <v>0</v>
      </c>
      <c r="M232" s="3">
        <v>0</v>
      </c>
      <c r="N232" s="3">
        <v>9.5580062849102596</v>
      </c>
      <c r="O232" s="3">
        <f t="shared" si="81"/>
        <v>1.2146537344188908</v>
      </c>
      <c r="P232" s="3">
        <f t="shared" si="82"/>
        <v>28.24753257099</v>
      </c>
      <c r="Q232" s="3">
        <f t="shared" si="83"/>
        <v>0</v>
      </c>
      <c r="R232" s="3">
        <f t="shared" si="76"/>
        <v>0</v>
      </c>
      <c r="S232" s="3">
        <f t="shared" si="76"/>
        <v>8874.7415636484493</v>
      </c>
      <c r="T232" s="3">
        <f t="shared" si="77"/>
        <v>0.15407400485591813</v>
      </c>
      <c r="U232" s="3">
        <f t="shared" si="77"/>
        <v>27.836437234786999</v>
      </c>
      <c r="V232" s="3">
        <f t="shared" si="77"/>
        <v>0</v>
      </c>
      <c r="W232" s="3">
        <f t="shared" si="78"/>
        <v>0</v>
      </c>
      <c r="X232" s="3">
        <f t="shared" si="78"/>
        <v>8745.5757506928876</v>
      </c>
      <c r="Y232" s="3">
        <f t="shared" si="79"/>
        <v>0.15183171680236135</v>
      </c>
      <c r="Z232" s="3">
        <f t="shared" si="89"/>
        <v>0.41109533620300098</v>
      </c>
      <c r="AA232" s="3">
        <f t="shared" si="89"/>
        <v>0</v>
      </c>
      <c r="AB232" s="3">
        <f t="shared" si="84"/>
        <v>129.16581295556171</v>
      </c>
      <c r="AC232" s="3">
        <f t="shared" si="85"/>
        <v>2.2422880535567791E-3</v>
      </c>
      <c r="AD232" s="3">
        <f t="shared" si="90"/>
        <v>20.503790988460878</v>
      </c>
      <c r="AE232" s="3">
        <f t="shared" si="90"/>
        <v>0</v>
      </c>
      <c r="AF232" s="3">
        <f t="shared" si="90"/>
        <v>6442.2740869715963</v>
      </c>
      <c r="AG232" s="3">
        <f t="shared" si="90"/>
        <v>0.11183635895919793</v>
      </c>
      <c r="AH232" s="233">
        <f t="shared" si="88"/>
        <v>1408.8739345106974</v>
      </c>
      <c r="AI232" s="233">
        <f t="shared" si="88"/>
        <v>0</v>
      </c>
      <c r="AJ232" s="233">
        <f t="shared" si="88"/>
        <v>0</v>
      </c>
      <c r="AK232" s="233">
        <f t="shared" si="88"/>
        <v>442636.61022853007</v>
      </c>
      <c r="AL232" s="233">
        <f t="shared" si="88"/>
        <v>7.684595066193773</v>
      </c>
      <c r="AM232" s="233">
        <f t="shared" si="86"/>
        <v>1388.3701435222365</v>
      </c>
      <c r="AN232" s="233">
        <f t="shared" si="86"/>
        <v>0</v>
      </c>
      <c r="AO232" s="233">
        <f t="shared" si="86"/>
        <v>0</v>
      </c>
      <c r="AP232" s="233">
        <f t="shared" si="86"/>
        <v>436194.33614155848</v>
      </c>
      <c r="AQ232" s="233">
        <f t="shared" si="86"/>
        <v>7.5727587072345752</v>
      </c>
      <c r="AR232" s="376">
        <v>10.625</v>
      </c>
      <c r="AS232" s="231">
        <f t="shared" si="87"/>
        <v>529.9325</v>
      </c>
    </row>
    <row r="233" spans="2:47" ht="58" x14ac:dyDescent="0.35">
      <c r="B233" s="56" t="s">
        <v>91</v>
      </c>
      <c r="C233" s="361" t="s">
        <v>205</v>
      </c>
      <c r="D233" s="56">
        <v>7</v>
      </c>
      <c r="E233" s="3">
        <v>53.620399999999989</v>
      </c>
      <c r="F233" s="3">
        <v>221.26751588608701</v>
      </c>
      <c r="G233" s="3">
        <v>0</v>
      </c>
      <c r="H233" s="3">
        <v>0</v>
      </c>
      <c r="I233" s="3">
        <v>9.4846971483291931</v>
      </c>
      <c r="J233" s="3">
        <f t="shared" si="80"/>
        <v>1.206886733608078</v>
      </c>
      <c r="K233" s="3">
        <v>218.047339270469</v>
      </c>
      <c r="L233" s="3">
        <v>0</v>
      </c>
      <c r="M233" s="3">
        <v>0</v>
      </c>
      <c r="N233" s="3">
        <v>9.3466538476860155</v>
      </c>
      <c r="O233" s="3">
        <f t="shared" si="81"/>
        <v>1.1893225266719583</v>
      </c>
      <c r="P233" s="3">
        <f t="shared" si="82"/>
        <v>27.658439485760876</v>
      </c>
      <c r="Q233" s="3">
        <f t="shared" si="83"/>
        <v>0</v>
      </c>
      <c r="R233" s="3">
        <f t="shared" si="76"/>
        <v>0</v>
      </c>
      <c r="S233" s="3">
        <f t="shared" si="76"/>
        <v>8678.4978907212117</v>
      </c>
      <c r="T233" s="3">
        <f t="shared" si="77"/>
        <v>0.15086084170100975</v>
      </c>
      <c r="U233" s="3">
        <f t="shared" si="77"/>
        <v>27.255917408808624</v>
      </c>
      <c r="V233" s="3">
        <f t="shared" si="77"/>
        <v>0</v>
      </c>
      <c r="W233" s="3">
        <f t="shared" si="78"/>
        <v>0</v>
      </c>
      <c r="X233" s="3">
        <f t="shared" si="78"/>
        <v>8552.1882706327033</v>
      </c>
      <c r="Y233" s="3">
        <f t="shared" si="79"/>
        <v>0.14866531583399478</v>
      </c>
      <c r="Z233" s="3">
        <f t="shared" si="89"/>
        <v>0.40252207695225195</v>
      </c>
      <c r="AA233" s="3">
        <f t="shared" si="89"/>
        <v>0</v>
      </c>
      <c r="AB233" s="3">
        <f t="shared" si="84"/>
        <v>126.30962008850838</v>
      </c>
      <c r="AC233" s="3">
        <f t="shared" si="85"/>
        <v>2.1955258670149636E-3</v>
      </c>
      <c r="AD233" s="3">
        <f t="shared" si="90"/>
        <v>21.583394775010525</v>
      </c>
      <c r="AE233" s="3">
        <f t="shared" si="90"/>
        <v>0</v>
      </c>
      <c r="AF233" s="3">
        <f t="shared" si="90"/>
        <v>6772.7723529938539</v>
      </c>
      <c r="AG233" s="3">
        <f t="shared" si="90"/>
        <v>0.11772497519968912</v>
      </c>
      <c r="AH233" s="233">
        <f t="shared" si="88"/>
        <v>1483.0565886022921</v>
      </c>
      <c r="AI233" s="233">
        <f t="shared" si="88"/>
        <v>0</v>
      </c>
      <c r="AJ233" s="233">
        <f t="shared" si="88"/>
        <v>0</v>
      </c>
      <c r="AK233" s="233">
        <f t="shared" si="88"/>
        <v>465344.52829962759</v>
      </c>
      <c r="AL233" s="233">
        <f t="shared" si="88"/>
        <v>8.0892186763448208</v>
      </c>
      <c r="AM233" s="233">
        <f t="shared" si="86"/>
        <v>1461.4731938272816</v>
      </c>
      <c r="AN233" s="233">
        <f t="shared" si="86"/>
        <v>0</v>
      </c>
      <c r="AO233" s="233">
        <f t="shared" si="86"/>
        <v>0</v>
      </c>
      <c r="AP233" s="233">
        <f t="shared" si="86"/>
        <v>458571.7559466337</v>
      </c>
      <c r="AQ233" s="233">
        <f t="shared" si="86"/>
        <v>7.9714937011451319</v>
      </c>
      <c r="AR233" s="376">
        <v>10.625</v>
      </c>
      <c r="AS233" s="231">
        <f t="shared" si="87"/>
        <v>569.71674999999993</v>
      </c>
    </row>
    <row r="234" spans="2:47" ht="58" x14ac:dyDescent="0.35">
      <c r="B234" s="56" t="s">
        <v>91</v>
      </c>
      <c r="C234" s="361" t="s">
        <v>205</v>
      </c>
      <c r="D234" s="56">
        <v>8</v>
      </c>
      <c r="E234" s="3">
        <v>70.122399999999999</v>
      </c>
      <c r="F234" s="3">
        <v>220.07739429534999</v>
      </c>
      <c r="G234" s="3">
        <v>0</v>
      </c>
      <c r="H234" s="3">
        <v>0</v>
      </c>
      <c r="I234" s="3">
        <v>9.4397204943403903</v>
      </c>
      <c r="J234" s="3">
        <f t="shared" si="80"/>
        <v>1.2003953064616706</v>
      </c>
      <c r="K234" s="3">
        <v>216.874537898206</v>
      </c>
      <c r="L234" s="3">
        <v>0</v>
      </c>
      <c r="M234" s="3">
        <v>0</v>
      </c>
      <c r="N234" s="3">
        <v>9.3023317982324354</v>
      </c>
      <c r="O234" s="3">
        <f t="shared" si="81"/>
        <v>1.182925571331843</v>
      </c>
      <c r="P234" s="3">
        <f t="shared" si="82"/>
        <v>27.509674286918749</v>
      </c>
      <c r="Q234" s="3">
        <f t="shared" si="83"/>
        <v>0</v>
      </c>
      <c r="R234" s="3">
        <f t="shared" si="76"/>
        <v>0</v>
      </c>
      <c r="S234" s="3">
        <f t="shared" si="76"/>
        <v>8637.3442523214562</v>
      </c>
      <c r="T234" s="3">
        <f t="shared" si="77"/>
        <v>0.15004941330770882</v>
      </c>
      <c r="U234" s="3">
        <f t="shared" si="77"/>
        <v>27.10931723727575</v>
      </c>
      <c r="V234" s="3">
        <f t="shared" si="77"/>
        <v>0</v>
      </c>
      <c r="W234" s="3">
        <f t="shared" si="78"/>
        <v>0</v>
      </c>
      <c r="X234" s="3">
        <f t="shared" si="78"/>
        <v>8511.6335953826783</v>
      </c>
      <c r="Y234" s="3">
        <f t="shared" si="79"/>
        <v>0.14786569641648037</v>
      </c>
      <c r="Z234" s="3">
        <f t="shared" si="89"/>
        <v>0.40035704964299867</v>
      </c>
      <c r="AA234" s="3">
        <f t="shared" si="89"/>
        <v>0</v>
      </c>
      <c r="AB234" s="3">
        <f t="shared" si="84"/>
        <v>125.7106569387779</v>
      </c>
      <c r="AC234" s="3">
        <f t="shared" si="85"/>
        <v>2.1837168912284544E-3</v>
      </c>
      <c r="AD234" s="3">
        <f t="shared" si="90"/>
        <v>28.073997177886209</v>
      </c>
      <c r="AE234" s="3">
        <f t="shared" si="90"/>
        <v>0</v>
      </c>
      <c r="AF234" s="3">
        <f t="shared" si="90"/>
        <v>8815.1329701237592</v>
      </c>
      <c r="AG234" s="3">
        <f t="shared" si="90"/>
        <v>0.15312746933347818</v>
      </c>
      <c r="AH234" s="233">
        <f t="shared" si="88"/>
        <v>1929.0443842170312</v>
      </c>
      <c r="AI234" s="233">
        <f t="shared" si="88"/>
        <v>0</v>
      </c>
      <c r="AJ234" s="233">
        <f t="shared" si="88"/>
        <v>0</v>
      </c>
      <c r="AK234" s="233">
        <f t="shared" si="88"/>
        <v>605671.30859898613</v>
      </c>
      <c r="AL234" s="233">
        <f t="shared" si="88"/>
        <v>10.52182497972848</v>
      </c>
      <c r="AM234" s="233">
        <f t="shared" si="86"/>
        <v>1900.970387039145</v>
      </c>
      <c r="AN234" s="233">
        <f t="shared" si="86"/>
        <v>0</v>
      </c>
      <c r="AO234" s="233">
        <f t="shared" si="86"/>
        <v>0</v>
      </c>
      <c r="AP234" s="233">
        <f t="shared" si="86"/>
        <v>596856.17562886234</v>
      </c>
      <c r="AQ234" s="233">
        <f t="shared" si="86"/>
        <v>10.368697510395004</v>
      </c>
      <c r="AR234" s="376">
        <v>10.625</v>
      </c>
      <c r="AS234" s="231">
        <f t="shared" si="87"/>
        <v>745.05049999999994</v>
      </c>
    </row>
    <row r="235" spans="2:47" ht="58" x14ac:dyDescent="0.35">
      <c r="B235" s="56" t="s">
        <v>91</v>
      </c>
      <c r="C235" s="361" t="s">
        <v>205</v>
      </c>
      <c r="D235" s="56">
        <v>9</v>
      </c>
      <c r="E235" s="3">
        <v>164.6352</v>
      </c>
      <c r="F235" s="3">
        <v>221.44470865385199</v>
      </c>
      <c r="G235" s="3">
        <v>0</v>
      </c>
      <c r="H235" s="3">
        <v>0</v>
      </c>
      <c r="I235" s="3">
        <v>9.4981660147670439</v>
      </c>
      <c r="J235" s="3">
        <f t="shared" si="80"/>
        <v>1.2078532180007393</v>
      </c>
      <c r="K235" s="3">
        <v>218.22195329546199</v>
      </c>
      <c r="L235" s="3">
        <v>0</v>
      </c>
      <c r="M235" s="3">
        <v>0</v>
      </c>
      <c r="N235" s="3">
        <v>9.3599266839554964</v>
      </c>
      <c r="O235" s="3">
        <f t="shared" si="81"/>
        <v>1.1902749455095001</v>
      </c>
      <c r="P235" s="3">
        <f t="shared" si="82"/>
        <v>27.680588581731499</v>
      </c>
      <c r="Q235" s="3">
        <f t="shared" si="83"/>
        <v>0</v>
      </c>
      <c r="R235" s="3">
        <f t="shared" si="76"/>
        <v>0</v>
      </c>
      <c r="S235" s="3">
        <f t="shared" si="76"/>
        <v>8690.8219035118454</v>
      </c>
      <c r="T235" s="3">
        <f t="shared" si="77"/>
        <v>0.15098165225009241</v>
      </c>
      <c r="U235" s="3">
        <f t="shared" si="77"/>
        <v>27.277744161932748</v>
      </c>
      <c r="V235" s="3">
        <f t="shared" si="77"/>
        <v>0</v>
      </c>
      <c r="W235" s="3">
        <f t="shared" si="78"/>
        <v>0</v>
      </c>
      <c r="X235" s="3">
        <f t="shared" si="78"/>
        <v>8564.3329158192792</v>
      </c>
      <c r="Y235" s="3">
        <f t="shared" si="79"/>
        <v>0.14878436818868751</v>
      </c>
      <c r="Z235" s="3">
        <f t="shared" si="89"/>
        <v>0.40284441979875041</v>
      </c>
      <c r="AA235" s="3">
        <f t="shared" si="89"/>
        <v>0</v>
      </c>
      <c r="AB235" s="3">
        <f t="shared" si="84"/>
        <v>126.4889876925663</v>
      </c>
      <c r="AC235" s="3">
        <f t="shared" si="85"/>
        <v>2.1972840614049027E-3</v>
      </c>
      <c r="AD235" s="3">
        <f t="shared" si="90"/>
        <v>66.322371622451229</v>
      </c>
      <c r="AE235" s="3">
        <f t="shared" si="90"/>
        <v>0</v>
      </c>
      <c r="AF235" s="3">
        <f t="shared" si="90"/>
        <v>20824.539786563189</v>
      </c>
      <c r="AG235" s="3">
        <f t="shared" si="90"/>
        <v>0.36175030090620841</v>
      </c>
      <c r="AH235" s="233">
        <f t="shared" si="88"/>
        <v>4557.199237271082</v>
      </c>
      <c r="AI235" s="233">
        <f t="shared" si="88"/>
        <v>0</v>
      </c>
      <c r="AJ235" s="233">
        <f t="shared" si="88"/>
        <v>0</v>
      </c>
      <c r="AK235" s="233">
        <f t="shared" si="88"/>
        <v>1430815.2022490534</v>
      </c>
      <c r="AL235" s="233">
        <f t="shared" si="88"/>
        <v>24.856894514524413</v>
      </c>
      <c r="AM235" s="233">
        <f t="shared" si="86"/>
        <v>4490.87686564863</v>
      </c>
      <c r="AN235" s="233">
        <f t="shared" si="86"/>
        <v>0</v>
      </c>
      <c r="AO235" s="233">
        <f t="shared" si="86"/>
        <v>0</v>
      </c>
      <c r="AP235" s="233">
        <f t="shared" si="86"/>
        <v>1409990.6624624901</v>
      </c>
      <c r="AQ235" s="233">
        <f t="shared" si="86"/>
        <v>24.495144213618207</v>
      </c>
      <c r="AR235" s="376">
        <v>10.625</v>
      </c>
      <c r="AS235" s="231">
        <f t="shared" si="87"/>
        <v>1749.249</v>
      </c>
    </row>
    <row r="236" spans="2:47" ht="58" x14ac:dyDescent="0.35">
      <c r="B236" s="56" t="s">
        <v>91</v>
      </c>
      <c r="C236" s="361" t="s">
        <v>205</v>
      </c>
      <c r="D236" s="56">
        <v>10</v>
      </c>
      <c r="E236" s="3">
        <v>58.164000000000009</v>
      </c>
      <c r="F236" s="3">
        <v>223.11764382203199</v>
      </c>
      <c r="G236" s="3">
        <v>0</v>
      </c>
      <c r="H236" s="3">
        <v>0</v>
      </c>
      <c r="I236" s="3">
        <v>9.5738714304362116</v>
      </c>
      <c r="J236" s="3">
        <f t="shared" si="80"/>
        <v>1.2169781148595364</v>
      </c>
      <c r="K236" s="3">
        <v>219.870541705438</v>
      </c>
      <c r="L236" s="3">
        <v>0</v>
      </c>
      <c r="M236" s="3">
        <v>0</v>
      </c>
      <c r="N236" s="3">
        <v>9.4345302589130338</v>
      </c>
      <c r="O236" s="3">
        <f t="shared" si="81"/>
        <v>1.1992670448387319</v>
      </c>
      <c r="P236" s="3">
        <f t="shared" si="82"/>
        <v>27.889705477753999</v>
      </c>
      <c r="Q236" s="3">
        <f t="shared" si="83"/>
        <v>0</v>
      </c>
      <c r="R236" s="3">
        <f t="shared" si="76"/>
        <v>0</v>
      </c>
      <c r="S236" s="3">
        <f t="shared" si="76"/>
        <v>8760.0923588491332</v>
      </c>
      <c r="T236" s="3">
        <f t="shared" si="77"/>
        <v>0.15212226435744206</v>
      </c>
      <c r="U236" s="3">
        <f t="shared" si="77"/>
        <v>27.48381771317975</v>
      </c>
      <c r="V236" s="3">
        <f t="shared" si="77"/>
        <v>0</v>
      </c>
      <c r="W236" s="3">
        <f t="shared" si="78"/>
        <v>0</v>
      </c>
      <c r="X236" s="3">
        <f t="shared" si="78"/>
        <v>8632.5951869054261</v>
      </c>
      <c r="Y236" s="3">
        <f t="shared" si="79"/>
        <v>0.14990838060484149</v>
      </c>
      <c r="Z236" s="3">
        <f t="shared" si="89"/>
        <v>0.40588776457424913</v>
      </c>
      <c r="AA236" s="3">
        <f t="shared" si="89"/>
        <v>0</v>
      </c>
      <c r="AB236" s="3">
        <f t="shared" si="84"/>
        <v>127.49717194370714</v>
      </c>
      <c r="AC236" s="3">
        <f t="shared" si="85"/>
        <v>2.213883752600565E-3</v>
      </c>
      <c r="AD236" s="3">
        <f t="shared" si="90"/>
        <v>23.60805593869663</v>
      </c>
      <c r="AE236" s="3">
        <f t="shared" si="90"/>
        <v>0</v>
      </c>
      <c r="AF236" s="3">
        <f t="shared" si="90"/>
        <v>7415.7455089337836</v>
      </c>
      <c r="AG236" s="3">
        <f t="shared" si="90"/>
        <v>0.12876833458625928</v>
      </c>
      <c r="AH236" s="233">
        <f t="shared" si="88"/>
        <v>1622.1768294080839</v>
      </c>
      <c r="AI236" s="233">
        <f t="shared" si="88"/>
        <v>0</v>
      </c>
      <c r="AJ236" s="233">
        <f t="shared" si="88"/>
        <v>0</v>
      </c>
      <c r="AK236" s="233">
        <f t="shared" si="88"/>
        <v>509522.01196010108</v>
      </c>
      <c r="AL236" s="233">
        <f t="shared" si="88"/>
        <v>8.8480393840862614</v>
      </c>
      <c r="AM236" s="233">
        <f t="shared" si="86"/>
        <v>1598.5687734693872</v>
      </c>
      <c r="AN236" s="233">
        <f t="shared" si="86"/>
        <v>0</v>
      </c>
      <c r="AO236" s="233">
        <f t="shared" si="86"/>
        <v>0</v>
      </c>
      <c r="AP236" s="233">
        <f t="shared" si="86"/>
        <v>502106.26645116729</v>
      </c>
      <c r="AQ236" s="233">
        <f t="shared" si="86"/>
        <v>8.7192710495000014</v>
      </c>
      <c r="AR236" s="376">
        <v>10.625</v>
      </c>
      <c r="AS236" s="231">
        <f t="shared" si="87"/>
        <v>617.99250000000006</v>
      </c>
    </row>
    <row r="237" spans="2:47" ht="58" x14ac:dyDescent="0.35">
      <c r="B237" s="56" t="s">
        <v>91</v>
      </c>
      <c r="C237" s="361" t="s">
        <v>205</v>
      </c>
      <c r="D237" s="56">
        <v>11</v>
      </c>
      <c r="E237" s="3">
        <v>16.605599999999999</v>
      </c>
      <c r="F237" s="3">
        <v>227.48618800999199</v>
      </c>
      <c r="G237" s="3">
        <v>0</v>
      </c>
      <c r="H237" s="3">
        <v>0</v>
      </c>
      <c r="I237" s="3">
        <v>9.7653942462353776</v>
      </c>
      <c r="J237" s="3">
        <f t="shared" si="80"/>
        <v>1.240806004843821</v>
      </c>
      <c r="K237" s="3">
        <v>224.17550907877899</v>
      </c>
      <c r="L237" s="3">
        <v>0</v>
      </c>
      <c r="M237" s="3">
        <v>0</v>
      </c>
      <c r="N237" s="3">
        <v>9.6232655907021218</v>
      </c>
      <c r="O237" s="3">
        <f t="shared" si="81"/>
        <v>1.2227481599526904</v>
      </c>
      <c r="P237" s="3">
        <f t="shared" si="82"/>
        <v>28.435773501248999</v>
      </c>
      <c r="Q237" s="3">
        <f t="shared" si="83"/>
        <v>0</v>
      </c>
      <c r="R237" s="3">
        <f t="shared" si="76"/>
        <v>0</v>
      </c>
      <c r="S237" s="3">
        <f t="shared" si="76"/>
        <v>8935.3357353053707</v>
      </c>
      <c r="T237" s="3">
        <f t="shared" si="77"/>
        <v>0.15510075060547762</v>
      </c>
      <c r="U237" s="3">
        <f t="shared" si="77"/>
        <v>28.021938634847373</v>
      </c>
      <c r="V237" s="3">
        <f t="shared" si="77"/>
        <v>0</v>
      </c>
      <c r="W237" s="3">
        <f t="shared" si="78"/>
        <v>0</v>
      </c>
      <c r="X237" s="3">
        <f t="shared" si="78"/>
        <v>8805.2880154924424</v>
      </c>
      <c r="Y237" s="3">
        <f t="shared" si="79"/>
        <v>0.1528435199940863</v>
      </c>
      <c r="Z237" s="3">
        <f t="shared" si="89"/>
        <v>0.41383486640162559</v>
      </c>
      <c r="AA237" s="3">
        <f t="shared" si="89"/>
        <v>0</v>
      </c>
      <c r="AB237" s="3">
        <f t="shared" si="84"/>
        <v>130.04771981292834</v>
      </c>
      <c r="AC237" s="3">
        <f t="shared" si="85"/>
        <v>2.2572306113913254E-3</v>
      </c>
      <c r="AD237" s="3">
        <f t="shared" si="90"/>
        <v>6.8719762575188339</v>
      </c>
      <c r="AE237" s="3">
        <f t="shared" si="90"/>
        <v>0</v>
      </c>
      <c r="AF237" s="3">
        <f t="shared" si="90"/>
        <v>2159.5204161255629</v>
      </c>
      <c r="AG237" s="3">
        <f t="shared" si="90"/>
        <v>3.7482668640519794E-2</v>
      </c>
      <c r="AH237" s="233">
        <f t="shared" si="88"/>
        <v>472.19308045234033</v>
      </c>
      <c r="AI237" s="233">
        <f t="shared" si="88"/>
        <v>0</v>
      </c>
      <c r="AJ237" s="233">
        <f t="shared" si="88"/>
        <v>0</v>
      </c>
      <c r="AK237" s="233">
        <f t="shared" si="88"/>
        <v>148376.61108618687</v>
      </c>
      <c r="AL237" s="233">
        <f t="shared" si="88"/>
        <v>2.5755410242543189</v>
      </c>
      <c r="AM237" s="233">
        <f t="shared" si="86"/>
        <v>465.32110419482154</v>
      </c>
      <c r="AN237" s="233">
        <f t="shared" si="86"/>
        <v>0</v>
      </c>
      <c r="AO237" s="233">
        <f t="shared" si="86"/>
        <v>0</v>
      </c>
      <c r="AP237" s="233">
        <f t="shared" si="86"/>
        <v>146217.0906700613</v>
      </c>
      <c r="AQ237" s="233">
        <f t="shared" si="86"/>
        <v>2.5380583556137992</v>
      </c>
      <c r="AR237" s="376">
        <v>10.625</v>
      </c>
      <c r="AS237" s="231">
        <f t="shared" si="87"/>
        <v>176.43449999999999</v>
      </c>
    </row>
    <row r="238" spans="2:47" ht="58" x14ac:dyDescent="0.35">
      <c r="B238" s="56" t="s">
        <v>91</v>
      </c>
      <c r="C238" s="361" t="s">
        <v>205</v>
      </c>
      <c r="D238" s="56">
        <v>12</v>
      </c>
      <c r="E238" s="3">
        <v>93.75800000000001</v>
      </c>
      <c r="F238" s="3">
        <v>227.603211186522</v>
      </c>
      <c r="G238" s="3">
        <v>0</v>
      </c>
      <c r="H238" s="3">
        <v>0</v>
      </c>
      <c r="I238" s="3">
        <v>9.752648693086055</v>
      </c>
      <c r="J238" s="3">
        <f t="shared" si="80"/>
        <v>1.2414442988053778</v>
      </c>
      <c r="K238" s="3">
        <v>224.29082917975899</v>
      </c>
      <c r="L238" s="3">
        <v>0</v>
      </c>
      <c r="M238" s="3">
        <v>0</v>
      </c>
      <c r="N238" s="3">
        <v>9.6107055403893877</v>
      </c>
      <c r="O238" s="3">
        <f t="shared" si="81"/>
        <v>1.2233771646189819</v>
      </c>
      <c r="P238" s="3">
        <f t="shared" si="82"/>
        <v>28.45040139831525</v>
      </c>
      <c r="Q238" s="3">
        <f t="shared" si="83"/>
        <v>0</v>
      </c>
      <c r="R238" s="3">
        <f t="shared" si="76"/>
        <v>0</v>
      </c>
      <c r="S238" s="3">
        <f t="shared" si="76"/>
        <v>8923.6735541737398</v>
      </c>
      <c r="T238" s="3">
        <f t="shared" si="77"/>
        <v>0.15518053735067222</v>
      </c>
      <c r="U238" s="3">
        <f t="shared" si="77"/>
        <v>28.036353647469873</v>
      </c>
      <c r="V238" s="3">
        <f t="shared" si="77"/>
        <v>0</v>
      </c>
      <c r="W238" s="3">
        <f t="shared" si="78"/>
        <v>0</v>
      </c>
      <c r="X238" s="3">
        <f t="shared" si="78"/>
        <v>8793.7955694562897</v>
      </c>
      <c r="Y238" s="3">
        <f t="shared" si="79"/>
        <v>0.15292214557737274</v>
      </c>
      <c r="Z238" s="3">
        <f t="shared" si="89"/>
        <v>0.41404775084537704</v>
      </c>
      <c r="AA238" s="3">
        <f t="shared" si="89"/>
        <v>0</v>
      </c>
      <c r="AB238" s="3">
        <f t="shared" si="84"/>
        <v>129.87798471745009</v>
      </c>
      <c r="AC238" s="3">
        <f t="shared" si="85"/>
        <v>2.2583917732994785E-3</v>
      </c>
      <c r="AD238" s="3">
        <f t="shared" si="90"/>
        <v>38.820289023760864</v>
      </c>
      <c r="AE238" s="3">
        <f t="shared" si="90"/>
        <v>0</v>
      </c>
      <c r="AF238" s="3">
        <f t="shared" si="90"/>
        <v>12177.100091138687</v>
      </c>
      <c r="AG238" s="3">
        <f t="shared" si="90"/>
        <v>0.21174229588101254</v>
      </c>
      <c r="AH238" s="233">
        <f t="shared" si="88"/>
        <v>2667.4527343032414</v>
      </c>
      <c r="AI238" s="233">
        <f t="shared" si="88"/>
        <v>0</v>
      </c>
      <c r="AJ238" s="233">
        <f t="shared" si="88"/>
        <v>0</v>
      </c>
      <c r="AK238" s="233">
        <f t="shared" si="88"/>
        <v>836665.78509222157</v>
      </c>
      <c r="AL238" s="233">
        <f t="shared" si="88"/>
        <v>14.549416820924328</v>
      </c>
      <c r="AM238" s="233">
        <f t="shared" si="86"/>
        <v>2628.6324452794806</v>
      </c>
      <c r="AN238" s="233">
        <f t="shared" si="86"/>
        <v>0</v>
      </c>
      <c r="AO238" s="233">
        <f t="shared" si="86"/>
        <v>0</v>
      </c>
      <c r="AP238" s="233">
        <f t="shared" si="86"/>
        <v>824488.68500108295</v>
      </c>
      <c r="AQ238" s="233">
        <f t="shared" si="86"/>
        <v>14.337674525043315</v>
      </c>
      <c r="AR238" s="376">
        <v>10.625</v>
      </c>
      <c r="AS238" s="231">
        <f t="shared" si="87"/>
        <v>996.17875000000015</v>
      </c>
    </row>
    <row r="239" spans="2:47" ht="58" x14ac:dyDescent="0.35">
      <c r="B239" s="56" t="s">
        <v>91</v>
      </c>
      <c r="C239" s="361" t="s">
        <v>205</v>
      </c>
      <c r="D239" s="56">
        <v>13</v>
      </c>
      <c r="E239" s="3">
        <v>27.365200000000002</v>
      </c>
      <c r="F239" s="3">
        <v>225.428643127893</v>
      </c>
      <c r="G239" s="3">
        <v>0</v>
      </c>
      <c r="H239" s="3">
        <v>0</v>
      </c>
      <c r="I239" s="3">
        <v>9.6812782072136976</v>
      </c>
      <c r="J239" s="3">
        <f t="shared" si="80"/>
        <v>1.2295832837314871</v>
      </c>
      <c r="K239" s="3">
        <v>222.14790830252201</v>
      </c>
      <c r="L239" s="3">
        <v>0</v>
      </c>
      <c r="M239" s="3">
        <v>0</v>
      </c>
      <c r="N239" s="3">
        <v>9.5403738032808736</v>
      </c>
      <c r="O239" s="3">
        <f t="shared" si="81"/>
        <v>1.2116887666742944</v>
      </c>
      <c r="P239" s="3">
        <f t="shared" si="82"/>
        <v>28.178580390986625</v>
      </c>
      <c r="Q239" s="3">
        <f t="shared" si="83"/>
        <v>0</v>
      </c>
      <c r="R239" s="3">
        <f t="shared" si="76"/>
        <v>0</v>
      </c>
      <c r="S239" s="3">
        <f t="shared" si="76"/>
        <v>8858.3695596005327</v>
      </c>
      <c r="T239" s="3">
        <f t="shared" si="77"/>
        <v>0.15369791046643588</v>
      </c>
      <c r="U239" s="3">
        <f t="shared" si="77"/>
        <v>27.768488537815252</v>
      </c>
      <c r="V239" s="3">
        <f t="shared" si="77"/>
        <v>0</v>
      </c>
      <c r="W239" s="3">
        <f t="shared" si="78"/>
        <v>0</v>
      </c>
      <c r="X239" s="3">
        <f t="shared" si="78"/>
        <v>8729.4420300019992</v>
      </c>
      <c r="Y239" s="3">
        <f t="shared" si="79"/>
        <v>0.1514610958342868</v>
      </c>
      <c r="Z239" s="3">
        <f t="shared" si="89"/>
        <v>0.41009185317137309</v>
      </c>
      <c r="AA239" s="3">
        <f t="shared" si="89"/>
        <v>0</v>
      </c>
      <c r="AB239" s="3">
        <f t="shared" si="84"/>
        <v>128.92752959853351</v>
      </c>
      <c r="AC239" s="3">
        <f t="shared" si="85"/>
        <v>2.2368146321490867E-3</v>
      </c>
      <c r="AD239" s="3">
        <f t="shared" si="90"/>
        <v>11.222245580405259</v>
      </c>
      <c r="AE239" s="3">
        <f t="shared" si="90"/>
        <v>0</v>
      </c>
      <c r="AF239" s="3">
        <f t="shared" si="90"/>
        <v>3528.1276329697894</v>
      </c>
      <c r="AG239" s="3">
        <f t="shared" si="90"/>
        <v>6.121087977168619E-2</v>
      </c>
      <c r="AH239" s="233">
        <f t="shared" si="88"/>
        <v>771.11248811542725</v>
      </c>
      <c r="AI239" s="233">
        <f t="shared" si="88"/>
        <v>0</v>
      </c>
      <c r="AJ239" s="233">
        <f t="shared" si="88"/>
        <v>0</v>
      </c>
      <c r="AK239" s="233">
        <f t="shared" si="88"/>
        <v>242411.0546723805</v>
      </c>
      <c r="AL239" s="233">
        <f t="shared" si="88"/>
        <v>4.2059740594961115</v>
      </c>
      <c r="AM239" s="233">
        <f t="shared" si="86"/>
        <v>759.89024253502191</v>
      </c>
      <c r="AN239" s="233">
        <f t="shared" si="86"/>
        <v>0</v>
      </c>
      <c r="AO239" s="233">
        <f t="shared" si="86"/>
        <v>0</v>
      </c>
      <c r="AP239" s="233">
        <f t="shared" si="86"/>
        <v>238882.92703941072</v>
      </c>
      <c r="AQ239" s="233">
        <f t="shared" si="86"/>
        <v>4.1447631797244249</v>
      </c>
      <c r="AR239" s="376">
        <v>10.625</v>
      </c>
      <c r="AS239" s="231">
        <f t="shared" si="87"/>
        <v>290.75524999999999</v>
      </c>
    </row>
    <row r="240" spans="2:47" ht="58" x14ac:dyDescent="0.35">
      <c r="B240" s="56" t="s">
        <v>91</v>
      </c>
      <c r="C240" s="361" t="s">
        <v>205</v>
      </c>
      <c r="D240" s="56">
        <v>14</v>
      </c>
      <c r="E240" s="3">
        <v>12.432</v>
      </c>
      <c r="F240" s="3">
        <v>226.648637369049</v>
      </c>
      <c r="G240" s="3">
        <v>0</v>
      </c>
      <c r="H240" s="3">
        <v>0</v>
      </c>
      <c r="I240" s="3">
        <v>9.731475854957278</v>
      </c>
      <c r="J240" s="3">
        <f t="shared" si="80"/>
        <v>1.236237648963695</v>
      </c>
      <c r="K240" s="3">
        <v>223.35014757901001</v>
      </c>
      <c r="L240" s="3">
        <v>0</v>
      </c>
      <c r="M240" s="3">
        <v>0</v>
      </c>
      <c r="N240" s="3">
        <v>9.5898408584846493</v>
      </c>
      <c r="O240" s="3">
        <f t="shared" si="81"/>
        <v>1.2182462888103629</v>
      </c>
      <c r="P240" s="3">
        <f t="shared" si="82"/>
        <v>28.331079671131125</v>
      </c>
      <c r="Q240" s="3">
        <f t="shared" si="83"/>
        <v>0</v>
      </c>
      <c r="R240" s="3">
        <f t="shared" si="76"/>
        <v>0</v>
      </c>
      <c r="S240" s="3">
        <f t="shared" si="76"/>
        <v>8904.3004072859094</v>
      </c>
      <c r="T240" s="3">
        <f t="shared" si="77"/>
        <v>0.15452970612046188</v>
      </c>
      <c r="U240" s="3">
        <f t="shared" si="77"/>
        <v>27.918768447376252</v>
      </c>
      <c r="V240" s="3">
        <f t="shared" si="77"/>
        <v>0</v>
      </c>
      <c r="W240" s="3">
        <f t="shared" si="78"/>
        <v>0</v>
      </c>
      <c r="X240" s="3">
        <f t="shared" si="78"/>
        <v>8774.7043855134543</v>
      </c>
      <c r="Y240" s="3">
        <f t="shared" si="79"/>
        <v>0.15228078610129536</v>
      </c>
      <c r="Z240" s="3">
        <f t="shared" si="89"/>
        <v>0.41231122375487317</v>
      </c>
      <c r="AA240" s="3">
        <f t="shared" si="89"/>
        <v>0</v>
      </c>
      <c r="AB240" s="3">
        <f t="shared" si="84"/>
        <v>129.59602177245506</v>
      </c>
      <c r="AC240" s="3">
        <f t="shared" si="85"/>
        <v>2.2489200191665171E-3</v>
      </c>
      <c r="AD240" s="3">
        <f t="shared" si="90"/>
        <v>5.1258531337205833</v>
      </c>
      <c r="AE240" s="3">
        <f t="shared" si="90"/>
        <v>0</v>
      </c>
      <c r="AF240" s="3">
        <f t="shared" si="90"/>
        <v>1611.1377426751615</v>
      </c>
      <c r="AG240" s="3">
        <f t="shared" si="90"/>
        <v>2.7958573678278142E-2</v>
      </c>
      <c r="AH240" s="233">
        <f t="shared" si="88"/>
        <v>352.21198247150215</v>
      </c>
      <c r="AI240" s="233">
        <f t="shared" si="88"/>
        <v>0</v>
      </c>
      <c r="AJ240" s="233">
        <f t="shared" si="88"/>
        <v>0</v>
      </c>
      <c r="AK240" s="233">
        <f t="shared" si="88"/>
        <v>110698.26266337842</v>
      </c>
      <c r="AL240" s="233">
        <f t="shared" si="88"/>
        <v>1.9211133064895822</v>
      </c>
      <c r="AM240" s="233">
        <f t="shared" si="86"/>
        <v>347.08612933778159</v>
      </c>
      <c r="AN240" s="233">
        <f t="shared" si="86"/>
        <v>0</v>
      </c>
      <c r="AO240" s="233">
        <f t="shared" si="86"/>
        <v>0</v>
      </c>
      <c r="AP240" s="233">
        <f t="shared" si="86"/>
        <v>109087.12492070327</v>
      </c>
      <c r="AQ240" s="233">
        <f t="shared" si="86"/>
        <v>1.8931547328113041</v>
      </c>
      <c r="AR240" s="376">
        <v>10.625</v>
      </c>
      <c r="AS240" s="231">
        <f t="shared" si="87"/>
        <v>132.09</v>
      </c>
    </row>
    <row r="241" spans="2:45" ht="58" x14ac:dyDescent="0.35">
      <c r="B241" s="56" t="s">
        <v>91</v>
      </c>
      <c r="C241" s="361" t="s">
        <v>205</v>
      </c>
      <c r="D241" s="56">
        <v>15</v>
      </c>
      <c r="E241" s="3">
        <v>8.0955999999999992</v>
      </c>
      <c r="F241" s="3">
        <v>209.226668577928</v>
      </c>
      <c r="G241" s="3">
        <v>0</v>
      </c>
      <c r="H241" s="3">
        <v>0</v>
      </c>
      <c r="I241" s="3">
        <v>8.9579578189206384</v>
      </c>
      <c r="J241" s="3">
        <f t="shared" si="80"/>
        <v>1.141210853353251</v>
      </c>
      <c r="K241" s="3">
        <v>206.181726247283</v>
      </c>
      <c r="L241" s="3">
        <v>0</v>
      </c>
      <c r="M241" s="3">
        <v>0</v>
      </c>
      <c r="N241" s="3">
        <v>8.8275808501036597</v>
      </c>
      <c r="O241" s="3">
        <f t="shared" si="81"/>
        <v>1.1246024484152708</v>
      </c>
      <c r="P241" s="3">
        <f t="shared" si="82"/>
        <v>26.153333572240999</v>
      </c>
      <c r="Q241" s="3">
        <f t="shared" si="83"/>
        <v>0</v>
      </c>
      <c r="R241" s="3">
        <f t="shared" si="76"/>
        <v>0</v>
      </c>
      <c r="S241" s="3">
        <f t="shared" si="76"/>
        <v>8196.5314043123835</v>
      </c>
      <c r="T241" s="3">
        <f t="shared" si="77"/>
        <v>0.14265135666915638</v>
      </c>
      <c r="U241" s="3">
        <f t="shared" si="77"/>
        <v>25.772715780910374</v>
      </c>
      <c r="V241" s="3">
        <f t="shared" si="77"/>
        <v>0</v>
      </c>
      <c r="W241" s="3">
        <f t="shared" si="78"/>
        <v>0</v>
      </c>
      <c r="X241" s="3">
        <f t="shared" si="78"/>
        <v>8077.2364778448482</v>
      </c>
      <c r="Y241" s="3">
        <f t="shared" si="79"/>
        <v>0.14057530605190885</v>
      </c>
      <c r="Z241" s="3">
        <f t="shared" si="89"/>
        <v>0.38061779133062501</v>
      </c>
      <c r="AA241" s="3">
        <f t="shared" si="89"/>
        <v>0</v>
      </c>
      <c r="AB241" s="3">
        <f t="shared" si="84"/>
        <v>119.29492646753533</v>
      </c>
      <c r="AC241" s="3">
        <f t="shared" si="85"/>
        <v>2.0760506172475268E-3</v>
      </c>
      <c r="AD241" s="3">
        <f t="shared" si="90"/>
        <v>3.0813293914962077</v>
      </c>
      <c r="AE241" s="3">
        <f t="shared" si="90"/>
        <v>0</v>
      </c>
      <c r="AF241" s="3">
        <f t="shared" si="90"/>
        <v>965.764006710579</v>
      </c>
      <c r="AG241" s="3">
        <f t="shared" si="90"/>
        <v>1.6806875376989078E-2</v>
      </c>
      <c r="AH241" s="233">
        <f t="shared" si="88"/>
        <v>211.72692726743421</v>
      </c>
      <c r="AI241" s="233">
        <f t="shared" si="88"/>
        <v>0</v>
      </c>
      <c r="AJ241" s="233">
        <f t="shared" si="88"/>
        <v>0</v>
      </c>
      <c r="AK241" s="233">
        <f t="shared" si="88"/>
        <v>66355.83963675132</v>
      </c>
      <c r="AL241" s="233">
        <f t="shared" si="88"/>
        <v>1.1548483230508222</v>
      </c>
      <c r="AM241" s="233">
        <f t="shared" si="86"/>
        <v>208.64559787593799</v>
      </c>
      <c r="AN241" s="233">
        <f t="shared" si="86"/>
        <v>0</v>
      </c>
      <c r="AO241" s="233">
        <f t="shared" si="86"/>
        <v>0</v>
      </c>
      <c r="AP241" s="233">
        <f t="shared" si="86"/>
        <v>65390.075630040745</v>
      </c>
      <c r="AQ241" s="233">
        <f t="shared" si="86"/>
        <v>1.1380414476738332</v>
      </c>
      <c r="AR241" s="376">
        <v>10.625</v>
      </c>
      <c r="AS241" s="231">
        <f t="shared" si="87"/>
        <v>86.015749999999997</v>
      </c>
    </row>
    <row r="242" spans="2:45" ht="58.5" thickBot="1" x14ac:dyDescent="0.4">
      <c r="B242" s="56" t="s">
        <v>91</v>
      </c>
      <c r="C242" s="361" t="s">
        <v>205</v>
      </c>
      <c r="D242" s="56">
        <v>16</v>
      </c>
      <c r="E242" s="3">
        <v>5.0171999999999999</v>
      </c>
      <c r="F242" s="3">
        <v>234.31952696677001</v>
      </c>
      <c r="G242" s="3">
        <v>0</v>
      </c>
      <c r="H242" s="3">
        <v>0</v>
      </c>
      <c r="I242" s="3">
        <v>10.0415654138853</v>
      </c>
      <c r="J242" s="3">
        <f t="shared" si="80"/>
        <v>1.2780779292840465</v>
      </c>
      <c r="K242" s="3">
        <v>230.909400277819</v>
      </c>
      <c r="L242" s="3">
        <v>0</v>
      </c>
      <c r="M242" s="3">
        <v>0</v>
      </c>
      <c r="N242" s="3">
        <v>9.8954172752912104</v>
      </c>
      <c r="O242" s="3">
        <f t="shared" si="81"/>
        <v>1.2594776542082573</v>
      </c>
      <c r="P242" s="3">
        <f t="shared" si="82"/>
        <v>29.289940870846252</v>
      </c>
      <c r="Q242" s="3">
        <f t="shared" si="83"/>
        <v>0</v>
      </c>
      <c r="R242" s="3">
        <f t="shared" si="76"/>
        <v>0</v>
      </c>
      <c r="S242" s="3">
        <f t="shared" si="76"/>
        <v>9188.0323537050499</v>
      </c>
      <c r="T242" s="3">
        <f t="shared" si="77"/>
        <v>0.15975974116050581</v>
      </c>
      <c r="U242" s="3">
        <f t="shared" si="77"/>
        <v>28.863675034727375</v>
      </c>
      <c r="V242" s="3">
        <f t="shared" si="77"/>
        <v>0</v>
      </c>
      <c r="W242" s="3">
        <f t="shared" si="78"/>
        <v>0</v>
      </c>
      <c r="X242" s="3">
        <f t="shared" si="78"/>
        <v>9054.3068068914581</v>
      </c>
      <c r="Y242" s="3">
        <f t="shared" si="79"/>
        <v>0.15743470677603216</v>
      </c>
      <c r="Z242" s="3">
        <f t="shared" si="89"/>
        <v>0.42626583611887625</v>
      </c>
      <c r="AA242" s="3">
        <f t="shared" si="89"/>
        <v>0</v>
      </c>
      <c r="AB242" s="3">
        <f t="shared" si="84"/>
        <v>133.72554681359179</v>
      </c>
      <c r="AC242" s="3">
        <f t="shared" si="85"/>
        <v>2.325034384473651E-3</v>
      </c>
      <c r="AD242" s="3">
        <f t="shared" si="90"/>
        <v>2.1386609529756258</v>
      </c>
      <c r="AE242" s="3">
        <f t="shared" si="90"/>
        <v>0</v>
      </c>
      <c r="AF242" s="3">
        <f t="shared" si="90"/>
        <v>670.9278134731527</v>
      </c>
      <c r="AG242" s="3">
        <f t="shared" si="90"/>
        <v>1.1665162513781201E-2</v>
      </c>
      <c r="AH242" s="233">
        <f t="shared" si="88"/>
        <v>146.95349133720981</v>
      </c>
      <c r="AI242" s="233">
        <f t="shared" si="88"/>
        <v>0</v>
      </c>
      <c r="AJ242" s="233">
        <f t="shared" si="88"/>
        <v>0</v>
      </c>
      <c r="AK242" s="233">
        <f t="shared" si="88"/>
        <v>46098.195925008979</v>
      </c>
      <c r="AL242" s="233">
        <f t="shared" si="88"/>
        <v>0.80154657335048973</v>
      </c>
      <c r="AM242" s="233">
        <f t="shared" si="86"/>
        <v>144.81483038423417</v>
      </c>
      <c r="AN242" s="233">
        <f t="shared" si="86"/>
        <v>0</v>
      </c>
      <c r="AO242" s="233">
        <f t="shared" si="86"/>
        <v>0</v>
      </c>
      <c r="AP242" s="233">
        <f t="shared" si="86"/>
        <v>45427.268111535821</v>
      </c>
      <c r="AQ242" s="233">
        <f t="shared" si="86"/>
        <v>0.7898814108367086</v>
      </c>
      <c r="AR242" s="379">
        <v>10.625</v>
      </c>
      <c r="AS242" s="231">
        <f t="shared" si="87"/>
        <v>53.307749999999999</v>
      </c>
    </row>
    <row r="243" spans="2:45" ht="58" x14ac:dyDescent="0.35">
      <c r="B243" s="56" t="s">
        <v>92</v>
      </c>
      <c r="C243" s="361" t="s">
        <v>205</v>
      </c>
      <c r="D243" s="56">
        <v>1</v>
      </c>
      <c r="E243" s="3">
        <v>42.850499999999997</v>
      </c>
      <c r="F243" s="3">
        <v>874.032139417081</v>
      </c>
      <c r="G243" s="3">
        <v>0</v>
      </c>
      <c r="H243" s="3">
        <v>0</v>
      </c>
      <c r="I243" s="3">
        <v>7.1573315498309995</v>
      </c>
      <c r="J243" s="3">
        <f t="shared" si="80"/>
        <v>4.7673414219221542</v>
      </c>
      <c r="K243" s="3">
        <v>843.40478982162801</v>
      </c>
      <c r="L243" s="3">
        <v>0</v>
      </c>
      <c r="M243" s="3">
        <v>0</v>
      </c>
      <c r="N243" s="3">
        <v>6.9065161065204244</v>
      </c>
      <c r="O243" s="3">
        <f t="shared" si="81"/>
        <v>4.600286887214228</v>
      </c>
      <c r="P243" s="3">
        <f t="shared" si="82"/>
        <v>24.278670539363361</v>
      </c>
      <c r="Q243" s="3">
        <f t="shared" si="83"/>
        <v>0</v>
      </c>
      <c r="R243" s="3">
        <f t="shared" si="76"/>
        <v>0</v>
      </c>
      <c r="S243" s="3">
        <f t="shared" si="76"/>
        <v>7827.734938331836</v>
      </c>
      <c r="T243" s="3">
        <f t="shared" si="77"/>
        <v>0.13242615060894872</v>
      </c>
      <c r="U243" s="3">
        <f t="shared" si="77"/>
        <v>23.427910828378558</v>
      </c>
      <c r="V243" s="3">
        <f t="shared" si="77"/>
        <v>0</v>
      </c>
      <c r="W243" s="3">
        <f t="shared" si="78"/>
        <v>0</v>
      </c>
      <c r="X243" s="3">
        <f t="shared" si="78"/>
        <v>7553.4264484978376</v>
      </c>
      <c r="Y243" s="3">
        <f t="shared" si="79"/>
        <v>0.1277857468670619</v>
      </c>
      <c r="Z243" s="3">
        <f t="shared" si="89"/>
        <v>0.85075971098480352</v>
      </c>
      <c r="AA243" s="3">
        <f t="shared" si="89"/>
        <v>0</v>
      </c>
      <c r="AB243" s="3">
        <f t="shared" si="84"/>
        <v>274.30848983399846</v>
      </c>
      <c r="AC243" s="3">
        <f t="shared" si="85"/>
        <v>4.6404037418868171E-3</v>
      </c>
      <c r="AD243" s="3">
        <f t="shared" si="90"/>
        <v>36.455478995554323</v>
      </c>
      <c r="AE243" s="3">
        <f t="shared" si="90"/>
        <v>0</v>
      </c>
      <c r="AF243" s="3">
        <f t="shared" si="90"/>
        <v>11754.25594363175</v>
      </c>
      <c r="AG243" s="3">
        <f t="shared" si="90"/>
        <v>0.19884362054172106</v>
      </c>
      <c r="AH243" s="233">
        <f t="shared" si="88"/>
        <v>1040.3531719469897</v>
      </c>
      <c r="AI243" s="233">
        <f t="shared" si="88"/>
        <v>0</v>
      </c>
      <c r="AJ243" s="233">
        <f t="shared" si="88"/>
        <v>0</v>
      </c>
      <c r="AK243" s="233">
        <f t="shared" si="88"/>
        <v>335422.35597498831</v>
      </c>
      <c r="AL243" s="233">
        <f t="shared" si="88"/>
        <v>5.6745267666687562</v>
      </c>
      <c r="AM243" s="233">
        <f t="shared" si="86"/>
        <v>1003.8976929514353</v>
      </c>
      <c r="AN243" s="233">
        <f t="shared" si="86"/>
        <v>0</v>
      </c>
      <c r="AO243" s="233">
        <f t="shared" si="86"/>
        <v>0</v>
      </c>
      <c r="AP243" s="233">
        <f t="shared" si="86"/>
        <v>323668.10003135656</v>
      </c>
      <c r="AQ243" s="233">
        <f t="shared" si="86"/>
        <v>5.4756831461270359</v>
      </c>
      <c r="AR243" s="380">
        <v>16.409700000000001</v>
      </c>
      <c r="AS243" s="231">
        <f t="shared" si="87"/>
        <v>703.16384985000002</v>
      </c>
    </row>
    <row r="244" spans="2:45" ht="58" x14ac:dyDescent="0.35">
      <c r="B244" s="56" t="s">
        <v>92</v>
      </c>
      <c r="C244" s="361" t="s">
        <v>205</v>
      </c>
      <c r="D244" s="56">
        <v>2</v>
      </c>
      <c r="E244" s="3">
        <v>254.35410000000002</v>
      </c>
      <c r="F244" s="3">
        <v>795.82101490551395</v>
      </c>
      <c r="G244" s="3">
        <v>0</v>
      </c>
      <c r="H244" s="3">
        <v>0</v>
      </c>
      <c r="I244" s="3">
        <v>6.5535428383477754</v>
      </c>
      <c r="J244" s="3">
        <f t="shared" si="80"/>
        <v>4.3407448281312488</v>
      </c>
      <c r="K244" s="3">
        <v>767.93429616863295</v>
      </c>
      <c r="L244" s="3">
        <v>0</v>
      </c>
      <c r="M244" s="3">
        <v>0</v>
      </c>
      <c r="N244" s="3">
        <v>6.3238860534397254</v>
      </c>
      <c r="O244" s="3">
        <f t="shared" si="81"/>
        <v>4.1886388547233482</v>
      </c>
      <c r="P244" s="3">
        <f t="shared" si="82"/>
        <v>22.106139302930941</v>
      </c>
      <c r="Q244" s="3">
        <f t="shared" si="83"/>
        <v>0</v>
      </c>
      <c r="R244" s="3">
        <f t="shared" si="76"/>
        <v>0</v>
      </c>
      <c r="S244" s="3">
        <f t="shared" si="76"/>
        <v>7167.3913508730175</v>
      </c>
      <c r="T244" s="3">
        <f t="shared" si="77"/>
        <v>0.12057624522586802</v>
      </c>
      <c r="U244" s="3">
        <f t="shared" si="77"/>
        <v>21.331508226906472</v>
      </c>
      <c r="V244" s="3">
        <f t="shared" si="77"/>
        <v>0</v>
      </c>
      <c r="W244" s="3">
        <f t="shared" si="78"/>
        <v>0</v>
      </c>
      <c r="X244" s="3">
        <f t="shared" si="78"/>
        <v>6916.2233804452462</v>
      </c>
      <c r="Y244" s="3">
        <f t="shared" si="79"/>
        <v>0.11635107929787078</v>
      </c>
      <c r="Z244" s="3">
        <f t="shared" si="89"/>
        <v>0.77463107602446968</v>
      </c>
      <c r="AA244" s="3">
        <f t="shared" si="89"/>
        <v>0</v>
      </c>
      <c r="AB244" s="3">
        <f t="shared" si="84"/>
        <v>251.16797042777125</v>
      </c>
      <c r="AC244" s="3">
        <f t="shared" si="85"/>
        <v>4.2251659279972376E-3</v>
      </c>
      <c r="AD244" s="3">
        <f t="shared" si="90"/>
        <v>197.03059017423558</v>
      </c>
      <c r="AE244" s="3">
        <f t="shared" si="90"/>
        <v>0</v>
      </c>
      <c r="AF244" s="3">
        <f t="shared" si="90"/>
        <v>63885.603066982374</v>
      </c>
      <c r="AG244" s="3">
        <f t="shared" si="90"/>
        <v>1.0746882769664021</v>
      </c>
      <c r="AH244" s="233">
        <f t="shared" si="88"/>
        <v>5622.7871668716271</v>
      </c>
      <c r="AI244" s="233">
        <f t="shared" si="88"/>
        <v>0</v>
      </c>
      <c r="AJ244" s="233">
        <f t="shared" si="88"/>
        <v>0</v>
      </c>
      <c r="AK244" s="233">
        <f t="shared" si="88"/>
        <v>1823055.3763990907</v>
      </c>
      <c r="AL244" s="233">
        <f t="shared" si="88"/>
        <v>30.669062335804959</v>
      </c>
      <c r="AM244" s="233">
        <f t="shared" si="86"/>
        <v>5425.7565766973921</v>
      </c>
      <c r="AN244" s="233">
        <f t="shared" si="86"/>
        <v>0</v>
      </c>
      <c r="AO244" s="233">
        <f t="shared" si="86"/>
        <v>0</v>
      </c>
      <c r="AP244" s="233">
        <f t="shared" si="86"/>
        <v>1759169.7733321083</v>
      </c>
      <c r="AQ244" s="233">
        <f t="shared" si="86"/>
        <v>29.594374058838557</v>
      </c>
      <c r="AR244" s="376">
        <v>16.409700000000001</v>
      </c>
      <c r="AS244" s="231">
        <f t="shared" si="87"/>
        <v>4173.8744747700002</v>
      </c>
    </row>
    <row r="245" spans="2:45" ht="58" x14ac:dyDescent="0.35">
      <c r="B245" s="56" t="s">
        <v>92</v>
      </c>
      <c r="C245" s="361" t="s">
        <v>205</v>
      </c>
      <c r="D245" s="56">
        <v>3</v>
      </c>
      <c r="E245" s="3">
        <v>1233.771</v>
      </c>
      <c r="F245" s="3">
        <v>803.22928263382096</v>
      </c>
      <c r="G245" s="3">
        <v>0</v>
      </c>
      <c r="H245" s="3">
        <v>0</v>
      </c>
      <c r="I245" s="3">
        <v>6.5993279268313749</v>
      </c>
      <c r="J245" s="3">
        <f t="shared" si="80"/>
        <v>4.3811526575611843</v>
      </c>
      <c r="K245" s="3">
        <v>775.08296748694704</v>
      </c>
      <c r="L245" s="3">
        <v>0</v>
      </c>
      <c r="M245" s="3">
        <v>0</v>
      </c>
      <c r="N245" s="3">
        <v>6.3680666881985006</v>
      </c>
      <c r="O245" s="3">
        <f t="shared" si="81"/>
        <v>4.2276307353997664</v>
      </c>
      <c r="P245" s="3">
        <f t="shared" si="82"/>
        <v>22.311924517606137</v>
      </c>
      <c r="Q245" s="3">
        <f t="shared" si="83"/>
        <v>0</v>
      </c>
      <c r="R245" s="3">
        <f t="shared" si="76"/>
        <v>0</v>
      </c>
      <c r="S245" s="3">
        <f t="shared" si="76"/>
        <v>7217.464975977914</v>
      </c>
      <c r="T245" s="3">
        <f t="shared" si="77"/>
        <v>0.12169868493225512</v>
      </c>
      <c r="U245" s="3">
        <f t="shared" si="77"/>
        <v>21.530082430192973</v>
      </c>
      <c r="V245" s="3">
        <f t="shared" si="77"/>
        <v>0</v>
      </c>
      <c r="W245" s="3">
        <f t="shared" si="78"/>
        <v>0</v>
      </c>
      <c r="X245" s="3">
        <f t="shared" si="78"/>
        <v>6964.5422679930934</v>
      </c>
      <c r="Y245" s="3">
        <f t="shared" si="79"/>
        <v>0.11743418709443795</v>
      </c>
      <c r="Z245" s="3">
        <f t="shared" si="89"/>
        <v>0.78184208741316397</v>
      </c>
      <c r="AA245" s="3">
        <f t="shared" si="89"/>
        <v>0</v>
      </c>
      <c r="AB245" s="3">
        <f t="shared" si="84"/>
        <v>252.92270798482059</v>
      </c>
      <c r="AC245" s="3">
        <f t="shared" si="85"/>
        <v>4.2644978378171688E-3</v>
      </c>
      <c r="AD245" s="3">
        <f t="shared" si="90"/>
        <v>964.61409402982667</v>
      </c>
      <c r="AE245" s="3">
        <f t="shared" si="90"/>
        <v>0</v>
      </c>
      <c r="AF245" s="3">
        <f t="shared" si="90"/>
        <v>312048.70235314005</v>
      </c>
      <c r="AG245" s="3">
        <f t="shared" si="90"/>
        <v>5.261413761861526</v>
      </c>
      <c r="AH245" s="233">
        <f t="shared" si="88"/>
        <v>27527.80542401144</v>
      </c>
      <c r="AI245" s="233">
        <f t="shared" si="88"/>
        <v>0</v>
      </c>
      <c r="AJ245" s="233">
        <f t="shared" si="88"/>
        <v>0</v>
      </c>
      <c r="AK245" s="233">
        <f t="shared" si="88"/>
        <v>8904698.9808772467</v>
      </c>
      <c r="AL245" s="233">
        <f t="shared" si="88"/>
        <v>150.14830820755333</v>
      </c>
      <c r="AM245" s="233">
        <f t="shared" si="86"/>
        <v>26563.191329981615</v>
      </c>
      <c r="AN245" s="233">
        <f t="shared" si="86"/>
        <v>0</v>
      </c>
      <c r="AO245" s="233">
        <f t="shared" si="86"/>
        <v>0</v>
      </c>
      <c r="AP245" s="233">
        <f t="shared" si="86"/>
        <v>8592650.2785241064</v>
      </c>
      <c r="AQ245" s="233">
        <f t="shared" si="86"/>
        <v>144.88689444569181</v>
      </c>
      <c r="AR245" s="376">
        <v>16.409700000000001</v>
      </c>
      <c r="AS245" s="231">
        <f t="shared" si="87"/>
        <v>20245.8119787</v>
      </c>
    </row>
    <row r="246" spans="2:45" ht="58" x14ac:dyDescent="0.35">
      <c r="B246" s="56" t="s">
        <v>92</v>
      </c>
      <c r="C246" s="361" t="s">
        <v>205</v>
      </c>
      <c r="D246" s="56">
        <v>4</v>
      </c>
      <c r="E246" s="3">
        <v>642.75750000000005</v>
      </c>
      <c r="F246" s="3">
        <v>786.97183213322899</v>
      </c>
      <c r="G246" s="3">
        <v>0</v>
      </c>
      <c r="H246" s="3">
        <v>0</v>
      </c>
      <c r="I246" s="3">
        <v>6.4849327981445244</v>
      </c>
      <c r="J246" s="3">
        <f t="shared" si="80"/>
        <v>4.2924776378553737</v>
      </c>
      <c r="K246" s="3">
        <v>759.395201552353</v>
      </c>
      <c r="L246" s="3">
        <v>0</v>
      </c>
      <c r="M246" s="3">
        <v>0</v>
      </c>
      <c r="N246" s="3">
        <v>6.2576803251688498</v>
      </c>
      <c r="O246" s="3">
        <f t="shared" si="81"/>
        <v>4.1420630165658929</v>
      </c>
      <c r="P246" s="3">
        <f t="shared" si="82"/>
        <v>21.860328670367473</v>
      </c>
      <c r="Q246" s="3">
        <f t="shared" si="83"/>
        <v>0</v>
      </c>
      <c r="R246" s="3">
        <f t="shared" si="76"/>
        <v>0</v>
      </c>
      <c r="S246" s="3">
        <f t="shared" si="76"/>
        <v>7092.3548369040609</v>
      </c>
      <c r="T246" s="3">
        <f t="shared" si="77"/>
        <v>0.11923548994042704</v>
      </c>
      <c r="U246" s="3">
        <f t="shared" si="77"/>
        <v>21.094311154232027</v>
      </c>
      <c r="V246" s="3">
        <f t="shared" si="77"/>
        <v>0</v>
      </c>
      <c r="W246" s="3">
        <f t="shared" si="78"/>
        <v>0</v>
      </c>
      <c r="X246" s="3">
        <f t="shared" si="78"/>
        <v>6843.8163822929992</v>
      </c>
      <c r="Y246" s="3">
        <f t="shared" si="79"/>
        <v>0.11505730601571924</v>
      </c>
      <c r="Z246" s="3">
        <f t="shared" si="89"/>
        <v>0.76601751613544522</v>
      </c>
      <c r="AA246" s="3">
        <f t="shared" si="89"/>
        <v>0</v>
      </c>
      <c r="AB246" s="3">
        <f t="shared" si="84"/>
        <v>248.53845461106175</v>
      </c>
      <c r="AC246" s="3">
        <f t="shared" si="85"/>
        <v>4.1781839247077984E-3</v>
      </c>
      <c r="AD246" s="3">
        <f t="shared" si="90"/>
        <v>492.36350362742849</v>
      </c>
      <c r="AE246" s="3">
        <f t="shared" si="90"/>
        <v>0</v>
      </c>
      <c r="AF246" s="3">
        <f t="shared" si="90"/>
        <v>159749.95573966953</v>
      </c>
      <c r="AG246" s="3">
        <f t="shared" si="90"/>
        <v>2.6855590539853731</v>
      </c>
      <c r="AH246" s="233">
        <f t="shared" si="88"/>
        <v>14050.890205343721</v>
      </c>
      <c r="AI246" s="233">
        <f t="shared" si="88"/>
        <v>0</v>
      </c>
      <c r="AJ246" s="233">
        <f t="shared" si="88"/>
        <v>0</v>
      </c>
      <c r="AK246" s="233">
        <f t="shared" si="88"/>
        <v>4558664.2640813626</v>
      </c>
      <c r="AL246" s="233">
        <f t="shared" si="88"/>
        <v>76.639505425384044</v>
      </c>
      <c r="AM246" s="233">
        <f t="shared" si="86"/>
        <v>13558.526701716293</v>
      </c>
      <c r="AN246" s="233">
        <f t="shared" si="86"/>
        <v>0</v>
      </c>
      <c r="AO246" s="233">
        <f t="shared" si="86"/>
        <v>0</v>
      </c>
      <c r="AP246" s="233">
        <f t="shared" si="86"/>
        <v>4398914.3083416931</v>
      </c>
      <c r="AQ246" s="233">
        <f t="shared" si="86"/>
        <v>73.953946371398672</v>
      </c>
      <c r="AR246" s="376">
        <v>16.409700000000001</v>
      </c>
      <c r="AS246" s="231">
        <f t="shared" si="87"/>
        <v>10547.457747750001</v>
      </c>
    </row>
    <row r="247" spans="2:45" ht="58" x14ac:dyDescent="0.35">
      <c r="B247" s="56" t="s">
        <v>92</v>
      </c>
      <c r="C247" s="361" t="s">
        <v>205</v>
      </c>
      <c r="D247" s="56">
        <v>5</v>
      </c>
      <c r="E247" s="3">
        <v>114.1602</v>
      </c>
      <c r="F247" s="3">
        <v>840.098192114683</v>
      </c>
      <c r="G247" s="3">
        <v>0</v>
      </c>
      <c r="H247" s="3">
        <v>0</v>
      </c>
      <c r="I247" s="3">
        <v>6.8957445342274744</v>
      </c>
      <c r="J247" s="3">
        <f t="shared" si="80"/>
        <v>4.5822513030485652</v>
      </c>
      <c r="K247" s="3">
        <v>810.65993708488099</v>
      </c>
      <c r="L247" s="3">
        <v>0</v>
      </c>
      <c r="M247" s="3">
        <v>0</v>
      </c>
      <c r="N247" s="3">
        <v>6.6540959239504254</v>
      </c>
      <c r="O247" s="3">
        <f t="shared" si="81"/>
        <v>4.4216825936573043</v>
      </c>
      <c r="P247" s="3">
        <f t="shared" si="82"/>
        <v>23.336060892074528</v>
      </c>
      <c r="Q247" s="3">
        <f t="shared" si="83"/>
        <v>0</v>
      </c>
      <c r="R247" s="3">
        <f t="shared" si="76"/>
        <v>0</v>
      </c>
      <c r="S247" s="3">
        <f t="shared" si="76"/>
        <v>7541.6459389334477</v>
      </c>
      <c r="T247" s="3">
        <f t="shared" si="77"/>
        <v>0.1272847584180157</v>
      </c>
      <c r="U247" s="3">
        <f t="shared" si="77"/>
        <v>22.51833158569114</v>
      </c>
      <c r="V247" s="3">
        <f t="shared" si="77"/>
        <v>0</v>
      </c>
      <c r="W247" s="3">
        <f t="shared" si="78"/>
        <v>0</v>
      </c>
      <c r="X247" s="3">
        <f t="shared" si="78"/>
        <v>7277.3629088271155</v>
      </c>
      <c r="Y247" s="3">
        <f t="shared" si="79"/>
        <v>0.12282451649048068</v>
      </c>
      <c r="Z247" s="3">
        <f t="shared" si="89"/>
        <v>0.81772930638338792</v>
      </c>
      <c r="AA247" s="3">
        <f t="shared" si="89"/>
        <v>0</v>
      </c>
      <c r="AB247" s="3">
        <f t="shared" si="84"/>
        <v>264.28303010633226</v>
      </c>
      <c r="AC247" s="3">
        <f t="shared" si="85"/>
        <v>4.4602419275350247E-3</v>
      </c>
      <c r="AD247" s="3">
        <f t="shared" si="90"/>
        <v>93.35214116258885</v>
      </c>
      <c r="AE247" s="3">
        <f t="shared" si="90"/>
        <v>0</v>
      </c>
      <c r="AF247" s="3">
        <f t="shared" si="90"/>
        <v>30170.603573544915</v>
      </c>
      <c r="AG247" s="3">
        <f t="shared" si="90"/>
        <v>0.50918211049578399</v>
      </c>
      <c r="AH247" s="233">
        <f t="shared" si="88"/>
        <v>2664.0493786514066</v>
      </c>
      <c r="AI247" s="233">
        <f t="shared" si="88"/>
        <v>0</v>
      </c>
      <c r="AJ247" s="233">
        <f t="shared" si="88"/>
        <v>0</v>
      </c>
      <c r="AK247" s="233">
        <f t="shared" si="88"/>
        <v>860955.80871783022</v>
      </c>
      <c r="AL247" s="233">
        <f t="shared" si="88"/>
        <v>14.530853477952357</v>
      </c>
      <c r="AM247" s="233">
        <f t="shared" si="86"/>
        <v>2570.6972374888178</v>
      </c>
      <c r="AN247" s="233">
        <f t="shared" si="86"/>
        <v>0</v>
      </c>
      <c r="AO247" s="233">
        <f t="shared" si="86"/>
        <v>0</v>
      </c>
      <c r="AP247" s="233">
        <f t="shared" si="86"/>
        <v>830785.20514428534</v>
      </c>
      <c r="AQ247" s="233">
        <f t="shared" si="86"/>
        <v>14.021671367456573</v>
      </c>
      <c r="AR247" s="376">
        <v>16.409700000000001</v>
      </c>
      <c r="AS247" s="231">
        <f t="shared" si="87"/>
        <v>1873.3346339400002</v>
      </c>
    </row>
    <row r="248" spans="2:45" ht="58" x14ac:dyDescent="0.35">
      <c r="B248" s="56" t="s">
        <v>92</v>
      </c>
      <c r="C248" s="361" t="s">
        <v>205</v>
      </c>
      <c r="D248" s="56">
        <v>6</v>
      </c>
      <c r="E248" s="3">
        <v>544.92900000000009</v>
      </c>
      <c r="F248" s="3">
        <v>776.581822711124</v>
      </c>
      <c r="G248" s="3">
        <v>0</v>
      </c>
      <c r="H248" s="3">
        <v>0</v>
      </c>
      <c r="I248" s="3">
        <v>6.40053472491355</v>
      </c>
      <c r="J248" s="3">
        <f t="shared" si="80"/>
        <v>4.2358061265249125</v>
      </c>
      <c r="K248" s="3">
        <v>749.36927307935605</v>
      </c>
      <c r="L248" s="3">
        <v>0</v>
      </c>
      <c r="M248" s="3">
        <v>0</v>
      </c>
      <c r="N248" s="3">
        <v>6.1762398262802751</v>
      </c>
      <c r="O248" s="3">
        <f t="shared" si="81"/>
        <v>4.0873773569122056</v>
      </c>
      <c r="P248" s="3">
        <f t="shared" si="82"/>
        <v>21.571717297531222</v>
      </c>
      <c r="Q248" s="3">
        <f t="shared" si="83"/>
        <v>0</v>
      </c>
      <c r="R248" s="3">
        <f t="shared" si="76"/>
        <v>0</v>
      </c>
      <c r="S248" s="3">
        <f t="shared" si="76"/>
        <v>7000.0514774804524</v>
      </c>
      <c r="T248" s="3">
        <f t="shared" si="77"/>
        <v>0.11766128129235869</v>
      </c>
      <c r="U248" s="3">
        <f t="shared" si="77"/>
        <v>20.815813141093223</v>
      </c>
      <c r="V248" s="3">
        <f t="shared" si="77"/>
        <v>0</v>
      </c>
      <c r="W248" s="3">
        <f t="shared" si="78"/>
        <v>0</v>
      </c>
      <c r="X248" s="3">
        <f t="shared" si="78"/>
        <v>6754.7476233418611</v>
      </c>
      <c r="Y248" s="3">
        <f t="shared" si="79"/>
        <v>0.11353825991422793</v>
      </c>
      <c r="Z248" s="3">
        <f t="shared" si="89"/>
        <v>0.75590415643799957</v>
      </c>
      <c r="AA248" s="3">
        <f t="shared" si="89"/>
        <v>0</v>
      </c>
      <c r="AB248" s="3">
        <f t="shared" si="84"/>
        <v>245.3038541385913</v>
      </c>
      <c r="AC248" s="3">
        <f t="shared" si="85"/>
        <v>4.1230213781307534E-3</v>
      </c>
      <c r="AD248" s="3">
        <f t="shared" si="90"/>
        <v>411.91409606360276</v>
      </c>
      <c r="AE248" s="3">
        <f t="shared" si="90"/>
        <v>0</v>
      </c>
      <c r="AF248" s="3">
        <f t="shared" si="90"/>
        <v>133673.18393188843</v>
      </c>
      <c r="AG248" s="3">
        <f t="shared" si="90"/>
        <v>2.2467539165634136</v>
      </c>
      <c r="AH248" s="233">
        <f t="shared" si="88"/>
        <v>11755.054335226394</v>
      </c>
      <c r="AI248" s="233">
        <f t="shared" si="88"/>
        <v>0</v>
      </c>
      <c r="AJ248" s="233">
        <f t="shared" si="88"/>
        <v>0</v>
      </c>
      <c r="AK248" s="233">
        <f t="shared" si="88"/>
        <v>3814531.0515719461</v>
      </c>
      <c r="AL248" s="233">
        <f t="shared" si="88"/>
        <v>64.117044353363738</v>
      </c>
      <c r="AM248" s="233">
        <f t="shared" si="86"/>
        <v>11343.140239162791</v>
      </c>
      <c r="AN248" s="233">
        <f t="shared" si="86"/>
        <v>0</v>
      </c>
      <c r="AO248" s="233">
        <f t="shared" si="86"/>
        <v>0</v>
      </c>
      <c r="AP248" s="233">
        <f t="shared" si="86"/>
        <v>3680857.8676400576</v>
      </c>
      <c r="AQ248" s="233">
        <f t="shared" si="86"/>
        <v>61.870290436800325</v>
      </c>
      <c r="AR248" s="376">
        <v>16.409700000000001</v>
      </c>
      <c r="AS248" s="231">
        <f t="shared" si="87"/>
        <v>8942.1214113000024</v>
      </c>
    </row>
    <row r="249" spans="2:45" ht="58" x14ac:dyDescent="0.35">
      <c r="B249" s="56" t="s">
        <v>92</v>
      </c>
      <c r="C249" s="361" t="s">
        <v>205</v>
      </c>
      <c r="D249" s="56">
        <v>7</v>
      </c>
      <c r="E249" s="3">
        <v>585.83910000000003</v>
      </c>
      <c r="F249" s="3">
        <v>760.38646190486304</v>
      </c>
      <c r="G249" s="3">
        <v>0</v>
      </c>
      <c r="H249" s="3">
        <v>0</v>
      </c>
      <c r="I249" s="3">
        <v>6.2590022155884002</v>
      </c>
      <c r="J249" s="3">
        <f t="shared" si="80"/>
        <v>4.1474697703056149</v>
      </c>
      <c r="K249" s="3">
        <v>733.74142112645302</v>
      </c>
      <c r="L249" s="3">
        <v>0</v>
      </c>
      <c r="M249" s="3">
        <v>0</v>
      </c>
      <c r="N249" s="3">
        <v>6.03966706191345</v>
      </c>
      <c r="O249" s="3">
        <f t="shared" si="81"/>
        <v>4.0021364343067392</v>
      </c>
      <c r="P249" s="3">
        <f t="shared" si="82"/>
        <v>21.121846164023975</v>
      </c>
      <c r="Q249" s="3">
        <f t="shared" si="83"/>
        <v>0</v>
      </c>
      <c r="R249" s="3">
        <f t="shared" si="76"/>
        <v>0</v>
      </c>
      <c r="S249" s="3">
        <f t="shared" si="76"/>
        <v>6845.262089781847</v>
      </c>
      <c r="T249" s="3">
        <f t="shared" si="77"/>
        <v>0.11520749361960042</v>
      </c>
      <c r="U249" s="3">
        <f t="shared" si="77"/>
        <v>20.381706142401473</v>
      </c>
      <c r="V249" s="3">
        <f t="shared" si="77"/>
        <v>0</v>
      </c>
      <c r="W249" s="3">
        <f t="shared" si="78"/>
        <v>0</v>
      </c>
      <c r="X249" s="3">
        <f t="shared" si="78"/>
        <v>6605.3825433793427</v>
      </c>
      <c r="Y249" s="3">
        <f t="shared" si="79"/>
        <v>0.11117045650852053</v>
      </c>
      <c r="Z249" s="3">
        <f t="shared" si="89"/>
        <v>0.74014002162250137</v>
      </c>
      <c r="AA249" s="3">
        <f t="shared" si="89"/>
        <v>0</v>
      </c>
      <c r="AB249" s="3">
        <f t="shared" si="84"/>
        <v>239.87954640250427</v>
      </c>
      <c r="AC249" s="3">
        <f t="shared" si="85"/>
        <v>4.0370371110798886E-3</v>
      </c>
      <c r="AD249" s="3">
        <f t="shared" si="90"/>
        <v>433.60296414130676</v>
      </c>
      <c r="AE249" s="3">
        <f t="shared" si="90"/>
        <v>0</v>
      </c>
      <c r="AF249" s="3">
        <f t="shared" si="90"/>
        <v>140530.81757285135</v>
      </c>
      <c r="AG249" s="3">
        <f t="shared" si="90"/>
        <v>2.365054187821642</v>
      </c>
      <c r="AH249" s="233">
        <f t="shared" si="88"/>
        <v>12374.003347070258</v>
      </c>
      <c r="AI249" s="233">
        <f t="shared" si="88"/>
        <v>0</v>
      </c>
      <c r="AJ249" s="233">
        <f t="shared" si="88"/>
        <v>0</v>
      </c>
      <c r="AK249" s="233">
        <f t="shared" si="88"/>
        <v>4010222.1819419167</v>
      </c>
      <c r="AL249" s="233">
        <f t="shared" si="88"/>
        <v>67.493054375362462</v>
      </c>
      <c r="AM249" s="233">
        <f t="shared" si="86"/>
        <v>11940.400382928952</v>
      </c>
      <c r="AN249" s="233">
        <f t="shared" si="86"/>
        <v>0</v>
      </c>
      <c r="AO249" s="233">
        <f t="shared" si="86"/>
        <v>0</v>
      </c>
      <c r="AP249" s="233">
        <f t="shared" si="86"/>
        <v>3869691.3643690655</v>
      </c>
      <c r="AQ249" s="233">
        <f t="shared" si="86"/>
        <v>65.12800018754082</v>
      </c>
      <c r="AR249" s="376">
        <v>16.409700000000001</v>
      </c>
      <c r="AS249" s="231">
        <f t="shared" si="87"/>
        <v>9613.4438792700003</v>
      </c>
    </row>
    <row r="250" spans="2:45" ht="58" x14ac:dyDescent="0.35">
      <c r="B250" s="56" t="s">
        <v>92</v>
      </c>
      <c r="C250" s="361" t="s">
        <v>205</v>
      </c>
      <c r="D250" s="56">
        <v>8</v>
      </c>
      <c r="E250" s="3">
        <v>766.13459999999998</v>
      </c>
      <c r="F250" s="3">
        <v>756.29660559679701</v>
      </c>
      <c r="G250" s="3">
        <v>0</v>
      </c>
      <c r="H250" s="3">
        <v>0</v>
      </c>
      <c r="I250" s="3">
        <v>6.2293218818293754</v>
      </c>
      <c r="J250" s="3">
        <f t="shared" si="80"/>
        <v>4.1251619620365085</v>
      </c>
      <c r="K250" s="3">
        <v>729.79487929538698</v>
      </c>
      <c r="L250" s="3">
        <v>0</v>
      </c>
      <c r="M250" s="3">
        <v>0</v>
      </c>
      <c r="N250" s="3">
        <v>6.0110268205432753</v>
      </c>
      <c r="O250" s="3">
        <f t="shared" si="81"/>
        <v>3.9806103238857453</v>
      </c>
      <c r="P250" s="3">
        <f t="shared" si="82"/>
        <v>21.008239044355474</v>
      </c>
      <c r="Q250" s="3">
        <f t="shared" si="83"/>
        <v>0</v>
      </c>
      <c r="R250" s="3">
        <f t="shared" si="76"/>
        <v>0</v>
      </c>
      <c r="S250" s="3">
        <f t="shared" si="76"/>
        <v>6812.8016980940602</v>
      </c>
      <c r="T250" s="3">
        <f t="shared" si="77"/>
        <v>0.11458783227879191</v>
      </c>
      <c r="U250" s="3">
        <f t="shared" si="77"/>
        <v>20.272079980427417</v>
      </c>
      <c r="V250" s="3">
        <f t="shared" si="77"/>
        <v>0</v>
      </c>
      <c r="W250" s="3">
        <f t="shared" si="78"/>
        <v>0</v>
      </c>
      <c r="X250" s="3">
        <f t="shared" si="78"/>
        <v>6574.0596660674955</v>
      </c>
      <c r="Y250" s="3">
        <f t="shared" si="79"/>
        <v>0.11057250899682626</v>
      </c>
      <c r="Z250" s="3">
        <f t="shared" si="89"/>
        <v>0.73615906392805641</v>
      </c>
      <c r="AA250" s="3">
        <f t="shared" si="89"/>
        <v>0</v>
      </c>
      <c r="AB250" s="3">
        <f t="shared" si="84"/>
        <v>238.74203202656463</v>
      </c>
      <c r="AC250" s="3">
        <f t="shared" si="85"/>
        <v>4.0153232819656465E-3</v>
      </c>
      <c r="AD250" s="3">
        <f t="shared" si="90"/>
        <v>563.99692997889588</v>
      </c>
      <c r="AE250" s="3">
        <f t="shared" si="90"/>
        <v>0</v>
      </c>
      <c r="AF250" s="3">
        <f t="shared" si="90"/>
        <v>182908.53120985927</v>
      </c>
      <c r="AG250" s="3">
        <f t="shared" si="90"/>
        <v>3.0762780964994376</v>
      </c>
      <c r="AH250" s="233">
        <f t="shared" si="88"/>
        <v>16095.138816951663</v>
      </c>
      <c r="AI250" s="233">
        <f t="shared" si="88"/>
        <v>0</v>
      </c>
      <c r="AJ250" s="233">
        <f t="shared" si="88"/>
        <v>0</v>
      </c>
      <c r="AK250" s="233">
        <f t="shared" si="88"/>
        <v>5219523.1038486138</v>
      </c>
      <c r="AL250" s="233">
        <f t="shared" si="88"/>
        <v>87.789703047779327</v>
      </c>
      <c r="AM250" s="233">
        <f t="shared" si="86"/>
        <v>15531.141886972766</v>
      </c>
      <c r="AN250" s="233">
        <f t="shared" si="86"/>
        <v>0</v>
      </c>
      <c r="AO250" s="233">
        <f t="shared" si="86"/>
        <v>0</v>
      </c>
      <c r="AP250" s="233">
        <f t="shared" si="86"/>
        <v>5036614.5726387538</v>
      </c>
      <c r="AQ250" s="233">
        <f t="shared" si="86"/>
        <v>84.71342495127989</v>
      </c>
      <c r="AR250" s="376">
        <v>16.409700000000001</v>
      </c>
      <c r="AS250" s="231">
        <f t="shared" si="87"/>
        <v>12572.038945620001</v>
      </c>
    </row>
    <row r="251" spans="2:45" ht="58" x14ac:dyDescent="0.35">
      <c r="B251" s="56" t="s">
        <v>92</v>
      </c>
      <c r="C251" s="361" t="s">
        <v>205</v>
      </c>
      <c r="D251" s="56">
        <v>9</v>
      </c>
      <c r="E251" s="3">
        <v>1798.7508</v>
      </c>
      <c r="F251" s="3">
        <v>760.83293985962098</v>
      </c>
      <c r="G251" s="3">
        <v>0</v>
      </c>
      <c r="H251" s="3">
        <v>0</v>
      </c>
      <c r="I251" s="3">
        <v>6.2665507459823253</v>
      </c>
      <c r="J251" s="3">
        <f t="shared" si="80"/>
        <v>4.1499050501445369</v>
      </c>
      <c r="K251" s="3">
        <v>734.17225384828396</v>
      </c>
      <c r="L251" s="3">
        <v>0</v>
      </c>
      <c r="M251" s="3">
        <v>0</v>
      </c>
      <c r="N251" s="3">
        <v>6.0469510680242751</v>
      </c>
      <c r="O251" s="3">
        <f t="shared" si="81"/>
        <v>4.0044863784198625</v>
      </c>
      <c r="P251" s="3">
        <f t="shared" si="82"/>
        <v>21.134248329433916</v>
      </c>
      <c r="Q251" s="3">
        <f t="shared" si="83"/>
        <v>0</v>
      </c>
      <c r="R251" s="3">
        <f t="shared" si="76"/>
        <v>0</v>
      </c>
      <c r="S251" s="3">
        <f t="shared" si="76"/>
        <v>6853.5176658560031</v>
      </c>
      <c r="T251" s="3">
        <f t="shared" si="77"/>
        <v>0.1152751402817927</v>
      </c>
      <c r="U251" s="3">
        <f t="shared" si="77"/>
        <v>20.393673718007889</v>
      </c>
      <c r="V251" s="3">
        <f t="shared" si="77"/>
        <v>0</v>
      </c>
      <c r="W251" s="3">
        <f t="shared" si="78"/>
        <v>0</v>
      </c>
      <c r="X251" s="3">
        <f t="shared" si="78"/>
        <v>6613.3488180625491</v>
      </c>
      <c r="Y251" s="3">
        <f t="shared" si="79"/>
        <v>0.11123573273388507</v>
      </c>
      <c r="Z251" s="3">
        <f t="shared" si="89"/>
        <v>0.74057461142602676</v>
      </c>
      <c r="AA251" s="3">
        <f t="shared" si="89"/>
        <v>0</v>
      </c>
      <c r="AB251" s="3">
        <f t="shared" si="84"/>
        <v>240.16884779345401</v>
      </c>
      <c r="AC251" s="3">
        <f t="shared" si="85"/>
        <v>4.0394075479076308E-3</v>
      </c>
      <c r="AD251" s="3">
        <f t="shared" si="90"/>
        <v>1332.1091747622547</v>
      </c>
      <c r="AE251" s="3">
        <f t="shared" si="90"/>
        <v>0</v>
      </c>
      <c r="AF251" s="3">
        <f t="shared" si="90"/>
        <v>432003.90710355365</v>
      </c>
      <c r="AG251" s="3">
        <f t="shared" si="90"/>
        <v>7.2658875583248896</v>
      </c>
      <c r="AH251" s="233">
        <f t="shared" si="88"/>
        <v>38015.246089967921</v>
      </c>
      <c r="AI251" s="233">
        <f t="shared" si="88"/>
        <v>0</v>
      </c>
      <c r="AJ251" s="233">
        <f t="shared" si="88"/>
        <v>0</v>
      </c>
      <c r="AK251" s="233">
        <f t="shared" si="88"/>
        <v>12327770.384272618</v>
      </c>
      <c r="AL251" s="233">
        <f t="shared" si="88"/>
        <v>207.35125080198685</v>
      </c>
      <c r="AM251" s="233">
        <f t="shared" si="86"/>
        <v>36683.136915205665</v>
      </c>
      <c r="AN251" s="233">
        <f t="shared" si="86"/>
        <v>0</v>
      </c>
      <c r="AO251" s="233">
        <f t="shared" si="86"/>
        <v>0</v>
      </c>
      <c r="AP251" s="233">
        <f t="shared" si="86"/>
        <v>11895766.477169065</v>
      </c>
      <c r="AQ251" s="233">
        <f t="shared" si="86"/>
        <v>200.08536324366196</v>
      </c>
      <c r="AR251" s="376">
        <v>16.409700000000001</v>
      </c>
      <c r="AS251" s="231">
        <f t="shared" si="87"/>
        <v>29516.961002760003</v>
      </c>
    </row>
    <row r="252" spans="2:45" ht="58" x14ac:dyDescent="0.35">
      <c r="B252" s="56" t="s">
        <v>92</v>
      </c>
      <c r="C252" s="361" t="s">
        <v>205</v>
      </c>
      <c r="D252" s="56">
        <v>10</v>
      </c>
      <c r="E252" s="3">
        <v>635.48099999999999</v>
      </c>
      <c r="F252" s="3">
        <v>766.74443193788602</v>
      </c>
      <c r="G252" s="3">
        <v>0</v>
      </c>
      <c r="H252" s="3">
        <v>0</v>
      </c>
      <c r="I252" s="3">
        <v>6.3178487997810748</v>
      </c>
      <c r="J252" s="3">
        <f t="shared" si="80"/>
        <v>4.1821488313273125</v>
      </c>
      <c r="K252" s="3">
        <v>739.87659869895106</v>
      </c>
      <c r="L252" s="3">
        <v>0</v>
      </c>
      <c r="M252" s="3">
        <v>0</v>
      </c>
      <c r="N252" s="3">
        <v>6.0964514764275748</v>
      </c>
      <c r="O252" s="3">
        <f t="shared" si="81"/>
        <v>4.0356002909009883</v>
      </c>
      <c r="P252" s="3">
        <f t="shared" si="82"/>
        <v>21.298456442719058</v>
      </c>
      <c r="Q252" s="3">
        <f t="shared" si="83"/>
        <v>0</v>
      </c>
      <c r="R252" s="3">
        <f t="shared" si="76"/>
        <v>0</v>
      </c>
      <c r="S252" s="3">
        <f t="shared" si="76"/>
        <v>6909.6206373605683</v>
      </c>
      <c r="T252" s="3">
        <f t="shared" si="77"/>
        <v>0.11617080087020312</v>
      </c>
      <c r="U252" s="3">
        <f t="shared" si="77"/>
        <v>20.552127741637531</v>
      </c>
      <c r="V252" s="3">
        <f t="shared" si="77"/>
        <v>0</v>
      </c>
      <c r="W252" s="3">
        <f t="shared" si="78"/>
        <v>0</v>
      </c>
      <c r="X252" s="3">
        <f t="shared" si="78"/>
        <v>6667.485764719625</v>
      </c>
      <c r="Y252" s="3">
        <f t="shared" si="79"/>
        <v>0.11210000808058301</v>
      </c>
      <c r="Z252" s="3">
        <f t="shared" si="89"/>
        <v>0.74632870108152716</v>
      </c>
      <c r="AA252" s="3">
        <f t="shared" si="89"/>
        <v>0</v>
      </c>
      <c r="AB252" s="3">
        <f t="shared" si="84"/>
        <v>242.13487264094329</v>
      </c>
      <c r="AC252" s="3">
        <f t="shared" si="85"/>
        <v>4.070792789620109E-3</v>
      </c>
      <c r="AD252" s="3">
        <f t="shared" si="90"/>
        <v>474.27770929198994</v>
      </c>
      <c r="AE252" s="3">
        <f t="shared" si="90"/>
        <v>0</v>
      </c>
      <c r="AF252" s="3">
        <f t="shared" si="90"/>
        <v>153872.11100073927</v>
      </c>
      <c r="AG252" s="3">
        <f t="shared" si="90"/>
        <v>2.5869114727405766</v>
      </c>
      <c r="AH252" s="233">
        <f t="shared" si="88"/>
        <v>13534.76439867555</v>
      </c>
      <c r="AI252" s="233">
        <f t="shared" si="88"/>
        <v>0</v>
      </c>
      <c r="AJ252" s="233">
        <f t="shared" si="88"/>
        <v>0</v>
      </c>
      <c r="AK252" s="233">
        <f t="shared" si="88"/>
        <v>4390932.6322505316</v>
      </c>
      <c r="AL252" s="233">
        <f t="shared" si="88"/>
        <v>73.824336707797556</v>
      </c>
      <c r="AM252" s="233">
        <f t="shared" si="86"/>
        <v>13060.486689383559</v>
      </c>
      <c r="AN252" s="233">
        <f t="shared" si="86"/>
        <v>0</v>
      </c>
      <c r="AO252" s="233">
        <f t="shared" si="86"/>
        <v>0</v>
      </c>
      <c r="AP252" s="233">
        <f t="shared" si="86"/>
        <v>4237060.5212497916</v>
      </c>
      <c r="AQ252" s="233">
        <f t="shared" si="86"/>
        <v>71.237425235056975</v>
      </c>
      <c r="AR252" s="376">
        <v>16.409700000000001</v>
      </c>
      <c r="AS252" s="231">
        <f t="shared" si="87"/>
        <v>10428.0525657</v>
      </c>
    </row>
    <row r="253" spans="2:45" ht="58" x14ac:dyDescent="0.35">
      <c r="B253" s="56" t="s">
        <v>92</v>
      </c>
      <c r="C253" s="361" t="s">
        <v>205</v>
      </c>
      <c r="D253" s="56">
        <v>11</v>
      </c>
      <c r="E253" s="3">
        <v>181.42740000000001</v>
      </c>
      <c r="F253" s="3">
        <v>781.75694674583201</v>
      </c>
      <c r="G253" s="3">
        <v>0</v>
      </c>
      <c r="H253" s="3">
        <v>0</v>
      </c>
      <c r="I253" s="3">
        <v>6.4442357270256503</v>
      </c>
      <c r="J253" s="3">
        <f t="shared" si="80"/>
        <v>4.2640334445623278</v>
      </c>
      <c r="K253" s="3">
        <v>754.36305328714695</v>
      </c>
      <c r="L253" s="3">
        <v>0</v>
      </c>
      <c r="M253" s="3">
        <v>0</v>
      </c>
      <c r="N253" s="3">
        <v>6.2184094076189504</v>
      </c>
      <c r="O253" s="3">
        <f t="shared" si="81"/>
        <v>4.114615548922461</v>
      </c>
      <c r="P253" s="3">
        <f t="shared" si="82"/>
        <v>21.715470742939779</v>
      </c>
      <c r="Q253" s="3">
        <f t="shared" si="83"/>
        <v>0</v>
      </c>
      <c r="R253" s="3">
        <f t="shared" si="76"/>
        <v>0</v>
      </c>
      <c r="S253" s="3">
        <f t="shared" si="76"/>
        <v>7047.8458067903857</v>
      </c>
      <c r="T253" s="3">
        <f t="shared" si="77"/>
        <v>0.11844537346006466</v>
      </c>
      <c r="U253" s="3">
        <f t="shared" si="77"/>
        <v>20.954529257976304</v>
      </c>
      <c r="V253" s="3">
        <f t="shared" si="77"/>
        <v>0</v>
      </c>
      <c r="W253" s="3">
        <f t="shared" si="78"/>
        <v>0</v>
      </c>
      <c r="X253" s="3">
        <f t="shared" si="78"/>
        <v>6800.8670887992585</v>
      </c>
      <c r="Y253" s="3">
        <f t="shared" si="79"/>
        <v>0.11429487635895724</v>
      </c>
      <c r="Z253" s="3">
        <f t="shared" si="89"/>
        <v>0.76094148496347458</v>
      </c>
      <c r="AA253" s="3">
        <f t="shared" si="89"/>
        <v>0</v>
      </c>
      <c r="AB253" s="3">
        <f t="shared" si="84"/>
        <v>246.97871799112727</v>
      </c>
      <c r="AC253" s="3">
        <f t="shared" si="85"/>
        <v>4.1504971011074171E-3</v>
      </c>
      <c r="AD253" s="3">
        <f t="shared" si="90"/>
        <v>138.0556351690623</v>
      </c>
      <c r="AE253" s="3">
        <f t="shared" si="90"/>
        <v>0</v>
      </c>
      <c r="AF253" s="3">
        <f t="shared" si="90"/>
        <v>44808.706660463446</v>
      </c>
      <c r="AG253" s="3">
        <f t="shared" si="90"/>
        <v>0.75301389776145577</v>
      </c>
      <c r="AH253" s="233">
        <f t="shared" si="88"/>
        <v>3939.7813966676326</v>
      </c>
      <c r="AI253" s="233">
        <f t="shared" si="88"/>
        <v>0</v>
      </c>
      <c r="AJ253" s="233">
        <f t="shared" si="88"/>
        <v>0</v>
      </c>
      <c r="AK253" s="233">
        <f t="shared" si="88"/>
        <v>1278672.340326882</v>
      </c>
      <c r="AL253" s="233">
        <f t="shared" si="88"/>
        <v>21.489236148888537</v>
      </c>
      <c r="AM253" s="233">
        <f t="shared" si="86"/>
        <v>3801.7257614985701</v>
      </c>
      <c r="AN253" s="233">
        <f t="shared" si="86"/>
        <v>0</v>
      </c>
      <c r="AO253" s="233">
        <f t="shared" si="86"/>
        <v>0</v>
      </c>
      <c r="AP253" s="233">
        <f t="shared" si="86"/>
        <v>1233863.6336664187</v>
      </c>
      <c r="AQ253" s="233">
        <f t="shared" si="86"/>
        <v>20.736222251127082</v>
      </c>
      <c r="AR253" s="376">
        <v>16.409700000000001</v>
      </c>
      <c r="AS253" s="231">
        <f t="shared" si="87"/>
        <v>2977.1692057800001</v>
      </c>
    </row>
    <row r="254" spans="2:45" ht="58" x14ac:dyDescent="0.35">
      <c r="B254" s="56" t="s">
        <v>92</v>
      </c>
      <c r="C254" s="361" t="s">
        <v>205</v>
      </c>
      <c r="D254" s="56">
        <v>12</v>
      </c>
      <c r="E254" s="3">
        <v>1024.3695</v>
      </c>
      <c r="F254" s="3">
        <v>782.11704828736595</v>
      </c>
      <c r="G254" s="3">
        <v>0</v>
      </c>
      <c r="H254" s="3">
        <v>0</v>
      </c>
      <c r="I254" s="3">
        <v>6.4355047712420497</v>
      </c>
      <c r="J254" s="3">
        <f t="shared" si="80"/>
        <v>4.265997590865001</v>
      </c>
      <c r="K254" s="3">
        <v>754.71053635013197</v>
      </c>
      <c r="L254" s="3">
        <v>0</v>
      </c>
      <c r="M254" s="3">
        <v>0</v>
      </c>
      <c r="N254" s="3">
        <v>6.209984412028775</v>
      </c>
      <c r="O254" s="3">
        <f t="shared" si="81"/>
        <v>4.1165108686994767</v>
      </c>
      <c r="P254" s="3">
        <f t="shared" si="82"/>
        <v>21.725473563537943</v>
      </c>
      <c r="Q254" s="3">
        <f t="shared" si="83"/>
        <v>0</v>
      </c>
      <c r="R254" s="3">
        <f t="shared" si="76"/>
        <v>0</v>
      </c>
      <c r="S254" s="3">
        <f t="shared" si="76"/>
        <v>7038.2970514817216</v>
      </c>
      <c r="T254" s="3">
        <f t="shared" si="77"/>
        <v>0.11849993307958336</v>
      </c>
      <c r="U254" s="3">
        <f t="shared" si="77"/>
        <v>20.964181565281443</v>
      </c>
      <c r="V254" s="3">
        <f t="shared" si="77"/>
        <v>0</v>
      </c>
      <c r="W254" s="3">
        <f t="shared" si="78"/>
        <v>0</v>
      </c>
      <c r="X254" s="3">
        <f t="shared" si="78"/>
        <v>6791.6529519554697</v>
      </c>
      <c r="Y254" s="3">
        <f t="shared" si="79"/>
        <v>0.11434752413054101</v>
      </c>
      <c r="Z254" s="3">
        <f t="shared" si="89"/>
        <v>0.76129199825649962</v>
      </c>
      <c r="AA254" s="3">
        <f t="shared" si="89"/>
        <v>0</v>
      </c>
      <c r="AB254" s="3">
        <f t="shared" si="84"/>
        <v>246.64409952625192</v>
      </c>
      <c r="AC254" s="3">
        <f t="shared" si="85"/>
        <v>4.152408949042341E-3</v>
      </c>
      <c r="AD254" s="3">
        <f t="shared" si="90"/>
        <v>779.84430360801139</v>
      </c>
      <c r="AE254" s="3">
        <f t="shared" si="90"/>
        <v>0</v>
      </c>
      <c r="AF254" s="3">
        <f t="shared" si="90"/>
        <v>252654.69290965691</v>
      </c>
      <c r="AG254" s="3">
        <f t="shared" si="90"/>
        <v>4.2536010789260281</v>
      </c>
      <c r="AH254" s="233">
        <f t="shared" si="88"/>
        <v>22254.912491544579</v>
      </c>
      <c r="AI254" s="233">
        <f t="shared" si="88"/>
        <v>0</v>
      </c>
      <c r="AJ254" s="233">
        <f t="shared" si="88"/>
        <v>0</v>
      </c>
      <c r="AK254" s="233">
        <f t="shared" si="88"/>
        <v>7209816.831477806</v>
      </c>
      <c r="AL254" s="233">
        <f t="shared" si="88"/>
        <v>121.38771719876627</v>
      </c>
      <c r="AM254" s="233">
        <f t="shared" si="86"/>
        <v>21475.068187936569</v>
      </c>
      <c r="AN254" s="233">
        <f t="shared" si="86"/>
        <v>0</v>
      </c>
      <c r="AO254" s="233">
        <f t="shared" si="86"/>
        <v>0</v>
      </c>
      <c r="AP254" s="233">
        <f t="shared" si="86"/>
        <v>6957162.1385681489</v>
      </c>
      <c r="AQ254" s="233">
        <f t="shared" si="86"/>
        <v>117.13411611984023</v>
      </c>
      <c r="AR254" s="376">
        <v>16.409700000000001</v>
      </c>
      <c r="AS254" s="231">
        <f t="shared" si="87"/>
        <v>16809.596184149999</v>
      </c>
    </row>
    <row r="255" spans="2:45" ht="58" x14ac:dyDescent="0.35">
      <c r="B255" s="56" t="s">
        <v>92</v>
      </c>
      <c r="C255" s="361" t="s">
        <v>205</v>
      </c>
      <c r="D255" s="56">
        <v>13</v>
      </c>
      <c r="E255" s="3">
        <v>298.98329999999999</v>
      </c>
      <c r="F255" s="3">
        <v>774.68618777407698</v>
      </c>
      <c r="G255" s="3">
        <v>0</v>
      </c>
      <c r="H255" s="3">
        <v>0</v>
      </c>
      <c r="I255" s="3">
        <v>6.3887271044128751</v>
      </c>
      <c r="J255" s="3">
        <f t="shared" si="80"/>
        <v>4.2254665308182222</v>
      </c>
      <c r="K255" s="3">
        <v>747.54006393068005</v>
      </c>
      <c r="L255" s="3">
        <v>0</v>
      </c>
      <c r="M255" s="3">
        <v>0</v>
      </c>
      <c r="N255" s="3">
        <v>6.1648459819963</v>
      </c>
      <c r="O255" s="3">
        <f t="shared" si="81"/>
        <v>4.077400075585162</v>
      </c>
      <c r="P255" s="3">
        <f t="shared" si="82"/>
        <v>21.51906077150214</v>
      </c>
      <c r="Q255" s="3">
        <f t="shared" si="83"/>
        <v>0</v>
      </c>
      <c r="R255" s="3">
        <f t="shared" si="76"/>
        <v>0</v>
      </c>
      <c r="S255" s="3">
        <f t="shared" si="76"/>
        <v>6987.1378765262143</v>
      </c>
      <c r="T255" s="3">
        <f t="shared" si="77"/>
        <v>0.11737407030050617</v>
      </c>
      <c r="U255" s="3">
        <f t="shared" si="77"/>
        <v>20.765001775852223</v>
      </c>
      <c r="V255" s="3">
        <f t="shared" si="77"/>
        <v>0</v>
      </c>
      <c r="W255" s="3">
        <f t="shared" si="78"/>
        <v>0</v>
      </c>
      <c r="X255" s="3">
        <f t="shared" si="78"/>
        <v>6742.2865556432862</v>
      </c>
      <c r="Y255" s="3">
        <f t="shared" si="79"/>
        <v>0.11326111321069894</v>
      </c>
      <c r="Z255" s="3">
        <f t="shared" si="89"/>
        <v>0.75405899564991685</v>
      </c>
      <c r="AA255" s="3">
        <f t="shared" si="89"/>
        <v>0</v>
      </c>
      <c r="AB255" s="3">
        <f t="shared" si="84"/>
        <v>244.85132088292812</v>
      </c>
      <c r="AC255" s="3">
        <f t="shared" si="85"/>
        <v>4.1129570898072315E-3</v>
      </c>
      <c r="AD255" s="3">
        <f t="shared" si="90"/>
        <v>225.45104691409779</v>
      </c>
      <c r="AE255" s="3">
        <f t="shared" si="90"/>
        <v>0</v>
      </c>
      <c r="AF255" s="3">
        <f t="shared" si="90"/>
        <v>73206.45592693676</v>
      </c>
      <c r="AG255" s="3">
        <f t="shared" si="90"/>
        <v>1.2297054834689625</v>
      </c>
      <c r="AH255" s="233">
        <f t="shared" si="88"/>
        <v>6433.8398023642558</v>
      </c>
      <c r="AI255" s="233">
        <f t="shared" si="88"/>
        <v>0</v>
      </c>
      <c r="AJ255" s="233">
        <f t="shared" si="88"/>
        <v>0</v>
      </c>
      <c r="AK255" s="233">
        <f t="shared" si="88"/>
        <v>2089037.5398788</v>
      </c>
      <c r="AL255" s="233">
        <f t="shared" si="88"/>
        <v>35.092886872877322</v>
      </c>
      <c r="AM255" s="233">
        <f t="shared" si="86"/>
        <v>6208.388755450158</v>
      </c>
      <c r="AN255" s="233">
        <f t="shared" si="86"/>
        <v>0</v>
      </c>
      <c r="AO255" s="233">
        <f t="shared" si="86"/>
        <v>0</v>
      </c>
      <c r="AP255" s="233">
        <f t="shared" si="86"/>
        <v>2015831.0839518632</v>
      </c>
      <c r="AQ255" s="233">
        <f t="shared" si="86"/>
        <v>33.863181389408361</v>
      </c>
      <c r="AR255" s="376">
        <v>16.409700000000001</v>
      </c>
      <c r="AS255" s="231">
        <f t="shared" si="87"/>
        <v>4906.2262580099996</v>
      </c>
    </row>
    <row r="256" spans="2:45" ht="58" x14ac:dyDescent="0.35">
      <c r="B256" s="56" t="s">
        <v>92</v>
      </c>
      <c r="C256" s="361" t="s">
        <v>205</v>
      </c>
      <c r="D256" s="56">
        <v>14</v>
      </c>
      <c r="E256" s="3">
        <v>135.828</v>
      </c>
      <c r="F256" s="3">
        <v>778.87870153219399</v>
      </c>
      <c r="G256" s="3">
        <v>0</v>
      </c>
      <c r="H256" s="3">
        <v>0</v>
      </c>
      <c r="I256" s="3">
        <v>6.42185279978625</v>
      </c>
      <c r="J256" s="3">
        <f t="shared" si="80"/>
        <v>4.2483342762930958</v>
      </c>
      <c r="K256" s="3">
        <v>751.58566594635397</v>
      </c>
      <c r="L256" s="3">
        <v>0</v>
      </c>
      <c r="M256" s="3">
        <v>0</v>
      </c>
      <c r="N256" s="3">
        <v>6.1968108486568996</v>
      </c>
      <c r="O256" s="3">
        <f t="shared" si="81"/>
        <v>4.0994665022028336</v>
      </c>
      <c r="P256" s="3">
        <f t="shared" si="82"/>
        <v>21.635519487005389</v>
      </c>
      <c r="Q256" s="3">
        <f t="shared" si="83"/>
        <v>0</v>
      </c>
      <c r="R256" s="3">
        <f t="shared" si="76"/>
        <v>0</v>
      </c>
      <c r="S256" s="3">
        <f t="shared" si="76"/>
        <v>7023.3663453662293</v>
      </c>
      <c r="T256" s="3">
        <f t="shared" si="77"/>
        <v>0.11800928545258599</v>
      </c>
      <c r="U256" s="3">
        <f t="shared" si="77"/>
        <v>20.877379609620945</v>
      </c>
      <c r="V256" s="3">
        <f t="shared" si="77"/>
        <v>0</v>
      </c>
      <c r="W256" s="3">
        <f t="shared" si="78"/>
        <v>0</v>
      </c>
      <c r="X256" s="3">
        <f t="shared" si="78"/>
        <v>6777.2454648144294</v>
      </c>
      <c r="Y256" s="3">
        <f t="shared" si="79"/>
        <v>0.11387406950563426</v>
      </c>
      <c r="Z256" s="3">
        <f t="shared" si="89"/>
        <v>0.75813987738444411</v>
      </c>
      <c r="AA256" s="3">
        <f t="shared" si="89"/>
        <v>0</v>
      </c>
      <c r="AB256" s="3">
        <f t="shared" si="84"/>
        <v>246.12088055179993</v>
      </c>
      <c r="AC256" s="3">
        <f t="shared" si="85"/>
        <v>4.135215946951723E-3</v>
      </c>
      <c r="AD256" s="3">
        <f t="shared" si="90"/>
        <v>102.97662326537427</v>
      </c>
      <c r="AE256" s="3">
        <f t="shared" si="90"/>
        <v>0</v>
      </c>
      <c r="AF256" s="3">
        <f t="shared" si="90"/>
        <v>33430.106963589882</v>
      </c>
      <c r="AG256" s="3">
        <f t="shared" si="90"/>
        <v>0.56167811164255865</v>
      </c>
      <c r="AH256" s="233">
        <f t="shared" si="88"/>
        <v>2938.7093408809683</v>
      </c>
      <c r="AI256" s="233">
        <f t="shared" si="88"/>
        <v>0</v>
      </c>
      <c r="AJ256" s="233">
        <f t="shared" si="88"/>
        <v>0</v>
      </c>
      <c r="AK256" s="233">
        <f t="shared" si="88"/>
        <v>953969.80395840423</v>
      </c>
      <c r="AL256" s="233">
        <f t="shared" si="88"/>
        <v>16.028965224453849</v>
      </c>
      <c r="AM256" s="233">
        <f t="shared" si="86"/>
        <v>2835.7327176155936</v>
      </c>
      <c r="AN256" s="233">
        <f t="shared" si="86"/>
        <v>0</v>
      </c>
      <c r="AO256" s="233">
        <f t="shared" si="86"/>
        <v>0</v>
      </c>
      <c r="AP256" s="233">
        <f t="shared" si="86"/>
        <v>920539.69699481432</v>
      </c>
      <c r="AQ256" s="233">
        <f t="shared" si="86"/>
        <v>15.467287112811292</v>
      </c>
      <c r="AR256" s="376">
        <v>16.409700000000001</v>
      </c>
      <c r="AS256" s="231">
        <f t="shared" si="87"/>
        <v>2228.8967316000003</v>
      </c>
    </row>
    <row r="257" spans="2:45" ht="58" x14ac:dyDescent="0.35">
      <c r="B257" s="56" t="s">
        <v>92</v>
      </c>
      <c r="C257" s="361" t="s">
        <v>205</v>
      </c>
      <c r="D257" s="56">
        <v>15</v>
      </c>
      <c r="E257" s="3">
        <v>88.449899999999985</v>
      </c>
      <c r="F257" s="3">
        <v>719.00805510925704</v>
      </c>
      <c r="G257" s="3">
        <v>0</v>
      </c>
      <c r="H257" s="3">
        <v>0</v>
      </c>
      <c r="I257" s="3">
        <v>5.9114041238152248</v>
      </c>
      <c r="J257" s="3">
        <f t="shared" si="80"/>
        <v>3.9217744167898965</v>
      </c>
      <c r="K257" s="3">
        <v>693.81297351824799</v>
      </c>
      <c r="L257" s="3">
        <v>0</v>
      </c>
      <c r="M257" s="3">
        <v>0</v>
      </c>
      <c r="N257" s="3">
        <v>5.7042499022201998</v>
      </c>
      <c r="O257" s="3">
        <f t="shared" si="81"/>
        <v>3.7843497722251862</v>
      </c>
      <c r="P257" s="3">
        <f t="shared" si="82"/>
        <v>19.972445975257141</v>
      </c>
      <c r="Q257" s="3">
        <f t="shared" si="83"/>
        <v>0</v>
      </c>
      <c r="R257" s="3">
        <f t="shared" si="76"/>
        <v>0</v>
      </c>
      <c r="S257" s="3">
        <f t="shared" si="76"/>
        <v>6465.1056434125849</v>
      </c>
      <c r="T257" s="3">
        <f t="shared" si="77"/>
        <v>0.1089381782441638</v>
      </c>
      <c r="U257" s="3">
        <f t="shared" si="77"/>
        <v>19.272582597729112</v>
      </c>
      <c r="V257" s="3">
        <f t="shared" si="77"/>
        <v>0</v>
      </c>
      <c r="W257" s="3">
        <f t="shared" si="78"/>
        <v>0</v>
      </c>
      <c r="X257" s="3">
        <f t="shared" si="78"/>
        <v>6238.5479763948251</v>
      </c>
      <c r="Y257" s="3">
        <f t="shared" si="79"/>
        <v>0.10512082700625518</v>
      </c>
      <c r="Z257" s="3">
        <f t="shared" si="89"/>
        <v>0.69986337752802896</v>
      </c>
      <c r="AA257" s="3">
        <f t="shared" si="89"/>
        <v>0</v>
      </c>
      <c r="AB257" s="3">
        <f t="shared" si="84"/>
        <v>226.55766701775974</v>
      </c>
      <c r="AC257" s="3">
        <f t="shared" si="85"/>
        <v>3.81735123790862E-3</v>
      </c>
      <c r="AD257" s="3">
        <f t="shared" si="90"/>
        <v>61.902845756016397</v>
      </c>
      <c r="AE257" s="3">
        <f t="shared" si="90"/>
        <v>0</v>
      </c>
      <c r="AF257" s="3">
        <f t="shared" si="90"/>
        <v>20039.002991954145</v>
      </c>
      <c r="AG257" s="3">
        <f t="shared" si="90"/>
        <v>0.33764433525789361</v>
      </c>
      <c r="AH257" s="233">
        <f t="shared" si="88"/>
        <v>1766.5608492668964</v>
      </c>
      <c r="AI257" s="233">
        <f t="shared" si="88"/>
        <v>0</v>
      </c>
      <c r="AJ257" s="233">
        <f t="shared" si="88"/>
        <v>0</v>
      </c>
      <c r="AK257" s="233">
        <f t="shared" si="88"/>
        <v>571837.94764927868</v>
      </c>
      <c r="AL257" s="233">
        <f t="shared" si="88"/>
        <v>9.6355709718784617</v>
      </c>
      <c r="AM257" s="233">
        <f t="shared" si="86"/>
        <v>1704.65800351088</v>
      </c>
      <c r="AN257" s="233">
        <f t="shared" si="86"/>
        <v>0</v>
      </c>
      <c r="AO257" s="233">
        <f t="shared" si="86"/>
        <v>0</v>
      </c>
      <c r="AP257" s="233">
        <f t="shared" si="86"/>
        <v>551798.94465732458</v>
      </c>
      <c r="AQ257" s="233">
        <f t="shared" si="86"/>
        <v>9.2979266366205682</v>
      </c>
      <c r="AR257" s="376">
        <v>16.409700000000001</v>
      </c>
      <c r="AS257" s="231">
        <f t="shared" si="87"/>
        <v>1451.4363240299999</v>
      </c>
    </row>
    <row r="258" spans="2:45" ht="58.5" thickBot="1" x14ac:dyDescent="0.4">
      <c r="B258" s="56" t="s">
        <v>92</v>
      </c>
      <c r="C258" s="361" t="s">
        <v>205</v>
      </c>
      <c r="D258" s="56">
        <v>16</v>
      </c>
      <c r="E258" s="3">
        <v>54.816300000000005</v>
      </c>
      <c r="F258" s="3">
        <v>805.239735945745</v>
      </c>
      <c r="G258" s="3">
        <v>0</v>
      </c>
      <c r="H258" s="3">
        <v>0</v>
      </c>
      <c r="I258" s="3">
        <v>6.6264825529569498</v>
      </c>
      <c r="J258" s="3">
        <f t="shared" si="80"/>
        <v>4.3921185213075313</v>
      </c>
      <c r="K258" s="3">
        <v>777.02297160867204</v>
      </c>
      <c r="L258" s="3">
        <v>0</v>
      </c>
      <c r="M258" s="3">
        <v>0</v>
      </c>
      <c r="N258" s="3">
        <v>6.3942697306867498</v>
      </c>
      <c r="O258" s="3">
        <f t="shared" si="81"/>
        <v>4.2382123394290732</v>
      </c>
      <c r="P258" s="3">
        <f t="shared" si="82"/>
        <v>22.36777044293736</v>
      </c>
      <c r="Q258" s="3">
        <f t="shared" si="83"/>
        <v>0</v>
      </c>
      <c r="R258" s="3">
        <f t="shared" si="76"/>
        <v>0</v>
      </c>
      <c r="S258" s="3">
        <f t="shared" si="76"/>
        <v>7247.1630854172508</v>
      </c>
      <c r="T258" s="3">
        <f t="shared" si="77"/>
        <v>0.12200329225854253</v>
      </c>
      <c r="U258" s="3">
        <f t="shared" si="77"/>
        <v>21.583971433574224</v>
      </c>
      <c r="V258" s="3">
        <f t="shared" si="77"/>
        <v>0</v>
      </c>
      <c r="W258" s="3">
        <f t="shared" si="78"/>
        <v>0</v>
      </c>
      <c r="X258" s="3">
        <f t="shared" si="78"/>
        <v>6993.1996621277422</v>
      </c>
      <c r="Y258" s="3">
        <f t="shared" si="79"/>
        <v>0.11772812053969647</v>
      </c>
      <c r="Z258" s="3">
        <f t="shared" si="89"/>
        <v>0.78379900936313618</v>
      </c>
      <c r="AA258" s="3">
        <f t="shared" si="89"/>
        <v>0</v>
      </c>
      <c r="AB258" s="3">
        <f t="shared" si="84"/>
        <v>253.96342328950868</v>
      </c>
      <c r="AC258" s="3">
        <f t="shared" si="85"/>
        <v>4.2751717188460603E-3</v>
      </c>
      <c r="AD258" s="3">
        <f t="shared" si="90"/>
        <v>42.964961636952488</v>
      </c>
      <c r="AE258" s="3">
        <f t="shared" si="90"/>
        <v>0</v>
      </c>
      <c r="AF258" s="3">
        <f t="shared" si="90"/>
        <v>13921.335200064696</v>
      </c>
      <c r="AG258" s="3">
        <f t="shared" si="90"/>
        <v>0.23434909549178132</v>
      </c>
      <c r="AH258" s="233">
        <f t="shared" si="88"/>
        <v>1226.1184149311873</v>
      </c>
      <c r="AI258" s="233">
        <f t="shared" si="88"/>
        <v>0</v>
      </c>
      <c r="AJ258" s="233">
        <f t="shared" si="88"/>
        <v>0</v>
      </c>
      <c r="AK258" s="233">
        <f t="shared" si="88"/>
        <v>397262.66583915771</v>
      </c>
      <c r="AL258" s="233">
        <f t="shared" si="88"/>
        <v>6.6877690694319458</v>
      </c>
      <c r="AM258" s="233">
        <f t="shared" si="86"/>
        <v>1183.1534532942349</v>
      </c>
      <c r="AN258" s="233">
        <f t="shared" si="86"/>
        <v>0</v>
      </c>
      <c r="AO258" s="233">
        <f t="shared" si="86"/>
        <v>0</v>
      </c>
      <c r="AP258" s="233">
        <f t="shared" si="86"/>
        <v>383341.33063909301</v>
      </c>
      <c r="AQ258" s="233">
        <f t="shared" si="86"/>
        <v>6.4534199739401643</v>
      </c>
      <c r="AR258" s="381">
        <v>16.409700000000001</v>
      </c>
      <c r="AS258" s="231">
        <f t="shared" si="87"/>
        <v>899.51903811000011</v>
      </c>
    </row>
    <row r="259" spans="2:45" ht="58" x14ac:dyDescent="0.35">
      <c r="B259" s="56" t="s">
        <v>93</v>
      </c>
      <c r="C259" s="361" t="s">
        <v>205</v>
      </c>
      <c r="D259" s="56">
        <v>1</v>
      </c>
      <c r="E259" s="3">
        <v>149.08899999999997</v>
      </c>
      <c r="F259" s="3">
        <v>2273.5518016257502</v>
      </c>
      <c r="G259" s="3">
        <v>0</v>
      </c>
      <c r="H259" s="3">
        <v>0</v>
      </c>
      <c r="I259" s="3">
        <v>4.8248987714778337</v>
      </c>
      <c r="J259" s="3">
        <f t="shared" si="80"/>
        <v>12.400914325650438</v>
      </c>
      <c r="K259" s="3">
        <v>2203.4547307216899</v>
      </c>
      <c r="L259" s="3">
        <v>0</v>
      </c>
      <c r="M259" s="3">
        <v>0</v>
      </c>
      <c r="N259" s="3">
        <v>4.6761331258320515</v>
      </c>
      <c r="O259" s="3">
        <f t="shared" si="81"/>
        <v>12.018575216359544</v>
      </c>
      <c r="P259" s="3">
        <f t="shared" si="82"/>
        <v>25.835815927565342</v>
      </c>
      <c r="Q259" s="3">
        <f t="shared" si="83"/>
        <v>0</v>
      </c>
      <c r="R259" s="3">
        <f t="shared" ref="R259:S322" si="91">H259/VLOOKUP($B259,$N$131:$P$134, 3, FALSE)*VLOOKUP($B259,$N$131:$P$134, 2, FALSE)</f>
        <v>0</v>
      </c>
      <c r="S259" s="3">
        <f t="shared" si="91"/>
        <v>6201.0914892516248</v>
      </c>
      <c r="T259" s="3">
        <f t="shared" ref="T259:V322" si="92">J259/VLOOKUP($B259,$N$131:$P$134, 3, FALSE)</f>
        <v>0.14091948097330043</v>
      </c>
      <c r="U259" s="3">
        <f t="shared" si="92"/>
        <v>25.039258303655568</v>
      </c>
      <c r="V259" s="3">
        <f t="shared" si="92"/>
        <v>0</v>
      </c>
      <c r="W259" s="3">
        <f t="shared" ref="W259:X322" si="93">M259/VLOOKUP($B259,$N$131:$P$134, 3, FALSE)*VLOOKUP($B259,$N$131:$P$134, 2, FALSE)</f>
        <v>0</v>
      </c>
      <c r="X259" s="3">
        <f t="shared" si="93"/>
        <v>6009.8938242227841</v>
      </c>
      <c r="Y259" s="3">
        <f t="shared" si="79"/>
        <v>0.13657471836772209</v>
      </c>
      <c r="Z259" s="3">
        <f t="shared" si="89"/>
        <v>0.79655762390977358</v>
      </c>
      <c r="AA259" s="3">
        <f t="shared" si="89"/>
        <v>0</v>
      </c>
      <c r="AB259" s="3">
        <f t="shared" si="84"/>
        <v>191.19766502884067</v>
      </c>
      <c r="AC259" s="3">
        <f t="shared" si="85"/>
        <v>4.3447626055783395E-3</v>
      </c>
      <c r="AD259" s="3">
        <f t="shared" si="90"/>
        <v>118.75797959108421</v>
      </c>
      <c r="AE259" s="3">
        <f t="shared" si="90"/>
        <v>0</v>
      </c>
      <c r="AF259" s="3">
        <f t="shared" si="90"/>
        <v>28505.468681484821</v>
      </c>
      <c r="AG259" s="3">
        <f t="shared" si="90"/>
        <v>0.64775631210306894</v>
      </c>
      <c r="AH259" s="233">
        <f t="shared" si="88"/>
        <v>3851.8359608247883</v>
      </c>
      <c r="AI259" s="233">
        <f t="shared" si="88"/>
        <v>0</v>
      </c>
      <c r="AJ259" s="233">
        <f t="shared" si="88"/>
        <v>0</v>
      </c>
      <c r="AK259" s="233">
        <f t="shared" si="88"/>
        <v>924514.52904103533</v>
      </c>
      <c r="AL259" s="233">
        <f t="shared" si="88"/>
        <v>21.009544498828383</v>
      </c>
      <c r="AM259" s="233">
        <f t="shared" si="86"/>
        <v>3733.0779812337041</v>
      </c>
      <c r="AN259" s="233">
        <f t="shared" si="86"/>
        <v>0</v>
      </c>
      <c r="AO259" s="233">
        <f t="shared" si="86"/>
        <v>0</v>
      </c>
      <c r="AP259" s="233">
        <f t="shared" si="86"/>
        <v>896009.06035955052</v>
      </c>
      <c r="AQ259" s="233">
        <f t="shared" si="86"/>
        <v>20.361788186725313</v>
      </c>
      <c r="AR259" s="380">
        <v>15.338100000000001</v>
      </c>
      <c r="AS259" s="231">
        <f t="shared" si="87"/>
        <v>2286.7419908999996</v>
      </c>
    </row>
    <row r="260" spans="2:45" ht="58" x14ac:dyDescent="0.35">
      <c r="B260" s="56" t="s">
        <v>93</v>
      </c>
      <c r="C260" s="361" t="s">
        <v>205</v>
      </c>
      <c r="D260" s="56">
        <v>2</v>
      </c>
      <c r="E260" s="3">
        <v>884.96979999999985</v>
      </c>
      <c r="F260" s="3">
        <v>2070.1072885223298</v>
      </c>
      <c r="G260" s="3">
        <v>0</v>
      </c>
      <c r="H260" s="3">
        <v>0</v>
      </c>
      <c r="I260" s="3">
        <v>4.4178728579812816</v>
      </c>
      <c r="J260" s="3">
        <f t="shared" si="80"/>
        <v>11.291241796871841</v>
      </c>
      <c r="K260" s="3">
        <v>2006.28272236167</v>
      </c>
      <c r="L260" s="3">
        <v>0</v>
      </c>
      <c r="M260" s="3">
        <v>0</v>
      </c>
      <c r="N260" s="3">
        <v>4.2816570036749164</v>
      </c>
      <c r="O260" s="3">
        <f t="shared" si="81"/>
        <v>10.943115584720358</v>
      </c>
      <c r="P260" s="3">
        <f t="shared" si="82"/>
        <v>23.523946460481021</v>
      </c>
      <c r="Q260" s="3">
        <f t="shared" si="83"/>
        <v>0</v>
      </c>
      <c r="R260" s="3">
        <f t="shared" si="91"/>
        <v>0</v>
      </c>
      <c r="S260" s="3">
        <f t="shared" si="91"/>
        <v>5677.9706845191249</v>
      </c>
      <c r="T260" s="3">
        <f t="shared" si="92"/>
        <v>0.12830956587354364</v>
      </c>
      <c r="U260" s="3">
        <f t="shared" si="92"/>
        <v>22.798667299564432</v>
      </c>
      <c r="V260" s="3">
        <f t="shared" si="92"/>
        <v>0</v>
      </c>
      <c r="W260" s="3">
        <f t="shared" si="93"/>
        <v>0</v>
      </c>
      <c r="X260" s="3">
        <f t="shared" si="93"/>
        <v>5502.9023535867391</v>
      </c>
      <c r="Y260" s="3">
        <f t="shared" si="79"/>
        <v>0.12435358619000407</v>
      </c>
      <c r="Z260" s="3">
        <f t="shared" si="89"/>
        <v>0.72527916091658895</v>
      </c>
      <c r="AA260" s="3">
        <f t="shared" si="89"/>
        <v>0</v>
      </c>
      <c r="AB260" s="3">
        <f t="shared" si="84"/>
        <v>175.06833093238583</v>
      </c>
      <c r="AC260" s="3">
        <f t="shared" si="85"/>
        <v>3.9559796835395705E-3</v>
      </c>
      <c r="AD260" s="3">
        <f t="shared" si="90"/>
        <v>641.85015398052144</v>
      </c>
      <c r="AE260" s="3">
        <f t="shared" si="90"/>
        <v>0</v>
      </c>
      <c r="AF260" s="3">
        <f t="shared" si="90"/>
        <v>154930.18581156727</v>
      </c>
      <c r="AG260" s="3">
        <f t="shared" si="90"/>
        <v>3.5009225493460763</v>
      </c>
      <c r="AH260" s="233">
        <f t="shared" si="88"/>
        <v>20817.982194342592</v>
      </c>
      <c r="AI260" s="233">
        <f t="shared" si="88"/>
        <v>0</v>
      </c>
      <c r="AJ260" s="233">
        <f t="shared" si="88"/>
        <v>0</v>
      </c>
      <c r="AK260" s="233">
        <f t="shared" si="88"/>
        <v>5024832.5810847525</v>
      </c>
      <c r="AL260" s="233">
        <f t="shared" si="88"/>
        <v>113.55009084919672</v>
      </c>
      <c r="AM260" s="233">
        <f t="shared" si="86"/>
        <v>20176.13204036207</v>
      </c>
      <c r="AN260" s="233">
        <f t="shared" si="86"/>
        <v>0</v>
      </c>
      <c r="AO260" s="233">
        <f t="shared" si="86"/>
        <v>0</v>
      </c>
      <c r="AP260" s="233">
        <f t="shared" si="86"/>
        <v>4869902.3952731853</v>
      </c>
      <c r="AQ260" s="233">
        <f t="shared" si="86"/>
        <v>110.04916829985065</v>
      </c>
      <c r="AR260" s="376">
        <v>15.338100000000001</v>
      </c>
      <c r="AS260" s="231">
        <f t="shared" si="87"/>
        <v>13573.755289379998</v>
      </c>
    </row>
    <row r="261" spans="2:45" ht="58" x14ac:dyDescent="0.35">
      <c r="B261" s="56" t="s">
        <v>93</v>
      </c>
      <c r="C261" s="361" t="s">
        <v>205</v>
      </c>
      <c r="D261" s="56">
        <v>3</v>
      </c>
      <c r="E261" s="3">
        <v>4292.6379999999999</v>
      </c>
      <c r="F261" s="3">
        <v>2089.3778389758299</v>
      </c>
      <c r="G261" s="3">
        <v>0</v>
      </c>
      <c r="H261" s="3">
        <v>0</v>
      </c>
      <c r="I261" s="3">
        <v>4.4487374917681253</v>
      </c>
      <c r="J261" s="3">
        <f t="shared" si="80"/>
        <v>11.3963515397029</v>
      </c>
      <c r="K261" s="3">
        <v>2024.9591323427501</v>
      </c>
      <c r="L261" s="3">
        <v>0</v>
      </c>
      <c r="M261" s="3">
        <v>0</v>
      </c>
      <c r="N261" s="3">
        <v>4.3115699911391339</v>
      </c>
      <c r="O261" s="3">
        <f t="shared" si="81"/>
        <v>11.044984633809312</v>
      </c>
      <c r="P261" s="3">
        <f t="shared" si="82"/>
        <v>23.742929988361706</v>
      </c>
      <c r="Q261" s="3">
        <f t="shared" si="83"/>
        <v>0</v>
      </c>
      <c r="R261" s="3">
        <f t="shared" si="91"/>
        <v>0</v>
      </c>
      <c r="S261" s="3">
        <f t="shared" si="91"/>
        <v>5717.6387536247148</v>
      </c>
      <c r="T261" s="3">
        <f t="shared" si="92"/>
        <v>0.12950399476935115</v>
      </c>
      <c r="U261" s="3">
        <f t="shared" si="92"/>
        <v>23.010899231167613</v>
      </c>
      <c r="V261" s="3">
        <f t="shared" si="92"/>
        <v>0</v>
      </c>
      <c r="W261" s="3">
        <f t="shared" si="93"/>
        <v>0</v>
      </c>
      <c r="X261" s="3">
        <f t="shared" si="93"/>
        <v>5541.3473408845011</v>
      </c>
      <c r="Y261" s="3">
        <f t="shared" si="79"/>
        <v>0.12551118902056035</v>
      </c>
      <c r="Z261" s="3">
        <f t="shared" si="89"/>
        <v>0.73203075719409227</v>
      </c>
      <c r="AA261" s="3">
        <f t="shared" si="89"/>
        <v>0</v>
      </c>
      <c r="AB261" s="3">
        <f t="shared" si="84"/>
        <v>176.29141274021367</v>
      </c>
      <c r="AC261" s="3">
        <f t="shared" si="85"/>
        <v>3.9928057487907953E-3</v>
      </c>
      <c r="AD261" s="3">
        <f t="shared" si="90"/>
        <v>3142.3430455001339</v>
      </c>
      <c r="AE261" s="3">
        <f t="shared" si="90"/>
        <v>0</v>
      </c>
      <c r="AF261" s="3">
        <f t="shared" si="90"/>
        <v>756755.21740232536</v>
      </c>
      <c r="AG261" s="3">
        <f t="shared" si="90"/>
        <v>17.139669683877823</v>
      </c>
      <c r="AH261" s="233">
        <f t="shared" si="88"/>
        <v>101919.80349938101</v>
      </c>
      <c r="AI261" s="233">
        <f t="shared" si="88"/>
        <v>0</v>
      </c>
      <c r="AJ261" s="233">
        <f t="shared" si="88"/>
        <v>0</v>
      </c>
      <c r="AK261" s="233">
        <f t="shared" si="88"/>
        <v>24543753.384082086</v>
      </c>
      <c r="AL261" s="233">
        <f t="shared" si="88"/>
        <v>555.91376909871792</v>
      </c>
      <c r="AM261" s="233">
        <f t="shared" si="86"/>
        <v>98777.460453880878</v>
      </c>
      <c r="AN261" s="233">
        <f t="shared" si="86"/>
        <v>0</v>
      </c>
      <c r="AO261" s="233">
        <f t="shared" si="86"/>
        <v>0</v>
      </c>
      <c r="AP261" s="233">
        <f t="shared" si="86"/>
        <v>23786998.166679762</v>
      </c>
      <c r="AQ261" s="233">
        <f t="shared" si="86"/>
        <v>538.77409941484018</v>
      </c>
      <c r="AR261" s="376">
        <v>15.338100000000001</v>
      </c>
      <c r="AS261" s="231">
        <f t="shared" si="87"/>
        <v>65840.910907800004</v>
      </c>
    </row>
    <row r="262" spans="2:45" ht="58" x14ac:dyDescent="0.35">
      <c r="B262" s="56" t="s">
        <v>93</v>
      </c>
      <c r="C262" s="361" t="s">
        <v>205</v>
      </c>
      <c r="D262" s="56">
        <v>4</v>
      </c>
      <c r="E262" s="3">
        <v>2236.335</v>
      </c>
      <c r="F262" s="3">
        <v>2047.08859787296</v>
      </c>
      <c r="G262" s="3">
        <v>0</v>
      </c>
      <c r="H262" s="3">
        <v>0</v>
      </c>
      <c r="I262" s="3">
        <v>4.371621472757206</v>
      </c>
      <c r="J262" s="3">
        <f t="shared" si="80"/>
        <v>11.165688110156911</v>
      </c>
      <c r="K262" s="3">
        <v>1983.9737330656801</v>
      </c>
      <c r="L262" s="3">
        <v>0</v>
      </c>
      <c r="M262" s="3">
        <v>0</v>
      </c>
      <c r="N262" s="3">
        <v>4.2368316830193899</v>
      </c>
      <c r="O262" s="3">
        <f t="shared" si="81"/>
        <v>10.821432909729801</v>
      </c>
      <c r="P262" s="3">
        <f t="shared" si="82"/>
        <v>23.262370430374546</v>
      </c>
      <c r="Q262" s="3">
        <f t="shared" si="83"/>
        <v>0</v>
      </c>
      <c r="R262" s="3">
        <f t="shared" si="91"/>
        <v>0</v>
      </c>
      <c r="S262" s="3">
        <f t="shared" si="91"/>
        <v>5618.5271428277274</v>
      </c>
      <c r="T262" s="3">
        <f t="shared" si="92"/>
        <v>0.12688281943360125</v>
      </c>
      <c r="U262" s="3">
        <f t="shared" si="92"/>
        <v>22.545156057564547</v>
      </c>
      <c r="V262" s="3">
        <f t="shared" si="92"/>
        <v>0</v>
      </c>
      <c r="W262" s="3">
        <f t="shared" si="93"/>
        <v>0</v>
      </c>
      <c r="X262" s="3">
        <f t="shared" si="93"/>
        <v>5445.2916289715113</v>
      </c>
      <c r="Y262" s="3">
        <f t="shared" si="79"/>
        <v>0.12297082851965682</v>
      </c>
      <c r="Z262" s="3">
        <f t="shared" si="89"/>
        <v>0.71721437280999822</v>
      </c>
      <c r="AA262" s="3">
        <f t="shared" si="89"/>
        <v>0</v>
      </c>
      <c r="AB262" s="3">
        <f t="shared" si="84"/>
        <v>173.23551385621613</v>
      </c>
      <c r="AC262" s="3">
        <f t="shared" si="85"/>
        <v>3.9119909139444242E-3</v>
      </c>
      <c r="AD262" s="3">
        <f t="shared" si="90"/>
        <v>1603.9316044180473</v>
      </c>
      <c r="AE262" s="3">
        <f t="shared" si="90"/>
        <v>0</v>
      </c>
      <c r="AF262" s="3">
        <f t="shared" si="90"/>
        <v>387412.64287964109</v>
      </c>
      <c r="AG262" s="3">
        <f t="shared" si="90"/>
        <v>8.7485222005359038</v>
      </c>
      <c r="AH262" s="233">
        <f t="shared" si="88"/>
        <v>52022.453176411662</v>
      </c>
      <c r="AI262" s="233">
        <f t="shared" si="88"/>
        <v>0</v>
      </c>
      <c r="AJ262" s="233">
        <f t="shared" si="88"/>
        <v>0</v>
      </c>
      <c r="AK262" s="233">
        <f t="shared" si="88"/>
        <v>12564908.897955647</v>
      </c>
      <c r="AL262" s="233">
        <f t="shared" si="88"/>
        <v>283.75248999804262</v>
      </c>
      <c r="AM262" s="233">
        <f t="shared" si="86"/>
        <v>50418.52157199361</v>
      </c>
      <c r="AN262" s="233">
        <f t="shared" si="86"/>
        <v>0</v>
      </c>
      <c r="AO262" s="233">
        <f t="shared" si="86"/>
        <v>0</v>
      </c>
      <c r="AP262" s="233">
        <f t="shared" si="86"/>
        <v>12177496.255076004</v>
      </c>
      <c r="AQ262" s="233">
        <f t="shared" si="86"/>
        <v>275.00396779750673</v>
      </c>
      <c r="AR262" s="376">
        <v>15.338100000000001</v>
      </c>
      <c r="AS262" s="231">
        <f t="shared" si="87"/>
        <v>34301.129863500006</v>
      </c>
    </row>
    <row r="263" spans="2:45" ht="58" x14ac:dyDescent="0.35">
      <c r="B263" s="56" t="s">
        <v>93</v>
      </c>
      <c r="C263" s="361" t="s">
        <v>205</v>
      </c>
      <c r="D263" s="56">
        <v>5</v>
      </c>
      <c r="E263" s="3">
        <v>397.19559999999996</v>
      </c>
      <c r="F263" s="3">
        <v>2185.2820646832402</v>
      </c>
      <c r="G263" s="3">
        <v>0</v>
      </c>
      <c r="H263" s="3">
        <v>0</v>
      </c>
      <c r="I263" s="3">
        <v>4.6485577900055164</v>
      </c>
      <c r="J263" s="3">
        <f t="shared" si="80"/>
        <v>11.919453800058264</v>
      </c>
      <c r="K263" s="3">
        <v>2117.90648444623</v>
      </c>
      <c r="L263" s="3">
        <v>0</v>
      </c>
      <c r="M263" s="3">
        <v>0</v>
      </c>
      <c r="N263" s="3">
        <v>4.5052292490960211</v>
      </c>
      <c r="O263" s="3">
        <f t="shared" si="81"/>
        <v>11.551958853357382</v>
      </c>
      <c r="P263" s="3">
        <f t="shared" si="82"/>
        <v>24.832750735036822</v>
      </c>
      <c r="Q263" s="3">
        <f t="shared" si="83"/>
        <v>0</v>
      </c>
      <c r="R263" s="3">
        <f t="shared" si="91"/>
        <v>0</v>
      </c>
      <c r="S263" s="3">
        <f t="shared" si="91"/>
        <v>5974.4532505639081</v>
      </c>
      <c r="T263" s="3">
        <f t="shared" si="92"/>
        <v>0.13544833863702574</v>
      </c>
      <c r="U263" s="3">
        <f t="shared" si="92"/>
        <v>24.067119141434432</v>
      </c>
      <c r="V263" s="3">
        <f t="shared" si="92"/>
        <v>0</v>
      </c>
      <c r="W263" s="3">
        <f t="shared" si="93"/>
        <v>0</v>
      </c>
      <c r="X263" s="3">
        <f t="shared" si="93"/>
        <v>5790.2435008268176</v>
      </c>
      <c r="Y263" s="3">
        <f t="shared" si="79"/>
        <v>0.13127225969724299</v>
      </c>
      <c r="Z263" s="3">
        <f t="shared" si="89"/>
        <v>0.76563159360238942</v>
      </c>
      <c r="AA263" s="3">
        <f t="shared" si="89"/>
        <v>0</v>
      </c>
      <c r="AB263" s="3">
        <f t="shared" si="84"/>
        <v>184.20974973709053</v>
      </c>
      <c r="AC263" s="3">
        <f t="shared" si="85"/>
        <v>4.1760789397827514E-3</v>
      </c>
      <c r="AD263" s="3">
        <f t="shared" si="90"/>
        <v>304.1055001998572</v>
      </c>
      <c r="AE263" s="3">
        <f t="shared" si="90"/>
        <v>0</v>
      </c>
      <c r="AF263" s="3">
        <f t="shared" si="90"/>
        <v>73167.302072673512</v>
      </c>
      <c r="AG263" s="3">
        <f t="shared" si="90"/>
        <v>1.6587201801343736</v>
      </c>
      <c r="AH263" s="233">
        <f t="shared" si="88"/>
        <v>9863.4593278533903</v>
      </c>
      <c r="AI263" s="233">
        <f t="shared" si="88"/>
        <v>0</v>
      </c>
      <c r="AJ263" s="233">
        <f t="shared" si="88"/>
        <v>0</v>
      </c>
      <c r="AK263" s="233">
        <f t="shared" si="88"/>
        <v>2373026.5435296814</v>
      </c>
      <c r="AL263" s="233">
        <f t="shared" si="88"/>
        <v>53.799484133936616</v>
      </c>
      <c r="AM263" s="233">
        <f t="shared" ref="AM263:AQ313" si="94">U263*$E263</f>
        <v>9559.3538276535328</v>
      </c>
      <c r="AN263" s="233">
        <f t="shared" si="94"/>
        <v>0</v>
      </c>
      <c r="AO263" s="233">
        <f t="shared" si="94"/>
        <v>0</v>
      </c>
      <c r="AP263" s="233">
        <f t="shared" si="94"/>
        <v>2299859.2414570078</v>
      </c>
      <c r="AQ263" s="233">
        <f t="shared" si="94"/>
        <v>52.140763953802242</v>
      </c>
      <c r="AR263" s="376">
        <v>15.338100000000001</v>
      </c>
      <c r="AS263" s="231">
        <f t="shared" si="87"/>
        <v>6092.2258323599999</v>
      </c>
    </row>
    <row r="264" spans="2:45" ht="58" x14ac:dyDescent="0.35">
      <c r="B264" s="56" t="s">
        <v>93</v>
      </c>
      <c r="C264" s="361" t="s">
        <v>205</v>
      </c>
      <c r="D264" s="56">
        <v>6</v>
      </c>
      <c r="E264" s="3">
        <v>1895.962</v>
      </c>
      <c r="F264" s="3">
        <v>2020.0618747409201</v>
      </c>
      <c r="G264" s="3">
        <v>0</v>
      </c>
      <c r="H264" s="3">
        <v>0</v>
      </c>
      <c r="I264" s="3">
        <v>4.3147270621780462</v>
      </c>
      <c r="J264" s="3">
        <f t="shared" si="80"/>
        <v>11.018272916967186</v>
      </c>
      <c r="K264" s="3">
        <v>1957.7802850436699</v>
      </c>
      <c r="L264" s="3">
        <v>0</v>
      </c>
      <c r="M264" s="3">
        <v>0</v>
      </c>
      <c r="N264" s="3">
        <v>4.1816914923988948</v>
      </c>
      <c r="O264" s="3">
        <f t="shared" si="81"/>
        <v>10.678562751864009</v>
      </c>
      <c r="P264" s="3">
        <f t="shared" si="82"/>
        <v>22.955248576601363</v>
      </c>
      <c r="Q264" s="3">
        <f t="shared" si="83"/>
        <v>0</v>
      </c>
      <c r="R264" s="3">
        <f t="shared" si="91"/>
        <v>0</v>
      </c>
      <c r="S264" s="3">
        <f t="shared" si="91"/>
        <v>5545.4048946856483</v>
      </c>
      <c r="T264" s="3">
        <f t="shared" si="92"/>
        <v>0.12520764678371801</v>
      </c>
      <c r="U264" s="3">
        <f t="shared" si="92"/>
        <v>22.247503239132612</v>
      </c>
      <c r="V264" s="3">
        <f t="shared" si="92"/>
        <v>0</v>
      </c>
      <c r="W264" s="3">
        <f t="shared" si="93"/>
        <v>0</v>
      </c>
      <c r="X264" s="3">
        <f t="shared" si="93"/>
        <v>5374.4239521626705</v>
      </c>
      <c r="Y264" s="3">
        <f t="shared" si="79"/>
        <v>0.12134730399845464</v>
      </c>
      <c r="Z264" s="3">
        <f t="shared" si="89"/>
        <v>0.70774533746875079</v>
      </c>
      <c r="AA264" s="3">
        <f t="shared" si="89"/>
        <v>0</v>
      </c>
      <c r="AB264" s="3">
        <f t="shared" si="84"/>
        <v>170.98094252297778</v>
      </c>
      <c r="AC264" s="3">
        <f t="shared" si="85"/>
        <v>3.8603427852633709E-3</v>
      </c>
      <c r="AD264" s="3">
        <f t="shared" si="90"/>
        <v>1341.8582655179277</v>
      </c>
      <c r="AE264" s="3">
        <f t="shared" si="90"/>
        <v>0</v>
      </c>
      <c r="AF264" s="3">
        <f t="shared" si="90"/>
        <v>324173.36974775</v>
      </c>
      <c r="AG264" s="3">
        <f t="shared" si="90"/>
        <v>7.319063227833511</v>
      </c>
      <c r="AH264" s="233">
        <f t="shared" ref="AH264:AL314" si="95">P264*$E264</f>
        <v>43522.279001790273</v>
      </c>
      <c r="AI264" s="233">
        <f t="shared" si="95"/>
        <v>0</v>
      </c>
      <c r="AJ264" s="233">
        <f t="shared" si="95"/>
        <v>0</v>
      </c>
      <c r="AK264" s="233">
        <f t="shared" si="95"/>
        <v>10513876.954937991</v>
      </c>
      <c r="AL264" s="233">
        <f t="shared" si="95"/>
        <v>237.38894041135157</v>
      </c>
      <c r="AM264" s="233">
        <f t="shared" si="94"/>
        <v>42180.420736272346</v>
      </c>
      <c r="AN264" s="233">
        <f t="shared" si="94"/>
        <v>0</v>
      </c>
      <c r="AO264" s="233">
        <f t="shared" si="94"/>
        <v>0</v>
      </c>
      <c r="AP264" s="233">
        <f t="shared" si="94"/>
        <v>10189703.58519024</v>
      </c>
      <c r="AQ264" s="233">
        <f t="shared" si="94"/>
        <v>230.06987718351806</v>
      </c>
      <c r="AR264" s="376">
        <v>15.338100000000001</v>
      </c>
      <c r="AS264" s="231">
        <f t="shared" si="87"/>
        <v>29080.454752200003</v>
      </c>
    </row>
    <row r="265" spans="2:45" ht="58" x14ac:dyDescent="0.35">
      <c r="B265" s="56" t="s">
        <v>93</v>
      </c>
      <c r="C265" s="361" t="s">
        <v>205</v>
      </c>
      <c r="D265" s="56">
        <v>7</v>
      </c>
      <c r="E265" s="3">
        <v>2038.2997999999998</v>
      </c>
      <c r="F265" s="3">
        <v>1977.9341427291299</v>
      </c>
      <c r="G265" s="3">
        <v>0</v>
      </c>
      <c r="H265" s="3">
        <v>0</v>
      </c>
      <c r="I265" s="3">
        <v>4.2193171980949424</v>
      </c>
      <c r="J265" s="3">
        <f t="shared" si="80"/>
        <v>10.78849042639952</v>
      </c>
      <c r="K265" s="3">
        <v>1916.9514152859799</v>
      </c>
      <c r="L265" s="3">
        <v>0</v>
      </c>
      <c r="M265" s="3">
        <v>0</v>
      </c>
      <c r="N265" s="3">
        <v>4.0892233915948895</v>
      </c>
      <c r="O265" s="3">
        <f t="shared" si="81"/>
        <v>10.455864806070029</v>
      </c>
      <c r="P265" s="3">
        <f t="shared" si="82"/>
        <v>22.476524349194658</v>
      </c>
      <c r="Q265" s="3">
        <f t="shared" si="83"/>
        <v>0</v>
      </c>
      <c r="R265" s="3">
        <f t="shared" si="91"/>
        <v>0</v>
      </c>
      <c r="S265" s="3">
        <f t="shared" si="91"/>
        <v>5422.7815352788411</v>
      </c>
      <c r="T265" s="3">
        <f t="shared" si="92"/>
        <v>0.12259648211817636</v>
      </c>
      <c r="U265" s="3">
        <f t="shared" si="92"/>
        <v>21.783538810067952</v>
      </c>
      <c r="V265" s="3">
        <f t="shared" si="92"/>
        <v>0</v>
      </c>
      <c r="W265" s="3">
        <f t="shared" si="93"/>
        <v>0</v>
      </c>
      <c r="X265" s="3">
        <f t="shared" si="93"/>
        <v>5255.5814271520676</v>
      </c>
      <c r="Y265" s="3">
        <f t="shared" si="79"/>
        <v>0.11881664552352306</v>
      </c>
      <c r="Z265" s="3">
        <f t="shared" si="89"/>
        <v>0.69298553912670613</v>
      </c>
      <c r="AA265" s="3">
        <f t="shared" si="89"/>
        <v>0</v>
      </c>
      <c r="AB265" s="3">
        <f t="shared" si="84"/>
        <v>167.20010812677356</v>
      </c>
      <c r="AC265" s="3">
        <f t="shared" si="85"/>
        <v>3.7798365946533075E-3</v>
      </c>
      <c r="AD265" s="3">
        <f t="shared" si="90"/>
        <v>1412.5122858048571</v>
      </c>
      <c r="AE265" s="3">
        <f t="shared" si="90"/>
        <v>0</v>
      </c>
      <c r="AF265" s="3">
        <f t="shared" si="90"/>
        <v>340803.9469547809</v>
      </c>
      <c r="AG265" s="3">
        <f t="shared" si="90"/>
        <v>7.7044401749145166</v>
      </c>
      <c r="AH265" s="233">
        <f t="shared" si="95"/>
        <v>45813.895085658594</v>
      </c>
      <c r="AI265" s="233">
        <f t="shared" si="95"/>
        <v>0</v>
      </c>
      <c r="AJ265" s="233">
        <f t="shared" si="95"/>
        <v>0</v>
      </c>
      <c r="AK265" s="233">
        <f t="shared" si="95"/>
        <v>11053254.518802553</v>
      </c>
      <c r="AL265" s="233">
        <f t="shared" si="95"/>
        <v>249.88838498218243</v>
      </c>
      <c r="AM265" s="233">
        <f t="shared" si="94"/>
        <v>44401.382799853738</v>
      </c>
      <c r="AN265" s="233">
        <f t="shared" si="94"/>
        <v>0</v>
      </c>
      <c r="AO265" s="233">
        <f t="shared" si="94"/>
        <v>0</v>
      </c>
      <c r="AP265" s="233">
        <f t="shared" si="94"/>
        <v>10712450.571847772</v>
      </c>
      <c r="AQ265" s="233">
        <f t="shared" si="94"/>
        <v>242.18394480726792</v>
      </c>
      <c r="AR265" s="376">
        <v>15.338100000000001</v>
      </c>
      <c r="AS265" s="231">
        <f t="shared" si="87"/>
        <v>31263.646162379999</v>
      </c>
    </row>
    <row r="266" spans="2:45" ht="58" x14ac:dyDescent="0.35">
      <c r="B266" s="56" t="s">
        <v>93</v>
      </c>
      <c r="C266" s="361" t="s">
        <v>205</v>
      </c>
      <c r="D266" s="56">
        <v>8</v>
      </c>
      <c r="E266" s="3">
        <v>2665.5987999999998</v>
      </c>
      <c r="F266" s="3">
        <v>1967.2955177195299</v>
      </c>
      <c r="G266" s="3">
        <v>0</v>
      </c>
      <c r="H266" s="3">
        <v>0</v>
      </c>
      <c r="I266" s="3">
        <v>4.1993090980238543</v>
      </c>
      <c r="J266" s="3">
        <f t="shared" si="80"/>
        <v>10.730462860371583</v>
      </c>
      <c r="K266" s="3">
        <v>1906.64079531725</v>
      </c>
      <c r="L266" s="3">
        <v>0</v>
      </c>
      <c r="M266" s="3">
        <v>0</v>
      </c>
      <c r="N266" s="3">
        <v>4.069832199373316</v>
      </c>
      <c r="O266" s="3">
        <f t="shared" si="81"/>
        <v>10.399626318437976</v>
      </c>
      <c r="P266" s="3">
        <f t="shared" si="82"/>
        <v>22.355630883176477</v>
      </c>
      <c r="Q266" s="3">
        <f t="shared" si="83"/>
        <v>0</v>
      </c>
      <c r="R266" s="3">
        <f t="shared" si="91"/>
        <v>0</v>
      </c>
      <c r="S266" s="3">
        <f t="shared" si="91"/>
        <v>5397.0665793920216</v>
      </c>
      <c r="T266" s="3">
        <f t="shared" si="92"/>
        <v>0.12193707795876799</v>
      </c>
      <c r="U266" s="3">
        <f t="shared" si="92"/>
        <v>21.666372674059659</v>
      </c>
      <c r="V266" s="3">
        <f t="shared" si="92"/>
        <v>0</v>
      </c>
      <c r="W266" s="3">
        <f t="shared" si="93"/>
        <v>0</v>
      </c>
      <c r="X266" s="3">
        <f t="shared" si="93"/>
        <v>5230.6593380582053</v>
      </c>
      <c r="Y266" s="3">
        <f t="shared" si="79"/>
        <v>0.11817757180043155</v>
      </c>
      <c r="Z266" s="3">
        <f t="shared" si="89"/>
        <v>0.68925820911681868</v>
      </c>
      <c r="AA266" s="3">
        <f t="shared" si="89"/>
        <v>0</v>
      </c>
      <c r="AB266" s="3">
        <f t="shared" si="84"/>
        <v>166.40724133381627</v>
      </c>
      <c r="AC266" s="3">
        <f t="shared" si="85"/>
        <v>3.759506158336437E-3</v>
      </c>
      <c r="AD266" s="3">
        <f t="shared" si="90"/>
        <v>1837.2858551119407</v>
      </c>
      <c r="AE266" s="3">
        <f t="shared" si="90"/>
        <v>0</v>
      </c>
      <c r="AF266" s="3">
        <f t="shared" si="90"/>
        <v>443574.94281073101</v>
      </c>
      <c r="AG266" s="3">
        <f t="shared" si="90"/>
        <v>10.021335104254215</v>
      </c>
      <c r="AH266" s="233">
        <f t="shared" si="95"/>
        <v>59591.142855438156</v>
      </c>
      <c r="AI266" s="233">
        <f t="shared" si="95"/>
        <v>0</v>
      </c>
      <c r="AJ266" s="233">
        <f t="shared" si="95"/>
        <v>0</v>
      </c>
      <c r="AK266" s="233">
        <f t="shared" si="95"/>
        <v>14386414.197547477</v>
      </c>
      <c r="AL266" s="233">
        <f t="shared" si="95"/>
        <v>325.03532868239836</v>
      </c>
      <c r="AM266" s="233">
        <f t="shared" si="94"/>
        <v>57753.857000326214</v>
      </c>
      <c r="AN266" s="233">
        <f t="shared" si="94"/>
        <v>0</v>
      </c>
      <c r="AO266" s="233">
        <f t="shared" si="94"/>
        <v>0</v>
      </c>
      <c r="AP266" s="233">
        <f t="shared" si="94"/>
        <v>13942839.254736746</v>
      </c>
      <c r="AQ266" s="233">
        <f t="shared" si="94"/>
        <v>315.01399357814415</v>
      </c>
      <c r="AR266" s="376">
        <v>15.338100000000001</v>
      </c>
      <c r="AS266" s="231">
        <f t="shared" si="87"/>
        <v>40885.220954279997</v>
      </c>
    </row>
    <row r="267" spans="2:45" ht="58" x14ac:dyDescent="0.35">
      <c r="B267" s="56" t="s">
        <v>93</v>
      </c>
      <c r="C267" s="361" t="s">
        <v>205</v>
      </c>
      <c r="D267" s="56">
        <v>9</v>
      </c>
      <c r="E267" s="3">
        <v>6258.3624</v>
      </c>
      <c r="F267" s="3">
        <v>1979.0914700767901</v>
      </c>
      <c r="G267" s="3">
        <v>0</v>
      </c>
      <c r="H267" s="3">
        <v>0</v>
      </c>
      <c r="I267" s="3">
        <v>4.2399046524091331</v>
      </c>
      <c r="J267" s="3">
        <f t="shared" si="80"/>
        <v>10.79480297985654</v>
      </c>
      <c r="K267" s="3">
        <v>1918.0730604657299</v>
      </c>
      <c r="L267" s="3">
        <v>0</v>
      </c>
      <c r="M267" s="3">
        <v>0</v>
      </c>
      <c r="N267" s="3">
        <v>4.109176074885208</v>
      </c>
      <c r="O267" s="3">
        <f t="shared" si="81"/>
        <v>10.461982733872647</v>
      </c>
      <c r="P267" s="3">
        <f t="shared" si="82"/>
        <v>22.489675796327159</v>
      </c>
      <c r="Q267" s="3">
        <f t="shared" si="83"/>
        <v>0</v>
      </c>
      <c r="R267" s="3">
        <f t="shared" si="91"/>
        <v>0</v>
      </c>
      <c r="S267" s="3">
        <f t="shared" si="91"/>
        <v>5449.2410930394653</v>
      </c>
      <c r="T267" s="3">
        <f t="shared" si="92"/>
        <v>0.12266821568018794</v>
      </c>
      <c r="U267" s="3">
        <f t="shared" si="92"/>
        <v>21.796284778019658</v>
      </c>
      <c r="V267" s="3">
        <f t="shared" si="92"/>
        <v>0</v>
      </c>
      <c r="W267" s="3">
        <f t="shared" si="93"/>
        <v>0</v>
      </c>
      <c r="X267" s="3">
        <f t="shared" si="93"/>
        <v>5281.2251598808753</v>
      </c>
      <c r="Y267" s="3">
        <f t="shared" si="79"/>
        <v>0.11888616743037099</v>
      </c>
      <c r="Z267" s="3">
        <f t="shared" si="89"/>
        <v>0.69339101830750138</v>
      </c>
      <c r="AA267" s="3">
        <f t="shared" si="89"/>
        <v>0</v>
      </c>
      <c r="AB267" s="3">
        <f t="shared" si="84"/>
        <v>168.01593315859009</v>
      </c>
      <c r="AC267" s="3">
        <f t="shared" si="85"/>
        <v>3.782048249816955E-3</v>
      </c>
      <c r="AD267" s="3">
        <f t="shared" si="90"/>
        <v>4339.4922774733786</v>
      </c>
      <c r="AE267" s="3">
        <f t="shared" si="90"/>
        <v>0</v>
      </c>
      <c r="AF267" s="3">
        <f t="shared" si="90"/>
        <v>1051504.5986806334</v>
      </c>
      <c r="AG267" s="3">
        <f t="shared" si="90"/>
        <v>23.669428561640238</v>
      </c>
      <c r="AH267" s="233">
        <f t="shared" si="95"/>
        <v>140748.54139192394</v>
      </c>
      <c r="AI267" s="233">
        <f t="shared" si="95"/>
        <v>0</v>
      </c>
      <c r="AJ267" s="233">
        <f t="shared" si="95"/>
        <v>0</v>
      </c>
      <c r="AK267" s="233">
        <f t="shared" si="95"/>
        <v>34103325.565213092</v>
      </c>
      <c r="AL267" s="233">
        <f t="shared" si="95"/>
        <v>767.70214868797871</v>
      </c>
      <c r="AM267" s="233">
        <f t="shared" si="94"/>
        <v>136409.04911445058</v>
      </c>
      <c r="AN267" s="233">
        <f t="shared" si="94"/>
        <v>0</v>
      </c>
      <c r="AO267" s="233">
        <f t="shared" si="94"/>
        <v>0</v>
      </c>
      <c r="AP267" s="233">
        <f t="shared" si="94"/>
        <v>33051820.966532458</v>
      </c>
      <c r="AQ267" s="233">
        <f t="shared" si="94"/>
        <v>744.0327201263384</v>
      </c>
      <c r="AR267" s="376">
        <v>15.338100000000001</v>
      </c>
      <c r="AS267" s="231">
        <f t="shared" si="87"/>
        <v>95991.38832744</v>
      </c>
    </row>
    <row r="268" spans="2:45" ht="58" x14ac:dyDescent="0.35">
      <c r="B268" s="56" t="s">
        <v>93</v>
      </c>
      <c r="C268" s="361" t="s">
        <v>205</v>
      </c>
      <c r="D268" s="56">
        <v>10</v>
      </c>
      <c r="E268" s="3">
        <v>2211.018</v>
      </c>
      <c r="F268" s="3">
        <v>1994.47263550458</v>
      </c>
      <c r="G268" s="3">
        <v>0</v>
      </c>
      <c r="H268" s="3">
        <v>0</v>
      </c>
      <c r="I268" s="3">
        <v>4.2589868444988062</v>
      </c>
      <c r="J268" s="3">
        <f t="shared" si="80"/>
        <v>10.878698369687678</v>
      </c>
      <c r="K268" s="3">
        <v>1932.9800010956401</v>
      </c>
      <c r="L268" s="3">
        <v>0</v>
      </c>
      <c r="M268" s="3">
        <v>0</v>
      </c>
      <c r="N268" s="3">
        <v>4.1276699075582313</v>
      </c>
      <c r="O268" s="3">
        <f t="shared" si="81"/>
        <v>10.543291500832295</v>
      </c>
      <c r="P268" s="3">
        <f t="shared" si="82"/>
        <v>22.664461767097499</v>
      </c>
      <c r="Q268" s="3">
        <f t="shared" si="83"/>
        <v>0</v>
      </c>
      <c r="R268" s="3">
        <f t="shared" si="91"/>
        <v>0</v>
      </c>
      <c r="S268" s="3">
        <f t="shared" si="91"/>
        <v>5473.766046736534</v>
      </c>
      <c r="T268" s="3">
        <f t="shared" si="92"/>
        <v>0.12362157238281452</v>
      </c>
      <c r="U268" s="3">
        <f t="shared" si="92"/>
        <v>21.965681830632274</v>
      </c>
      <c r="V268" s="3">
        <f t="shared" si="92"/>
        <v>0</v>
      </c>
      <c r="W268" s="3">
        <f t="shared" si="93"/>
        <v>0</v>
      </c>
      <c r="X268" s="3">
        <f t="shared" si="93"/>
        <v>5304.9939380094993</v>
      </c>
      <c r="Y268" s="3">
        <f t="shared" si="79"/>
        <v>0.11981013069127608</v>
      </c>
      <c r="Z268" s="3">
        <f t="shared" si="89"/>
        <v>0.6987799364652254</v>
      </c>
      <c r="AA268" s="3">
        <f t="shared" si="89"/>
        <v>0</v>
      </c>
      <c r="AB268" s="3">
        <f t="shared" si="84"/>
        <v>168.77210872703472</v>
      </c>
      <c r="AC268" s="3">
        <f t="shared" si="85"/>
        <v>3.8114416915384364E-3</v>
      </c>
      <c r="AD268" s="3">
        <f t="shared" si="90"/>
        <v>1545.0150175634697</v>
      </c>
      <c r="AE268" s="3">
        <f t="shared" si="90"/>
        <v>0</v>
      </c>
      <c r="AF268" s="3">
        <f t="shared" si="90"/>
        <v>373158.17029343086</v>
      </c>
      <c r="AG268" s="3">
        <f t="shared" si="90"/>
        <v>8.42716618594193</v>
      </c>
      <c r="AH268" s="233">
        <f t="shared" si="95"/>
        <v>50111.53292736438</v>
      </c>
      <c r="AI268" s="233">
        <f t="shared" si="95"/>
        <v>0</v>
      </c>
      <c r="AJ268" s="233">
        <f t="shared" si="95"/>
        <v>0</v>
      </c>
      <c r="AK268" s="233">
        <f t="shared" si="95"/>
        <v>12102595.257123318</v>
      </c>
      <c r="AL268" s="233">
        <f t="shared" si="95"/>
        <v>273.32952172670576</v>
      </c>
      <c r="AM268" s="233">
        <f t="shared" si="94"/>
        <v>48566.51790980091</v>
      </c>
      <c r="AN268" s="233">
        <f t="shared" si="94"/>
        <v>0</v>
      </c>
      <c r="AO268" s="233">
        <f t="shared" si="94"/>
        <v>0</v>
      </c>
      <c r="AP268" s="233">
        <f t="shared" si="94"/>
        <v>11729437.086829888</v>
      </c>
      <c r="AQ268" s="233">
        <f t="shared" si="94"/>
        <v>264.90235554076384</v>
      </c>
      <c r="AR268" s="376">
        <v>15.338100000000001</v>
      </c>
      <c r="AS268" s="231">
        <f t="shared" si="87"/>
        <v>33912.815185800006</v>
      </c>
    </row>
    <row r="269" spans="2:45" ht="58" x14ac:dyDescent="0.35">
      <c r="B269" s="56" t="s">
        <v>93</v>
      </c>
      <c r="C269" s="361" t="s">
        <v>205</v>
      </c>
      <c r="D269" s="56">
        <v>11</v>
      </c>
      <c r="E269" s="3">
        <v>631.2371999999998</v>
      </c>
      <c r="F269" s="3">
        <v>2033.52352225035</v>
      </c>
      <c r="G269" s="3">
        <v>0</v>
      </c>
      <c r="H269" s="3">
        <v>0</v>
      </c>
      <c r="I269" s="3">
        <v>4.3441867721181433</v>
      </c>
      <c r="J269" s="3">
        <f t="shared" si="80"/>
        <v>11.091698443197632</v>
      </c>
      <c r="K269" s="3">
        <v>1970.82688942135</v>
      </c>
      <c r="L269" s="3">
        <v>0</v>
      </c>
      <c r="M269" s="3">
        <v>0</v>
      </c>
      <c r="N269" s="3">
        <v>4.2102428738999205</v>
      </c>
      <c r="O269" s="3">
        <f t="shared" si="81"/>
        <v>10.749724457092178</v>
      </c>
      <c r="P269" s="3">
        <f t="shared" si="82"/>
        <v>23.108221843753977</v>
      </c>
      <c r="Q269" s="3">
        <f t="shared" si="83"/>
        <v>0</v>
      </c>
      <c r="R269" s="3">
        <f t="shared" si="91"/>
        <v>0</v>
      </c>
      <c r="S269" s="3">
        <f t="shared" si="91"/>
        <v>5583.2673173472958</v>
      </c>
      <c r="T269" s="3">
        <f t="shared" si="92"/>
        <v>0.12604202776360945</v>
      </c>
      <c r="U269" s="3">
        <f t="shared" si="92"/>
        <v>22.395760107060795</v>
      </c>
      <c r="V269" s="3">
        <f t="shared" si="92"/>
        <v>0</v>
      </c>
      <c r="W269" s="3">
        <f t="shared" si="93"/>
        <v>0</v>
      </c>
      <c r="X269" s="3">
        <f t="shared" si="93"/>
        <v>5411.1189663418299</v>
      </c>
      <c r="Y269" s="3">
        <f t="shared" si="79"/>
        <v>0.12215595973968384</v>
      </c>
      <c r="Z269" s="3">
        <f t="shared" si="89"/>
        <v>0.71246173669318225</v>
      </c>
      <c r="AA269" s="3">
        <f t="shared" si="89"/>
        <v>0</v>
      </c>
      <c r="AB269" s="3">
        <f t="shared" si="84"/>
        <v>172.14835100546588</v>
      </c>
      <c r="AC269" s="3">
        <f t="shared" si="85"/>
        <v>3.8860680239256179E-3</v>
      </c>
      <c r="AD269" s="3">
        <f t="shared" si="90"/>
        <v>449.73235177734148</v>
      </c>
      <c r="AE269" s="3">
        <f t="shared" si="90"/>
        <v>0</v>
      </c>
      <c r="AF269" s="3">
        <f t="shared" si="90"/>
        <v>108666.44307330744</v>
      </c>
      <c r="AG269" s="3">
        <f t="shared" si="90"/>
        <v>2.4530306984323391</v>
      </c>
      <c r="AH269" s="233">
        <f t="shared" si="95"/>
        <v>14586.769253630093</v>
      </c>
      <c r="AI269" s="233">
        <f t="shared" si="95"/>
        <v>0</v>
      </c>
      <c r="AJ269" s="233">
        <f t="shared" si="95"/>
        <v>0</v>
      </c>
      <c r="AK269" s="233">
        <f t="shared" si="95"/>
        <v>3524366.0282538175</v>
      </c>
      <c r="AL269" s="233">
        <f t="shared" si="95"/>
        <v>79.562416687823074</v>
      </c>
      <c r="AM269" s="233">
        <f t="shared" si="94"/>
        <v>14137.036901852753</v>
      </c>
      <c r="AN269" s="233">
        <f t="shared" si="94"/>
        <v>0</v>
      </c>
      <c r="AO269" s="233">
        <f t="shared" si="94"/>
        <v>0</v>
      </c>
      <c r="AP269" s="233">
        <f t="shared" si="94"/>
        <v>3415699.5851805098</v>
      </c>
      <c r="AQ269" s="233">
        <f t="shared" si="94"/>
        <v>77.109385989390731</v>
      </c>
      <c r="AR269" s="376">
        <v>15.338100000000001</v>
      </c>
      <c r="AS269" s="231">
        <f t="shared" si="87"/>
        <v>9681.9792973199983</v>
      </c>
    </row>
    <row r="270" spans="2:45" ht="58" x14ac:dyDescent="0.35">
      <c r="B270" s="56" t="s">
        <v>93</v>
      </c>
      <c r="C270" s="361" t="s">
        <v>205</v>
      </c>
      <c r="D270" s="56">
        <v>12</v>
      </c>
      <c r="E270" s="3">
        <v>3564.0709999999999</v>
      </c>
      <c r="F270" s="3">
        <v>2034.2127321415601</v>
      </c>
      <c r="G270" s="3">
        <v>0</v>
      </c>
      <c r="H270" s="3">
        <v>0</v>
      </c>
      <c r="I270" s="3">
        <v>4.3429351121149509</v>
      </c>
      <c r="J270" s="3">
        <f t="shared" si="80"/>
        <v>11.095457685809643</v>
      </c>
      <c r="K270" s="3">
        <v>1971.49484992006</v>
      </c>
      <c r="L270" s="3">
        <v>0</v>
      </c>
      <c r="M270" s="3">
        <v>0</v>
      </c>
      <c r="N270" s="3">
        <v>4.2090298062107516</v>
      </c>
      <c r="O270" s="3">
        <f t="shared" si="81"/>
        <v>10.753367796518839</v>
      </c>
      <c r="P270" s="3">
        <f t="shared" si="82"/>
        <v>23.11605377433591</v>
      </c>
      <c r="Q270" s="3">
        <f t="shared" si="83"/>
        <v>0</v>
      </c>
      <c r="R270" s="3">
        <f t="shared" si="91"/>
        <v>0</v>
      </c>
      <c r="S270" s="3">
        <f t="shared" si="91"/>
        <v>5581.6586497750113</v>
      </c>
      <c r="T270" s="3">
        <f t="shared" si="92"/>
        <v>0.12608474642965503</v>
      </c>
      <c r="U270" s="3">
        <f t="shared" si="92"/>
        <v>22.40335056727341</v>
      </c>
      <c r="V270" s="3">
        <f t="shared" si="92"/>
        <v>0</v>
      </c>
      <c r="W270" s="3">
        <f t="shared" si="93"/>
        <v>0</v>
      </c>
      <c r="X270" s="3">
        <f t="shared" si="93"/>
        <v>5409.5598986640452</v>
      </c>
      <c r="Y270" s="3">
        <f t="shared" si="79"/>
        <v>0.12219736132407771</v>
      </c>
      <c r="Z270" s="3">
        <f t="shared" si="89"/>
        <v>0.7127032070624999</v>
      </c>
      <c r="AA270" s="3">
        <f t="shared" si="89"/>
        <v>0</v>
      </c>
      <c r="AB270" s="3">
        <f t="shared" si="84"/>
        <v>172.09875111096608</v>
      </c>
      <c r="AC270" s="3">
        <f t="shared" si="85"/>
        <v>3.8873851055773179E-3</v>
      </c>
      <c r="AD270" s="3">
        <f t="shared" si="90"/>
        <v>2540.1248318984508</v>
      </c>
      <c r="AE270" s="3">
        <f t="shared" si="90"/>
        <v>0</v>
      </c>
      <c r="AF270" s="3">
        <f t="shared" si="90"/>
        <v>613372.16797081195</v>
      </c>
      <c r="AG270" s="3">
        <f t="shared" si="90"/>
        <v>13.854916520620057</v>
      </c>
      <c r="AH270" s="233">
        <f t="shared" si="95"/>
        <v>82387.256891551166</v>
      </c>
      <c r="AI270" s="233">
        <f t="shared" si="95"/>
        <v>0</v>
      </c>
      <c r="AJ270" s="233">
        <f t="shared" si="95"/>
        <v>0</v>
      </c>
      <c r="AK270" s="233">
        <f t="shared" si="95"/>
        <v>19893427.725562274</v>
      </c>
      <c r="AL270" s="233">
        <f t="shared" si="95"/>
        <v>449.37498829228701</v>
      </c>
      <c r="AM270" s="233">
        <f t="shared" si="94"/>
        <v>79847.132059652708</v>
      </c>
      <c r="AN270" s="233">
        <f t="shared" si="94"/>
        <v>0</v>
      </c>
      <c r="AO270" s="233">
        <f t="shared" si="94"/>
        <v>0</v>
      </c>
      <c r="AP270" s="233">
        <f t="shared" si="94"/>
        <v>19280055.557591461</v>
      </c>
      <c r="AQ270" s="233">
        <f t="shared" si="94"/>
        <v>435.52007177166695</v>
      </c>
      <c r="AR270" s="376">
        <v>15.338100000000001</v>
      </c>
      <c r="AS270" s="231">
        <f t="shared" si="87"/>
        <v>54666.077405100004</v>
      </c>
    </row>
    <row r="271" spans="2:45" ht="58" x14ac:dyDescent="0.35">
      <c r="B271" s="56" t="s">
        <v>93</v>
      </c>
      <c r="C271" s="361" t="s">
        <v>205</v>
      </c>
      <c r="D271" s="56">
        <v>13</v>
      </c>
      <c r="E271" s="3">
        <v>1040.2474</v>
      </c>
      <c r="F271" s="3">
        <v>2015.1309070659499</v>
      </c>
      <c r="G271" s="3">
        <v>0</v>
      </c>
      <c r="H271" s="3">
        <v>0</v>
      </c>
      <c r="I271" s="3">
        <v>4.3067673116409724</v>
      </c>
      <c r="J271" s="3">
        <f t="shared" si="80"/>
        <v>10.991377331110673</v>
      </c>
      <c r="K271" s="3">
        <v>1953.00134662552</v>
      </c>
      <c r="L271" s="3">
        <v>0</v>
      </c>
      <c r="M271" s="3">
        <v>0</v>
      </c>
      <c r="N271" s="3">
        <v>4.1739771640942704</v>
      </c>
      <c r="O271" s="3">
        <f t="shared" si="81"/>
        <v>10.652496397955266</v>
      </c>
      <c r="P271" s="3">
        <f t="shared" si="82"/>
        <v>22.899214853022158</v>
      </c>
      <c r="Q271" s="3">
        <f t="shared" si="83"/>
        <v>0</v>
      </c>
      <c r="R271" s="3">
        <f t="shared" si="91"/>
        <v>0</v>
      </c>
      <c r="S271" s="3">
        <f t="shared" si="91"/>
        <v>5535.1748062112956</v>
      </c>
      <c r="T271" s="3">
        <f t="shared" si="92"/>
        <v>0.12490201512625765</v>
      </c>
      <c r="U271" s="3">
        <f t="shared" si="92"/>
        <v>22.193197120744546</v>
      </c>
      <c r="V271" s="3">
        <f t="shared" si="92"/>
        <v>0</v>
      </c>
      <c r="W271" s="3">
        <f t="shared" si="93"/>
        <v>0</v>
      </c>
      <c r="X271" s="3">
        <f t="shared" si="93"/>
        <v>5364.5092870347953</v>
      </c>
      <c r="Y271" s="3">
        <f t="shared" si="79"/>
        <v>0.12105109543130985</v>
      </c>
      <c r="Z271" s="3">
        <f t="shared" si="89"/>
        <v>0.706017732277612</v>
      </c>
      <c r="AA271" s="3">
        <f t="shared" si="89"/>
        <v>0</v>
      </c>
      <c r="AB271" s="3">
        <f t="shared" si="84"/>
        <v>170.66551917650031</v>
      </c>
      <c r="AC271" s="3">
        <f t="shared" si="85"/>
        <v>3.850919694947802E-3</v>
      </c>
      <c r="AD271" s="3">
        <f t="shared" si="90"/>
        <v>734.43311035568195</v>
      </c>
      <c r="AE271" s="3">
        <f t="shared" si="90"/>
        <v>0</v>
      </c>
      <c r="AF271" s="3">
        <f t="shared" si="90"/>
        <v>177534.3625930046</v>
      </c>
      <c r="AG271" s="3">
        <f t="shared" si="90"/>
        <v>4.0059092002782437</v>
      </c>
      <c r="AH271" s="233">
        <f t="shared" si="95"/>
        <v>23820.848712897681</v>
      </c>
      <c r="AI271" s="233">
        <f t="shared" si="95"/>
        <v>0</v>
      </c>
      <c r="AJ271" s="233">
        <f t="shared" si="95"/>
        <v>0</v>
      </c>
      <c r="AK271" s="233">
        <f t="shared" si="95"/>
        <v>5757951.2007068042</v>
      </c>
      <c r="AL271" s="233">
        <f t="shared" si="95"/>
        <v>129.92899648985019</v>
      </c>
      <c r="AM271" s="233">
        <f t="shared" si="94"/>
        <v>23086.415602542002</v>
      </c>
      <c r="AN271" s="233">
        <f t="shared" si="94"/>
        <v>0</v>
      </c>
      <c r="AO271" s="233">
        <f t="shared" si="94"/>
        <v>0</v>
      </c>
      <c r="AP271" s="233">
        <f t="shared" si="94"/>
        <v>5580416.8381137997</v>
      </c>
      <c r="AQ271" s="233">
        <f t="shared" si="94"/>
        <v>125.92308728957194</v>
      </c>
      <c r="AR271" s="376">
        <v>15.338100000000001</v>
      </c>
      <c r="AS271" s="231">
        <f t="shared" si="87"/>
        <v>15955.418645940001</v>
      </c>
    </row>
    <row r="272" spans="2:45" ht="58" x14ac:dyDescent="0.35">
      <c r="B272" s="56" t="s">
        <v>93</v>
      </c>
      <c r="C272" s="361" t="s">
        <v>205</v>
      </c>
      <c r="D272" s="56">
        <v>14</v>
      </c>
      <c r="E272" s="3">
        <v>472.58399999999995</v>
      </c>
      <c r="F272" s="3">
        <v>2026.03656691327</v>
      </c>
      <c r="G272" s="3">
        <v>0</v>
      </c>
      <c r="H272" s="3">
        <v>0</v>
      </c>
      <c r="I272" s="3">
        <v>4.3290979981263842</v>
      </c>
      <c r="J272" s="3">
        <f t="shared" si="80"/>
        <v>11.050861418226962</v>
      </c>
      <c r="K272" s="3">
        <v>1963.5707683404901</v>
      </c>
      <c r="L272" s="3">
        <v>0</v>
      </c>
      <c r="M272" s="3">
        <v>0</v>
      </c>
      <c r="N272" s="3">
        <v>4.1956193306438196</v>
      </c>
      <c r="O272" s="3">
        <f t="shared" si="81"/>
        <v>10.710146499908205</v>
      </c>
      <c r="P272" s="3">
        <f t="shared" si="82"/>
        <v>23.023142805832613</v>
      </c>
      <c r="Q272" s="3">
        <f t="shared" si="83"/>
        <v>0</v>
      </c>
      <c r="R272" s="3">
        <f t="shared" si="91"/>
        <v>0</v>
      </c>
      <c r="S272" s="3">
        <f t="shared" si="91"/>
        <v>5563.8748135010692</v>
      </c>
      <c r="T272" s="3">
        <f t="shared" si="92"/>
        <v>0.12557797066167001</v>
      </c>
      <c r="U272" s="3">
        <f t="shared" si="92"/>
        <v>22.313304185687386</v>
      </c>
      <c r="V272" s="3">
        <f t="shared" si="92"/>
        <v>0</v>
      </c>
      <c r="W272" s="3">
        <f t="shared" si="93"/>
        <v>0</v>
      </c>
      <c r="X272" s="3">
        <f t="shared" si="93"/>
        <v>5392.3243897251823</v>
      </c>
      <c r="Y272" s="3">
        <f t="shared" si="79"/>
        <v>0.12170621022622961</v>
      </c>
      <c r="Z272" s="3">
        <f t="shared" si="89"/>
        <v>0.70983862014522714</v>
      </c>
      <c r="AA272" s="3">
        <f t="shared" si="89"/>
        <v>0</v>
      </c>
      <c r="AB272" s="3">
        <f t="shared" si="84"/>
        <v>171.55042377588688</v>
      </c>
      <c r="AC272" s="3">
        <f t="shared" si="85"/>
        <v>3.8717604354403939E-3</v>
      </c>
      <c r="AD272" s="3">
        <f t="shared" si="90"/>
        <v>335.45837446271196</v>
      </c>
      <c r="AE272" s="3">
        <f t="shared" si="90"/>
        <v>0</v>
      </c>
      <c r="AF272" s="3">
        <f t="shared" si="90"/>
        <v>81071.985469703723</v>
      </c>
      <c r="AG272" s="3">
        <f t="shared" si="90"/>
        <v>1.829732033622163</v>
      </c>
      <c r="AH272" s="233">
        <f t="shared" si="95"/>
        <v>10880.368919751598</v>
      </c>
      <c r="AI272" s="233">
        <f t="shared" si="95"/>
        <v>0</v>
      </c>
      <c r="AJ272" s="233">
        <f t="shared" si="95"/>
        <v>0</v>
      </c>
      <c r="AK272" s="233">
        <f t="shared" si="95"/>
        <v>2629398.214863589</v>
      </c>
      <c r="AL272" s="233">
        <f t="shared" si="95"/>
        <v>59.346139687174649</v>
      </c>
      <c r="AM272" s="233">
        <f t="shared" si="94"/>
        <v>10544.910545288887</v>
      </c>
      <c r="AN272" s="233">
        <f t="shared" si="94"/>
        <v>0</v>
      </c>
      <c r="AO272" s="233">
        <f t="shared" si="94"/>
        <v>0</v>
      </c>
      <c r="AP272" s="233">
        <f t="shared" si="94"/>
        <v>2548326.2293938855</v>
      </c>
      <c r="AQ272" s="233">
        <f t="shared" si="94"/>
        <v>57.516407653552491</v>
      </c>
      <c r="AR272" s="376">
        <v>15.338100000000001</v>
      </c>
      <c r="AS272" s="231">
        <f t="shared" si="87"/>
        <v>7248.5406503999993</v>
      </c>
    </row>
    <row r="273" spans="2:45" ht="58" x14ac:dyDescent="0.35">
      <c r="B273" s="56" t="s">
        <v>93</v>
      </c>
      <c r="C273" s="361" t="s">
        <v>205</v>
      </c>
      <c r="D273" s="56">
        <v>15</v>
      </c>
      <c r="E273" s="3">
        <v>307.74219999999997</v>
      </c>
      <c r="F273" s="3">
        <v>1870.29971251093</v>
      </c>
      <c r="G273" s="3">
        <v>0</v>
      </c>
      <c r="H273" s="3">
        <v>0</v>
      </c>
      <c r="I273" s="3">
        <v>3.9849944488569231</v>
      </c>
      <c r="J273" s="3">
        <f t="shared" si="80"/>
        <v>10.20140666315663</v>
      </c>
      <c r="K273" s="3">
        <v>1812.6355187740801</v>
      </c>
      <c r="L273" s="3">
        <v>0</v>
      </c>
      <c r="M273" s="3">
        <v>0</v>
      </c>
      <c r="N273" s="3">
        <v>3.8621254934327056</v>
      </c>
      <c r="O273" s="3">
        <f t="shared" si="81"/>
        <v>9.8868817309879216</v>
      </c>
      <c r="P273" s="3">
        <f t="shared" si="82"/>
        <v>21.253405823987841</v>
      </c>
      <c r="Q273" s="3">
        <f t="shared" si="83"/>
        <v>0</v>
      </c>
      <c r="R273" s="3">
        <f t="shared" si="91"/>
        <v>0</v>
      </c>
      <c r="S273" s="3">
        <f t="shared" si="91"/>
        <v>5121.6235473377046</v>
      </c>
      <c r="T273" s="3">
        <f t="shared" si="92"/>
        <v>0.11592507571768898</v>
      </c>
      <c r="U273" s="3">
        <f t="shared" si="92"/>
        <v>20.598130895160001</v>
      </c>
      <c r="V273" s="3">
        <f t="shared" si="92"/>
        <v>0</v>
      </c>
      <c r="W273" s="3">
        <f t="shared" si="93"/>
        <v>0</v>
      </c>
      <c r="X273" s="3">
        <f t="shared" si="93"/>
        <v>4963.7090148549887</v>
      </c>
      <c r="Y273" s="3">
        <f t="shared" si="79"/>
        <v>0.11235092876122638</v>
      </c>
      <c r="Z273" s="3">
        <f t="shared" si="89"/>
        <v>0.65527492882783989</v>
      </c>
      <c r="AA273" s="3">
        <f t="shared" si="89"/>
        <v>0</v>
      </c>
      <c r="AB273" s="3">
        <f t="shared" si="84"/>
        <v>157.91453248271591</v>
      </c>
      <c r="AC273" s="3">
        <f t="shared" si="85"/>
        <v>3.5741469564626038E-3</v>
      </c>
      <c r="AD273" s="3">
        <f t="shared" si="90"/>
        <v>201.65574820232285</v>
      </c>
      <c r="AE273" s="3">
        <f t="shared" si="90"/>
        <v>0</v>
      </c>
      <c r="AF273" s="3">
        <f t="shared" si="90"/>
        <v>48596.965638202455</v>
      </c>
      <c r="AG273" s="3">
        <f t="shared" si="90"/>
        <v>1.0999158475051058</v>
      </c>
      <c r="AH273" s="233">
        <f t="shared" si="95"/>
        <v>6540.5698657668299</v>
      </c>
      <c r="AI273" s="233">
        <f t="shared" si="95"/>
        <v>0</v>
      </c>
      <c r="AJ273" s="233">
        <f t="shared" si="95"/>
        <v>0</v>
      </c>
      <c r="AK273" s="233">
        <f t="shared" si="95"/>
        <v>1576139.6980295093</v>
      </c>
      <c r="AL273" s="233">
        <f t="shared" si="95"/>
        <v>35.675037836528183</v>
      </c>
      <c r="AM273" s="233">
        <f t="shared" si="94"/>
        <v>6338.9141175645073</v>
      </c>
      <c r="AN273" s="233">
        <f t="shared" si="94"/>
        <v>0</v>
      </c>
      <c r="AO273" s="233">
        <f t="shared" si="94"/>
        <v>0</v>
      </c>
      <c r="AP273" s="233">
        <f t="shared" si="94"/>
        <v>1527542.7323913067</v>
      </c>
      <c r="AQ273" s="233">
        <f t="shared" si="94"/>
        <v>34.575121989023074</v>
      </c>
      <c r="AR273" s="376">
        <v>15.338100000000001</v>
      </c>
      <c r="AS273" s="231">
        <f t="shared" si="87"/>
        <v>4720.1806378199999</v>
      </c>
    </row>
    <row r="274" spans="2:45" ht="58.5" thickBot="1" x14ac:dyDescent="0.4">
      <c r="B274" s="56" t="s">
        <v>93</v>
      </c>
      <c r="C274" s="361" t="s">
        <v>205</v>
      </c>
      <c r="D274" s="56">
        <v>16</v>
      </c>
      <c r="E274" s="3">
        <v>190.72139999999999</v>
      </c>
      <c r="F274" s="3">
        <v>2094.6074747561102</v>
      </c>
      <c r="G274" s="3">
        <v>0</v>
      </c>
      <c r="H274" s="3">
        <v>0</v>
      </c>
      <c r="I274" s="3">
        <v>4.4670429623644035</v>
      </c>
      <c r="J274" s="3">
        <f t="shared" si="80"/>
        <v>11.424876187885202</v>
      </c>
      <c r="K274" s="3">
        <v>2030.02753047283</v>
      </c>
      <c r="L274" s="3">
        <v>0</v>
      </c>
      <c r="M274" s="3">
        <v>0</v>
      </c>
      <c r="N274" s="3">
        <v>4.3293110508988155</v>
      </c>
      <c r="O274" s="3">
        <f t="shared" si="81"/>
        <v>11.072629823566794</v>
      </c>
      <c r="P274" s="3">
        <f t="shared" si="82"/>
        <v>23.802357667683069</v>
      </c>
      <c r="Q274" s="3">
        <f t="shared" si="83"/>
        <v>0</v>
      </c>
      <c r="R274" s="3">
        <f t="shared" si="91"/>
        <v>0</v>
      </c>
      <c r="S274" s="3">
        <f t="shared" si="91"/>
        <v>5741.1654436751596</v>
      </c>
      <c r="T274" s="3">
        <f t="shared" si="92"/>
        <v>0.12982813849869548</v>
      </c>
      <c r="U274" s="3">
        <f t="shared" si="92"/>
        <v>23.068494664463977</v>
      </c>
      <c r="V274" s="3">
        <f t="shared" si="92"/>
        <v>0</v>
      </c>
      <c r="W274" s="3">
        <f t="shared" si="93"/>
        <v>0</v>
      </c>
      <c r="X274" s="3">
        <f t="shared" si="93"/>
        <v>5564.1486347347272</v>
      </c>
      <c r="Y274" s="3">
        <f t="shared" si="79"/>
        <v>0.12582533890416811</v>
      </c>
      <c r="Z274" s="3">
        <f t="shared" si="89"/>
        <v>0.73386300321909204</v>
      </c>
      <c r="AA274" s="3">
        <f t="shared" si="89"/>
        <v>0</v>
      </c>
      <c r="AB274" s="3">
        <f t="shared" si="84"/>
        <v>177.01680894043238</v>
      </c>
      <c r="AC274" s="3">
        <f t="shared" si="85"/>
        <v>4.0027995945273731E-3</v>
      </c>
      <c r="AD274" s="3">
        <f t="shared" si="90"/>
        <v>139.96337938214972</v>
      </c>
      <c r="AE274" s="3">
        <f t="shared" si="90"/>
        <v>0</v>
      </c>
      <c r="AF274" s="3">
        <f t="shared" si="90"/>
        <v>33760.893624651777</v>
      </c>
      <c r="AG274" s="3">
        <f t="shared" si="90"/>
        <v>0.76341954258769285</v>
      </c>
      <c r="AH274" s="233">
        <f t="shared" si="95"/>
        <v>4539.6189776812489</v>
      </c>
      <c r="AI274" s="233">
        <f t="shared" si="95"/>
        <v>0</v>
      </c>
      <c r="AJ274" s="233">
        <f t="shared" si="95"/>
        <v>0</v>
      </c>
      <c r="AK274" s="233">
        <f t="shared" si="95"/>
        <v>1094963.1110493476</v>
      </c>
      <c r="AL274" s="233">
        <f t="shared" si="95"/>
        <v>24.761004333865099</v>
      </c>
      <c r="AM274" s="233">
        <f t="shared" si="94"/>
        <v>4399.6555982990994</v>
      </c>
      <c r="AN274" s="233">
        <f t="shared" si="94"/>
        <v>0</v>
      </c>
      <c r="AO274" s="233">
        <f t="shared" si="94"/>
        <v>0</v>
      </c>
      <c r="AP274" s="233">
        <f t="shared" si="94"/>
        <v>1061202.2174246958</v>
      </c>
      <c r="AQ274" s="233">
        <f t="shared" si="94"/>
        <v>23.997584791277408</v>
      </c>
      <c r="AR274" s="381">
        <v>15.338100000000001</v>
      </c>
      <c r="AS274" s="231">
        <f t="shared" si="87"/>
        <v>2925.3039053399998</v>
      </c>
    </row>
    <row r="275" spans="2:45" ht="58" x14ac:dyDescent="0.35">
      <c r="B275" s="56" t="s">
        <v>94</v>
      </c>
      <c r="C275" s="361" t="s">
        <v>205</v>
      </c>
      <c r="D275" s="56">
        <v>1</v>
      </c>
      <c r="E275" s="3">
        <v>13.25</v>
      </c>
      <c r="F275" s="3">
        <v>2505.52247312094</v>
      </c>
      <c r="G275" s="3">
        <v>0</v>
      </c>
      <c r="H275" s="3">
        <v>0</v>
      </c>
      <c r="I275" s="3">
        <v>4.7955349533173361</v>
      </c>
      <c r="J275" s="3">
        <f t="shared" si="80"/>
        <v>13.666180602503443</v>
      </c>
      <c r="K275" s="3">
        <v>2424.1758476428699</v>
      </c>
      <c r="L275" s="3">
        <v>0</v>
      </c>
      <c r="M275" s="3">
        <v>0</v>
      </c>
      <c r="N275" s="3">
        <v>4.6398389174793548</v>
      </c>
      <c r="O275" s="3">
        <f t="shared" si="81"/>
        <v>13.22248165862498</v>
      </c>
      <c r="P275" s="3">
        <f t="shared" si="82"/>
        <v>21.414721992486665</v>
      </c>
      <c r="Q275" s="3">
        <f t="shared" si="83"/>
        <v>0</v>
      </c>
      <c r="R275" s="3">
        <f t="shared" si="91"/>
        <v>0</v>
      </c>
      <c r="S275" s="3">
        <f t="shared" si="91"/>
        <v>5139.8297704785809</v>
      </c>
      <c r="T275" s="3">
        <f t="shared" si="92"/>
        <v>0.11680496241455934</v>
      </c>
      <c r="U275" s="3">
        <f t="shared" si="92"/>
        <v>20.719451689255298</v>
      </c>
      <c r="V275" s="3">
        <f t="shared" si="92"/>
        <v>0</v>
      </c>
      <c r="W275" s="3">
        <f t="shared" si="93"/>
        <v>0</v>
      </c>
      <c r="X275" s="3">
        <f t="shared" si="93"/>
        <v>4972.9555577086421</v>
      </c>
      <c r="Y275" s="3">
        <f t="shared" ref="Y275:Y338" si="96">O275/VLOOKUP($B275,$N$131:$P$134, 3, FALSE)</f>
        <v>0.11301266374893146</v>
      </c>
      <c r="Z275" s="3">
        <f t="shared" si="89"/>
        <v>0.69527030323136785</v>
      </c>
      <c r="AA275" s="3">
        <f t="shared" si="89"/>
        <v>0</v>
      </c>
      <c r="AB275" s="3">
        <f t="shared" si="84"/>
        <v>166.87421276993882</v>
      </c>
      <c r="AC275" s="3">
        <f t="shared" si="85"/>
        <v>3.7922986656278856E-3</v>
      </c>
      <c r="AD275" s="3">
        <f t="shared" si="90"/>
        <v>9.212331517815624</v>
      </c>
      <c r="AE275" s="3">
        <f t="shared" si="90"/>
        <v>0</v>
      </c>
      <c r="AF275" s="3">
        <f t="shared" si="90"/>
        <v>2211.0833192016894</v>
      </c>
      <c r="AG275" s="3">
        <f t="shared" si="90"/>
        <v>5.0247957319569485E-2</v>
      </c>
      <c r="AH275" s="233">
        <f t="shared" si="95"/>
        <v>283.74506640044831</v>
      </c>
      <c r="AI275" s="233">
        <f t="shared" si="95"/>
        <v>0</v>
      </c>
      <c r="AJ275" s="233">
        <f t="shared" si="95"/>
        <v>0</v>
      </c>
      <c r="AK275" s="233">
        <f t="shared" si="95"/>
        <v>68102.744458841204</v>
      </c>
      <c r="AL275" s="233">
        <f t="shared" si="95"/>
        <v>1.5476657519929113</v>
      </c>
      <c r="AM275" s="233">
        <f t="shared" si="94"/>
        <v>274.53273488263267</v>
      </c>
      <c r="AN275" s="233">
        <f t="shared" si="94"/>
        <v>0</v>
      </c>
      <c r="AO275" s="233">
        <f t="shared" si="94"/>
        <v>0</v>
      </c>
      <c r="AP275" s="233">
        <f t="shared" si="94"/>
        <v>65891.661139639502</v>
      </c>
      <c r="AQ275" s="233">
        <f t="shared" si="94"/>
        <v>1.4974177946733418</v>
      </c>
      <c r="AR275" s="380">
        <v>13.245699999999999</v>
      </c>
      <c r="AS275" s="231">
        <f t="shared" si="87"/>
        <v>175.50552499999998</v>
      </c>
    </row>
    <row r="276" spans="2:45" ht="58" x14ac:dyDescent="0.35">
      <c r="B276" s="56" t="s">
        <v>94</v>
      </c>
      <c r="C276" s="361" t="s">
        <v>205</v>
      </c>
      <c r="D276" s="56">
        <v>2</v>
      </c>
      <c r="E276" s="3">
        <v>78.650000000000006</v>
      </c>
      <c r="F276" s="3">
        <v>2281.32050013345</v>
      </c>
      <c r="G276" s="3">
        <v>0</v>
      </c>
      <c r="H276" s="3">
        <v>0</v>
      </c>
      <c r="I276" s="3">
        <v>4.390986156020853</v>
      </c>
      <c r="J276" s="3">
        <f t="shared" ref="J276:J339" si="97">G276*$G$141*10^-6 + F276*$G$142*10^-6</f>
        <v>12.443288097185754</v>
      </c>
      <c r="K276" s="3">
        <v>2207.2530246625001</v>
      </c>
      <c r="L276" s="3">
        <v>0</v>
      </c>
      <c r="M276" s="3">
        <v>0</v>
      </c>
      <c r="N276" s="3">
        <v>4.2484245555806375</v>
      </c>
      <c r="O276" s="3">
        <f t="shared" ref="O276:O339" si="98">L276*$G$141*10^-6 + K276*$G$142*10^-6</f>
        <v>12.039292720007337</v>
      </c>
      <c r="P276" s="3">
        <f t="shared" ref="P276:P339" si="99">F276/VLOOKUP(B276,$N$131:$P$134, 3, FALSE)</f>
        <v>19.49846581310641</v>
      </c>
      <c r="Q276" s="3">
        <f t="shared" ref="Q276:Q339" si="100">G276/VLOOKUP($B276,$N$131:$P$134, 3, FALSE)</f>
        <v>0</v>
      </c>
      <c r="R276" s="3">
        <f t="shared" si="91"/>
        <v>0</v>
      </c>
      <c r="S276" s="3">
        <f t="shared" si="91"/>
        <v>4706.2364441454274</v>
      </c>
      <c r="T276" s="3">
        <f t="shared" si="92"/>
        <v>0.10635288971953635</v>
      </c>
      <c r="U276" s="3">
        <f t="shared" si="92"/>
        <v>18.865410467200856</v>
      </c>
      <c r="V276" s="3">
        <f t="shared" si="92"/>
        <v>0</v>
      </c>
      <c r="W276" s="3">
        <f t="shared" si="93"/>
        <v>0</v>
      </c>
      <c r="X276" s="3">
        <f t="shared" si="93"/>
        <v>4553.4396518787344</v>
      </c>
      <c r="Y276" s="3">
        <f t="shared" si="96"/>
        <v>0.10289993777784048</v>
      </c>
      <c r="Z276" s="3">
        <f t="shared" si="89"/>
        <v>0.63305534590555368</v>
      </c>
      <c r="AA276" s="3">
        <f t="shared" si="89"/>
        <v>0</v>
      </c>
      <c r="AB276" s="3">
        <f t="shared" ref="AB276:AB339" si="101">R276+S276-W276-X276</f>
        <v>152.79679226669305</v>
      </c>
      <c r="AC276" s="3">
        <f t="shared" ref="AC276:AC339" si="102">T276-Y276</f>
        <v>3.4529519416958698E-3</v>
      </c>
      <c r="AD276" s="3">
        <f t="shared" si="90"/>
        <v>49.789802955471799</v>
      </c>
      <c r="AE276" s="3">
        <f t="shared" si="90"/>
        <v>0</v>
      </c>
      <c r="AF276" s="3">
        <f t="shared" si="90"/>
        <v>12017.467711775409</v>
      </c>
      <c r="AG276" s="3">
        <f t="shared" si="90"/>
        <v>0.2715746702143802</v>
      </c>
      <c r="AH276" s="233">
        <f t="shared" si="95"/>
        <v>1533.5543362008193</v>
      </c>
      <c r="AI276" s="233">
        <f t="shared" si="95"/>
        <v>0</v>
      </c>
      <c r="AJ276" s="233">
        <f t="shared" si="95"/>
        <v>0</v>
      </c>
      <c r="AK276" s="233">
        <f t="shared" si="95"/>
        <v>370145.4963320379</v>
      </c>
      <c r="AL276" s="233">
        <f t="shared" si="95"/>
        <v>8.3646547764415349</v>
      </c>
      <c r="AM276" s="233">
        <f t="shared" si="94"/>
        <v>1483.7645332453474</v>
      </c>
      <c r="AN276" s="233">
        <f t="shared" si="94"/>
        <v>0</v>
      </c>
      <c r="AO276" s="233">
        <f t="shared" si="94"/>
        <v>0</v>
      </c>
      <c r="AP276" s="233">
        <f t="shared" si="94"/>
        <v>358128.02862026246</v>
      </c>
      <c r="AQ276" s="233">
        <f t="shared" si="94"/>
        <v>8.0930801062271538</v>
      </c>
      <c r="AR276" s="376">
        <v>13.245699999999999</v>
      </c>
      <c r="AS276" s="231">
        <f t="shared" ref="AS276:AS339" si="103">AR276*E276</f>
        <v>1041.7743049999999</v>
      </c>
    </row>
    <row r="277" spans="2:45" ht="58" x14ac:dyDescent="0.35">
      <c r="B277" s="56" t="s">
        <v>94</v>
      </c>
      <c r="C277" s="361" t="s">
        <v>205</v>
      </c>
      <c r="D277" s="56">
        <v>3</v>
      </c>
      <c r="E277" s="3">
        <v>381.5</v>
      </c>
      <c r="F277" s="3">
        <v>2302.5572263853601</v>
      </c>
      <c r="G277" s="3">
        <v>0</v>
      </c>
      <c r="H277" s="3">
        <v>0</v>
      </c>
      <c r="I277" s="3">
        <v>4.4216629509457821</v>
      </c>
      <c r="J277" s="3">
        <f t="shared" si="97"/>
        <v>12.559122195453895</v>
      </c>
      <c r="K277" s="3">
        <v>2227.8002595866201</v>
      </c>
      <c r="L277" s="3">
        <v>0</v>
      </c>
      <c r="M277" s="3">
        <v>0</v>
      </c>
      <c r="N277" s="3">
        <v>4.2781053708268582</v>
      </c>
      <c r="O277" s="3">
        <f t="shared" si="98"/>
        <v>12.151366040589178</v>
      </c>
      <c r="P277" s="3">
        <f t="shared" si="99"/>
        <v>19.679976293891965</v>
      </c>
      <c r="Q277" s="3">
        <f t="shared" si="100"/>
        <v>0</v>
      </c>
      <c r="R277" s="3">
        <f t="shared" si="91"/>
        <v>0</v>
      </c>
      <c r="S277" s="3">
        <f t="shared" si="91"/>
        <v>4739.1156756290684</v>
      </c>
      <c r="T277" s="3">
        <f t="shared" si="92"/>
        <v>0.10734292474746919</v>
      </c>
      <c r="U277" s="3">
        <f t="shared" si="92"/>
        <v>19.041027859714703</v>
      </c>
      <c r="V277" s="3">
        <f t="shared" si="92"/>
        <v>0</v>
      </c>
      <c r="W277" s="3">
        <f t="shared" si="93"/>
        <v>0</v>
      </c>
      <c r="X277" s="3">
        <f t="shared" si="93"/>
        <v>4585.2513974503254</v>
      </c>
      <c r="Y277" s="3">
        <f t="shared" si="96"/>
        <v>0.10385782940674511</v>
      </c>
      <c r="Z277" s="3">
        <f t="shared" si="89"/>
        <v>0.63894843417726221</v>
      </c>
      <c r="AA277" s="3">
        <f t="shared" si="89"/>
        <v>0</v>
      </c>
      <c r="AB277" s="3">
        <f t="shared" si="101"/>
        <v>153.86427817874301</v>
      </c>
      <c r="AC277" s="3">
        <f t="shared" si="102"/>
        <v>3.4850953407240814E-3</v>
      </c>
      <c r="AD277" s="3">
        <f t="shared" si="90"/>
        <v>243.75882763862555</v>
      </c>
      <c r="AE277" s="3">
        <f t="shared" si="90"/>
        <v>0</v>
      </c>
      <c r="AF277" s="3">
        <f t="shared" si="90"/>
        <v>58699.222125190456</v>
      </c>
      <c r="AG277" s="3">
        <f t="shared" si="90"/>
        <v>1.3295638724862371</v>
      </c>
      <c r="AH277" s="233">
        <f t="shared" si="95"/>
        <v>7507.9109561197847</v>
      </c>
      <c r="AI277" s="233">
        <f t="shared" si="95"/>
        <v>0</v>
      </c>
      <c r="AJ277" s="233">
        <f t="shared" si="95"/>
        <v>0</v>
      </c>
      <c r="AK277" s="233">
        <f t="shared" si="95"/>
        <v>1807972.6302524896</v>
      </c>
      <c r="AL277" s="233">
        <f t="shared" si="95"/>
        <v>40.951325791159498</v>
      </c>
      <c r="AM277" s="233">
        <f t="shared" si="94"/>
        <v>7264.1521284811588</v>
      </c>
      <c r="AN277" s="233">
        <f t="shared" si="94"/>
        <v>0</v>
      </c>
      <c r="AO277" s="233">
        <f t="shared" si="94"/>
        <v>0</v>
      </c>
      <c r="AP277" s="233">
        <f t="shared" si="94"/>
        <v>1749273.408127299</v>
      </c>
      <c r="AQ277" s="233">
        <f t="shared" si="94"/>
        <v>39.621761918673258</v>
      </c>
      <c r="AR277" s="376">
        <v>13.245699999999999</v>
      </c>
      <c r="AS277" s="231">
        <f t="shared" si="103"/>
        <v>5053.2345500000001</v>
      </c>
    </row>
    <row r="278" spans="2:45" ht="58" x14ac:dyDescent="0.35">
      <c r="B278" s="56" t="s">
        <v>94</v>
      </c>
      <c r="C278" s="361" t="s">
        <v>205</v>
      </c>
      <c r="D278" s="56">
        <v>4</v>
      </c>
      <c r="E278" s="3">
        <v>198.75000000000003</v>
      </c>
      <c r="F278" s="3">
        <v>2255.9532106428101</v>
      </c>
      <c r="G278" s="3">
        <v>0</v>
      </c>
      <c r="H278" s="3">
        <v>0</v>
      </c>
      <c r="I278" s="3">
        <v>4.3450162517831581</v>
      </c>
      <c r="J278" s="3">
        <f t="shared" si="97"/>
        <v>12.304924157810168</v>
      </c>
      <c r="K278" s="3">
        <v>2182.7093332116801</v>
      </c>
      <c r="L278" s="3">
        <v>0</v>
      </c>
      <c r="M278" s="3">
        <v>0</v>
      </c>
      <c r="N278" s="3">
        <v>4.2039471504962842</v>
      </c>
      <c r="O278" s="3">
        <f t="shared" si="98"/>
        <v>11.905421033116729</v>
      </c>
      <c r="P278" s="3">
        <f t="shared" si="99"/>
        <v>19.281651373015471</v>
      </c>
      <c r="Q278" s="3">
        <f t="shared" si="100"/>
        <v>0</v>
      </c>
      <c r="R278" s="3">
        <f t="shared" si="91"/>
        <v>0</v>
      </c>
      <c r="S278" s="3">
        <f t="shared" si="91"/>
        <v>4656.9661365265638</v>
      </c>
      <c r="T278" s="3">
        <f t="shared" si="92"/>
        <v>0.10517029194709546</v>
      </c>
      <c r="U278" s="3">
        <f t="shared" si="92"/>
        <v>18.655635326595558</v>
      </c>
      <c r="V278" s="3">
        <f t="shared" si="92"/>
        <v>0</v>
      </c>
      <c r="W278" s="3">
        <f t="shared" si="93"/>
        <v>0</v>
      </c>
      <c r="X278" s="3">
        <f t="shared" si="93"/>
        <v>4505.7689971985819</v>
      </c>
      <c r="Y278" s="3">
        <f t="shared" si="96"/>
        <v>0.10175573532578401</v>
      </c>
      <c r="Z278" s="3">
        <f t="shared" si="89"/>
        <v>0.62601604641991315</v>
      </c>
      <c r="AA278" s="3">
        <f t="shared" si="89"/>
        <v>0</v>
      </c>
      <c r="AB278" s="3">
        <f t="shared" si="101"/>
        <v>151.19713932798186</v>
      </c>
      <c r="AC278" s="3">
        <f t="shared" si="102"/>
        <v>3.4145566213114459E-3</v>
      </c>
      <c r="AD278" s="3">
        <f t="shared" si="90"/>
        <v>124.42068922595776</v>
      </c>
      <c r="AE278" s="3">
        <f t="shared" si="90"/>
        <v>0</v>
      </c>
      <c r="AF278" s="3">
        <f t="shared" si="90"/>
        <v>30050.431441436398</v>
      </c>
      <c r="AG278" s="3">
        <f t="shared" si="90"/>
        <v>0.67864312848565</v>
      </c>
      <c r="AH278" s="233">
        <f t="shared" si="95"/>
        <v>3832.2282103868256</v>
      </c>
      <c r="AI278" s="233">
        <f t="shared" si="95"/>
        <v>0</v>
      </c>
      <c r="AJ278" s="233">
        <f t="shared" si="95"/>
        <v>0</v>
      </c>
      <c r="AK278" s="233">
        <f t="shared" si="95"/>
        <v>925572.01963465463</v>
      </c>
      <c r="AL278" s="233">
        <f t="shared" si="95"/>
        <v>20.902595524485225</v>
      </c>
      <c r="AM278" s="233">
        <f t="shared" si="94"/>
        <v>3707.8075211608675</v>
      </c>
      <c r="AN278" s="233">
        <f t="shared" si="94"/>
        <v>0</v>
      </c>
      <c r="AO278" s="233">
        <f t="shared" si="94"/>
        <v>0</v>
      </c>
      <c r="AP278" s="233">
        <f t="shared" si="94"/>
        <v>895521.58819321834</v>
      </c>
      <c r="AQ278" s="233">
        <f t="shared" si="94"/>
        <v>20.223952395999575</v>
      </c>
      <c r="AR278" s="376">
        <v>13.245699999999999</v>
      </c>
      <c r="AS278" s="231">
        <f t="shared" si="103"/>
        <v>2632.5828750000001</v>
      </c>
    </row>
    <row r="279" spans="2:45" ht="58" x14ac:dyDescent="0.35">
      <c r="B279" s="56" t="s">
        <v>94</v>
      </c>
      <c r="C279" s="361" t="s">
        <v>205</v>
      </c>
      <c r="D279" s="56">
        <v>5</v>
      </c>
      <c r="E279" s="3">
        <v>35.300000000000004</v>
      </c>
      <c r="F279" s="3">
        <v>2408.2465678841399</v>
      </c>
      <c r="G279" s="3">
        <v>0</v>
      </c>
      <c r="H279" s="3">
        <v>0</v>
      </c>
      <c r="I279" s="3">
        <v>4.6202671642081015</v>
      </c>
      <c r="J279" s="3">
        <f t="shared" si="97"/>
        <v>13.135596621118433</v>
      </c>
      <c r="K279" s="3">
        <v>2330.05819251806</v>
      </c>
      <c r="L279" s="3">
        <v>0</v>
      </c>
      <c r="M279" s="3">
        <v>0</v>
      </c>
      <c r="N279" s="3">
        <v>4.4702615258419378</v>
      </c>
      <c r="O279" s="3">
        <f t="shared" si="98"/>
        <v>12.709124110800781</v>
      </c>
      <c r="P279" s="3">
        <f t="shared" si="99"/>
        <v>20.583303999009743</v>
      </c>
      <c r="Q279" s="3">
        <f t="shared" si="100"/>
        <v>0</v>
      </c>
      <c r="R279" s="3">
        <f t="shared" si="91"/>
        <v>0</v>
      </c>
      <c r="S279" s="3">
        <f t="shared" si="91"/>
        <v>4951.9786529204775</v>
      </c>
      <c r="T279" s="3">
        <f t="shared" si="92"/>
        <v>0.11227005659075584</v>
      </c>
      <c r="U279" s="3">
        <f t="shared" si="92"/>
        <v>19.915027286479145</v>
      </c>
      <c r="V279" s="3">
        <f t="shared" si="92"/>
        <v>0</v>
      </c>
      <c r="W279" s="3">
        <f t="shared" si="93"/>
        <v>0</v>
      </c>
      <c r="X279" s="3">
        <f t="shared" si="93"/>
        <v>4791.2033789793077</v>
      </c>
      <c r="Y279" s="3">
        <f t="shared" si="96"/>
        <v>0.10862499240000667</v>
      </c>
      <c r="Z279" s="3">
        <f t="shared" si="89"/>
        <v>0.66827671253059862</v>
      </c>
      <c r="AA279" s="3">
        <f t="shared" si="89"/>
        <v>0</v>
      </c>
      <c r="AB279" s="3">
        <f t="shared" si="101"/>
        <v>160.77527394116987</v>
      </c>
      <c r="AC279" s="3">
        <f t="shared" si="102"/>
        <v>3.6450641907491699E-3</v>
      </c>
      <c r="AD279" s="3">
        <f t="shared" si="90"/>
        <v>23.590167952330134</v>
      </c>
      <c r="AE279" s="3">
        <f t="shared" si="90"/>
        <v>0</v>
      </c>
      <c r="AF279" s="3">
        <f t="shared" si="90"/>
        <v>5675.367170123297</v>
      </c>
      <c r="AG279" s="3">
        <f t="shared" si="90"/>
        <v>0.1286707659334457</v>
      </c>
      <c r="AH279" s="233">
        <f t="shared" si="95"/>
        <v>726.59063116504399</v>
      </c>
      <c r="AI279" s="233">
        <f t="shared" si="95"/>
        <v>0</v>
      </c>
      <c r="AJ279" s="233">
        <f t="shared" si="95"/>
        <v>0</v>
      </c>
      <c r="AK279" s="233">
        <f t="shared" si="95"/>
        <v>174804.84644809287</v>
      </c>
      <c r="AL279" s="233">
        <f t="shared" si="95"/>
        <v>3.9631329976536818</v>
      </c>
      <c r="AM279" s="233">
        <f t="shared" si="94"/>
        <v>703.00046321271384</v>
      </c>
      <c r="AN279" s="233">
        <f t="shared" si="94"/>
        <v>0</v>
      </c>
      <c r="AO279" s="233">
        <f t="shared" si="94"/>
        <v>0</v>
      </c>
      <c r="AP279" s="233">
        <f t="shared" si="94"/>
        <v>169129.47927796957</v>
      </c>
      <c r="AQ279" s="233">
        <f t="shared" si="94"/>
        <v>3.8344622317202357</v>
      </c>
      <c r="AR279" s="376">
        <v>13.245699999999999</v>
      </c>
      <c r="AS279" s="231">
        <f t="shared" si="103"/>
        <v>467.57321000000002</v>
      </c>
    </row>
    <row r="280" spans="2:45" ht="58" x14ac:dyDescent="0.35">
      <c r="B280" s="56" t="s">
        <v>94</v>
      </c>
      <c r="C280" s="361" t="s">
        <v>205</v>
      </c>
      <c r="D280" s="56">
        <v>6</v>
      </c>
      <c r="E280" s="3">
        <v>168.50000000000003</v>
      </c>
      <c r="F280" s="3">
        <v>2226.1689487958902</v>
      </c>
      <c r="G280" s="3">
        <v>0</v>
      </c>
      <c r="H280" s="3">
        <v>0</v>
      </c>
      <c r="I280" s="3">
        <v>4.2884680945050002</v>
      </c>
      <c r="J280" s="3">
        <f t="shared" si="97"/>
        <v>12.142468180712008</v>
      </c>
      <c r="K280" s="3">
        <v>2153.8920749416902</v>
      </c>
      <c r="L280" s="3">
        <v>0</v>
      </c>
      <c r="M280" s="3">
        <v>0</v>
      </c>
      <c r="N280" s="3">
        <v>4.1492349351949525</v>
      </c>
      <c r="O280" s="3">
        <f t="shared" si="98"/>
        <v>11.748239503032062</v>
      </c>
      <c r="P280" s="3">
        <f t="shared" si="99"/>
        <v>19.027085032443505</v>
      </c>
      <c r="Q280" s="3">
        <f t="shared" si="100"/>
        <v>0</v>
      </c>
      <c r="R280" s="3">
        <f t="shared" si="91"/>
        <v>0</v>
      </c>
      <c r="S280" s="3">
        <f t="shared" si="91"/>
        <v>4596.3581115463849</v>
      </c>
      <c r="T280" s="3">
        <f t="shared" si="92"/>
        <v>0.10378177932232485</v>
      </c>
      <c r="U280" s="3">
        <f t="shared" si="92"/>
        <v>18.409333973860601</v>
      </c>
      <c r="V280" s="3">
        <f t="shared" si="92"/>
        <v>0</v>
      </c>
      <c r="W280" s="3">
        <f t="shared" si="93"/>
        <v>0</v>
      </c>
      <c r="X280" s="3">
        <f t="shared" si="93"/>
        <v>4447.1287254140771</v>
      </c>
      <c r="Y280" s="3">
        <f t="shared" si="96"/>
        <v>0.10041230344471848</v>
      </c>
      <c r="Z280" s="3">
        <f t="shared" si="89"/>
        <v>0.61775105858290402</v>
      </c>
      <c r="AA280" s="3">
        <f t="shared" si="89"/>
        <v>0</v>
      </c>
      <c r="AB280" s="3">
        <f t="shared" si="101"/>
        <v>149.22938613230781</v>
      </c>
      <c r="AC280" s="3">
        <f t="shared" si="102"/>
        <v>3.3694758776063732E-3</v>
      </c>
      <c r="AD280" s="3">
        <f t="shared" si="90"/>
        <v>104.09105337121935</v>
      </c>
      <c r="AE280" s="3">
        <f t="shared" si="90"/>
        <v>0</v>
      </c>
      <c r="AF280" s="3">
        <f t="shared" si="90"/>
        <v>25145.151563293872</v>
      </c>
      <c r="AG280" s="3">
        <f t="shared" si="90"/>
        <v>0.56775668537667401</v>
      </c>
      <c r="AH280" s="233">
        <f t="shared" si="95"/>
        <v>3206.063827966731</v>
      </c>
      <c r="AI280" s="233">
        <f t="shared" si="95"/>
        <v>0</v>
      </c>
      <c r="AJ280" s="233">
        <f t="shared" si="95"/>
        <v>0</v>
      </c>
      <c r="AK280" s="233">
        <f t="shared" si="95"/>
        <v>774486.34179556603</v>
      </c>
      <c r="AL280" s="233">
        <f t="shared" si="95"/>
        <v>17.487229815811741</v>
      </c>
      <c r="AM280" s="233">
        <f t="shared" si="94"/>
        <v>3101.972774595512</v>
      </c>
      <c r="AN280" s="233">
        <f t="shared" si="94"/>
        <v>0</v>
      </c>
      <c r="AO280" s="233">
        <f t="shared" si="94"/>
        <v>0</v>
      </c>
      <c r="AP280" s="233">
        <f t="shared" si="94"/>
        <v>749341.19023227214</v>
      </c>
      <c r="AQ280" s="233">
        <f t="shared" si="94"/>
        <v>16.919473130435065</v>
      </c>
      <c r="AR280" s="376">
        <v>13.245699999999999</v>
      </c>
      <c r="AS280" s="231">
        <f t="shared" si="103"/>
        <v>2231.9004500000001</v>
      </c>
    </row>
    <row r="281" spans="2:45" ht="58" x14ac:dyDescent="0.35">
      <c r="B281" s="56" t="s">
        <v>94</v>
      </c>
      <c r="C281" s="361" t="s">
        <v>205</v>
      </c>
      <c r="D281" s="56">
        <v>7</v>
      </c>
      <c r="E281" s="3">
        <v>181.15</v>
      </c>
      <c r="F281" s="3">
        <v>2179.7429209298598</v>
      </c>
      <c r="G281" s="3">
        <v>0</v>
      </c>
      <c r="H281" s="3">
        <v>0</v>
      </c>
      <c r="I281" s="3">
        <v>4.1936388846557655</v>
      </c>
      <c r="J281" s="3">
        <f t="shared" si="97"/>
        <v>11.8892409643208</v>
      </c>
      <c r="K281" s="3">
        <v>2108.97335772314</v>
      </c>
      <c r="L281" s="3">
        <v>0</v>
      </c>
      <c r="M281" s="3">
        <v>0</v>
      </c>
      <c r="N281" s="3">
        <v>4.0574845334868179</v>
      </c>
      <c r="O281" s="3">
        <f t="shared" si="98"/>
        <v>11.503233797225386</v>
      </c>
      <c r="P281" s="3">
        <f t="shared" si="99"/>
        <v>18.630281375468886</v>
      </c>
      <c r="Q281" s="3">
        <f t="shared" si="100"/>
        <v>0</v>
      </c>
      <c r="R281" s="3">
        <f t="shared" si="91"/>
        <v>0</v>
      </c>
      <c r="S281" s="3">
        <f t="shared" si="91"/>
        <v>4494.720650733615</v>
      </c>
      <c r="T281" s="3">
        <f t="shared" si="92"/>
        <v>0.10161744413949401</v>
      </c>
      <c r="U281" s="3">
        <f t="shared" si="92"/>
        <v>18.025413313872992</v>
      </c>
      <c r="V281" s="3">
        <f t="shared" si="92"/>
        <v>0</v>
      </c>
      <c r="W281" s="3">
        <f t="shared" si="93"/>
        <v>0</v>
      </c>
      <c r="X281" s="3">
        <f t="shared" si="93"/>
        <v>4348.7911153781788</v>
      </c>
      <c r="Y281" s="3">
        <f t="shared" si="96"/>
        <v>9.8318237583122955E-2</v>
      </c>
      <c r="Z281" s="3">
        <f t="shared" si="89"/>
        <v>0.60486806159589435</v>
      </c>
      <c r="AA281" s="3">
        <f t="shared" si="89"/>
        <v>0</v>
      </c>
      <c r="AB281" s="3">
        <f t="shared" si="101"/>
        <v>145.9295353554362</v>
      </c>
      <c r="AC281" s="3">
        <f t="shared" si="102"/>
        <v>3.2992065563710593E-3</v>
      </c>
      <c r="AD281" s="3">
        <f t="shared" si="90"/>
        <v>109.57184935809626</v>
      </c>
      <c r="AE281" s="3">
        <f t="shared" si="90"/>
        <v>0</v>
      </c>
      <c r="AF281" s="3">
        <f t="shared" si="90"/>
        <v>26435.135329637269</v>
      </c>
      <c r="AG281" s="3">
        <f t="shared" si="90"/>
        <v>0.59765126768661736</v>
      </c>
      <c r="AH281" s="233">
        <f t="shared" si="95"/>
        <v>3374.8754711661891</v>
      </c>
      <c r="AI281" s="233">
        <f t="shared" si="95"/>
        <v>0</v>
      </c>
      <c r="AJ281" s="233">
        <f t="shared" si="95"/>
        <v>0</v>
      </c>
      <c r="AK281" s="233">
        <f t="shared" si="95"/>
        <v>814218.64588039438</v>
      </c>
      <c r="AL281" s="233">
        <f t="shared" si="95"/>
        <v>18.40800000586934</v>
      </c>
      <c r="AM281" s="233">
        <f t="shared" si="94"/>
        <v>3265.3036218080924</v>
      </c>
      <c r="AN281" s="233">
        <f t="shared" si="94"/>
        <v>0</v>
      </c>
      <c r="AO281" s="233">
        <f t="shared" si="94"/>
        <v>0</v>
      </c>
      <c r="AP281" s="233">
        <f t="shared" si="94"/>
        <v>787783.51055075717</v>
      </c>
      <c r="AQ281" s="233">
        <f t="shared" si="94"/>
        <v>17.810348738182725</v>
      </c>
      <c r="AR281" s="376">
        <v>13.245699999999999</v>
      </c>
      <c r="AS281" s="231">
        <f t="shared" si="103"/>
        <v>2399.4585550000002</v>
      </c>
    </row>
    <row r="282" spans="2:45" ht="58" x14ac:dyDescent="0.35">
      <c r="B282" s="56" t="s">
        <v>94</v>
      </c>
      <c r="C282" s="361" t="s">
        <v>205</v>
      </c>
      <c r="D282" s="56">
        <v>8</v>
      </c>
      <c r="E282" s="3">
        <v>236.9</v>
      </c>
      <c r="F282" s="3">
        <v>2168.0188361627602</v>
      </c>
      <c r="G282" s="3">
        <v>0</v>
      </c>
      <c r="H282" s="3">
        <v>0</v>
      </c>
      <c r="I282" s="3">
        <v>4.1737525517429264</v>
      </c>
      <c r="J282" s="3">
        <f t="shared" si="97"/>
        <v>11.825292841106938</v>
      </c>
      <c r="K282" s="3">
        <v>2097.6299180082701</v>
      </c>
      <c r="L282" s="3">
        <v>0</v>
      </c>
      <c r="M282" s="3">
        <v>0</v>
      </c>
      <c r="N282" s="3">
        <v>4.038243847666954</v>
      </c>
      <c r="O282" s="3">
        <f t="shared" si="98"/>
        <v>11.441361873321258</v>
      </c>
      <c r="P282" s="3">
        <f t="shared" si="99"/>
        <v>18.530075522758633</v>
      </c>
      <c r="Q282" s="3">
        <f t="shared" si="100"/>
        <v>0</v>
      </c>
      <c r="R282" s="3">
        <f t="shared" si="91"/>
        <v>0</v>
      </c>
      <c r="S282" s="3">
        <f t="shared" si="91"/>
        <v>4473.4065810988295</v>
      </c>
      <c r="T282" s="3">
        <f t="shared" si="92"/>
        <v>0.10107087898381999</v>
      </c>
      <c r="U282" s="3">
        <f t="shared" si="92"/>
        <v>17.928460837677523</v>
      </c>
      <c r="V282" s="3">
        <f t="shared" si="92"/>
        <v>0</v>
      </c>
      <c r="W282" s="3">
        <f t="shared" si="93"/>
        <v>0</v>
      </c>
      <c r="X282" s="3">
        <f t="shared" si="93"/>
        <v>4328.1690469866326</v>
      </c>
      <c r="Y282" s="3">
        <f t="shared" si="96"/>
        <v>9.7789417720694508E-2</v>
      </c>
      <c r="Z282" s="3">
        <f t="shared" si="89"/>
        <v>0.60161468508110971</v>
      </c>
      <c r="AA282" s="3">
        <f t="shared" si="89"/>
        <v>0</v>
      </c>
      <c r="AB282" s="3">
        <f t="shared" si="101"/>
        <v>145.23753411219695</v>
      </c>
      <c r="AC282" s="3">
        <f t="shared" si="102"/>
        <v>3.2814612631254791E-3</v>
      </c>
      <c r="AD282" s="3">
        <f t="shared" si="90"/>
        <v>142.52251889571488</v>
      </c>
      <c r="AE282" s="3">
        <f t="shared" si="90"/>
        <v>0</v>
      </c>
      <c r="AF282" s="3">
        <f t="shared" si="90"/>
        <v>34406.77183117946</v>
      </c>
      <c r="AG282" s="3">
        <f t="shared" si="90"/>
        <v>0.77737817323442604</v>
      </c>
      <c r="AH282" s="233">
        <f t="shared" si="95"/>
        <v>4389.7748913415198</v>
      </c>
      <c r="AI282" s="233">
        <f t="shared" si="95"/>
        <v>0</v>
      </c>
      <c r="AJ282" s="233">
        <f t="shared" si="95"/>
        <v>0</v>
      </c>
      <c r="AK282" s="233">
        <f t="shared" si="95"/>
        <v>1059750.0190623128</v>
      </c>
      <c r="AL282" s="233">
        <f t="shared" si="95"/>
        <v>23.943691231266957</v>
      </c>
      <c r="AM282" s="233">
        <f t="shared" si="94"/>
        <v>4247.2523724458051</v>
      </c>
      <c r="AN282" s="233">
        <f t="shared" si="94"/>
        <v>0</v>
      </c>
      <c r="AO282" s="233">
        <f t="shared" si="94"/>
        <v>0</v>
      </c>
      <c r="AP282" s="233">
        <f t="shared" si="94"/>
        <v>1025343.2472311333</v>
      </c>
      <c r="AQ282" s="233">
        <f t="shared" si="94"/>
        <v>23.166313058032529</v>
      </c>
      <c r="AR282" s="376">
        <v>13.245699999999999</v>
      </c>
      <c r="AS282" s="231">
        <f t="shared" si="103"/>
        <v>3137.9063299999998</v>
      </c>
    </row>
    <row r="283" spans="2:45" ht="58" x14ac:dyDescent="0.35">
      <c r="B283" s="56" t="s">
        <v>94</v>
      </c>
      <c r="C283" s="361" t="s">
        <v>205</v>
      </c>
      <c r="D283" s="56">
        <v>9</v>
      </c>
      <c r="E283" s="3">
        <v>556.20000000000005</v>
      </c>
      <c r="F283" s="3">
        <v>2181.0183304790398</v>
      </c>
      <c r="G283" s="3">
        <v>0</v>
      </c>
      <c r="H283" s="3">
        <v>0</v>
      </c>
      <c r="I283" s="3">
        <v>4.2167058389521133</v>
      </c>
      <c r="J283" s="3">
        <f t="shared" si="97"/>
        <v>11.896197588110146</v>
      </c>
      <c r="K283" s="3">
        <v>2110.2073586383799</v>
      </c>
      <c r="L283" s="3">
        <v>0</v>
      </c>
      <c r="M283" s="3">
        <v>0</v>
      </c>
      <c r="N283" s="3">
        <v>4.0798025758520096</v>
      </c>
      <c r="O283" s="3">
        <f t="shared" si="98"/>
        <v>11.509964560789568</v>
      </c>
      <c r="P283" s="3">
        <f t="shared" si="99"/>
        <v>18.641182311786665</v>
      </c>
      <c r="Q283" s="3">
        <f t="shared" si="100"/>
        <v>0</v>
      </c>
      <c r="R283" s="3">
        <f t="shared" si="91"/>
        <v>0</v>
      </c>
      <c r="S283" s="3">
        <f t="shared" si="91"/>
        <v>4519.4436940563673</v>
      </c>
      <c r="T283" s="3">
        <f t="shared" si="92"/>
        <v>0.10167690246247989</v>
      </c>
      <c r="U283" s="3">
        <f t="shared" si="92"/>
        <v>18.035960330242563</v>
      </c>
      <c r="V283" s="3">
        <f t="shared" si="92"/>
        <v>0</v>
      </c>
      <c r="W283" s="3">
        <f t="shared" si="93"/>
        <v>0</v>
      </c>
      <c r="X283" s="3">
        <f t="shared" si="93"/>
        <v>4372.7114787336923</v>
      </c>
      <c r="Y283" s="3">
        <f t="shared" si="96"/>
        <v>9.837576547683391E-2</v>
      </c>
      <c r="Z283" s="3">
        <f t="shared" si="89"/>
        <v>0.60522198154410134</v>
      </c>
      <c r="AA283" s="3">
        <f t="shared" si="89"/>
        <v>0</v>
      </c>
      <c r="AB283" s="3">
        <f t="shared" si="101"/>
        <v>146.73221532267507</v>
      </c>
      <c r="AC283" s="3">
        <f t="shared" si="102"/>
        <v>3.3011369856459777E-3</v>
      </c>
      <c r="AD283" s="3">
        <f t="shared" si="90"/>
        <v>336.62446613482922</v>
      </c>
      <c r="AE283" s="3">
        <f t="shared" si="90"/>
        <v>0</v>
      </c>
      <c r="AF283" s="3">
        <f t="shared" si="90"/>
        <v>81612.458162471885</v>
      </c>
      <c r="AG283" s="3">
        <f t="shared" si="90"/>
        <v>1.836092391416293</v>
      </c>
      <c r="AH283" s="233">
        <f t="shared" si="95"/>
        <v>10368.225601815744</v>
      </c>
      <c r="AI283" s="233">
        <f t="shared" si="95"/>
        <v>0</v>
      </c>
      <c r="AJ283" s="233">
        <f t="shared" si="95"/>
        <v>0</v>
      </c>
      <c r="AK283" s="233">
        <f t="shared" si="95"/>
        <v>2513714.5826341519</v>
      </c>
      <c r="AL283" s="233">
        <f t="shared" si="95"/>
        <v>56.552693149631317</v>
      </c>
      <c r="AM283" s="233">
        <f t="shared" si="94"/>
        <v>10031.601135680914</v>
      </c>
      <c r="AN283" s="233">
        <f t="shared" si="94"/>
        <v>0</v>
      </c>
      <c r="AO283" s="233">
        <f t="shared" si="94"/>
        <v>0</v>
      </c>
      <c r="AP283" s="233">
        <f t="shared" si="94"/>
        <v>2432102.1244716798</v>
      </c>
      <c r="AQ283" s="233">
        <f t="shared" si="94"/>
        <v>54.716600758215023</v>
      </c>
      <c r="AR283" s="376">
        <v>13.245699999999999</v>
      </c>
      <c r="AS283" s="231">
        <f t="shared" si="103"/>
        <v>7367.2583400000003</v>
      </c>
    </row>
    <row r="284" spans="2:45" ht="58" x14ac:dyDescent="0.35">
      <c r="B284" s="56" t="s">
        <v>94</v>
      </c>
      <c r="C284" s="361" t="s">
        <v>205</v>
      </c>
      <c r="D284" s="56">
        <v>10</v>
      </c>
      <c r="E284" s="3">
        <v>196.50000000000003</v>
      </c>
      <c r="F284" s="3">
        <v>2197.9688374411098</v>
      </c>
      <c r="G284" s="3">
        <v>0</v>
      </c>
      <c r="H284" s="3">
        <v>0</v>
      </c>
      <c r="I284" s="3">
        <v>4.233067105832137</v>
      </c>
      <c r="J284" s="3">
        <f t="shared" si="97"/>
        <v>11.988652831251148</v>
      </c>
      <c r="K284" s="3">
        <v>2126.6075346589801</v>
      </c>
      <c r="L284" s="3">
        <v>0</v>
      </c>
      <c r="M284" s="3">
        <v>0</v>
      </c>
      <c r="N284" s="3">
        <v>4.0956326435187478</v>
      </c>
      <c r="O284" s="3">
        <f t="shared" si="98"/>
        <v>11.599418065922645</v>
      </c>
      <c r="P284" s="3">
        <f t="shared" si="99"/>
        <v>18.786058439667606</v>
      </c>
      <c r="Q284" s="3">
        <f t="shared" si="100"/>
        <v>0</v>
      </c>
      <c r="R284" s="3">
        <f t="shared" si="91"/>
        <v>0</v>
      </c>
      <c r="S284" s="3">
        <f t="shared" si="91"/>
        <v>4536.9796159944444</v>
      </c>
      <c r="T284" s="3">
        <f t="shared" si="92"/>
        <v>0.10246711821582177</v>
      </c>
      <c r="U284" s="3">
        <f t="shared" si="92"/>
        <v>18.176132774863078</v>
      </c>
      <c r="V284" s="3">
        <f t="shared" si="92"/>
        <v>0</v>
      </c>
      <c r="W284" s="3">
        <f t="shared" si="93"/>
        <v>0</v>
      </c>
      <c r="X284" s="3">
        <f t="shared" si="93"/>
        <v>4389.6780640790685</v>
      </c>
      <c r="Y284" s="3">
        <f t="shared" si="96"/>
        <v>9.9140325349766203E-2</v>
      </c>
      <c r="Z284" s="3">
        <f t="shared" si="89"/>
        <v>0.60992566480452837</v>
      </c>
      <c r="AA284" s="3">
        <f t="shared" si="89"/>
        <v>0</v>
      </c>
      <c r="AB284" s="3">
        <f t="shared" si="101"/>
        <v>147.30155191537597</v>
      </c>
      <c r="AC284" s="3">
        <f t="shared" si="102"/>
        <v>3.3267928660555696E-3</v>
      </c>
      <c r="AD284" s="3">
        <f t="shared" si="90"/>
        <v>119.85039313408984</v>
      </c>
      <c r="AE284" s="3">
        <f t="shared" si="90"/>
        <v>0</v>
      </c>
      <c r="AF284" s="3">
        <f t="shared" si="90"/>
        <v>28944.754951371382</v>
      </c>
      <c r="AG284" s="3">
        <f t="shared" si="90"/>
        <v>0.65371479817991951</v>
      </c>
      <c r="AH284" s="233">
        <f t="shared" si="95"/>
        <v>3691.4604833946851</v>
      </c>
      <c r="AI284" s="233">
        <f t="shared" si="95"/>
        <v>0</v>
      </c>
      <c r="AJ284" s="233">
        <f t="shared" si="95"/>
        <v>0</v>
      </c>
      <c r="AK284" s="233">
        <f t="shared" si="95"/>
        <v>891516.49454290851</v>
      </c>
      <c r="AL284" s="233">
        <f t="shared" si="95"/>
        <v>20.134788729408982</v>
      </c>
      <c r="AM284" s="233">
        <f t="shared" si="94"/>
        <v>3571.6100902605954</v>
      </c>
      <c r="AN284" s="233">
        <f t="shared" si="94"/>
        <v>0</v>
      </c>
      <c r="AO284" s="233">
        <f t="shared" si="94"/>
        <v>0</v>
      </c>
      <c r="AP284" s="233">
        <f t="shared" si="94"/>
        <v>862571.73959153704</v>
      </c>
      <c r="AQ284" s="233">
        <f t="shared" si="94"/>
        <v>19.481073931229062</v>
      </c>
      <c r="AR284" s="376">
        <v>13.245699999999999</v>
      </c>
      <c r="AS284" s="231">
        <f t="shared" si="103"/>
        <v>2602.7800500000003</v>
      </c>
    </row>
    <row r="285" spans="2:45" ht="58" x14ac:dyDescent="0.35">
      <c r="B285" s="56" t="s">
        <v>94</v>
      </c>
      <c r="C285" s="361" t="s">
        <v>205</v>
      </c>
      <c r="D285" s="56">
        <v>11</v>
      </c>
      <c r="E285" s="3">
        <v>56.1</v>
      </c>
      <c r="F285" s="3">
        <v>2241.0040892734401</v>
      </c>
      <c r="G285" s="3">
        <v>0</v>
      </c>
      <c r="H285" s="3">
        <v>0</v>
      </c>
      <c r="I285" s="3">
        <v>4.3177485157995212</v>
      </c>
      <c r="J285" s="3">
        <f t="shared" si="97"/>
        <v>12.223385319234884</v>
      </c>
      <c r="K285" s="3">
        <v>2168.2455639356599</v>
      </c>
      <c r="L285" s="3">
        <v>0</v>
      </c>
      <c r="M285" s="3">
        <v>0</v>
      </c>
      <c r="N285" s="3">
        <v>4.1775647126994579</v>
      </c>
      <c r="O285" s="3">
        <f t="shared" si="98"/>
        <v>11.826529510394597</v>
      </c>
      <c r="P285" s="3">
        <f t="shared" si="99"/>
        <v>19.153881104901195</v>
      </c>
      <c r="Q285" s="3">
        <f t="shared" si="100"/>
        <v>0</v>
      </c>
      <c r="R285" s="3">
        <f t="shared" si="91"/>
        <v>0</v>
      </c>
      <c r="S285" s="3">
        <f t="shared" si="91"/>
        <v>4627.7407169338458</v>
      </c>
      <c r="T285" s="3">
        <f t="shared" si="92"/>
        <v>0.10447337879687935</v>
      </c>
      <c r="U285" s="3">
        <f t="shared" si="92"/>
        <v>18.532013366971452</v>
      </c>
      <c r="V285" s="3">
        <f t="shared" si="92"/>
        <v>0</v>
      </c>
      <c r="W285" s="3">
        <f t="shared" si="93"/>
        <v>0</v>
      </c>
      <c r="X285" s="3">
        <f t="shared" si="93"/>
        <v>4477.4924356624961</v>
      </c>
      <c r="Y285" s="3">
        <f t="shared" si="96"/>
        <v>0.10108144880679143</v>
      </c>
      <c r="Z285" s="3">
        <f t="shared" si="89"/>
        <v>0.62186773792974392</v>
      </c>
      <c r="AA285" s="3">
        <f t="shared" si="89"/>
        <v>0</v>
      </c>
      <c r="AB285" s="3">
        <f t="shared" si="101"/>
        <v>150.2482812713497</v>
      </c>
      <c r="AC285" s="3">
        <f t="shared" si="102"/>
        <v>3.3919299900879163E-3</v>
      </c>
      <c r="AD285" s="3">
        <f t="shared" si="90"/>
        <v>34.886780097858633</v>
      </c>
      <c r="AE285" s="3">
        <f t="shared" si="90"/>
        <v>0</v>
      </c>
      <c r="AF285" s="3">
        <f t="shared" si="90"/>
        <v>8428.9285793227191</v>
      </c>
      <c r="AG285" s="3">
        <f t="shared" si="90"/>
        <v>0.19028727244393212</v>
      </c>
      <c r="AH285" s="233">
        <f t="shared" si="95"/>
        <v>1074.5327299849571</v>
      </c>
      <c r="AI285" s="233">
        <f t="shared" si="95"/>
        <v>0</v>
      </c>
      <c r="AJ285" s="233">
        <f t="shared" si="95"/>
        <v>0</v>
      </c>
      <c r="AK285" s="233">
        <f t="shared" si="95"/>
        <v>259616.25421998874</v>
      </c>
      <c r="AL285" s="233">
        <f t="shared" si="95"/>
        <v>5.8609565505049313</v>
      </c>
      <c r="AM285" s="233">
        <f t="shared" si="94"/>
        <v>1039.6459498870984</v>
      </c>
      <c r="AN285" s="233">
        <f t="shared" si="94"/>
        <v>0</v>
      </c>
      <c r="AO285" s="233">
        <f t="shared" si="94"/>
        <v>0</v>
      </c>
      <c r="AP285" s="233">
        <f t="shared" si="94"/>
        <v>251187.32564066604</v>
      </c>
      <c r="AQ285" s="233">
        <f t="shared" si="94"/>
        <v>5.6706692780609993</v>
      </c>
      <c r="AR285" s="376">
        <v>13.245699999999999</v>
      </c>
      <c r="AS285" s="231">
        <f t="shared" si="103"/>
        <v>743.08376999999996</v>
      </c>
    </row>
    <row r="286" spans="2:45" ht="58" x14ac:dyDescent="0.35">
      <c r="B286" s="56" t="s">
        <v>94</v>
      </c>
      <c r="C286" s="361" t="s">
        <v>205</v>
      </c>
      <c r="D286" s="56">
        <v>12</v>
      </c>
      <c r="E286" s="3">
        <v>316.75000000000006</v>
      </c>
      <c r="F286" s="3">
        <v>2242.0353418852601</v>
      </c>
      <c r="G286" s="3">
        <v>0</v>
      </c>
      <c r="H286" s="3">
        <v>0</v>
      </c>
      <c r="I286" s="3">
        <v>4.3108654937008453</v>
      </c>
      <c r="J286" s="3">
        <f t="shared" si="97"/>
        <v>12.229010207692733</v>
      </c>
      <c r="K286" s="3">
        <v>2169.2433349399898</v>
      </c>
      <c r="L286" s="3">
        <v>0</v>
      </c>
      <c r="M286" s="3">
        <v>0</v>
      </c>
      <c r="N286" s="3">
        <v>4.1709051608216745</v>
      </c>
      <c r="O286" s="3">
        <f t="shared" si="98"/>
        <v>11.831971775986464</v>
      </c>
      <c r="P286" s="3">
        <f t="shared" si="99"/>
        <v>19.162695229788547</v>
      </c>
      <c r="Q286" s="3">
        <f t="shared" si="100"/>
        <v>0</v>
      </c>
      <c r="R286" s="3">
        <f t="shared" si="91"/>
        <v>0</v>
      </c>
      <c r="S286" s="3">
        <f t="shared" si="91"/>
        <v>4620.3635291460341</v>
      </c>
      <c r="T286" s="3">
        <f t="shared" si="92"/>
        <v>0.10452145476660456</v>
      </c>
      <c r="U286" s="3">
        <f t="shared" si="92"/>
        <v>18.540541324273416</v>
      </c>
      <c r="V286" s="3">
        <f t="shared" si="92"/>
        <v>0</v>
      </c>
      <c r="W286" s="3">
        <f t="shared" si="93"/>
        <v>0</v>
      </c>
      <c r="X286" s="3">
        <f t="shared" si="93"/>
        <v>4470.3547621114358</v>
      </c>
      <c r="Y286" s="3">
        <f t="shared" si="96"/>
        <v>0.10112796389732021</v>
      </c>
      <c r="Z286" s="3">
        <f t="shared" si="89"/>
        <v>0.62215390551513039</v>
      </c>
      <c r="AA286" s="3">
        <f t="shared" si="89"/>
        <v>0</v>
      </c>
      <c r="AB286" s="3">
        <f t="shared" si="101"/>
        <v>150.00876703459835</v>
      </c>
      <c r="AC286" s="3">
        <f t="shared" si="102"/>
        <v>3.3934908692843518E-3</v>
      </c>
      <c r="AD286" s="3">
        <f t="shared" si="90"/>
        <v>197.06724957191759</v>
      </c>
      <c r="AE286" s="3">
        <f t="shared" si="90"/>
        <v>0</v>
      </c>
      <c r="AF286" s="3">
        <f t="shared" si="90"/>
        <v>47515.276958209033</v>
      </c>
      <c r="AG286" s="3">
        <f t="shared" si="90"/>
        <v>1.0748882328458187</v>
      </c>
      <c r="AH286" s="233">
        <f t="shared" si="95"/>
        <v>6069.7837140355232</v>
      </c>
      <c r="AI286" s="233">
        <f t="shared" si="95"/>
        <v>0</v>
      </c>
      <c r="AJ286" s="233">
        <f t="shared" si="95"/>
        <v>0</v>
      </c>
      <c r="AK286" s="233">
        <f t="shared" si="95"/>
        <v>1463500.1478570066</v>
      </c>
      <c r="AL286" s="233">
        <f t="shared" si="95"/>
        <v>33.107170797321999</v>
      </c>
      <c r="AM286" s="233">
        <f t="shared" si="94"/>
        <v>5872.7164644636059</v>
      </c>
      <c r="AN286" s="233">
        <f t="shared" si="94"/>
        <v>0</v>
      </c>
      <c r="AO286" s="233">
        <f t="shared" si="94"/>
        <v>0</v>
      </c>
      <c r="AP286" s="233">
        <f t="shared" si="94"/>
        <v>1415984.8708987976</v>
      </c>
      <c r="AQ286" s="233">
        <f t="shared" si="94"/>
        <v>32.032282564476183</v>
      </c>
      <c r="AR286" s="376">
        <v>13.245699999999999</v>
      </c>
      <c r="AS286" s="231">
        <f t="shared" si="103"/>
        <v>4195.5754750000006</v>
      </c>
    </row>
    <row r="287" spans="2:45" ht="58" x14ac:dyDescent="0.35">
      <c r="B287" s="56" t="s">
        <v>94</v>
      </c>
      <c r="C287" s="361" t="s">
        <v>205</v>
      </c>
      <c r="D287" s="56">
        <v>13</v>
      </c>
      <c r="E287" s="3">
        <v>92.45</v>
      </c>
      <c r="F287" s="3">
        <v>2220.7348740961102</v>
      </c>
      <c r="G287" s="3">
        <v>0</v>
      </c>
      <c r="H287" s="3">
        <v>0</v>
      </c>
      <c r="I287" s="3">
        <v>4.2805567861588276</v>
      </c>
      <c r="J287" s="3">
        <f t="shared" si="97"/>
        <v>12.112828436087334</v>
      </c>
      <c r="K287" s="3">
        <v>2148.63442797072</v>
      </c>
      <c r="L287" s="3">
        <v>0</v>
      </c>
      <c r="M287" s="3">
        <v>0</v>
      </c>
      <c r="N287" s="3">
        <v>4.1415804823111646</v>
      </c>
      <c r="O287" s="3">
        <f t="shared" si="98"/>
        <v>11.719562069953611</v>
      </c>
      <c r="P287" s="3">
        <f t="shared" si="99"/>
        <v>18.980639949539402</v>
      </c>
      <c r="Q287" s="3">
        <f t="shared" si="100"/>
        <v>0</v>
      </c>
      <c r="R287" s="3">
        <f t="shared" si="91"/>
        <v>0</v>
      </c>
      <c r="S287" s="3">
        <f t="shared" si="91"/>
        <v>4587.8788118317689</v>
      </c>
      <c r="T287" s="3">
        <f t="shared" si="92"/>
        <v>0.10352844817168662</v>
      </c>
      <c r="U287" s="3">
        <f t="shared" si="92"/>
        <v>18.364396820262563</v>
      </c>
      <c r="V287" s="3">
        <f t="shared" si="92"/>
        <v>0</v>
      </c>
      <c r="W287" s="3">
        <f t="shared" si="93"/>
        <v>0</v>
      </c>
      <c r="X287" s="3">
        <f t="shared" si="93"/>
        <v>4438.9247220668376</v>
      </c>
      <c r="Y287" s="3">
        <f t="shared" si="96"/>
        <v>0.10016719717909069</v>
      </c>
      <c r="Z287" s="3">
        <f t="shared" si="89"/>
        <v>0.61624312927683889</v>
      </c>
      <c r="AA287" s="3">
        <f t="shared" si="89"/>
        <v>0</v>
      </c>
      <c r="AB287" s="3">
        <f t="shared" si="101"/>
        <v>148.95408976493127</v>
      </c>
      <c r="AC287" s="3">
        <f t="shared" si="102"/>
        <v>3.3612509925959322E-3</v>
      </c>
      <c r="AD287" s="3">
        <f t="shared" si="90"/>
        <v>56.971677301643759</v>
      </c>
      <c r="AE287" s="3">
        <f t="shared" si="90"/>
        <v>0</v>
      </c>
      <c r="AF287" s="3">
        <f t="shared" si="90"/>
        <v>13770.805598767896</v>
      </c>
      <c r="AG287" s="3">
        <f t="shared" si="90"/>
        <v>0.31074765426549394</v>
      </c>
      <c r="AH287" s="233">
        <f t="shared" si="95"/>
        <v>1754.7601633349177</v>
      </c>
      <c r="AI287" s="233">
        <f t="shared" si="95"/>
        <v>0</v>
      </c>
      <c r="AJ287" s="233">
        <f t="shared" si="95"/>
        <v>0</v>
      </c>
      <c r="AK287" s="233">
        <f t="shared" si="95"/>
        <v>424149.39615384705</v>
      </c>
      <c r="AL287" s="233">
        <f t="shared" si="95"/>
        <v>9.5712050334724275</v>
      </c>
      <c r="AM287" s="233">
        <f t="shared" si="94"/>
        <v>1697.788486033274</v>
      </c>
      <c r="AN287" s="233">
        <f t="shared" si="94"/>
        <v>0</v>
      </c>
      <c r="AO287" s="233">
        <f t="shared" si="94"/>
        <v>0</v>
      </c>
      <c r="AP287" s="233">
        <f t="shared" si="94"/>
        <v>410378.59055507916</v>
      </c>
      <c r="AQ287" s="233">
        <f t="shared" si="94"/>
        <v>9.2604573792069349</v>
      </c>
      <c r="AR287" s="376">
        <v>13.245699999999999</v>
      </c>
      <c r="AS287" s="231">
        <f t="shared" si="103"/>
        <v>1224.564965</v>
      </c>
    </row>
    <row r="288" spans="2:45" ht="58" x14ac:dyDescent="0.35">
      <c r="B288" s="56" t="s">
        <v>94</v>
      </c>
      <c r="C288" s="361" t="s">
        <v>205</v>
      </c>
      <c r="D288" s="56">
        <v>14</v>
      </c>
      <c r="E288" s="3">
        <v>42.000000000000007</v>
      </c>
      <c r="F288" s="3">
        <v>2232.7532392867001</v>
      </c>
      <c r="G288" s="3">
        <v>0</v>
      </c>
      <c r="H288" s="3">
        <v>0</v>
      </c>
      <c r="I288" s="3">
        <v>4.3027515704733492</v>
      </c>
      <c r="J288" s="3">
        <f t="shared" si="97"/>
        <v>12.178381689352253</v>
      </c>
      <c r="K288" s="3">
        <v>2160.2625937268599</v>
      </c>
      <c r="L288" s="3">
        <v>0</v>
      </c>
      <c r="M288" s="3">
        <v>0</v>
      </c>
      <c r="N288" s="3">
        <v>4.163054671328668</v>
      </c>
      <c r="O288" s="3">
        <f t="shared" si="98"/>
        <v>11.782987010262092</v>
      </c>
      <c r="P288" s="3">
        <f t="shared" si="99"/>
        <v>19.083361019544444</v>
      </c>
      <c r="Q288" s="3">
        <f t="shared" si="100"/>
        <v>0</v>
      </c>
      <c r="R288" s="3">
        <f t="shared" si="91"/>
        <v>0</v>
      </c>
      <c r="S288" s="3">
        <f t="shared" si="91"/>
        <v>4611.6670678406672</v>
      </c>
      <c r="T288" s="3">
        <f t="shared" si="92"/>
        <v>0.1040887323876261</v>
      </c>
      <c r="U288" s="3">
        <f t="shared" si="92"/>
        <v>18.463782852366325</v>
      </c>
      <c r="V288" s="3">
        <f t="shared" si="92"/>
        <v>0</v>
      </c>
      <c r="W288" s="3">
        <f t="shared" si="93"/>
        <v>0</v>
      </c>
      <c r="X288" s="3">
        <f t="shared" si="93"/>
        <v>4461.9406477317525</v>
      </c>
      <c r="Y288" s="3">
        <f t="shared" si="96"/>
        <v>0.10070929068600079</v>
      </c>
      <c r="Z288" s="3">
        <f t="shared" si="89"/>
        <v>0.61957816717811909</v>
      </c>
      <c r="AA288" s="3">
        <f t="shared" si="89"/>
        <v>0</v>
      </c>
      <c r="AB288" s="3">
        <f t="shared" si="101"/>
        <v>149.72642010891468</v>
      </c>
      <c r="AC288" s="3">
        <f t="shared" si="102"/>
        <v>3.3794417016253103E-3</v>
      </c>
      <c r="AD288" s="3">
        <f t="shared" si="90"/>
        <v>26.022283021481005</v>
      </c>
      <c r="AE288" s="3">
        <f t="shared" si="90"/>
        <v>0</v>
      </c>
      <c r="AF288" s="3">
        <f t="shared" si="90"/>
        <v>6288.5096445744175</v>
      </c>
      <c r="AG288" s="3">
        <f t="shared" si="90"/>
        <v>0.14193655146826306</v>
      </c>
      <c r="AH288" s="233">
        <f t="shared" si="95"/>
        <v>801.50116282086685</v>
      </c>
      <c r="AI288" s="233">
        <f t="shared" si="95"/>
        <v>0</v>
      </c>
      <c r="AJ288" s="233">
        <f t="shared" si="95"/>
        <v>0</v>
      </c>
      <c r="AK288" s="233">
        <f t="shared" si="95"/>
        <v>193690.01684930804</v>
      </c>
      <c r="AL288" s="233">
        <f t="shared" si="95"/>
        <v>4.3717267602802972</v>
      </c>
      <c r="AM288" s="233">
        <f t="shared" si="94"/>
        <v>775.47887979938582</v>
      </c>
      <c r="AN288" s="233">
        <f t="shared" si="94"/>
        <v>0</v>
      </c>
      <c r="AO288" s="233">
        <f t="shared" si="94"/>
        <v>0</v>
      </c>
      <c r="AP288" s="233">
        <f t="shared" si="94"/>
        <v>187401.50720473364</v>
      </c>
      <c r="AQ288" s="233">
        <f t="shared" si="94"/>
        <v>4.2297902088120338</v>
      </c>
      <c r="AR288" s="376">
        <v>13.245699999999999</v>
      </c>
      <c r="AS288" s="231">
        <f t="shared" si="103"/>
        <v>556.31940000000009</v>
      </c>
    </row>
    <row r="289" spans="2:47" ht="58" x14ac:dyDescent="0.35">
      <c r="B289" s="56" t="s">
        <v>94</v>
      </c>
      <c r="C289" s="361" t="s">
        <v>205</v>
      </c>
      <c r="D289" s="56">
        <v>15</v>
      </c>
      <c r="E289" s="3">
        <v>27.35</v>
      </c>
      <c r="F289" s="3">
        <v>2061.1265412192902</v>
      </c>
      <c r="G289" s="3">
        <v>0</v>
      </c>
      <c r="H289" s="3">
        <v>0</v>
      </c>
      <c r="I289" s="3">
        <v>3.9607421986214195</v>
      </c>
      <c r="J289" s="3">
        <f t="shared" si="97"/>
        <v>11.24225699793052</v>
      </c>
      <c r="K289" s="3">
        <v>1994.2080878387301</v>
      </c>
      <c r="L289" s="3">
        <v>0</v>
      </c>
      <c r="M289" s="3">
        <v>0</v>
      </c>
      <c r="N289" s="3">
        <v>3.8321492751405897</v>
      </c>
      <c r="O289" s="3">
        <f t="shared" si="98"/>
        <v>10.877255414687967</v>
      </c>
      <c r="P289" s="3">
        <f t="shared" si="99"/>
        <v>17.616466164267436</v>
      </c>
      <c r="Q289" s="3">
        <f t="shared" si="100"/>
        <v>0</v>
      </c>
      <c r="R289" s="3">
        <f t="shared" si="91"/>
        <v>0</v>
      </c>
      <c r="S289" s="3">
        <f t="shared" si="91"/>
        <v>4245.1031769839828</v>
      </c>
      <c r="T289" s="3">
        <f t="shared" si="92"/>
        <v>9.6087666648978803E-2</v>
      </c>
      <c r="U289" s="3">
        <f t="shared" si="92"/>
        <v>17.044513571271196</v>
      </c>
      <c r="V289" s="3">
        <f t="shared" si="92"/>
        <v>0</v>
      </c>
      <c r="W289" s="3">
        <f t="shared" si="93"/>
        <v>0</v>
      </c>
      <c r="X289" s="3">
        <f t="shared" si="93"/>
        <v>4107.2779410481189</v>
      </c>
      <c r="Y289" s="3">
        <f t="shared" si="96"/>
        <v>9.2967994997333062E-2</v>
      </c>
      <c r="Z289" s="3">
        <f t="shared" si="89"/>
        <v>0.57195259299624013</v>
      </c>
      <c r="AA289" s="3">
        <f t="shared" si="89"/>
        <v>0</v>
      </c>
      <c r="AB289" s="3">
        <f t="shared" si="101"/>
        <v>137.82523593586393</v>
      </c>
      <c r="AC289" s="3">
        <f t="shared" si="102"/>
        <v>3.1196716516457418E-3</v>
      </c>
      <c r="AD289" s="3">
        <f t="shared" si="90"/>
        <v>15.642903418447169</v>
      </c>
      <c r="AE289" s="3">
        <f t="shared" si="90"/>
        <v>0</v>
      </c>
      <c r="AF289" s="3">
        <f t="shared" si="90"/>
        <v>3769.5202028458789</v>
      </c>
      <c r="AG289" s="3">
        <f t="shared" si="90"/>
        <v>8.5323019672511047E-2</v>
      </c>
      <c r="AH289" s="233">
        <f t="shared" si="95"/>
        <v>481.81034959271437</v>
      </c>
      <c r="AI289" s="233">
        <f t="shared" si="95"/>
        <v>0</v>
      </c>
      <c r="AJ289" s="233">
        <f t="shared" si="95"/>
        <v>0</v>
      </c>
      <c r="AK289" s="233">
        <f t="shared" si="95"/>
        <v>116103.57189051194</v>
      </c>
      <c r="AL289" s="233">
        <f t="shared" si="95"/>
        <v>2.6279976828495704</v>
      </c>
      <c r="AM289" s="233">
        <f t="shared" si="94"/>
        <v>466.16744617426724</v>
      </c>
      <c r="AN289" s="233">
        <f t="shared" si="94"/>
        <v>0</v>
      </c>
      <c r="AO289" s="233">
        <f t="shared" si="94"/>
        <v>0</v>
      </c>
      <c r="AP289" s="233">
        <f t="shared" si="94"/>
        <v>112334.05168766605</v>
      </c>
      <c r="AQ289" s="233">
        <f t="shared" si="94"/>
        <v>2.5426746631770594</v>
      </c>
      <c r="AR289" s="376">
        <v>13.245699999999999</v>
      </c>
      <c r="AS289" s="231">
        <f t="shared" si="103"/>
        <v>362.26989500000002</v>
      </c>
    </row>
    <row r="290" spans="2:47" ht="58.5" thickBot="1" x14ac:dyDescent="0.4">
      <c r="B290" s="56" t="s">
        <v>94</v>
      </c>
      <c r="C290" s="361" t="s">
        <v>205</v>
      </c>
      <c r="D290" s="56">
        <v>16</v>
      </c>
      <c r="E290" s="3">
        <v>16.950000000000003</v>
      </c>
      <c r="F290" s="3">
        <v>2505.52247312094</v>
      </c>
      <c r="G290" s="3">
        <v>0</v>
      </c>
      <c r="H290" s="3">
        <v>0</v>
      </c>
      <c r="I290" s="3">
        <v>4.7955349533173361</v>
      </c>
      <c r="J290" s="3">
        <f t="shared" si="97"/>
        <v>13.666180602503443</v>
      </c>
      <c r="K290" s="3">
        <v>2424.1758476428699</v>
      </c>
      <c r="L290" s="3">
        <v>0</v>
      </c>
      <c r="M290" s="3">
        <v>0</v>
      </c>
      <c r="N290" s="3">
        <v>4.6398389174793548</v>
      </c>
      <c r="O290" s="3">
        <f t="shared" si="98"/>
        <v>13.22248165862498</v>
      </c>
      <c r="P290" s="3">
        <f t="shared" si="99"/>
        <v>21.414721992486665</v>
      </c>
      <c r="Q290" s="3">
        <f t="shared" si="100"/>
        <v>0</v>
      </c>
      <c r="R290" s="3">
        <f t="shared" si="91"/>
        <v>0</v>
      </c>
      <c r="S290" s="3">
        <f t="shared" si="91"/>
        <v>5139.8297704785809</v>
      </c>
      <c r="T290" s="3">
        <f t="shared" si="92"/>
        <v>0.11680496241455934</v>
      </c>
      <c r="U290" s="3">
        <f t="shared" si="92"/>
        <v>20.719451689255298</v>
      </c>
      <c r="V290" s="3">
        <f t="shared" si="92"/>
        <v>0</v>
      </c>
      <c r="W290" s="3">
        <f t="shared" si="93"/>
        <v>0</v>
      </c>
      <c r="X290" s="3">
        <f t="shared" si="93"/>
        <v>4972.9555577086421</v>
      </c>
      <c r="Y290" s="3">
        <f t="shared" si="96"/>
        <v>0.11301266374893146</v>
      </c>
      <c r="Z290" s="3">
        <f t="shared" si="89"/>
        <v>0.69527030323136785</v>
      </c>
      <c r="AA290" s="3">
        <f t="shared" si="89"/>
        <v>0</v>
      </c>
      <c r="AB290" s="3">
        <f t="shared" si="101"/>
        <v>166.87421276993882</v>
      </c>
      <c r="AC290" s="3">
        <f t="shared" si="102"/>
        <v>3.7922986656278856E-3</v>
      </c>
      <c r="AD290" s="3">
        <f t="shared" si="90"/>
        <v>11.784831639771687</v>
      </c>
      <c r="AE290" s="3">
        <f t="shared" si="90"/>
        <v>0</v>
      </c>
      <c r="AF290" s="3">
        <f t="shared" si="90"/>
        <v>2828.5179064504637</v>
      </c>
      <c r="AG290" s="3">
        <f t="shared" si="90"/>
        <v>6.4279462382392669E-2</v>
      </c>
      <c r="AH290" s="233">
        <f t="shared" si="95"/>
        <v>362.97953777264905</v>
      </c>
      <c r="AI290" s="233">
        <f t="shared" si="95"/>
        <v>0</v>
      </c>
      <c r="AJ290" s="233">
        <f t="shared" si="95"/>
        <v>0</v>
      </c>
      <c r="AK290" s="233">
        <f t="shared" si="95"/>
        <v>87120.114609611963</v>
      </c>
      <c r="AL290" s="233">
        <f t="shared" si="95"/>
        <v>1.9798441129267812</v>
      </c>
      <c r="AM290" s="233">
        <f t="shared" si="94"/>
        <v>351.19470613287734</v>
      </c>
      <c r="AN290" s="233">
        <f t="shared" si="94"/>
        <v>0</v>
      </c>
      <c r="AO290" s="233">
        <f t="shared" si="94"/>
        <v>0</v>
      </c>
      <c r="AP290" s="233">
        <f t="shared" si="94"/>
        <v>84291.5967031615</v>
      </c>
      <c r="AQ290" s="233">
        <f t="shared" si="94"/>
        <v>1.9155646505443886</v>
      </c>
      <c r="AR290" s="381">
        <v>13.245699999999999</v>
      </c>
      <c r="AS290" s="231">
        <f t="shared" si="103"/>
        <v>224.51461500000002</v>
      </c>
    </row>
    <row r="291" spans="2:47" ht="72.5" x14ac:dyDescent="0.35">
      <c r="B291" s="56" t="s">
        <v>91</v>
      </c>
      <c r="C291" s="361" t="s">
        <v>207</v>
      </c>
      <c r="D291" s="56">
        <v>1</v>
      </c>
      <c r="E291" s="3">
        <v>3.4662000000000002</v>
      </c>
      <c r="F291" s="3">
        <v>2109.9699999999998</v>
      </c>
      <c r="G291" s="3">
        <v>2528.42</v>
      </c>
      <c r="H291" s="3">
        <v>9.43</v>
      </c>
      <c r="I291" s="3">
        <v>82.42</v>
      </c>
      <c r="J291" s="3">
        <f t="shared" si="97"/>
        <v>12.116391010033565</v>
      </c>
      <c r="K291" s="3">
        <v>2114.6799999999998</v>
      </c>
      <c r="L291" s="3">
        <v>2531.61</v>
      </c>
      <c r="M291" s="3">
        <v>9.44</v>
      </c>
      <c r="N291" s="3">
        <v>82.65</v>
      </c>
      <c r="O291" s="3">
        <f t="shared" si="98"/>
        <v>12.14284808049079</v>
      </c>
      <c r="P291" s="3">
        <f t="shared" si="99"/>
        <v>263.74624999999997</v>
      </c>
      <c r="Q291" s="3">
        <f t="shared" si="100"/>
        <v>316.05250000000001</v>
      </c>
      <c r="R291" s="3">
        <f t="shared" si="91"/>
        <v>8628.4499999999989</v>
      </c>
      <c r="S291" s="3">
        <f t="shared" si="91"/>
        <v>75414.3</v>
      </c>
      <c r="T291" s="3">
        <f t="shared" si="92"/>
        <v>1.5145488762541957</v>
      </c>
      <c r="U291" s="3">
        <f t="shared" si="92"/>
        <v>264.33499999999998</v>
      </c>
      <c r="V291" s="3">
        <f t="shared" si="92"/>
        <v>316.45125000000002</v>
      </c>
      <c r="W291" s="3">
        <f t="shared" si="93"/>
        <v>8637.6</v>
      </c>
      <c r="X291" s="3">
        <f t="shared" si="93"/>
        <v>75624.75</v>
      </c>
      <c r="Y291" s="3">
        <f t="shared" si="96"/>
        <v>1.5178560100613487</v>
      </c>
      <c r="Z291" s="3">
        <f t="shared" si="89"/>
        <v>-0.58875000000000455</v>
      </c>
      <c r="AA291" s="3">
        <f t="shared" si="89"/>
        <v>-0.39875000000000682</v>
      </c>
      <c r="AB291" s="3">
        <f t="shared" si="101"/>
        <v>-219.60000000000582</v>
      </c>
      <c r="AC291" s="3">
        <f t="shared" si="102"/>
        <v>-3.3071338071530842E-3</v>
      </c>
      <c r="AD291" s="3">
        <f t="shared" si="90"/>
        <v>-2.0407252500000159</v>
      </c>
      <c r="AE291" s="3">
        <f t="shared" si="90"/>
        <v>-1.3821472500000238</v>
      </c>
      <c r="AF291" s="3">
        <f t="shared" si="90"/>
        <v>-761.17752000002019</v>
      </c>
      <c r="AG291" s="3">
        <f t="shared" ref="AG291:AG354" si="104">AC291*$E291</f>
        <v>-1.146318720235402E-2</v>
      </c>
      <c r="AH291" s="233">
        <f t="shared" si="95"/>
        <v>914.19725174999996</v>
      </c>
      <c r="AI291" s="233">
        <f t="shared" si="95"/>
        <v>1095.5011755</v>
      </c>
      <c r="AJ291" s="233">
        <f t="shared" si="95"/>
        <v>29907.933389999998</v>
      </c>
      <c r="AK291" s="233">
        <f t="shared" si="95"/>
        <v>261401.04666000002</v>
      </c>
      <c r="AL291" s="233">
        <f t="shared" si="95"/>
        <v>5.249729314872293</v>
      </c>
      <c r="AM291" s="233">
        <f t="shared" si="94"/>
        <v>916.237977</v>
      </c>
      <c r="AN291" s="233">
        <f t="shared" si="94"/>
        <v>1096.8833227500002</v>
      </c>
      <c r="AO291" s="233">
        <f t="shared" si="94"/>
        <v>29939.649120000002</v>
      </c>
      <c r="AP291" s="233">
        <f t="shared" si="94"/>
        <v>262130.50845000002</v>
      </c>
      <c r="AQ291" s="233">
        <f t="shared" si="94"/>
        <v>5.2611925020746471</v>
      </c>
      <c r="AS291" s="231">
        <f t="shared" si="103"/>
        <v>0</v>
      </c>
    </row>
    <row r="292" spans="2:47" ht="72.5" x14ac:dyDescent="0.35">
      <c r="B292" s="56" t="s">
        <v>91</v>
      </c>
      <c r="C292" s="361" t="s">
        <v>207</v>
      </c>
      <c r="D292" s="56">
        <v>2</v>
      </c>
      <c r="E292" s="3">
        <v>20.574840000000002</v>
      </c>
      <c r="F292" s="3">
        <v>1580.9</v>
      </c>
      <c r="G292" s="3">
        <v>2520.38</v>
      </c>
      <c r="H292" s="3">
        <v>14.38</v>
      </c>
      <c r="I292" s="3">
        <v>58.98</v>
      </c>
      <c r="J292" s="3">
        <f t="shared" si="97"/>
        <v>9.2286867175995653</v>
      </c>
      <c r="K292" s="3">
        <v>1580.54</v>
      </c>
      <c r="L292" s="3">
        <v>2503.83</v>
      </c>
      <c r="M292" s="3">
        <v>14.36</v>
      </c>
      <c r="N292" s="3">
        <v>58.97</v>
      </c>
      <c r="O292" s="3">
        <f t="shared" si="98"/>
        <v>9.2227452321282772</v>
      </c>
      <c r="P292" s="3">
        <f t="shared" si="99"/>
        <v>197.61250000000001</v>
      </c>
      <c r="Q292" s="3">
        <f t="shared" si="100"/>
        <v>315.04750000000001</v>
      </c>
      <c r="R292" s="3">
        <f t="shared" si="91"/>
        <v>13157.7</v>
      </c>
      <c r="S292" s="3">
        <f t="shared" si="91"/>
        <v>53966.7</v>
      </c>
      <c r="T292" s="3">
        <f t="shared" si="92"/>
        <v>1.1535858396999457</v>
      </c>
      <c r="U292" s="3">
        <f t="shared" si="92"/>
        <v>197.5675</v>
      </c>
      <c r="V292" s="3">
        <f t="shared" si="92"/>
        <v>312.97874999999999</v>
      </c>
      <c r="W292" s="3">
        <f t="shared" si="93"/>
        <v>13139.4</v>
      </c>
      <c r="X292" s="3">
        <f t="shared" si="93"/>
        <v>53957.549999999996</v>
      </c>
      <c r="Y292" s="3">
        <f t="shared" si="96"/>
        <v>1.1528431540160347</v>
      </c>
      <c r="Z292" s="3">
        <f t="shared" ref="Z292:AA334" si="105">P292-U292</f>
        <v>4.5000000000015916E-2</v>
      </c>
      <c r="AA292" s="3">
        <f t="shared" si="105"/>
        <v>2.0687500000000227</v>
      </c>
      <c r="AB292" s="3">
        <f t="shared" si="101"/>
        <v>27.44999999999709</v>
      </c>
      <c r="AC292" s="3">
        <f t="shared" si="102"/>
        <v>7.4268568391100409E-4</v>
      </c>
      <c r="AD292" s="3">
        <f t="shared" ref="AD292:AF334" si="106">Z292*$E292</f>
        <v>0.92586780000032753</v>
      </c>
      <c r="AE292" s="3">
        <f t="shared" si="106"/>
        <v>42.564200250000475</v>
      </c>
      <c r="AF292" s="3">
        <f t="shared" si="106"/>
        <v>564.7793579999402</v>
      </c>
      <c r="AG292" s="3">
        <f t="shared" si="104"/>
        <v>1.5280639116759484E-2</v>
      </c>
      <c r="AH292" s="233">
        <f t="shared" si="95"/>
        <v>4065.8455695000007</v>
      </c>
      <c r="AI292" s="233">
        <f t="shared" si="95"/>
        <v>6482.0519049000004</v>
      </c>
      <c r="AJ292" s="233">
        <f t="shared" si="95"/>
        <v>270717.57226800005</v>
      </c>
      <c r="AK292" s="233">
        <f t="shared" si="95"/>
        <v>1110356.217828</v>
      </c>
      <c r="AL292" s="233">
        <f t="shared" si="95"/>
        <v>23.734844078092031</v>
      </c>
      <c r="AM292" s="233">
        <f t="shared" si="94"/>
        <v>4064.9197017000001</v>
      </c>
      <c r="AN292" s="233">
        <f t="shared" si="94"/>
        <v>6439.4877046500005</v>
      </c>
      <c r="AO292" s="233">
        <f t="shared" si="94"/>
        <v>270341.05269600003</v>
      </c>
      <c r="AP292" s="233">
        <f t="shared" si="94"/>
        <v>1110167.958042</v>
      </c>
      <c r="AQ292" s="233">
        <f t="shared" si="94"/>
        <v>23.719563438975271</v>
      </c>
      <c r="AS292" s="231">
        <f t="shared" si="103"/>
        <v>0</v>
      </c>
    </row>
    <row r="293" spans="2:47" ht="72.5" x14ac:dyDescent="0.35">
      <c r="B293" s="57" t="s">
        <v>91</v>
      </c>
      <c r="C293" s="377" t="s">
        <v>207</v>
      </c>
      <c r="D293" s="57">
        <v>3</v>
      </c>
      <c r="E293" s="59">
        <v>99.800399999999996</v>
      </c>
      <c r="F293" s="59">
        <v>1374.47</v>
      </c>
      <c r="G293" s="59">
        <v>2170.79</v>
      </c>
      <c r="H293" s="59">
        <v>9.98</v>
      </c>
      <c r="I293" s="59">
        <v>49.06</v>
      </c>
      <c r="J293" s="59">
        <f t="shared" si="97"/>
        <v>8.0187039992062044</v>
      </c>
      <c r="K293" s="59">
        <v>1375.76</v>
      </c>
      <c r="L293" s="59">
        <v>2180.64</v>
      </c>
      <c r="M293" s="59">
        <v>10.32</v>
      </c>
      <c r="N293" s="59">
        <v>49.13</v>
      </c>
      <c r="O293" s="59">
        <f t="shared" si="98"/>
        <v>8.0281077128186524</v>
      </c>
      <c r="P293" s="59">
        <f t="shared" si="99"/>
        <v>171.80875</v>
      </c>
      <c r="Q293" s="59">
        <f t="shared" si="100"/>
        <v>271.34875</v>
      </c>
      <c r="R293" s="59">
        <f t="shared" si="91"/>
        <v>9131.7000000000007</v>
      </c>
      <c r="S293" s="59">
        <f t="shared" si="91"/>
        <v>44889.9</v>
      </c>
      <c r="T293" s="59">
        <f t="shared" si="92"/>
        <v>1.0023379999007755</v>
      </c>
      <c r="U293" s="59">
        <f t="shared" si="92"/>
        <v>171.97</v>
      </c>
      <c r="V293" s="59">
        <f t="shared" si="92"/>
        <v>272.58</v>
      </c>
      <c r="W293" s="59">
        <f t="shared" si="93"/>
        <v>9442.8000000000011</v>
      </c>
      <c r="X293" s="59">
        <f t="shared" si="93"/>
        <v>44953.950000000004</v>
      </c>
      <c r="Y293" s="59">
        <f t="shared" si="96"/>
        <v>1.0035134641023316</v>
      </c>
      <c r="Z293" s="59">
        <f t="shared" si="105"/>
        <v>-0.16124999999999545</v>
      </c>
      <c r="AA293" s="59">
        <f t="shared" si="105"/>
        <v>-1.2312499999999886</v>
      </c>
      <c r="AB293" s="59">
        <f t="shared" si="101"/>
        <v>-375.15000000000146</v>
      </c>
      <c r="AC293" s="59">
        <f t="shared" si="102"/>
        <v>-1.1754642015560091E-3</v>
      </c>
      <c r="AD293" s="59">
        <f t="shared" si="106"/>
        <v>-16.092814499999545</v>
      </c>
      <c r="AE293" s="59">
        <f t="shared" si="106"/>
        <v>-122.87924249999887</v>
      </c>
      <c r="AF293" s="59">
        <f t="shared" si="106"/>
        <v>-37440.120060000147</v>
      </c>
      <c r="AG293" s="59">
        <f t="shared" si="104"/>
        <v>-0.11731179750097032</v>
      </c>
      <c r="AH293" s="233">
        <f t="shared" si="95"/>
        <v>17146.5819735</v>
      </c>
      <c r="AI293" s="233">
        <f t="shared" si="95"/>
        <v>27080.713789499998</v>
      </c>
      <c r="AJ293" s="233">
        <f t="shared" si="95"/>
        <v>911347.31268000009</v>
      </c>
      <c r="AK293" s="233">
        <f t="shared" si="95"/>
        <v>4480029.9759600004</v>
      </c>
      <c r="AL293" s="233">
        <f t="shared" si="95"/>
        <v>100.03373332529736</v>
      </c>
      <c r="AM293" s="233">
        <f t="shared" si="94"/>
        <v>17162.674788</v>
      </c>
      <c r="AN293" s="233">
        <f t="shared" si="94"/>
        <v>27203.593031999997</v>
      </c>
      <c r="AO293" s="233">
        <f t="shared" si="94"/>
        <v>942395.21712000004</v>
      </c>
      <c r="AP293" s="233">
        <f t="shared" si="94"/>
        <v>4486422.1915800003</v>
      </c>
      <c r="AQ293" s="233">
        <f t="shared" si="94"/>
        <v>100.15104512279832</v>
      </c>
      <c r="AR293" s="378"/>
      <c r="AS293" s="231">
        <f t="shared" si="103"/>
        <v>0</v>
      </c>
      <c r="AT293" s="378"/>
      <c r="AU293" s="378"/>
    </row>
    <row r="294" spans="2:47" ht="72.5" x14ac:dyDescent="0.35">
      <c r="B294" s="56" t="s">
        <v>91</v>
      </c>
      <c r="C294" s="361" t="s">
        <v>207</v>
      </c>
      <c r="D294" s="56">
        <v>4</v>
      </c>
      <c r="E294" s="3">
        <v>51.993000000000009</v>
      </c>
      <c r="F294" s="3">
        <v>1291.01</v>
      </c>
      <c r="G294" s="3">
        <v>3094.71</v>
      </c>
      <c r="H294" s="3">
        <v>18.329999999999998</v>
      </c>
      <c r="I294" s="3">
        <v>45.4</v>
      </c>
      <c r="J294" s="3">
        <f t="shared" si="97"/>
        <v>7.7855475992969243</v>
      </c>
      <c r="K294" s="3">
        <v>1287.08</v>
      </c>
      <c r="L294" s="3">
        <v>3100.76</v>
      </c>
      <c r="M294" s="3">
        <v>18.829999999999998</v>
      </c>
      <c r="N294" s="3">
        <v>45.22</v>
      </c>
      <c r="O294" s="3">
        <f t="shared" si="98"/>
        <v>7.7655658692733365</v>
      </c>
      <c r="P294" s="3">
        <f t="shared" si="99"/>
        <v>161.37625</v>
      </c>
      <c r="Q294" s="3">
        <f t="shared" si="100"/>
        <v>386.83875</v>
      </c>
      <c r="R294" s="3">
        <f t="shared" si="91"/>
        <v>16771.949999999997</v>
      </c>
      <c r="S294" s="3">
        <f t="shared" si="91"/>
        <v>41541</v>
      </c>
      <c r="T294" s="3">
        <f t="shared" si="92"/>
        <v>0.97319344991211554</v>
      </c>
      <c r="U294" s="3">
        <f t="shared" si="92"/>
        <v>160.88499999999999</v>
      </c>
      <c r="V294" s="3">
        <f t="shared" si="92"/>
        <v>387.59500000000003</v>
      </c>
      <c r="W294" s="3">
        <f t="shared" si="93"/>
        <v>17229.449999999997</v>
      </c>
      <c r="X294" s="3">
        <f t="shared" si="93"/>
        <v>41376.299999999996</v>
      </c>
      <c r="Y294" s="3">
        <f t="shared" si="96"/>
        <v>0.97069573365916706</v>
      </c>
      <c r="Z294" s="3">
        <f t="shared" si="105"/>
        <v>0.49125000000000796</v>
      </c>
      <c r="AA294" s="3">
        <f t="shared" si="105"/>
        <v>-0.75625000000002274</v>
      </c>
      <c r="AB294" s="3">
        <f t="shared" si="101"/>
        <v>-292.79999999999563</v>
      </c>
      <c r="AC294" s="3">
        <f t="shared" si="102"/>
        <v>2.4977162529484787E-3</v>
      </c>
      <c r="AD294" s="3">
        <f t="shared" si="106"/>
        <v>25.541561250000417</v>
      </c>
      <c r="AE294" s="3">
        <f t="shared" si="106"/>
        <v>-39.31970625000119</v>
      </c>
      <c r="AF294" s="3">
        <f t="shared" si="106"/>
        <v>-15223.550399999776</v>
      </c>
      <c r="AG294" s="3">
        <f t="shared" si="104"/>
        <v>0.12986376113955028</v>
      </c>
      <c r="AH294" s="233">
        <f t="shared" si="95"/>
        <v>8390.4353662500016</v>
      </c>
      <c r="AI294" s="233">
        <f t="shared" si="95"/>
        <v>20112.907128750005</v>
      </c>
      <c r="AJ294" s="233">
        <f t="shared" si="95"/>
        <v>872023.99635000003</v>
      </c>
      <c r="AK294" s="233">
        <f t="shared" si="95"/>
        <v>2159841.2130000005</v>
      </c>
      <c r="AL294" s="233">
        <f t="shared" si="95"/>
        <v>50.599247041280634</v>
      </c>
      <c r="AM294" s="233">
        <f t="shared" si="94"/>
        <v>8364.8938050000015</v>
      </c>
      <c r="AN294" s="233">
        <f t="shared" si="94"/>
        <v>20152.226835000005</v>
      </c>
      <c r="AO294" s="233">
        <f t="shared" si="94"/>
        <v>895810.79385000002</v>
      </c>
      <c r="AP294" s="233">
        <f t="shared" si="94"/>
        <v>2151277.9659000002</v>
      </c>
      <c r="AQ294" s="233">
        <f t="shared" si="94"/>
        <v>50.469383280141081</v>
      </c>
      <c r="AS294" s="231">
        <f t="shared" si="103"/>
        <v>0</v>
      </c>
    </row>
    <row r="295" spans="2:47" ht="72.5" x14ac:dyDescent="0.35">
      <c r="B295" s="56" t="s">
        <v>91</v>
      </c>
      <c r="C295" s="361" t="s">
        <v>207</v>
      </c>
      <c r="D295" s="56">
        <v>5</v>
      </c>
      <c r="E295" s="3">
        <v>9.2344800000000014</v>
      </c>
      <c r="F295" s="3">
        <v>1330.16</v>
      </c>
      <c r="G295" s="3">
        <v>2141.44</v>
      </c>
      <c r="H295" s="3">
        <v>8.42</v>
      </c>
      <c r="I295" s="3">
        <v>46.87</v>
      </c>
      <c r="J295" s="3">
        <f t="shared" si="97"/>
        <v>7.7699640441259188</v>
      </c>
      <c r="K295" s="3">
        <v>1332.66</v>
      </c>
      <c r="L295" s="3">
        <v>2149.2800000000002</v>
      </c>
      <c r="M295" s="3">
        <v>8.5500000000000007</v>
      </c>
      <c r="N295" s="3">
        <v>46.99</v>
      </c>
      <c r="O295" s="3">
        <f t="shared" si="98"/>
        <v>7.7854844944389017</v>
      </c>
      <c r="P295" s="3">
        <f t="shared" si="99"/>
        <v>166.27</v>
      </c>
      <c r="Q295" s="3">
        <f t="shared" si="100"/>
        <v>267.68</v>
      </c>
      <c r="R295" s="3">
        <f t="shared" si="91"/>
        <v>7704.3</v>
      </c>
      <c r="S295" s="3">
        <f t="shared" si="91"/>
        <v>42886.049999999996</v>
      </c>
      <c r="T295" s="3">
        <f t="shared" si="92"/>
        <v>0.97124550551573985</v>
      </c>
      <c r="U295" s="3">
        <f t="shared" si="92"/>
        <v>166.58250000000001</v>
      </c>
      <c r="V295" s="3">
        <f t="shared" si="92"/>
        <v>268.66000000000003</v>
      </c>
      <c r="W295" s="3">
        <f t="shared" si="93"/>
        <v>7823.2500000000009</v>
      </c>
      <c r="X295" s="3">
        <f t="shared" si="93"/>
        <v>42995.85</v>
      </c>
      <c r="Y295" s="3">
        <f t="shared" si="96"/>
        <v>0.97318556180486271</v>
      </c>
      <c r="Z295" s="3">
        <f t="shared" si="105"/>
        <v>-0.3125</v>
      </c>
      <c r="AA295" s="3">
        <f t="shared" si="105"/>
        <v>-0.98000000000001819</v>
      </c>
      <c r="AB295" s="3">
        <f t="shared" si="101"/>
        <v>-228.75</v>
      </c>
      <c r="AC295" s="3">
        <f t="shared" si="102"/>
        <v>-1.9400562891228601E-3</v>
      </c>
      <c r="AD295" s="3">
        <f t="shared" si="106"/>
        <v>-2.8857750000000006</v>
      </c>
      <c r="AE295" s="3">
        <f t="shared" si="106"/>
        <v>-9.0497904000001697</v>
      </c>
      <c r="AF295" s="3">
        <f t="shared" si="106"/>
        <v>-2112.3873000000003</v>
      </c>
      <c r="AG295" s="3">
        <f t="shared" si="104"/>
        <v>-1.7915411000779272E-2</v>
      </c>
      <c r="AH295" s="233">
        <f t="shared" si="95"/>
        <v>1535.4169896000003</v>
      </c>
      <c r="AI295" s="233">
        <f t="shared" si="95"/>
        <v>2471.8856064000006</v>
      </c>
      <c r="AJ295" s="233">
        <f t="shared" si="95"/>
        <v>71145.204264000015</v>
      </c>
      <c r="AK295" s="233">
        <f t="shared" si="95"/>
        <v>396030.37100400002</v>
      </c>
      <c r="AL295" s="233">
        <f t="shared" si="95"/>
        <v>8.9689471957749909</v>
      </c>
      <c r="AM295" s="233">
        <f t="shared" si="94"/>
        <v>1538.3027646000003</v>
      </c>
      <c r="AN295" s="233">
        <f t="shared" si="94"/>
        <v>2480.9353968000005</v>
      </c>
      <c r="AO295" s="233">
        <f t="shared" si="94"/>
        <v>72243.645660000024</v>
      </c>
      <c r="AP295" s="233">
        <f t="shared" si="94"/>
        <v>397044.31690800004</v>
      </c>
      <c r="AQ295" s="233">
        <f t="shared" si="94"/>
        <v>8.9868626067757695</v>
      </c>
      <c r="AS295" s="231">
        <f t="shared" si="103"/>
        <v>0</v>
      </c>
    </row>
    <row r="296" spans="2:47" ht="72.5" x14ac:dyDescent="0.35">
      <c r="B296" s="56" t="s">
        <v>91</v>
      </c>
      <c r="C296" s="361" t="s">
        <v>207</v>
      </c>
      <c r="D296" s="56">
        <v>6</v>
      </c>
      <c r="E296" s="3">
        <v>44.079600000000006</v>
      </c>
      <c r="F296" s="3">
        <v>1094.32</v>
      </c>
      <c r="G296" s="3">
        <v>2624.55</v>
      </c>
      <c r="H296" s="3">
        <v>15.46</v>
      </c>
      <c r="I296" s="3">
        <v>36.090000000000003</v>
      </c>
      <c r="J296" s="3">
        <f t="shared" si="97"/>
        <v>6.5997112337793702</v>
      </c>
      <c r="K296" s="3">
        <v>1094.69</v>
      </c>
      <c r="L296" s="3">
        <v>2698.71</v>
      </c>
      <c r="M296" s="3">
        <v>16.05</v>
      </c>
      <c r="N296" s="3">
        <v>36.11</v>
      </c>
      <c r="O296" s="3">
        <f t="shared" si="98"/>
        <v>6.6195541768892321</v>
      </c>
      <c r="P296" s="3">
        <f t="shared" si="99"/>
        <v>136.79</v>
      </c>
      <c r="Q296" s="3">
        <f t="shared" si="100"/>
        <v>328.06875000000002</v>
      </c>
      <c r="R296" s="3">
        <f t="shared" si="91"/>
        <v>14145.900000000001</v>
      </c>
      <c r="S296" s="3">
        <f t="shared" si="91"/>
        <v>33022.350000000006</v>
      </c>
      <c r="T296" s="3">
        <f t="shared" si="92"/>
        <v>0.82496390422242127</v>
      </c>
      <c r="U296" s="3">
        <f t="shared" si="92"/>
        <v>136.83625000000001</v>
      </c>
      <c r="V296" s="3">
        <f t="shared" si="92"/>
        <v>337.33875</v>
      </c>
      <c r="W296" s="3">
        <f t="shared" si="93"/>
        <v>14685.75</v>
      </c>
      <c r="X296" s="3">
        <f t="shared" si="93"/>
        <v>33040.65</v>
      </c>
      <c r="Y296" s="3">
        <f t="shared" si="96"/>
        <v>0.82744427211115401</v>
      </c>
      <c r="Z296" s="3">
        <f t="shared" si="105"/>
        <v>-4.6250000000014779E-2</v>
      </c>
      <c r="AA296" s="3">
        <f t="shared" si="105"/>
        <v>-9.2699999999999818</v>
      </c>
      <c r="AB296" s="3">
        <f t="shared" si="101"/>
        <v>-558.14999999999418</v>
      </c>
      <c r="AC296" s="3">
        <f t="shared" si="102"/>
        <v>-2.4803678887327374E-3</v>
      </c>
      <c r="AD296" s="3">
        <f t="shared" si="106"/>
        <v>-2.038681500000652</v>
      </c>
      <c r="AE296" s="3">
        <f t="shared" si="106"/>
        <v>-408.61789199999924</v>
      </c>
      <c r="AF296" s="3">
        <f t="shared" si="106"/>
        <v>-24603.028739999747</v>
      </c>
      <c r="AG296" s="3">
        <f t="shared" si="104"/>
        <v>-0.10933362438818359</v>
      </c>
      <c r="AH296" s="233">
        <f t="shared" si="95"/>
        <v>6029.6484840000003</v>
      </c>
      <c r="AI296" s="233">
        <f t="shared" si="95"/>
        <v>14461.139272500002</v>
      </c>
      <c r="AJ296" s="233">
        <f t="shared" si="95"/>
        <v>623545.61364000011</v>
      </c>
      <c r="AK296" s="233">
        <f t="shared" si="95"/>
        <v>1455611.9790600005</v>
      </c>
      <c r="AL296" s="233">
        <f t="shared" si="95"/>
        <v>36.364078912562647</v>
      </c>
      <c r="AM296" s="233">
        <f t="shared" si="94"/>
        <v>6031.6871655000014</v>
      </c>
      <c r="AN296" s="233">
        <f t="shared" si="94"/>
        <v>14869.757164500003</v>
      </c>
      <c r="AO296" s="233">
        <f t="shared" si="94"/>
        <v>647341.98570000008</v>
      </c>
      <c r="AP296" s="233">
        <f t="shared" si="94"/>
        <v>1456418.6357400003</v>
      </c>
      <c r="AQ296" s="233">
        <f t="shared" si="94"/>
        <v>36.473412536950832</v>
      </c>
      <c r="AS296" s="231">
        <f t="shared" si="103"/>
        <v>0</v>
      </c>
    </row>
    <row r="297" spans="2:47" ht="72.5" x14ac:dyDescent="0.35">
      <c r="B297" s="56" t="s">
        <v>91</v>
      </c>
      <c r="C297" s="361" t="s">
        <v>207</v>
      </c>
      <c r="D297" s="56">
        <v>7</v>
      </c>
      <c r="E297" s="3">
        <v>47.388840000000002</v>
      </c>
      <c r="F297" s="3">
        <v>1089.44</v>
      </c>
      <c r="G297" s="3">
        <v>2745.45</v>
      </c>
      <c r="H297" s="3">
        <v>13.66</v>
      </c>
      <c r="I297" s="3">
        <v>35.86</v>
      </c>
      <c r="J297" s="3">
        <f t="shared" si="97"/>
        <v>6.6021526965118387</v>
      </c>
      <c r="K297" s="3">
        <v>1091.07</v>
      </c>
      <c r="L297" s="3">
        <v>2834</v>
      </c>
      <c r="M297" s="3">
        <v>14.36</v>
      </c>
      <c r="N297" s="3">
        <v>35.94</v>
      </c>
      <c r="O297" s="3">
        <f t="shared" si="98"/>
        <v>6.632326937104235</v>
      </c>
      <c r="P297" s="3">
        <f t="shared" si="99"/>
        <v>136.18</v>
      </c>
      <c r="Q297" s="3">
        <f t="shared" si="100"/>
        <v>343.18124999999998</v>
      </c>
      <c r="R297" s="3">
        <f t="shared" si="91"/>
        <v>12498.9</v>
      </c>
      <c r="S297" s="3">
        <f t="shared" si="91"/>
        <v>32811.9</v>
      </c>
      <c r="T297" s="3">
        <f t="shared" si="92"/>
        <v>0.82526908706397983</v>
      </c>
      <c r="U297" s="3">
        <f t="shared" si="92"/>
        <v>136.38374999999999</v>
      </c>
      <c r="V297" s="3">
        <f t="shared" si="92"/>
        <v>354.25</v>
      </c>
      <c r="W297" s="3">
        <f t="shared" si="93"/>
        <v>13139.4</v>
      </c>
      <c r="X297" s="3">
        <f t="shared" si="93"/>
        <v>32885.1</v>
      </c>
      <c r="Y297" s="3">
        <f t="shared" si="96"/>
        <v>0.82904086713802938</v>
      </c>
      <c r="Z297" s="3">
        <f t="shared" si="105"/>
        <v>-0.20374999999998522</v>
      </c>
      <c r="AA297" s="3">
        <f t="shared" si="105"/>
        <v>-11.068750000000023</v>
      </c>
      <c r="AB297" s="3">
        <f t="shared" si="101"/>
        <v>-713.69999999999709</v>
      </c>
      <c r="AC297" s="3">
        <f t="shared" si="102"/>
        <v>-3.7717800740495466E-3</v>
      </c>
      <c r="AD297" s="3">
        <f t="shared" si="106"/>
        <v>-9.6554761499993003</v>
      </c>
      <c r="AE297" s="3">
        <f t="shared" si="106"/>
        <v>-524.53522275000114</v>
      </c>
      <c r="AF297" s="3">
        <f t="shared" si="106"/>
        <v>-33821.415107999863</v>
      </c>
      <c r="AG297" s="3">
        <f t="shared" si="104"/>
        <v>-0.17874028244432213</v>
      </c>
      <c r="AH297" s="233">
        <f t="shared" si="95"/>
        <v>6453.4122312000009</v>
      </c>
      <c r="AI297" s="233">
        <f t="shared" si="95"/>
        <v>16262.961347249999</v>
      </c>
      <c r="AJ297" s="233">
        <f t="shared" si="95"/>
        <v>592308.37227599998</v>
      </c>
      <c r="AK297" s="233">
        <f t="shared" si="95"/>
        <v>1554917.8791960001</v>
      </c>
      <c r="AL297" s="233">
        <f t="shared" si="95"/>
        <v>39.108544723821012</v>
      </c>
      <c r="AM297" s="233">
        <f t="shared" si="94"/>
        <v>6463.0677073500001</v>
      </c>
      <c r="AN297" s="233">
        <f t="shared" si="94"/>
        <v>16787.496569999999</v>
      </c>
      <c r="AO297" s="233">
        <f t="shared" si="94"/>
        <v>622660.92429600004</v>
      </c>
      <c r="AP297" s="233">
        <f t="shared" si="94"/>
        <v>1558386.7422839999</v>
      </c>
      <c r="AQ297" s="233">
        <f t="shared" si="94"/>
        <v>39.287285006265336</v>
      </c>
      <c r="AS297" s="231">
        <f t="shared" si="103"/>
        <v>0</v>
      </c>
    </row>
    <row r="298" spans="2:47" ht="72.5" x14ac:dyDescent="0.35">
      <c r="B298" s="56" t="s">
        <v>91</v>
      </c>
      <c r="C298" s="361" t="s">
        <v>207</v>
      </c>
      <c r="D298" s="56">
        <v>8</v>
      </c>
      <c r="E298" s="3">
        <v>61.973040000000012</v>
      </c>
      <c r="F298" s="3">
        <v>1044.74</v>
      </c>
      <c r="G298" s="3">
        <v>4799.93</v>
      </c>
      <c r="H298" s="3">
        <v>27.11</v>
      </c>
      <c r="I298" s="3">
        <v>33.840000000000003</v>
      </c>
      <c r="J298" s="3">
        <f t="shared" si="97"/>
        <v>6.8521467132586409</v>
      </c>
      <c r="K298" s="3">
        <v>1044.3900000000001</v>
      </c>
      <c r="L298" s="3">
        <v>4738.3999999999996</v>
      </c>
      <c r="M298" s="3">
        <v>26.55</v>
      </c>
      <c r="N298" s="3">
        <v>33.82</v>
      </c>
      <c r="O298" s="3">
        <f t="shared" si="98"/>
        <v>6.8354485558287221</v>
      </c>
      <c r="P298" s="3">
        <f t="shared" si="99"/>
        <v>130.5925</v>
      </c>
      <c r="Q298" s="3">
        <f t="shared" si="100"/>
        <v>599.99125000000004</v>
      </c>
      <c r="R298" s="3">
        <f t="shared" si="91"/>
        <v>24805.649999999998</v>
      </c>
      <c r="S298" s="3">
        <f t="shared" si="91"/>
        <v>30963.600000000002</v>
      </c>
      <c r="T298" s="3">
        <f t="shared" si="92"/>
        <v>0.85651833915733011</v>
      </c>
      <c r="U298" s="3">
        <f t="shared" si="92"/>
        <v>130.54875000000001</v>
      </c>
      <c r="V298" s="3">
        <f t="shared" si="92"/>
        <v>592.29999999999995</v>
      </c>
      <c r="W298" s="3">
        <f t="shared" si="93"/>
        <v>24293.25</v>
      </c>
      <c r="X298" s="3">
        <f t="shared" si="93"/>
        <v>30945.3</v>
      </c>
      <c r="Y298" s="3">
        <f t="shared" si="96"/>
        <v>0.85443106947859027</v>
      </c>
      <c r="Z298" s="3">
        <f t="shared" si="105"/>
        <v>4.3749999999988631E-2</v>
      </c>
      <c r="AA298" s="3">
        <f t="shared" si="105"/>
        <v>7.6912500000000819</v>
      </c>
      <c r="AB298" s="3">
        <f t="shared" si="101"/>
        <v>530.70000000000073</v>
      </c>
      <c r="AC298" s="3">
        <f t="shared" si="102"/>
        <v>2.0872696787398448E-3</v>
      </c>
      <c r="AD298" s="3">
        <f t="shared" si="106"/>
        <v>2.7113204999992959</v>
      </c>
      <c r="AE298" s="3">
        <f t="shared" si="106"/>
        <v>476.65014390000516</v>
      </c>
      <c r="AF298" s="3">
        <f t="shared" si="106"/>
        <v>32889.09232800005</v>
      </c>
      <c r="AG298" s="3">
        <f t="shared" si="104"/>
        <v>0.12935444729133158</v>
      </c>
      <c r="AH298" s="233">
        <f t="shared" si="95"/>
        <v>8093.2142262000016</v>
      </c>
      <c r="AI298" s="233">
        <f t="shared" si="95"/>
        <v>37183.281735900011</v>
      </c>
      <c r="AJ298" s="233">
        <f t="shared" si="95"/>
        <v>1537281.5396760001</v>
      </c>
      <c r="AK298" s="233">
        <f t="shared" si="95"/>
        <v>1918908.4213440004</v>
      </c>
      <c r="AL298" s="233">
        <f t="shared" si="95"/>
        <v>53.081045293330796</v>
      </c>
      <c r="AM298" s="233">
        <f t="shared" si="94"/>
        <v>8090.502905700002</v>
      </c>
      <c r="AN298" s="233">
        <f t="shared" si="94"/>
        <v>36706.631592000005</v>
      </c>
      <c r="AO298" s="233">
        <f t="shared" si="94"/>
        <v>1505526.5539800003</v>
      </c>
      <c r="AP298" s="233">
        <f t="shared" si="94"/>
        <v>1917774.3147120003</v>
      </c>
      <c r="AQ298" s="233">
        <f t="shared" si="94"/>
        <v>52.951690846039462</v>
      </c>
      <c r="AS298" s="231">
        <f t="shared" si="103"/>
        <v>0</v>
      </c>
    </row>
    <row r="299" spans="2:47" ht="72.5" x14ac:dyDescent="0.35">
      <c r="B299" s="56" t="s">
        <v>91</v>
      </c>
      <c r="C299" s="361" t="s">
        <v>207</v>
      </c>
      <c r="D299" s="56">
        <v>9</v>
      </c>
      <c r="E299" s="3">
        <v>145.50192000000001</v>
      </c>
      <c r="F299" s="3">
        <v>1080.02</v>
      </c>
      <c r="G299" s="3">
        <v>4586.3900000000003</v>
      </c>
      <c r="H299" s="3">
        <v>26.91</v>
      </c>
      <c r="I299" s="3">
        <v>35.549999999999997</v>
      </c>
      <c r="J299" s="3">
        <f t="shared" si="97"/>
        <v>6.9932531375986571</v>
      </c>
      <c r="K299" s="3">
        <v>1089.05</v>
      </c>
      <c r="L299" s="3">
        <v>4044.69</v>
      </c>
      <c r="M299" s="3">
        <v>23.86</v>
      </c>
      <c r="N299" s="3">
        <v>35.979999999999997</v>
      </c>
      <c r="O299" s="3">
        <f t="shared" si="98"/>
        <v>6.9123056965027665</v>
      </c>
      <c r="P299" s="3">
        <f t="shared" si="99"/>
        <v>135.0025</v>
      </c>
      <c r="Q299" s="3">
        <f t="shared" si="100"/>
        <v>573.29875000000004</v>
      </c>
      <c r="R299" s="3">
        <f t="shared" si="91"/>
        <v>24622.65</v>
      </c>
      <c r="S299" s="3">
        <f t="shared" si="91"/>
        <v>32528.249999999996</v>
      </c>
      <c r="T299" s="3">
        <f t="shared" si="92"/>
        <v>0.87415664219983213</v>
      </c>
      <c r="U299" s="3">
        <f t="shared" si="92"/>
        <v>136.13124999999999</v>
      </c>
      <c r="V299" s="3">
        <f t="shared" si="92"/>
        <v>505.58625000000001</v>
      </c>
      <c r="W299" s="3">
        <f t="shared" si="93"/>
        <v>21831.899999999998</v>
      </c>
      <c r="X299" s="3">
        <f t="shared" si="93"/>
        <v>32921.699999999997</v>
      </c>
      <c r="Y299" s="3">
        <f t="shared" si="96"/>
        <v>0.86403821206284581</v>
      </c>
      <c r="Z299" s="3">
        <f t="shared" si="105"/>
        <v>-1.1287499999999966</v>
      </c>
      <c r="AA299" s="3">
        <f t="shared" si="105"/>
        <v>67.712500000000034</v>
      </c>
      <c r="AB299" s="3">
        <f t="shared" si="101"/>
        <v>2397.3000000000029</v>
      </c>
      <c r="AC299" s="3">
        <f t="shared" si="102"/>
        <v>1.0118430136986323E-2</v>
      </c>
      <c r="AD299" s="3">
        <f t="shared" si="106"/>
        <v>-164.23529219999952</v>
      </c>
      <c r="AE299" s="3">
        <f t="shared" si="106"/>
        <v>9852.2987580000063</v>
      </c>
      <c r="AF299" s="3">
        <f t="shared" si="106"/>
        <v>348811.75281600043</v>
      </c>
      <c r="AG299" s="3">
        <f t="shared" si="104"/>
        <v>1.4722510123173731</v>
      </c>
      <c r="AH299" s="233">
        <f t="shared" si="95"/>
        <v>19643.122954800001</v>
      </c>
      <c r="AI299" s="233">
        <f t="shared" si="95"/>
        <v>83416.068858600018</v>
      </c>
      <c r="AJ299" s="233">
        <f t="shared" si="95"/>
        <v>3582642.8504880005</v>
      </c>
      <c r="AK299" s="233">
        <f t="shared" si="95"/>
        <v>4732922.8292399999</v>
      </c>
      <c r="AL299" s="233">
        <f t="shared" si="95"/>
        <v>127.19146982082862</v>
      </c>
      <c r="AM299" s="233">
        <f t="shared" si="94"/>
        <v>19807.358247</v>
      </c>
      <c r="AN299" s="233">
        <f t="shared" si="94"/>
        <v>73563.770100600013</v>
      </c>
      <c r="AO299" s="233">
        <f t="shared" si="94"/>
        <v>3176583.3672480001</v>
      </c>
      <c r="AP299" s="233">
        <f t="shared" si="94"/>
        <v>4790170.5596639998</v>
      </c>
      <c r="AQ299" s="233">
        <f t="shared" si="94"/>
        <v>125.71921880851124</v>
      </c>
      <c r="AS299" s="231">
        <f t="shared" si="103"/>
        <v>0</v>
      </c>
    </row>
    <row r="300" spans="2:47" ht="72.5" x14ac:dyDescent="0.35">
      <c r="B300" s="56" t="s">
        <v>91</v>
      </c>
      <c r="C300" s="361" t="s">
        <v>207</v>
      </c>
      <c r="D300" s="56">
        <v>10</v>
      </c>
      <c r="E300" s="3">
        <v>51.40440000000001</v>
      </c>
      <c r="F300" s="3">
        <v>1126.92</v>
      </c>
      <c r="G300" s="3">
        <v>5714.43</v>
      </c>
      <c r="H300" s="3">
        <v>33.090000000000003</v>
      </c>
      <c r="I300" s="3">
        <v>37.92</v>
      </c>
      <c r="J300" s="3">
        <f t="shared" si="97"/>
        <v>7.520196864061508</v>
      </c>
      <c r="K300" s="3">
        <v>1138.33</v>
      </c>
      <c r="L300" s="3">
        <v>5083.53</v>
      </c>
      <c r="M300" s="3">
        <v>30.15</v>
      </c>
      <c r="N300" s="3">
        <v>38.47</v>
      </c>
      <c r="O300" s="3">
        <f t="shared" si="98"/>
        <v>7.4307911890728464</v>
      </c>
      <c r="P300" s="3">
        <f t="shared" si="99"/>
        <v>140.86500000000001</v>
      </c>
      <c r="Q300" s="3">
        <f t="shared" si="100"/>
        <v>714.30375000000004</v>
      </c>
      <c r="R300" s="3">
        <f t="shared" si="91"/>
        <v>30277.350000000002</v>
      </c>
      <c r="S300" s="3">
        <f t="shared" si="91"/>
        <v>34696.800000000003</v>
      </c>
      <c r="T300" s="3">
        <f t="shared" si="92"/>
        <v>0.9400246080076885</v>
      </c>
      <c r="U300" s="3">
        <f t="shared" si="92"/>
        <v>142.29124999999999</v>
      </c>
      <c r="V300" s="3">
        <f t="shared" si="92"/>
        <v>635.44124999999997</v>
      </c>
      <c r="W300" s="3">
        <f t="shared" si="93"/>
        <v>27587.25</v>
      </c>
      <c r="X300" s="3">
        <f t="shared" si="93"/>
        <v>35200.049999999996</v>
      </c>
      <c r="Y300" s="3">
        <f t="shared" si="96"/>
        <v>0.9288488986341058</v>
      </c>
      <c r="Z300" s="3">
        <f t="shared" si="105"/>
        <v>-1.4262499999999818</v>
      </c>
      <c r="AA300" s="3">
        <f t="shared" si="105"/>
        <v>78.862500000000068</v>
      </c>
      <c r="AB300" s="3">
        <f t="shared" si="101"/>
        <v>2186.8500000000131</v>
      </c>
      <c r="AC300" s="3">
        <f t="shared" si="102"/>
        <v>1.1175709373582698E-2</v>
      </c>
      <c r="AD300" s="3">
        <f t="shared" si="106"/>
        <v>-73.315525499999083</v>
      </c>
      <c r="AE300" s="3">
        <f t="shared" si="106"/>
        <v>4053.8794950000042</v>
      </c>
      <c r="AF300" s="3">
        <f t="shared" si="106"/>
        <v>112413.71214000069</v>
      </c>
      <c r="AG300" s="3">
        <f t="shared" si="104"/>
        <v>0.57448063492339452</v>
      </c>
      <c r="AH300" s="233">
        <f t="shared" si="95"/>
        <v>7241.0808060000018</v>
      </c>
      <c r="AI300" s="233">
        <f t="shared" si="95"/>
        <v>36718.355686500006</v>
      </c>
      <c r="AJ300" s="233">
        <f t="shared" si="95"/>
        <v>1556389.0103400005</v>
      </c>
      <c r="AK300" s="233">
        <f t="shared" si="95"/>
        <v>1783568.1859200005</v>
      </c>
      <c r="AL300" s="233">
        <f t="shared" si="95"/>
        <v>48.321400959870431</v>
      </c>
      <c r="AM300" s="233">
        <f t="shared" si="94"/>
        <v>7314.396331500001</v>
      </c>
      <c r="AN300" s="233">
        <f t="shared" si="94"/>
        <v>32664.476191500005</v>
      </c>
      <c r="AO300" s="233">
        <f t="shared" si="94"/>
        <v>1418106.0339000002</v>
      </c>
      <c r="AP300" s="233">
        <f t="shared" si="94"/>
        <v>1809437.45022</v>
      </c>
      <c r="AQ300" s="233">
        <f t="shared" si="94"/>
        <v>47.746920324947034</v>
      </c>
      <c r="AS300" s="231">
        <f t="shared" si="103"/>
        <v>0</v>
      </c>
    </row>
    <row r="301" spans="2:47" ht="72.5" x14ac:dyDescent="0.35">
      <c r="B301" s="56" t="s">
        <v>91</v>
      </c>
      <c r="C301" s="361" t="s">
        <v>207</v>
      </c>
      <c r="D301" s="56">
        <v>11</v>
      </c>
      <c r="E301" s="3">
        <v>14.67576</v>
      </c>
      <c r="F301" s="3">
        <v>1431.74</v>
      </c>
      <c r="G301" s="3">
        <v>7361.73</v>
      </c>
      <c r="H301" s="3">
        <v>43.66</v>
      </c>
      <c r="I301" s="3">
        <v>52.53</v>
      </c>
      <c r="J301" s="3">
        <f t="shared" si="97"/>
        <v>9.578752788827904</v>
      </c>
      <c r="K301" s="3">
        <v>1454.99</v>
      </c>
      <c r="L301" s="3">
        <v>6755.76</v>
      </c>
      <c r="M301" s="3">
        <v>39.9</v>
      </c>
      <c r="N301" s="3">
        <v>53.63</v>
      </c>
      <c r="O301" s="3">
        <f t="shared" si="98"/>
        <v>9.5599195647373669</v>
      </c>
      <c r="P301" s="3">
        <f t="shared" si="99"/>
        <v>178.9675</v>
      </c>
      <c r="Q301" s="3">
        <f t="shared" si="100"/>
        <v>920.21624999999995</v>
      </c>
      <c r="R301" s="3">
        <f t="shared" si="91"/>
        <v>39948.899999999994</v>
      </c>
      <c r="S301" s="3">
        <f t="shared" si="91"/>
        <v>48064.950000000004</v>
      </c>
      <c r="T301" s="3">
        <f t="shared" si="92"/>
        <v>1.197344098603488</v>
      </c>
      <c r="U301" s="3">
        <f t="shared" si="92"/>
        <v>181.87375</v>
      </c>
      <c r="V301" s="3">
        <f t="shared" si="92"/>
        <v>844.47</v>
      </c>
      <c r="W301" s="3">
        <f t="shared" si="93"/>
        <v>36508.5</v>
      </c>
      <c r="X301" s="3">
        <f t="shared" si="93"/>
        <v>49071.450000000004</v>
      </c>
      <c r="Y301" s="3">
        <f t="shared" si="96"/>
        <v>1.1949899455921709</v>
      </c>
      <c r="Z301" s="3">
        <f t="shared" si="105"/>
        <v>-2.90625</v>
      </c>
      <c r="AA301" s="3">
        <f t="shared" si="105"/>
        <v>75.746249999999918</v>
      </c>
      <c r="AB301" s="3">
        <f t="shared" si="101"/>
        <v>2433.9000000000015</v>
      </c>
      <c r="AC301" s="3">
        <f t="shared" si="102"/>
        <v>2.3541530113171394E-3</v>
      </c>
      <c r="AD301" s="3">
        <f t="shared" si="106"/>
        <v>-42.651427500000004</v>
      </c>
      <c r="AE301" s="3">
        <f t="shared" si="106"/>
        <v>1111.6337858999989</v>
      </c>
      <c r="AF301" s="3">
        <f t="shared" si="106"/>
        <v>35719.332264000019</v>
      </c>
      <c r="AG301" s="3">
        <f t="shared" si="104"/>
        <v>3.4548984597367625E-2</v>
      </c>
      <c r="AH301" s="233">
        <f t="shared" si="95"/>
        <v>2626.4840778000003</v>
      </c>
      <c r="AI301" s="233">
        <f t="shared" si="95"/>
        <v>13504.8728331</v>
      </c>
      <c r="AJ301" s="233">
        <f t="shared" si="95"/>
        <v>586280.46866399993</v>
      </c>
      <c r="AK301" s="233">
        <f t="shared" si="95"/>
        <v>705389.67061200005</v>
      </c>
      <c r="AL301" s="233">
        <f t="shared" si="95"/>
        <v>17.571934628521127</v>
      </c>
      <c r="AM301" s="233">
        <f t="shared" si="94"/>
        <v>2669.1355053000002</v>
      </c>
      <c r="AN301" s="233">
        <f t="shared" si="94"/>
        <v>12393.239047200001</v>
      </c>
      <c r="AO301" s="233">
        <f t="shared" si="94"/>
        <v>535789.98395999998</v>
      </c>
      <c r="AP301" s="233">
        <f t="shared" si="94"/>
        <v>720160.82305200014</v>
      </c>
      <c r="AQ301" s="233">
        <f t="shared" si="94"/>
        <v>17.537385643923759</v>
      </c>
      <c r="AS301" s="231">
        <f t="shared" si="103"/>
        <v>0</v>
      </c>
    </row>
    <row r="302" spans="2:47" ht="72.5" x14ac:dyDescent="0.35">
      <c r="B302" s="56" t="s">
        <v>91</v>
      </c>
      <c r="C302" s="361" t="s">
        <v>207</v>
      </c>
      <c r="D302" s="56">
        <v>12</v>
      </c>
      <c r="E302" s="3">
        <v>82.861800000000017</v>
      </c>
      <c r="F302" s="3">
        <v>1444.51</v>
      </c>
      <c r="G302" s="3">
        <v>4194.07</v>
      </c>
      <c r="H302" s="3">
        <v>27.81</v>
      </c>
      <c r="I302" s="3">
        <v>52.91</v>
      </c>
      <c r="J302" s="3">
        <f t="shared" si="97"/>
        <v>8.8870394563412862</v>
      </c>
      <c r="K302" s="3">
        <v>1450.33</v>
      </c>
      <c r="L302" s="3">
        <v>4157.8100000000004</v>
      </c>
      <c r="M302" s="3">
        <v>27.51</v>
      </c>
      <c r="N302" s="3">
        <v>53.2</v>
      </c>
      <c r="O302" s="3">
        <f t="shared" si="98"/>
        <v>8.9100688897532425</v>
      </c>
      <c r="P302" s="3">
        <f t="shared" si="99"/>
        <v>180.56375</v>
      </c>
      <c r="Q302" s="3">
        <f t="shared" si="100"/>
        <v>524.25874999999996</v>
      </c>
      <c r="R302" s="3">
        <f t="shared" si="91"/>
        <v>25446.149999999998</v>
      </c>
      <c r="S302" s="3">
        <f t="shared" si="91"/>
        <v>48412.649999999994</v>
      </c>
      <c r="T302" s="3">
        <f t="shared" si="92"/>
        <v>1.1108799320426608</v>
      </c>
      <c r="U302" s="3">
        <f t="shared" si="92"/>
        <v>181.29124999999999</v>
      </c>
      <c r="V302" s="3">
        <f t="shared" si="92"/>
        <v>519.72625000000005</v>
      </c>
      <c r="W302" s="3">
        <f t="shared" si="93"/>
        <v>25171.65</v>
      </c>
      <c r="X302" s="3">
        <f t="shared" si="93"/>
        <v>48678</v>
      </c>
      <c r="Y302" s="3">
        <f t="shared" si="96"/>
        <v>1.1137586112191553</v>
      </c>
      <c r="Z302" s="3">
        <f t="shared" si="105"/>
        <v>-0.72749999999999204</v>
      </c>
      <c r="AA302" s="3">
        <f t="shared" si="105"/>
        <v>4.5324999999999136</v>
      </c>
      <c r="AB302" s="3">
        <f t="shared" si="101"/>
        <v>9.1499999999869033</v>
      </c>
      <c r="AC302" s="3">
        <f t="shared" si="102"/>
        <v>-2.8786791764945363E-3</v>
      </c>
      <c r="AD302" s="3">
        <f t="shared" si="106"/>
        <v>-60.281959499999353</v>
      </c>
      <c r="AE302" s="3">
        <f t="shared" si="106"/>
        <v>375.57110849999293</v>
      </c>
      <c r="AF302" s="3">
        <f t="shared" si="106"/>
        <v>758.18546999891498</v>
      </c>
      <c r="AG302" s="3">
        <f t="shared" si="104"/>
        <v>-0.23853253818685502</v>
      </c>
      <c r="AH302" s="233">
        <f t="shared" si="95"/>
        <v>14961.837339750004</v>
      </c>
      <c r="AI302" s="233">
        <f t="shared" si="95"/>
        <v>43441.023690750008</v>
      </c>
      <c r="AJ302" s="233">
        <f t="shared" si="95"/>
        <v>2108513.7920700004</v>
      </c>
      <c r="AK302" s="233">
        <f t="shared" si="95"/>
        <v>4011559.3217700003</v>
      </c>
      <c r="AL302" s="233">
        <f t="shared" si="95"/>
        <v>92.049510752932562</v>
      </c>
      <c r="AM302" s="233">
        <f t="shared" si="94"/>
        <v>15022.119299250002</v>
      </c>
      <c r="AN302" s="233">
        <f t="shared" si="94"/>
        <v>43065.452582250015</v>
      </c>
      <c r="AO302" s="233">
        <f t="shared" si="94"/>
        <v>2085768.2279700006</v>
      </c>
      <c r="AP302" s="233">
        <f t="shared" si="94"/>
        <v>4033546.7004000009</v>
      </c>
      <c r="AQ302" s="233">
        <f t="shared" si="94"/>
        <v>92.288043291119422</v>
      </c>
      <c r="AS302" s="231">
        <f t="shared" si="103"/>
        <v>0</v>
      </c>
    </row>
    <row r="303" spans="2:47" ht="72.5" x14ac:dyDescent="0.35">
      <c r="B303" s="56" t="s">
        <v>91</v>
      </c>
      <c r="C303" s="361" t="s">
        <v>207</v>
      </c>
      <c r="D303" s="56">
        <v>13</v>
      </c>
      <c r="E303" s="3">
        <v>24.184920000000002</v>
      </c>
      <c r="F303" s="3">
        <v>1306.17</v>
      </c>
      <c r="G303" s="3">
        <v>7790.47</v>
      </c>
      <c r="H303" s="3">
        <v>43.12</v>
      </c>
      <c r="I303" s="3">
        <v>46.63</v>
      </c>
      <c r="J303" s="3">
        <f t="shared" si="97"/>
        <v>8.9968910956953643</v>
      </c>
      <c r="K303" s="3">
        <v>1313.38</v>
      </c>
      <c r="L303" s="3">
        <v>7913.25</v>
      </c>
      <c r="M303" s="3">
        <v>43.88</v>
      </c>
      <c r="N303" s="3">
        <v>46.98</v>
      </c>
      <c r="O303" s="3">
        <f t="shared" si="98"/>
        <v>9.0657284076975433</v>
      </c>
      <c r="P303" s="3">
        <f t="shared" si="99"/>
        <v>163.27125000000001</v>
      </c>
      <c r="Q303" s="3">
        <f t="shared" si="100"/>
        <v>973.80875000000003</v>
      </c>
      <c r="R303" s="3">
        <f t="shared" si="91"/>
        <v>39454.799999999996</v>
      </c>
      <c r="S303" s="3">
        <f t="shared" si="91"/>
        <v>42666.450000000004</v>
      </c>
      <c r="T303" s="3">
        <f t="shared" si="92"/>
        <v>1.1246113869619205</v>
      </c>
      <c r="U303" s="3">
        <f t="shared" si="92"/>
        <v>164.17250000000001</v>
      </c>
      <c r="V303" s="3">
        <f t="shared" si="92"/>
        <v>989.15625</v>
      </c>
      <c r="W303" s="3">
        <f t="shared" si="93"/>
        <v>40150.200000000004</v>
      </c>
      <c r="X303" s="3">
        <f t="shared" si="93"/>
        <v>42986.7</v>
      </c>
      <c r="Y303" s="3">
        <f t="shared" si="96"/>
        <v>1.1332160509621929</v>
      </c>
      <c r="Z303" s="3">
        <f t="shared" si="105"/>
        <v>-0.90125000000000455</v>
      </c>
      <c r="AA303" s="3">
        <f t="shared" si="105"/>
        <v>-15.347499999999968</v>
      </c>
      <c r="AB303" s="3">
        <f t="shared" si="101"/>
        <v>-1015.6500000000015</v>
      </c>
      <c r="AC303" s="3">
        <f t="shared" si="102"/>
        <v>-8.6046640002723773E-3</v>
      </c>
      <c r="AD303" s="3">
        <f t="shared" si="106"/>
        <v>-21.79665915000011</v>
      </c>
      <c r="AE303" s="3">
        <f t="shared" si="106"/>
        <v>-371.17805969999927</v>
      </c>
      <c r="AF303" s="3">
        <f t="shared" si="106"/>
        <v>-24563.413998000036</v>
      </c>
      <c r="AG303" s="3">
        <f t="shared" si="104"/>
        <v>-0.20810311047346744</v>
      </c>
      <c r="AH303" s="233">
        <f t="shared" si="95"/>
        <v>3948.7021195500006</v>
      </c>
      <c r="AI303" s="233">
        <f t="shared" si="95"/>
        <v>23551.486714050003</v>
      </c>
      <c r="AJ303" s="233">
        <f t="shared" si="95"/>
        <v>954211.18161600002</v>
      </c>
      <c r="AK303" s="233">
        <f t="shared" si="95"/>
        <v>1031884.6799340001</v>
      </c>
      <c r="AL303" s="233">
        <f t="shared" si="95"/>
        <v>27.198636424763095</v>
      </c>
      <c r="AM303" s="233">
        <f t="shared" si="94"/>
        <v>3970.4987787000005</v>
      </c>
      <c r="AN303" s="233">
        <f t="shared" si="94"/>
        <v>23922.664773750002</v>
      </c>
      <c r="AO303" s="233">
        <f t="shared" si="94"/>
        <v>971029.37498400023</v>
      </c>
      <c r="AP303" s="233">
        <f t="shared" si="94"/>
        <v>1039629.900564</v>
      </c>
      <c r="AQ303" s="233">
        <f t="shared" si="94"/>
        <v>27.406739535236561</v>
      </c>
      <c r="AS303" s="231">
        <f t="shared" si="103"/>
        <v>0</v>
      </c>
    </row>
    <row r="304" spans="2:47" ht="72.5" x14ac:dyDescent="0.35">
      <c r="B304" s="56" t="s">
        <v>91</v>
      </c>
      <c r="C304" s="361" t="s">
        <v>207</v>
      </c>
      <c r="D304" s="56">
        <v>14</v>
      </c>
      <c r="E304" s="3">
        <v>10.987200000000001</v>
      </c>
      <c r="F304" s="3">
        <v>1370.5</v>
      </c>
      <c r="G304" s="3">
        <v>6564.38</v>
      </c>
      <c r="H304" s="3">
        <v>34.78</v>
      </c>
      <c r="I304" s="3">
        <v>49.71</v>
      </c>
      <c r="J304" s="3">
        <f t="shared" si="97"/>
        <v>9.0530759796879252</v>
      </c>
      <c r="K304" s="3">
        <v>1399.91</v>
      </c>
      <c r="L304" s="3">
        <v>6153.69</v>
      </c>
      <c r="M304" s="3">
        <v>32.03</v>
      </c>
      <c r="N304" s="3">
        <v>51.12</v>
      </c>
      <c r="O304" s="3">
        <f t="shared" si="98"/>
        <v>9.1147787382881251</v>
      </c>
      <c r="P304" s="3">
        <f t="shared" si="99"/>
        <v>171.3125</v>
      </c>
      <c r="Q304" s="3">
        <f t="shared" si="100"/>
        <v>820.54750000000001</v>
      </c>
      <c r="R304" s="3">
        <f t="shared" si="91"/>
        <v>31823.7</v>
      </c>
      <c r="S304" s="3">
        <f t="shared" si="91"/>
        <v>45484.65</v>
      </c>
      <c r="T304" s="3">
        <f t="shared" si="92"/>
        <v>1.1316344974609907</v>
      </c>
      <c r="U304" s="3">
        <f t="shared" si="92"/>
        <v>174.98875000000001</v>
      </c>
      <c r="V304" s="3">
        <f t="shared" si="92"/>
        <v>769.21124999999995</v>
      </c>
      <c r="W304" s="3">
        <f t="shared" si="93"/>
        <v>29307.45</v>
      </c>
      <c r="X304" s="3">
        <f t="shared" si="93"/>
        <v>46774.799999999996</v>
      </c>
      <c r="Y304" s="3">
        <f t="shared" si="96"/>
        <v>1.1393473422860156</v>
      </c>
      <c r="Z304" s="3">
        <f t="shared" si="105"/>
        <v>-3.6762500000000102</v>
      </c>
      <c r="AA304" s="3">
        <f t="shared" si="105"/>
        <v>51.336250000000064</v>
      </c>
      <c r="AB304" s="3">
        <f t="shared" si="101"/>
        <v>1226.1000000000131</v>
      </c>
      <c r="AC304" s="3">
        <f t="shared" si="102"/>
        <v>-7.7128448250249892E-3</v>
      </c>
      <c r="AD304" s="3">
        <f t="shared" si="106"/>
        <v>-40.391694000000115</v>
      </c>
      <c r="AE304" s="3">
        <f t="shared" si="106"/>
        <v>564.04164600000081</v>
      </c>
      <c r="AF304" s="3">
        <f t="shared" si="106"/>
        <v>13471.405920000145</v>
      </c>
      <c r="AG304" s="3">
        <f t="shared" si="104"/>
        <v>-8.474256866151457E-2</v>
      </c>
      <c r="AH304" s="233">
        <f t="shared" si="95"/>
        <v>1882.2447000000002</v>
      </c>
      <c r="AI304" s="233">
        <f t="shared" si="95"/>
        <v>9015.5194920000013</v>
      </c>
      <c r="AJ304" s="233">
        <f t="shared" si="95"/>
        <v>349653.35664000007</v>
      </c>
      <c r="AK304" s="233">
        <f t="shared" si="95"/>
        <v>499748.9464800001</v>
      </c>
      <c r="AL304" s="233">
        <f t="shared" si="95"/>
        <v>12.433494550503399</v>
      </c>
      <c r="AM304" s="233">
        <f t="shared" si="94"/>
        <v>1922.6363940000003</v>
      </c>
      <c r="AN304" s="233">
        <f t="shared" si="94"/>
        <v>8451.4778459999998</v>
      </c>
      <c r="AO304" s="233">
        <f t="shared" si="94"/>
        <v>322006.81464000006</v>
      </c>
      <c r="AP304" s="233">
        <f t="shared" si="94"/>
        <v>513924.08256000001</v>
      </c>
      <c r="AQ304" s="233">
        <f t="shared" si="94"/>
        <v>12.518237119164912</v>
      </c>
      <c r="AS304" s="231">
        <f t="shared" si="103"/>
        <v>0</v>
      </c>
    </row>
    <row r="305" spans="2:45" ht="72.5" x14ac:dyDescent="0.35">
      <c r="B305" s="56" t="s">
        <v>91</v>
      </c>
      <c r="C305" s="361" t="s">
        <v>207</v>
      </c>
      <c r="D305" s="56">
        <v>15</v>
      </c>
      <c r="E305" s="3">
        <v>7.1547599999999996</v>
      </c>
      <c r="F305" s="3">
        <v>849.65200000000004</v>
      </c>
      <c r="G305" s="3">
        <v>15093.6</v>
      </c>
      <c r="H305" s="3">
        <v>72.2</v>
      </c>
      <c r="I305" s="3">
        <v>25.24</v>
      </c>
      <c r="J305" s="3">
        <f t="shared" si="97"/>
        <v>8.2622002505415963</v>
      </c>
      <c r="K305" s="3">
        <v>850.702</v>
      </c>
      <c r="L305" s="3">
        <v>15412.7</v>
      </c>
      <c r="M305" s="3">
        <v>73.790000000000006</v>
      </c>
      <c r="N305" s="3">
        <v>25.29</v>
      </c>
      <c r="O305" s="3">
        <f t="shared" si="98"/>
        <v>8.3446250182999187</v>
      </c>
      <c r="P305" s="3">
        <f t="shared" si="99"/>
        <v>106.20650000000001</v>
      </c>
      <c r="Q305" s="3">
        <f t="shared" si="100"/>
        <v>1886.7</v>
      </c>
      <c r="R305" s="3">
        <f t="shared" si="91"/>
        <v>66063</v>
      </c>
      <c r="S305" s="3">
        <f t="shared" si="91"/>
        <v>23094.6</v>
      </c>
      <c r="T305" s="3">
        <f t="shared" si="92"/>
        <v>1.0327750313176995</v>
      </c>
      <c r="U305" s="3">
        <f t="shared" si="92"/>
        <v>106.33775</v>
      </c>
      <c r="V305" s="3">
        <f t="shared" si="92"/>
        <v>1926.5875000000001</v>
      </c>
      <c r="W305" s="3">
        <f t="shared" si="93"/>
        <v>67517.850000000006</v>
      </c>
      <c r="X305" s="3">
        <f t="shared" si="93"/>
        <v>23140.35</v>
      </c>
      <c r="Y305" s="3">
        <f t="shared" si="96"/>
        <v>1.0430781272874898</v>
      </c>
      <c r="Z305" s="3">
        <f t="shared" si="105"/>
        <v>-0.13124999999999432</v>
      </c>
      <c r="AA305" s="3">
        <f t="shared" si="105"/>
        <v>-39.887500000000045</v>
      </c>
      <c r="AB305" s="3">
        <f t="shared" si="101"/>
        <v>-1500.5999999999985</v>
      </c>
      <c r="AC305" s="3">
        <f t="shared" si="102"/>
        <v>-1.0303095969790288E-2</v>
      </c>
      <c r="AD305" s="3">
        <f t="shared" si="106"/>
        <v>-0.93906224999995924</v>
      </c>
      <c r="AE305" s="3">
        <f t="shared" si="106"/>
        <v>-285.38548950000029</v>
      </c>
      <c r="AF305" s="3">
        <f t="shared" si="106"/>
        <v>-10736.432855999989</v>
      </c>
      <c r="AG305" s="3">
        <f t="shared" si="104"/>
        <v>-7.3716178920816749E-2</v>
      </c>
      <c r="AH305" s="233">
        <f t="shared" si="95"/>
        <v>759.88201793999997</v>
      </c>
      <c r="AI305" s="233">
        <f t="shared" si="95"/>
        <v>13498.885692</v>
      </c>
      <c r="AJ305" s="233">
        <f t="shared" si="95"/>
        <v>472664.90987999999</v>
      </c>
      <c r="AK305" s="233">
        <f t="shared" si="95"/>
        <v>165236.32029599999</v>
      </c>
      <c r="AL305" s="233">
        <f t="shared" si="95"/>
        <v>7.3892574830706232</v>
      </c>
      <c r="AM305" s="233">
        <f t="shared" si="94"/>
        <v>760.82108018999998</v>
      </c>
      <c r="AN305" s="233">
        <f t="shared" si="94"/>
        <v>13784.2711815</v>
      </c>
      <c r="AO305" s="233">
        <f t="shared" si="94"/>
        <v>483074.01246599999</v>
      </c>
      <c r="AP305" s="233">
        <f t="shared" si="94"/>
        <v>165563.65056599997</v>
      </c>
      <c r="AQ305" s="233">
        <f t="shared" si="94"/>
        <v>7.4629736619914402</v>
      </c>
      <c r="AS305" s="231">
        <f t="shared" si="103"/>
        <v>0</v>
      </c>
    </row>
    <row r="306" spans="2:45" ht="72.5" x14ac:dyDescent="0.35">
      <c r="B306" s="56" t="s">
        <v>91</v>
      </c>
      <c r="C306" s="361" t="s">
        <v>207</v>
      </c>
      <c r="D306" s="56">
        <v>16</v>
      </c>
      <c r="E306" s="3">
        <v>4.4341200000000001</v>
      </c>
      <c r="F306" s="3">
        <v>2208.7199999999998</v>
      </c>
      <c r="G306" s="3">
        <v>3330.94</v>
      </c>
      <c r="H306" s="3">
        <v>13.32</v>
      </c>
      <c r="I306" s="3">
        <v>88.2</v>
      </c>
      <c r="J306" s="3">
        <f t="shared" si="97"/>
        <v>12.847905884740996</v>
      </c>
      <c r="K306" s="3">
        <v>2214.2800000000002</v>
      </c>
      <c r="L306" s="3">
        <v>3323.28</v>
      </c>
      <c r="M306" s="3">
        <v>13.29</v>
      </c>
      <c r="N306" s="3">
        <v>88.46</v>
      </c>
      <c r="O306" s="3">
        <f t="shared" si="98"/>
        <v>12.876391351755421</v>
      </c>
      <c r="P306" s="3">
        <f t="shared" si="99"/>
        <v>276.08999999999997</v>
      </c>
      <c r="Q306" s="3">
        <f t="shared" si="100"/>
        <v>416.36750000000001</v>
      </c>
      <c r="R306" s="3">
        <f t="shared" si="91"/>
        <v>12187.800000000001</v>
      </c>
      <c r="S306" s="3">
        <f t="shared" si="91"/>
        <v>80703</v>
      </c>
      <c r="T306" s="3">
        <f t="shared" si="92"/>
        <v>1.6059882355926245</v>
      </c>
      <c r="U306" s="3">
        <f t="shared" si="92"/>
        <v>276.78500000000003</v>
      </c>
      <c r="V306" s="3">
        <f t="shared" si="92"/>
        <v>415.41</v>
      </c>
      <c r="W306" s="3">
        <f t="shared" si="93"/>
        <v>12160.349999999999</v>
      </c>
      <c r="X306" s="3">
        <f t="shared" si="93"/>
        <v>80940.899999999994</v>
      </c>
      <c r="Y306" s="3">
        <f t="shared" si="96"/>
        <v>1.6095489189694276</v>
      </c>
      <c r="Z306" s="3">
        <f t="shared" si="105"/>
        <v>-0.69500000000005002</v>
      </c>
      <c r="AA306" s="3">
        <f t="shared" si="105"/>
        <v>0.95749999999998181</v>
      </c>
      <c r="AB306" s="3">
        <f t="shared" si="101"/>
        <v>-210.44999999998254</v>
      </c>
      <c r="AC306" s="3">
        <f t="shared" si="102"/>
        <v>-3.5606833768031532E-3</v>
      </c>
      <c r="AD306" s="3">
        <f t="shared" si="106"/>
        <v>-3.081713400000222</v>
      </c>
      <c r="AE306" s="3">
        <f t="shared" si="106"/>
        <v>4.2456698999999194</v>
      </c>
      <c r="AF306" s="3">
        <f t="shared" si="106"/>
        <v>-933.16055399992263</v>
      </c>
      <c r="AG306" s="3">
        <f t="shared" si="104"/>
        <v>-1.5788497374750399E-2</v>
      </c>
      <c r="AH306" s="233">
        <f t="shared" si="95"/>
        <v>1224.2161907999998</v>
      </c>
      <c r="AI306" s="233">
        <f t="shared" si="95"/>
        <v>1846.2234591000001</v>
      </c>
      <c r="AJ306" s="233">
        <f t="shared" si="95"/>
        <v>54042.167736000003</v>
      </c>
      <c r="AK306" s="233">
        <f t="shared" si="95"/>
        <v>357846.78636000003</v>
      </c>
      <c r="AL306" s="233">
        <f t="shared" si="95"/>
        <v>7.1211445552059685</v>
      </c>
      <c r="AM306" s="233">
        <f t="shared" si="94"/>
        <v>1227.2979042000002</v>
      </c>
      <c r="AN306" s="233">
        <f t="shared" si="94"/>
        <v>1841.9777892000002</v>
      </c>
      <c r="AO306" s="233">
        <f t="shared" si="94"/>
        <v>53920.451141999991</v>
      </c>
      <c r="AP306" s="233">
        <f t="shared" si="94"/>
        <v>358901.66350799997</v>
      </c>
      <c r="AQ306" s="233">
        <f t="shared" si="94"/>
        <v>7.1369330525807184</v>
      </c>
      <c r="AS306" s="231">
        <f t="shared" si="103"/>
        <v>0</v>
      </c>
    </row>
    <row r="307" spans="2:45" ht="72.5" x14ac:dyDescent="0.35">
      <c r="B307" s="56" t="s">
        <v>92</v>
      </c>
      <c r="C307" s="361" t="s">
        <v>207</v>
      </c>
      <c r="D307" s="56">
        <v>1</v>
      </c>
      <c r="E307" s="3">
        <v>62.351849999999992</v>
      </c>
      <c r="F307" s="3">
        <v>8580.92</v>
      </c>
      <c r="G307" s="3">
        <v>42365.3</v>
      </c>
      <c r="H307" s="3">
        <v>31.01</v>
      </c>
      <c r="I307" s="3">
        <v>60.76</v>
      </c>
      <c r="J307" s="3">
        <f t="shared" si="97"/>
        <v>56.986728680005442</v>
      </c>
      <c r="K307" s="3">
        <v>8718.0300000000007</v>
      </c>
      <c r="L307" s="3">
        <v>42600.7</v>
      </c>
      <c r="M307" s="3">
        <v>31.19</v>
      </c>
      <c r="N307" s="3">
        <v>61.95</v>
      </c>
      <c r="O307" s="3">
        <f t="shared" si="98"/>
        <v>57.791164502839514</v>
      </c>
      <c r="P307" s="3">
        <f t="shared" si="99"/>
        <v>238.35888888888888</v>
      </c>
      <c r="Q307" s="3">
        <f t="shared" si="100"/>
        <v>1176.8138888888889</v>
      </c>
      <c r="R307" s="3">
        <f t="shared" si="91"/>
        <v>33914.60333333334</v>
      </c>
      <c r="S307" s="3">
        <f t="shared" si="91"/>
        <v>66451.186666666676</v>
      </c>
      <c r="T307" s="3">
        <f t="shared" si="92"/>
        <v>1.5829646855557067</v>
      </c>
      <c r="U307" s="3">
        <f t="shared" si="92"/>
        <v>242.16750000000002</v>
      </c>
      <c r="V307" s="3">
        <f t="shared" si="92"/>
        <v>1183.3527777777776</v>
      </c>
      <c r="W307" s="3">
        <f t="shared" si="93"/>
        <v>34111.463333333333</v>
      </c>
      <c r="X307" s="3">
        <f t="shared" si="93"/>
        <v>67752.650000000009</v>
      </c>
      <c r="Y307" s="3">
        <f t="shared" si="96"/>
        <v>1.6053101250788755</v>
      </c>
      <c r="Z307" s="3">
        <f t="shared" si="105"/>
        <v>-3.8086111111111336</v>
      </c>
      <c r="AA307" s="3">
        <f t="shared" si="105"/>
        <v>-6.5388888888887777</v>
      </c>
      <c r="AB307" s="3">
        <f t="shared" si="101"/>
        <v>-1498.3233333333337</v>
      </c>
      <c r="AC307" s="3">
        <f t="shared" si="102"/>
        <v>-2.2345439523168809E-2</v>
      </c>
      <c r="AD307" s="3">
        <f t="shared" si="106"/>
        <v>-237.47394870833472</v>
      </c>
      <c r="AE307" s="3">
        <f t="shared" si="106"/>
        <v>-407.71181916665967</v>
      </c>
      <c r="AF307" s="3">
        <f t="shared" si="106"/>
        <v>-93423.231731500011</v>
      </c>
      <c r="AG307" s="3">
        <f t="shared" si="104"/>
        <v>-1.3932794933326929</v>
      </c>
      <c r="AH307" s="233">
        <f t="shared" si="95"/>
        <v>14862.117686166664</v>
      </c>
      <c r="AI307" s="233">
        <f t="shared" si="95"/>
        <v>73376.52307791666</v>
      </c>
      <c r="AJ307" s="233">
        <f t="shared" si="95"/>
        <v>2114638.2598494999</v>
      </c>
      <c r="AK307" s="233">
        <f t="shared" si="95"/>
        <v>4143354.4233619999</v>
      </c>
      <c r="AL307" s="233">
        <f t="shared" si="95"/>
        <v>98.700776629066581</v>
      </c>
      <c r="AM307" s="233">
        <f t="shared" si="94"/>
        <v>15099.591634875</v>
      </c>
      <c r="AN307" s="233">
        <f t="shared" si="94"/>
        <v>73784.234897083312</v>
      </c>
      <c r="AO307" s="233">
        <f t="shared" si="94"/>
        <v>2126912.8450404997</v>
      </c>
      <c r="AP307" s="233">
        <f t="shared" si="94"/>
        <v>4224503.0699025001</v>
      </c>
      <c r="AQ307" s="233">
        <f t="shared" si="94"/>
        <v>100.09405612239927</v>
      </c>
      <c r="AS307" s="231">
        <f t="shared" si="103"/>
        <v>0</v>
      </c>
    </row>
    <row r="308" spans="2:45" ht="72.5" x14ac:dyDescent="0.35">
      <c r="B308" s="56" t="s">
        <v>92</v>
      </c>
      <c r="C308" s="361" t="s">
        <v>207</v>
      </c>
      <c r="D308" s="56">
        <v>2</v>
      </c>
      <c r="E308" s="3">
        <v>370.11117000000002</v>
      </c>
      <c r="F308" s="3">
        <v>7240.34</v>
      </c>
      <c r="G308" s="3">
        <v>35435.699999999997</v>
      </c>
      <c r="H308" s="3">
        <v>31.73</v>
      </c>
      <c r="I308" s="3">
        <v>49.7</v>
      </c>
      <c r="J308" s="3">
        <f t="shared" si="97"/>
        <v>48.009066205561098</v>
      </c>
      <c r="K308" s="3">
        <v>7319.69</v>
      </c>
      <c r="L308" s="3">
        <v>35219.199999999997</v>
      </c>
      <c r="M308" s="3">
        <v>31.21</v>
      </c>
      <c r="N308" s="3">
        <v>50.4</v>
      </c>
      <c r="O308" s="3">
        <f t="shared" si="98"/>
        <v>48.389837618606549</v>
      </c>
      <c r="P308" s="3">
        <f t="shared" si="99"/>
        <v>201.12055555555557</v>
      </c>
      <c r="Q308" s="3">
        <f t="shared" si="100"/>
        <v>984.32499999999993</v>
      </c>
      <c r="R308" s="3">
        <f t="shared" si="91"/>
        <v>34702.043333333335</v>
      </c>
      <c r="S308" s="3">
        <f t="shared" si="91"/>
        <v>54355.23333333333</v>
      </c>
      <c r="T308" s="3">
        <f t="shared" si="92"/>
        <v>1.3335851723766972</v>
      </c>
      <c r="U308" s="3">
        <f t="shared" si="92"/>
        <v>203.32472222222222</v>
      </c>
      <c r="V308" s="3">
        <f t="shared" si="92"/>
        <v>978.31111111111102</v>
      </c>
      <c r="W308" s="3">
        <f t="shared" si="93"/>
        <v>34133.33666666667</v>
      </c>
      <c r="X308" s="3">
        <f t="shared" si="93"/>
        <v>55120.799999999996</v>
      </c>
      <c r="Y308" s="3">
        <f t="shared" si="96"/>
        <v>1.3441621560724042</v>
      </c>
      <c r="Z308" s="3">
        <f t="shared" si="105"/>
        <v>-2.2041666666666515</v>
      </c>
      <c r="AA308" s="3">
        <f t="shared" si="105"/>
        <v>6.0138888888889142</v>
      </c>
      <c r="AB308" s="3">
        <f t="shared" si="101"/>
        <v>-196.85999999999331</v>
      </c>
      <c r="AC308" s="3">
        <f t="shared" si="102"/>
        <v>-1.0576983695707032E-2</v>
      </c>
      <c r="AD308" s="3">
        <f t="shared" si="106"/>
        <v>-815.78670387499437</v>
      </c>
      <c r="AE308" s="3">
        <f t="shared" si="106"/>
        <v>2225.8074529166761</v>
      </c>
      <c r="AF308" s="3">
        <f t="shared" si="106"/>
        <v>-72860.084926197524</v>
      </c>
      <c r="AG308" s="3">
        <f t="shared" si="104"/>
        <v>-3.9146598106890536</v>
      </c>
      <c r="AH308" s="233">
        <f t="shared" si="95"/>
        <v>74436.964127716681</v>
      </c>
      <c r="AI308" s="233">
        <f t="shared" si="95"/>
        <v>364309.67741025001</v>
      </c>
      <c r="AJ308" s="233">
        <f t="shared" si="95"/>
        <v>12843613.859490702</v>
      </c>
      <c r="AK308" s="233">
        <f t="shared" si="95"/>
        <v>20117479.004623</v>
      </c>
      <c r="AL308" s="233">
        <f t="shared" si="95"/>
        <v>493.57476844299111</v>
      </c>
      <c r="AM308" s="233">
        <f t="shared" si="94"/>
        <v>75252.750831591664</v>
      </c>
      <c r="AN308" s="233">
        <f t="shared" si="94"/>
        <v>362083.86995733331</v>
      </c>
      <c r="AO308" s="233">
        <f t="shared" si="94"/>
        <v>12633129.169703901</v>
      </c>
      <c r="AP308" s="233">
        <f t="shared" si="94"/>
        <v>20400823.779335998</v>
      </c>
      <c r="AQ308" s="233">
        <f t="shared" si="94"/>
        <v>497.48942825368016</v>
      </c>
      <c r="AS308" s="231">
        <f t="shared" si="103"/>
        <v>0</v>
      </c>
    </row>
    <row r="309" spans="2:45" ht="72.5" x14ac:dyDescent="0.35">
      <c r="B309" s="56" t="s">
        <v>92</v>
      </c>
      <c r="C309" s="361" t="s">
        <v>207</v>
      </c>
      <c r="D309" s="56">
        <v>3</v>
      </c>
      <c r="E309" s="3">
        <v>1795.2627</v>
      </c>
      <c r="F309" s="3">
        <v>6595.71</v>
      </c>
      <c r="G309" s="3">
        <v>28438.2</v>
      </c>
      <c r="H309" s="3">
        <v>22.81</v>
      </c>
      <c r="I309" s="3">
        <v>43.95</v>
      </c>
      <c r="J309" s="3">
        <f t="shared" si="97"/>
        <v>42.811089573355716</v>
      </c>
      <c r="K309" s="3">
        <v>6632.52</v>
      </c>
      <c r="L309" s="3">
        <v>28558.2</v>
      </c>
      <c r="M309" s="3">
        <v>22.95</v>
      </c>
      <c r="N309" s="3">
        <v>44.28</v>
      </c>
      <c r="O309" s="3">
        <f t="shared" si="98"/>
        <v>43.040709630427294</v>
      </c>
      <c r="P309" s="3">
        <f t="shared" si="99"/>
        <v>183.21416666666667</v>
      </c>
      <c r="Q309" s="3">
        <f t="shared" si="100"/>
        <v>789.95</v>
      </c>
      <c r="R309" s="3">
        <f t="shared" si="91"/>
        <v>24946.536666666667</v>
      </c>
      <c r="S309" s="3">
        <f t="shared" si="91"/>
        <v>48066.65</v>
      </c>
      <c r="T309" s="3">
        <f t="shared" si="92"/>
        <v>1.1891969325932144</v>
      </c>
      <c r="U309" s="3">
        <f t="shared" si="92"/>
        <v>184.23666666666668</v>
      </c>
      <c r="V309" s="3">
        <f t="shared" si="92"/>
        <v>793.2833333333333</v>
      </c>
      <c r="W309" s="3">
        <f t="shared" si="93"/>
        <v>25099.649999999998</v>
      </c>
      <c r="X309" s="3">
        <f t="shared" si="93"/>
        <v>48427.56</v>
      </c>
      <c r="Y309" s="3">
        <f t="shared" si="96"/>
        <v>1.1955752675118694</v>
      </c>
      <c r="Z309" s="3">
        <f t="shared" si="105"/>
        <v>-1.022500000000008</v>
      </c>
      <c r="AA309" s="3">
        <f t="shared" si="105"/>
        <v>-3.3333333333332575</v>
      </c>
      <c r="AB309" s="3">
        <f t="shared" si="101"/>
        <v>-514.02333333331626</v>
      </c>
      <c r="AC309" s="3">
        <f t="shared" si="102"/>
        <v>-6.3783349186550264E-3</v>
      </c>
      <c r="AD309" s="3">
        <f t="shared" si="106"/>
        <v>-1835.6561107500142</v>
      </c>
      <c r="AE309" s="3">
        <f t="shared" si="106"/>
        <v>-5984.2089999998643</v>
      </c>
      <c r="AF309" s="3">
        <f t="shared" si="106"/>
        <v>-922806.91726296931</v>
      </c>
      <c r="AG309" s="3">
        <f t="shared" si="104"/>
        <v>-11.450786767568903</v>
      </c>
      <c r="AH309" s="233">
        <f t="shared" si="95"/>
        <v>328917.55952825001</v>
      </c>
      <c r="AI309" s="233">
        <f t="shared" si="95"/>
        <v>1418167.7698650002</v>
      </c>
      <c r="AJ309" s="233">
        <f t="shared" si="95"/>
        <v>44785586.771848999</v>
      </c>
      <c r="AK309" s="233">
        <f t="shared" si="95"/>
        <v>86292263.858954996</v>
      </c>
      <c r="AL309" s="233">
        <f t="shared" si="95"/>
        <v>2134.920896039012</v>
      </c>
      <c r="AM309" s="233">
        <f t="shared" si="94"/>
        <v>330753.215639</v>
      </c>
      <c r="AN309" s="233">
        <f t="shared" si="94"/>
        <v>1424151.978865</v>
      </c>
      <c r="AO309" s="233">
        <f t="shared" si="94"/>
        <v>45060465.428054996</v>
      </c>
      <c r="AP309" s="233">
        <f t="shared" si="94"/>
        <v>86940192.120012</v>
      </c>
      <c r="AQ309" s="233">
        <f t="shared" si="94"/>
        <v>2146.3716828065808</v>
      </c>
      <c r="AS309" s="231">
        <f t="shared" si="103"/>
        <v>0</v>
      </c>
    </row>
    <row r="310" spans="2:45" ht="72.5" x14ac:dyDescent="0.35">
      <c r="B310" s="56" t="s">
        <v>92</v>
      </c>
      <c r="C310" s="361" t="s">
        <v>207</v>
      </c>
      <c r="D310" s="56">
        <v>4</v>
      </c>
      <c r="E310" s="3">
        <v>935.27775000000008</v>
      </c>
      <c r="F310" s="3">
        <v>6334.86</v>
      </c>
      <c r="G310" s="3">
        <v>35241.4</v>
      </c>
      <c r="H310" s="3">
        <v>32.92</v>
      </c>
      <c r="I310" s="3">
        <v>41.83</v>
      </c>
      <c r="J310" s="3">
        <f t="shared" si="97"/>
        <v>43.023493649423934</v>
      </c>
      <c r="K310" s="3">
        <v>6362.23</v>
      </c>
      <c r="L310" s="3">
        <v>35160.199999999997</v>
      </c>
      <c r="M310" s="3">
        <v>33.1</v>
      </c>
      <c r="N310" s="3">
        <v>42.08</v>
      </c>
      <c r="O310" s="3">
        <f t="shared" si="98"/>
        <v>43.153264306840235</v>
      </c>
      <c r="P310" s="3">
        <f t="shared" si="99"/>
        <v>175.96833333333333</v>
      </c>
      <c r="Q310" s="3">
        <f t="shared" si="100"/>
        <v>978.92777777777781</v>
      </c>
      <c r="R310" s="3">
        <f t="shared" si="91"/>
        <v>36003.506666666668</v>
      </c>
      <c r="S310" s="3">
        <f t="shared" si="91"/>
        <v>45748.076666666668</v>
      </c>
      <c r="T310" s="3">
        <f t="shared" si="92"/>
        <v>1.1950970458173316</v>
      </c>
      <c r="U310" s="3">
        <f t="shared" si="92"/>
        <v>176.72861111111109</v>
      </c>
      <c r="V310" s="3">
        <f t="shared" si="92"/>
        <v>976.6722222222221</v>
      </c>
      <c r="W310" s="3">
        <f t="shared" si="93"/>
        <v>36200.366666666669</v>
      </c>
      <c r="X310" s="3">
        <f t="shared" si="93"/>
        <v>46021.493333333332</v>
      </c>
      <c r="Y310" s="3">
        <f t="shared" si="96"/>
        <v>1.1987017863011176</v>
      </c>
      <c r="Z310" s="3">
        <f t="shared" si="105"/>
        <v>-0.76027777777775896</v>
      </c>
      <c r="AA310" s="3">
        <f t="shared" si="105"/>
        <v>2.2555555555557021</v>
      </c>
      <c r="AB310" s="3">
        <f t="shared" si="101"/>
        <v>-470.27666666665755</v>
      </c>
      <c r="AC310" s="3">
        <f t="shared" si="102"/>
        <v>-3.6047404837860064E-3</v>
      </c>
      <c r="AD310" s="3">
        <f t="shared" si="106"/>
        <v>-711.07088937498247</v>
      </c>
      <c r="AE310" s="3">
        <f t="shared" si="106"/>
        <v>2109.5709250001373</v>
      </c>
      <c r="AF310" s="3">
        <f t="shared" si="106"/>
        <v>-439839.30267749151</v>
      </c>
      <c r="AG310" s="3">
        <f t="shared" si="104"/>
        <v>-3.3714335690092878</v>
      </c>
      <c r="AH310" s="233">
        <f t="shared" si="95"/>
        <v>164579.26687125</v>
      </c>
      <c r="AI310" s="233">
        <f t="shared" si="95"/>
        <v>915569.36941250006</v>
      </c>
      <c r="AJ310" s="233">
        <f t="shared" si="95"/>
        <v>33673278.707310006</v>
      </c>
      <c r="AK310" s="233">
        <f t="shared" si="95"/>
        <v>42787158.211627506</v>
      </c>
      <c r="AL310" s="233">
        <f t="shared" si="95"/>
        <v>1117.7476760436809</v>
      </c>
      <c r="AM310" s="233">
        <f t="shared" si="94"/>
        <v>165290.337760625</v>
      </c>
      <c r="AN310" s="233">
        <f t="shared" si="94"/>
        <v>913459.79848749994</v>
      </c>
      <c r="AO310" s="233">
        <f t="shared" si="94"/>
        <v>33857397.485175006</v>
      </c>
      <c r="AP310" s="233">
        <f t="shared" si="94"/>
        <v>43042878.736440003</v>
      </c>
      <c r="AQ310" s="233">
        <f t="shared" si="94"/>
        <v>1121.1191096126902</v>
      </c>
      <c r="AS310" s="231">
        <f t="shared" si="103"/>
        <v>0</v>
      </c>
    </row>
    <row r="311" spans="2:45" ht="72.5" x14ac:dyDescent="0.35">
      <c r="B311" s="56" t="s">
        <v>92</v>
      </c>
      <c r="C311" s="361" t="s">
        <v>207</v>
      </c>
      <c r="D311" s="56">
        <v>5</v>
      </c>
      <c r="E311" s="3">
        <v>166.11474000000001</v>
      </c>
      <c r="F311" s="3">
        <v>6519.73</v>
      </c>
      <c r="G311" s="3">
        <v>28852.6</v>
      </c>
      <c r="H311" s="3">
        <v>21.59</v>
      </c>
      <c r="I311" s="3">
        <v>43.24</v>
      </c>
      <c r="J311" s="3">
        <f t="shared" si="97"/>
        <v>42.496266034409871</v>
      </c>
      <c r="K311" s="3">
        <v>6559.13</v>
      </c>
      <c r="L311" s="3">
        <v>29009.200000000001</v>
      </c>
      <c r="M311" s="3">
        <v>21.76</v>
      </c>
      <c r="N311" s="3">
        <v>43.59</v>
      </c>
      <c r="O311" s="3">
        <f t="shared" si="98"/>
        <v>42.748810080586047</v>
      </c>
      <c r="P311" s="3">
        <f t="shared" si="99"/>
        <v>181.10361111111109</v>
      </c>
      <c r="Q311" s="3">
        <f t="shared" si="100"/>
        <v>801.46111111111111</v>
      </c>
      <c r="R311" s="3">
        <f t="shared" si="91"/>
        <v>23612.263333333336</v>
      </c>
      <c r="S311" s="3">
        <f t="shared" si="91"/>
        <v>47290.146666666675</v>
      </c>
      <c r="T311" s="3">
        <f t="shared" si="92"/>
        <v>1.180451834289163</v>
      </c>
      <c r="U311" s="3">
        <f t="shared" si="92"/>
        <v>182.19805555555556</v>
      </c>
      <c r="V311" s="3">
        <f t="shared" si="92"/>
        <v>805.81111111111113</v>
      </c>
      <c r="W311" s="3">
        <f t="shared" si="93"/>
        <v>23798.186666666668</v>
      </c>
      <c r="X311" s="3">
        <f t="shared" si="93"/>
        <v>47672.93</v>
      </c>
      <c r="Y311" s="3">
        <f t="shared" si="96"/>
        <v>1.1874669466829457</v>
      </c>
      <c r="Z311" s="3">
        <f t="shared" si="105"/>
        <v>-1.0944444444444628</v>
      </c>
      <c r="AA311" s="3">
        <f t="shared" si="105"/>
        <v>-4.3500000000000227</v>
      </c>
      <c r="AB311" s="3">
        <f t="shared" si="101"/>
        <v>-568.70666666666511</v>
      </c>
      <c r="AC311" s="3">
        <f t="shared" si="102"/>
        <v>-7.0151123937827187E-3</v>
      </c>
      <c r="AD311" s="3">
        <f t="shared" si="106"/>
        <v>-181.80335433333639</v>
      </c>
      <c r="AE311" s="3">
        <f t="shared" si="106"/>
        <v>-722.59911900000384</v>
      </c>
      <c r="AF311" s="3">
        <f t="shared" si="106"/>
        <v>-94470.560069599742</v>
      </c>
      <c r="AG311" s="3">
        <f t="shared" si="104"/>
        <v>-1.1653135713639939</v>
      </c>
      <c r="AH311" s="233">
        <f t="shared" si="95"/>
        <v>30083.979272783334</v>
      </c>
      <c r="AI311" s="233">
        <f t="shared" si="95"/>
        <v>133134.50409233334</v>
      </c>
      <c r="AJ311" s="233">
        <f t="shared" si="95"/>
        <v>3922344.9844282009</v>
      </c>
      <c r="AK311" s="233">
        <f t="shared" si="95"/>
        <v>7855590.4180952022</v>
      </c>
      <c r="AL311" s="233">
        <f t="shared" si="95"/>
        <v>196.0904495354674</v>
      </c>
      <c r="AM311" s="233">
        <f t="shared" si="94"/>
        <v>30265.78262711667</v>
      </c>
      <c r="AN311" s="233">
        <f t="shared" si="94"/>
        <v>133857.10321133333</v>
      </c>
      <c r="AO311" s="233">
        <f t="shared" si="94"/>
        <v>3953229.5906048007</v>
      </c>
      <c r="AP311" s="233">
        <f t="shared" si="94"/>
        <v>7919176.3719882006</v>
      </c>
      <c r="AQ311" s="233">
        <f t="shared" si="94"/>
        <v>197.25576310683141</v>
      </c>
      <c r="AS311" s="231">
        <f t="shared" si="103"/>
        <v>0</v>
      </c>
    </row>
    <row r="312" spans="2:45" ht="72.5" x14ac:dyDescent="0.35">
      <c r="B312" s="56" t="s">
        <v>92</v>
      </c>
      <c r="C312" s="361" t="s">
        <v>207</v>
      </c>
      <c r="D312" s="56">
        <v>6</v>
      </c>
      <c r="E312" s="3">
        <v>792.92730000000017</v>
      </c>
      <c r="F312" s="3">
        <v>5804.44</v>
      </c>
      <c r="G312" s="3">
        <v>30838.7</v>
      </c>
      <c r="H312" s="3">
        <v>28.72</v>
      </c>
      <c r="I312" s="3">
        <v>37.229999999999997</v>
      </c>
      <c r="J312" s="3">
        <f t="shared" si="97"/>
        <v>39.072142662605458</v>
      </c>
      <c r="K312" s="3">
        <v>5811.4</v>
      </c>
      <c r="L312" s="3">
        <v>31218.3</v>
      </c>
      <c r="M312" s="3">
        <v>29.08</v>
      </c>
      <c r="N312" s="3">
        <v>37.29</v>
      </c>
      <c r="O312" s="3">
        <f t="shared" si="98"/>
        <v>39.201344615576517</v>
      </c>
      <c r="P312" s="3">
        <f t="shared" si="99"/>
        <v>161.23444444444442</v>
      </c>
      <c r="Q312" s="3">
        <f t="shared" si="100"/>
        <v>856.63055555555559</v>
      </c>
      <c r="R312" s="3">
        <f t="shared" si="91"/>
        <v>31410.106666666663</v>
      </c>
      <c r="S312" s="3">
        <f t="shared" si="91"/>
        <v>40717.21</v>
      </c>
      <c r="T312" s="3">
        <f t="shared" si="92"/>
        <v>1.0853372961834848</v>
      </c>
      <c r="U312" s="3">
        <f t="shared" si="92"/>
        <v>161.42777777777778</v>
      </c>
      <c r="V312" s="3">
        <f t="shared" si="92"/>
        <v>867.17499999999995</v>
      </c>
      <c r="W312" s="3">
        <f t="shared" si="93"/>
        <v>31803.826666666664</v>
      </c>
      <c r="X312" s="3">
        <f t="shared" si="93"/>
        <v>40782.83</v>
      </c>
      <c r="Y312" s="3">
        <f t="shared" si="96"/>
        <v>1.08892623932157</v>
      </c>
      <c r="Z312" s="3">
        <f t="shared" si="105"/>
        <v>-0.19333333333335645</v>
      </c>
      <c r="AA312" s="3">
        <f t="shared" si="105"/>
        <v>-10.544444444444366</v>
      </c>
      <c r="AB312" s="3">
        <f t="shared" si="101"/>
        <v>-459.33999999999651</v>
      </c>
      <c r="AC312" s="3">
        <f t="shared" si="102"/>
        <v>-3.58894313808511E-3</v>
      </c>
      <c r="AD312" s="3">
        <f t="shared" si="106"/>
        <v>-153.29927800001838</v>
      </c>
      <c r="AE312" s="3">
        <f t="shared" si="106"/>
        <v>-8360.9778633332735</v>
      </c>
      <c r="AF312" s="3">
        <f t="shared" si="106"/>
        <v>-364223.22598199733</v>
      </c>
      <c r="AG312" s="3">
        <f t="shared" si="104"/>
        <v>-2.8457709923353542</v>
      </c>
      <c r="AH312" s="233">
        <f t="shared" si="95"/>
        <v>127847.19270033334</v>
      </c>
      <c r="AI312" s="233">
        <f t="shared" si="95"/>
        <v>679245.7535141668</v>
      </c>
      <c r="AJ312" s="233">
        <f t="shared" si="95"/>
        <v>24905931.071912002</v>
      </c>
      <c r="AK312" s="233">
        <f t="shared" si="95"/>
        <v>32285787.388833005</v>
      </c>
      <c r="AL312" s="233">
        <f t="shared" si="95"/>
        <v>860.59357185207114</v>
      </c>
      <c r="AM312" s="233">
        <f t="shared" si="94"/>
        <v>128000.49197833336</v>
      </c>
      <c r="AN312" s="233">
        <f t="shared" si="94"/>
        <v>687606.73137750011</v>
      </c>
      <c r="AO312" s="233">
        <f t="shared" si="94"/>
        <v>25218122.408468004</v>
      </c>
      <c r="AP312" s="233">
        <f t="shared" si="94"/>
        <v>32337819.278259009</v>
      </c>
      <c r="AQ312" s="233">
        <f t="shared" si="94"/>
        <v>863.4393428444065</v>
      </c>
      <c r="AS312" s="231">
        <f t="shared" si="103"/>
        <v>0</v>
      </c>
    </row>
    <row r="313" spans="2:45" ht="72.5" x14ac:dyDescent="0.35">
      <c r="B313" s="56" t="s">
        <v>92</v>
      </c>
      <c r="C313" s="361" t="s">
        <v>207</v>
      </c>
      <c r="D313" s="56">
        <v>7</v>
      </c>
      <c r="E313" s="3">
        <v>852.45567000000005</v>
      </c>
      <c r="F313" s="3">
        <v>5758.94</v>
      </c>
      <c r="G313" s="3">
        <v>29047.4</v>
      </c>
      <c r="H313" s="3">
        <v>24.64</v>
      </c>
      <c r="I313" s="3">
        <v>36.92</v>
      </c>
      <c r="J313" s="3">
        <f t="shared" si="97"/>
        <v>38.393416559593575</v>
      </c>
      <c r="K313" s="3">
        <v>5761.6</v>
      </c>
      <c r="L313" s="3">
        <v>29542.6</v>
      </c>
      <c r="M313" s="3">
        <v>25.23</v>
      </c>
      <c r="N313" s="3">
        <v>36.950000000000003</v>
      </c>
      <c r="O313" s="3">
        <f t="shared" si="98"/>
        <v>38.526949653724031</v>
      </c>
      <c r="P313" s="3">
        <f t="shared" si="99"/>
        <v>159.97055555555553</v>
      </c>
      <c r="Q313" s="3">
        <f t="shared" si="100"/>
        <v>806.87222222222226</v>
      </c>
      <c r="R313" s="3">
        <f t="shared" si="91"/>
        <v>26947.946666666667</v>
      </c>
      <c r="S313" s="3">
        <f t="shared" si="91"/>
        <v>40378.173333333332</v>
      </c>
      <c r="T313" s="3">
        <f t="shared" si="92"/>
        <v>1.0664837933220437</v>
      </c>
      <c r="U313" s="3">
        <f t="shared" si="92"/>
        <v>160.04444444444445</v>
      </c>
      <c r="V313" s="3">
        <f t="shared" si="92"/>
        <v>820.62777777777774</v>
      </c>
      <c r="W313" s="3">
        <f t="shared" si="93"/>
        <v>27593.21</v>
      </c>
      <c r="X313" s="3">
        <f t="shared" si="93"/>
        <v>40410.983333333337</v>
      </c>
      <c r="Y313" s="3">
        <f t="shared" si="96"/>
        <v>1.0701930459367786</v>
      </c>
      <c r="Z313" s="3">
        <f t="shared" si="105"/>
        <v>-7.3888888888916426E-2</v>
      </c>
      <c r="AA313" s="3">
        <f t="shared" si="105"/>
        <v>-13.755555555555475</v>
      </c>
      <c r="AB313" s="3">
        <f t="shared" si="101"/>
        <v>-678.073333333341</v>
      </c>
      <c r="AC313" s="3">
        <f t="shared" si="102"/>
        <v>-3.7092526147348703E-3</v>
      </c>
      <c r="AD313" s="3">
        <f t="shared" si="106"/>
        <v>-62.987002283356809</v>
      </c>
      <c r="AE313" s="3">
        <f t="shared" si="106"/>
        <v>-11726.001327333264</v>
      </c>
      <c r="AF313" s="3">
        <f t="shared" si="106"/>
        <v>-578027.4576758066</v>
      </c>
      <c r="AG313" s="3">
        <f t="shared" si="104"/>
        <v>-3.161973422893066</v>
      </c>
      <c r="AH313" s="233">
        <f t="shared" si="95"/>
        <v>136367.80711638334</v>
      </c>
      <c r="AI313" s="233">
        <f t="shared" si="95"/>
        <v>687822.80079883337</v>
      </c>
      <c r="AJ313" s="233">
        <f t="shared" si="95"/>
        <v>22971929.930857603</v>
      </c>
      <c r="AK313" s="233">
        <f t="shared" si="95"/>
        <v>34420602.802242801</v>
      </c>
      <c r="AL313" s="233">
        <f t="shared" si="95"/>
        <v>909.13015658048437</v>
      </c>
      <c r="AM313" s="233">
        <f t="shared" si="94"/>
        <v>136430.79411866667</v>
      </c>
      <c r="AN313" s="233">
        <f t="shared" si="94"/>
        <v>699548.80212616664</v>
      </c>
      <c r="AO313" s="233">
        <f t="shared" si="94"/>
        <v>23521988.3180007</v>
      </c>
      <c r="AP313" s="233">
        <f t="shared" si="94"/>
        <v>34448571.872775503</v>
      </c>
      <c r="AQ313" s="233">
        <f t="shared" si="94"/>
        <v>912.29213000337745</v>
      </c>
      <c r="AS313" s="231">
        <f t="shared" si="103"/>
        <v>0</v>
      </c>
    </row>
    <row r="314" spans="2:45" ht="72.5" x14ac:dyDescent="0.35">
      <c r="B314" s="56" t="s">
        <v>92</v>
      </c>
      <c r="C314" s="361" t="s">
        <v>207</v>
      </c>
      <c r="D314" s="56">
        <v>8</v>
      </c>
      <c r="E314" s="3">
        <v>1114.80402</v>
      </c>
      <c r="F314" s="3">
        <v>5643.69</v>
      </c>
      <c r="G314" s="3">
        <v>40667.5</v>
      </c>
      <c r="H314" s="3">
        <v>37.71</v>
      </c>
      <c r="I314" s="3">
        <v>35.9</v>
      </c>
      <c r="J314" s="3">
        <f t="shared" si="97"/>
        <v>40.557755865317965</v>
      </c>
      <c r="K314" s="3">
        <v>5647.65</v>
      </c>
      <c r="L314" s="3">
        <v>40095.300000000003</v>
      </c>
      <c r="M314" s="3">
        <v>36.700000000000003</v>
      </c>
      <c r="N314" s="3">
        <v>35.94</v>
      </c>
      <c r="O314" s="3">
        <f t="shared" si="98"/>
        <v>40.441823636940939</v>
      </c>
      <c r="P314" s="3">
        <f t="shared" si="99"/>
        <v>156.76916666666665</v>
      </c>
      <c r="Q314" s="3">
        <f t="shared" si="100"/>
        <v>1129.6527777777778</v>
      </c>
      <c r="R314" s="3">
        <f t="shared" si="91"/>
        <v>41242.170000000006</v>
      </c>
      <c r="S314" s="3">
        <f t="shared" si="91"/>
        <v>39262.633333333331</v>
      </c>
      <c r="T314" s="3">
        <f t="shared" si="92"/>
        <v>1.1266043295921657</v>
      </c>
      <c r="U314" s="3">
        <f t="shared" si="92"/>
        <v>156.87916666666666</v>
      </c>
      <c r="V314" s="3">
        <f t="shared" si="92"/>
        <v>1113.7583333333334</v>
      </c>
      <c r="W314" s="3">
        <f t="shared" si="93"/>
        <v>40137.566666666673</v>
      </c>
      <c r="X314" s="3">
        <f t="shared" si="93"/>
        <v>39306.379999999997</v>
      </c>
      <c r="Y314" s="3">
        <f t="shared" si="96"/>
        <v>1.123383989915026</v>
      </c>
      <c r="Z314" s="3">
        <f t="shared" si="105"/>
        <v>-0.11000000000001364</v>
      </c>
      <c r="AA314" s="3">
        <f t="shared" si="105"/>
        <v>15.894444444444389</v>
      </c>
      <c r="AB314" s="3">
        <f t="shared" si="101"/>
        <v>1060.8566666666738</v>
      </c>
      <c r="AC314" s="3">
        <f t="shared" si="102"/>
        <v>3.2203396771397497E-3</v>
      </c>
      <c r="AD314" s="3">
        <f t="shared" si="106"/>
        <v>-122.62844220001521</v>
      </c>
      <c r="AE314" s="3">
        <f t="shared" si="106"/>
        <v>17719.190562333271</v>
      </c>
      <c r="AF314" s="3">
        <f t="shared" si="106"/>
        <v>1182647.276643808</v>
      </c>
      <c r="AG314" s="3">
        <f t="shared" si="104"/>
        <v>3.5900476178408951</v>
      </c>
      <c r="AH314" s="233">
        <f t="shared" si="95"/>
        <v>174766.89721204998</v>
      </c>
      <c r="AI314" s="233">
        <f t="shared" si="95"/>
        <v>1259341.4578708333</v>
      </c>
      <c r="AJ314" s="233">
        <f t="shared" si="95"/>
        <v>45976936.909523405</v>
      </c>
      <c r="AK314" s="233">
        <f t="shared" si="95"/>
        <v>43770141.475786</v>
      </c>
      <c r="AL314" s="233">
        <f t="shared" si="95"/>
        <v>1255.9430355787513</v>
      </c>
      <c r="AM314" s="233">
        <f t="shared" ref="AM314:AQ364" si="107">U314*$E314</f>
        <v>174889.52565425</v>
      </c>
      <c r="AN314" s="233">
        <f t="shared" si="107"/>
        <v>1241622.2673085001</v>
      </c>
      <c r="AO314" s="233">
        <f t="shared" si="107"/>
        <v>44745520.673018008</v>
      </c>
      <c r="AP314" s="233">
        <f t="shared" si="107"/>
        <v>43818910.435647599</v>
      </c>
      <c r="AQ314" s="233">
        <f t="shared" si="107"/>
        <v>1252.3529879609105</v>
      </c>
      <c r="AS314" s="231">
        <f t="shared" si="103"/>
        <v>0</v>
      </c>
    </row>
    <row r="315" spans="2:45" ht="72.5" x14ac:dyDescent="0.35">
      <c r="B315" s="56" t="s">
        <v>92</v>
      </c>
      <c r="C315" s="361" t="s">
        <v>207</v>
      </c>
      <c r="D315" s="56">
        <v>9</v>
      </c>
      <c r="E315" s="3">
        <v>2617.3659600000001</v>
      </c>
      <c r="F315" s="3">
        <v>5756.75</v>
      </c>
      <c r="G315" s="3">
        <v>41079.699999999997</v>
      </c>
      <c r="H315" s="3">
        <v>38.549999999999997</v>
      </c>
      <c r="I315" s="3">
        <v>36.9</v>
      </c>
      <c r="J315" s="3">
        <f t="shared" si="97"/>
        <v>41.273507757325589</v>
      </c>
      <c r="K315" s="3">
        <v>5782.88</v>
      </c>
      <c r="L315" s="3">
        <v>38618.199999999997</v>
      </c>
      <c r="M315" s="3">
        <v>36.06</v>
      </c>
      <c r="N315" s="3">
        <v>37.130000000000003</v>
      </c>
      <c r="O315" s="3">
        <f t="shared" si="98"/>
        <v>40.824395367486161</v>
      </c>
      <c r="P315" s="3">
        <f t="shared" si="99"/>
        <v>159.90972222222223</v>
      </c>
      <c r="Q315" s="3">
        <f t="shared" si="100"/>
        <v>1141.1027777777776</v>
      </c>
      <c r="R315" s="3">
        <f t="shared" si="91"/>
        <v>42160.85</v>
      </c>
      <c r="S315" s="3">
        <f t="shared" si="91"/>
        <v>40356.299999999996</v>
      </c>
      <c r="T315" s="3">
        <f t="shared" si="92"/>
        <v>1.1464863265923775</v>
      </c>
      <c r="U315" s="3">
        <f t="shared" si="92"/>
        <v>160.63555555555556</v>
      </c>
      <c r="V315" s="3">
        <f t="shared" si="92"/>
        <v>1072.7277777777776</v>
      </c>
      <c r="W315" s="3">
        <f t="shared" si="93"/>
        <v>39437.620000000003</v>
      </c>
      <c r="X315" s="3">
        <f t="shared" si="93"/>
        <v>40607.843333333338</v>
      </c>
      <c r="Y315" s="3">
        <f t="shared" si="96"/>
        <v>1.1340109824301712</v>
      </c>
      <c r="Z315" s="3">
        <f t="shared" si="105"/>
        <v>-0.72583333333332689</v>
      </c>
      <c r="AA315" s="3">
        <f t="shared" si="105"/>
        <v>68.375</v>
      </c>
      <c r="AB315" s="3">
        <f t="shared" si="101"/>
        <v>2471.6866666666538</v>
      </c>
      <c r="AC315" s="3">
        <f t="shared" si="102"/>
        <v>1.2475344162206303E-2</v>
      </c>
      <c r="AD315" s="3">
        <f t="shared" si="106"/>
        <v>-1899.7714592999832</v>
      </c>
      <c r="AE315" s="3">
        <f t="shared" si="106"/>
        <v>178962.39751500002</v>
      </c>
      <c r="AF315" s="3">
        <f t="shared" si="106"/>
        <v>6469308.5451191664</v>
      </c>
      <c r="AG315" s="3">
        <f t="shared" si="104"/>
        <v>32.652541149443501</v>
      </c>
      <c r="AH315" s="233">
        <f t="shared" ref="AH315:AL365" si="108">P315*$E315</f>
        <v>418542.26361750002</v>
      </c>
      <c r="AI315" s="233">
        <f t="shared" si="108"/>
        <v>2986683.567417</v>
      </c>
      <c r="AJ315" s="233">
        <f t="shared" si="108"/>
        <v>110350373.634666</v>
      </c>
      <c r="AK315" s="233">
        <f t="shared" si="108"/>
        <v>105627205.89154799</v>
      </c>
      <c r="AL315" s="233">
        <f t="shared" si="108"/>
        <v>3000.7742848283319</v>
      </c>
      <c r="AM315" s="233">
        <f t="shared" si="107"/>
        <v>420442.03507680004</v>
      </c>
      <c r="AN315" s="233">
        <f t="shared" si="107"/>
        <v>2807721.1699019996</v>
      </c>
      <c r="AO315" s="233">
        <f t="shared" si="107"/>
        <v>103222684.1314152</v>
      </c>
      <c r="AP315" s="233">
        <f t="shared" si="107"/>
        <v>106285586.84967962</v>
      </c>
      <c r="AQ315" s="233">
        <f t="shared" si="107"/>
        <v>2968.1217436788884</v>
      </c>
      <c r="AS315" s="231">
        <f t="shared" si="103"/>
        <v>0</v>
      </c>
    </row>
    <row r="316" spans="2:45" ht="72.5" x14ac:dyDescent="0.35">
      <c r="B316" s="56" t="s">
        <v>92</v>
      </c>
      <c r="C316" s="361" t="s">
        <v>207</v>
      </c>
      <c r="D316" s="56">
        <v>10</v>
      </c>
      <c r="E316" s="3">
        <v>924.68970000000002</v>
      </c>
      <c r="F316" s="3">
        <v>5900</v>
      </c>
      <c r="G316" s="3">
        <v>48852.3</v>
      </c>
      <c r="H316" s="3">
        <v>45.03</v>
      </c>
      <c r="I316" s="3">
        <v>38.25</v>
      </c>
      <c r="J316" s="3">
        <f t="shared" si="97"/>
        <v>43.923045538737192</v>
      </c>
      <c r="K316" s="3">
        <v>5945.65</v>
      </c>
      <c r="L316" s="3">
        <v>45958.1</v>
      </c>
      <c r="M316" s="3">
        <v>42.54</v>
      </c>
      <c r="N316" s="3">
        <v>38.659999999999997</v>
      </c>
      <c r="O316" s="3">
        <f t="shared" si="98"/>
        <v>43.476401422117391</v>
      </c>
      <c r="P316" s="3">
        <f t="shared" si="99"/>
        <v>163.88888888888889</v>
      </c>
      <c r="Q316" s="3">
        <f t="shared" si="100"/>
        <v>1357.0083333333334</v>
      </c>
      <c r="R316" s="3">
        <f t="shared" si="91"/>
        <v>49247.810000000005</v>
      </c>
      <c r="S316" s="3">
        <f t="shared" si="91"/>
        <v>41832.75</v>
      </c>
      <c r="T316" s="3">
        <f t="shared" si="92"/>
        <v>1.2200845982982553</v>
      </c>
      <c r="U316" s="3">
        <f t="shared" si="92"/>
        <v>165.15694444444443</v>
      </c>
      <c r="V316" s="3">
        <f t="shared" si="92"/>
        <v>1276.6138888888888</v>
      </c>
      <c r="W316" s="3">
        <f t="shared" si="93"/>
        <v>46524.58</v>
      </c>
      <c r="X316" s="3">
        <f t="shared" si="93"/>
        <v>42281.153333333335</v>
      </c>
      <c r="Y316" s="3">
        <f t="shared" si="96"/>
        <v>1.2076778172810387</v>
      </c>
      <c r="Z316" s="3">
        <f t="shared" si="105"/>
        <v>-1.2680555555555486</v>
      </c>
      <c r="AA316" s="3">
        <f t="shared" si="105"/>
        <v>80.394444444444616</v>
      </c>
      <c r="AB316" s="3">
        <f t="shared" si="101"/>
        <v>2274.8266666666605</v>
      </c>
      <c r="AC316" s="3">
        <f t="shared" si="102"/>
        <v>1.2406781017216595E-2</v>
      </c>
      <c r="AD316" s="3">
        <f t="shared" si="106"/>
        <v>-1172.5579112499936</v>
      </c>
      <c r="AE316" s="3">
        <f t="shared" si="106"/>
        <v>74339.914715000166</v>
      </c>
      <c r="AF316" s="3">
        <f t="shared" si="106"/>
        <v>2103508.7879519942</v>
      </c>
      <c r="AG316" s="3">
        <f t="shared" si="104"/>
        <v>11.472422616775708</v>
      </c>
      <c r="AH316" s="233">
        <f t="shared" si="108"/>
        <v>151546.36749999999</v>
      </c>
      <c r="AI316" s="233">
        <f t="shared" si="108"/>
        <v>1254811.6286475002</v>
      </c>
      <c r="AJ316" s="233">
        <f t="shared" si="108"/>
        <v>45538942.654557005</v>
      </c>
      <c r="AK316" s="233">
        <f t="shared" si="108"/>
        <v>38682313.047674999</v>
      </c>
      <c r="AL316" s="233">
        <f t="shared" si="108"/>
        <v>1128.1996611750342</v>
      </c>
      <c r="AM316" s="233">
        <f t="shared" si="107"/>
        <v>152718.92541125001</v>
      </c>
      <c r="AN316" s="233">
        <f t="shared" si="107"/>
        <v>1180471.7139325</v>
      </c>
      <c r="AO316" s="233">
        <f t="shared" si="107"/>
        <v>43020799.922826</v>
      </c>
      <c r="AP316" s="233">
        <f t="shared" si="107"/>
        <v>39096946.991454005</v>
      </c>
      <c r="AQ316" s="233">
        <f t="shared" si="107"/>
        <v>1116.7272385582585</v>
      </c>
      <c r="AS316" s="231">
        <f t="shared" si="103"/>
        <v>0</v>
      </c>
    </row>
    <row r="317" spans="2:45" ht="72.5" x14ac:dyDescent="0.35">
      <c r="B317" s="56" t="s">
        <v>92</v>
      </c>
      <c r="C317" s="361" t="s">
        <v>207</v>
      </c>
      <c r="D317" s="56">
        <v>11</v>
      </c>
      <c r="E317" s="3">
        <v>263.99538000000001</v>
      </c>
      <c r="F317" s="3">
        <v>6773.06</v>
      </c>
      <c r="G317" s="3">
        <v>63036.1</v>
      </c>
      <c r="H317" s="3">
        <v>58.93</v>
      </c>
      <c r="I317" s="3">
        <v>45.99</v>
      </c>
      <c r="J317" s="3">
        <f t="shared" si="97"/>
        <v>52.09424697823642</v>
      </c>
      <c r="K317" s="3">
        <v>6896.16</v>
      </c>
      <c r="L317" s="3">
        <v>60676.9</v>
      </c>
      <c r="M317" s="3">
        <v>56.16</v>
      </c>
      <c r="N317" s="3">
        <v>47.09</v>
      </c>
      <c r="O317" s="3">
        <f t="shared" si="98"/>
        <v>52.198638459412138</v>
      </c>
      <c r="P317" s="3">
        <f t="shared" si="99"/>
        <v>188.14055555555558</v>
      </c>
      <c r="Q317" s="3">
        <f t="shared" si="100"/>
        <v>1751.0027777777777</v>
      </c>
      <c r="R317" s="3">
        <f t="shared" si="91"/>
        <v>64449.776666666672</v>
      </c>
      <c r="S317" s="3">
        <f t="shared" si="91"/>
        <v>50297.73</v>
      </c>
      <c r="T317" s="3">
        <f t="shared" si="92"/>
        <v>1.4470624160621228</v>
      </c>
      <c r="U317" s="3">
        <f t="shared" si="92"/>
        <v>191.56</v>
      </c>
      <c r="V317" s="3">
        <f t="shared" si="92"/>
        <v>1685.4694444444444</v>
      </c>
      <c r="W317" s="3">
        <f t="shared" si="93"/>
        <v>61420.319999999992</v>
      </c>
      <c r="X317" s="3">
        <f t="shared" si="93"/>
        <v>51500.763333333343</v>
      </c>
      <c r="Y317" s="3">
        <f t="shared" si="96"/>
        <v>1.449962179428115</v>
      </c>
      <c r="Z317" s="3">
        <f t="shared" si="105"/>
        <v>-3.419444444444423</v>
      </c>
      <c r="AA317" s="3">
        <f t="shared" si="105"/>
        <v>65.533333333333303</v>
      </c>
      <c r="AB317" s="3">
        <f t="shared" si="101"/>
        <v>1826.4233333333468</v>
      </c>
      <c r="AC317" s="3">
        <f t="shared" si="102"/>
        <v>-2.8997633659921807E-3</v>
      </c>
      <c r="AD317" s="3">
        <f t="shared" si="106"/>
        <v>-902.71753549999437</v>
      </c>
      <c r="AE317" s="3">
        <f t="shared" si="106"/>
        <v>17300.497235999992</v>
      </c>
      <c r="AF317" s="3">
        <f t="shared" si="106"/>
        <v>482167.3219242036</v>
      </c>
      <c r="AG317" s="3">
        <f t="shared" si="104"/>
        <v>-0.76552413171518485</v>
      </c>
      <c r="AH317" s="233">
        <f t="shared" si="108"/>
        <v>49668.237457300005</v>
      </c>
      <c r="AI317" s="233">
        <f t="shared" si="108"/>
        <v>462256.64370050002</v>
      </c>
      <c r="AJ317" s="233">
        <f t="shared" si="108"/>
        <v>17014443.282031801</v>
      </c>
      <c r="AK317" s="233">
        <f t="shared" si="108"/>
        <v>13278368.344487401</v>
      </c>
      <c r="AL317" s="233">
        <f t="shared" si="108"/>
        <v>382.01779241203826</v>
      </c>
      <c r="AM317" s="233">
        <f t="shared" si="107"/>
        <v>50570.954992800005</v>
      </c>
      <c r="AN317" s="233">
        <f t="shared" si="107"/>
        <v>444956.14646449999</v>
      </c>
      <c r="AO317" s="233">
        <f t="shared" si="107"/>
        <v>16214680.718121599</v>
      </c>
      <c r="AP317" s="233">
        <f t="shared" si="107"/>
        <v>13595963.586473403</v>
      </c>
      <c r="AQ317" s="233">
        <f t="shared" si="107"/>
        <v>382.78331654375341</v>
      </c>
      <c r="AS317" s="231">
        <f t="shared" si="103"/>
        <v>0</v>
      </c>
    </row>
    <row r="318" spans="2:45" ht="72.5" x14ac:dyDescent="0.35">
      <c r="B318" s="56" t="s">
        <v>92</v>
      </c>
      <c r="C318" s="361" t="s">
        <v>207</v>
      </c>
      <c r="D318" s="56">
        <v>12</v>
      </c>
      <c r="E318" s="3">
        <v>1490.56215</v>
      </c>
      <c r="F318" s="3">
        <v>6842.5</v>
      </c>
      <c r="G318" s="3">
        <v>45339.1</v>
      </c>
      <c r="H318" s="3">
        <v>44.57</v>
      </c>
      <c r="I318" s="3">
        <v>46.43</v>
      </c>
      <c r="J318" s="3">
        <f t="shared" si="97"/>
        <v>48.219420708926791</v>
      </c>
      <c r="K318" s="3">
        <v>6928.05</v>
      </c>
      <c r="L318" s="3">
        <v>44858</v>
      </c>
      <c r="M318" s="3">
        <v>43.92</v>
      </c>
      <c r="N318" s="3">
        <v>47.2</v>
      </c>
      <c r="O318" s="3">
        <f t="shared" si="98"/>
        <v>48.570411330445431</v>
      </c>
      <c r="P318" s="3">
        <f t="shared" si="99"/>
        <v>190.06944444444446</v>
      </c>
      <c r="Q318" s="3">
        <f t="shared" si="100"/>
        <v>1259.4194444444445</v>
      </c>
      <c r="R318" s="3">
        <f t="shared" si="91"/>
        <v>48744.723333333328</v>
      </c>
      <c r="S318" s="3">
        <f t="shared" si="91"/>
        <v>50778.943333333336</v>
      </c>
      <c r="T318" s="3">
        <f t="shared" si="92"/>
        <v>1.3394283530257443</v>
      </c>
      <c r="U318" s="3">
        <f t="shared" si="92"/>
        <v>192.44583333333333</v>
      </c>
      <c r="V318" s="3">
        <f t="shared" si="92"/>
        <v>1246.0555555555557</v>
      </c>
      <c r="W318" s="3">
        <f t="shared" si="93"/>
        <v>48033.84</v>
      </c>
      <c r="X318" s="3">
        <f t="shared" si="93"/>
        <v>51621.066666666666</v>
      </c>
      <c r="Y318" s="3">
        <f t="shared" si="96"/>
        <v>1.3491780925123731</v>
      </c>
      <c r="Z318" s="3">
        <f t="shared" si="105"/>
        <v>-2.3763888888888687</v>
      </c>
      <c r="AA318" s="3">
        <f t="shared" si="105"/>
        <v>13.363888888888823</v>
      </c>
      <c r="AB318" s="3">
        <f t="shared" si="101"/>
        <v>-131.24000000000524</v>
      </c>
      <c r="AC318" s="3">
        <f t="shared" si="102"/>
        <v>-9.7497394866288278E-3</v>
      </c>
      <c r="AD318" s="3">
        <f t="shared" si="106"/>
        <v>-3542.155331458303</v>
      </c>
      <c r="AE318" s="3">
        <f t="shared" si="106"/>
        <v>19919.706954583235</v>
      </c>
      <c r="AF318" s="3">
        <f t="shared" si="106"/>
        <v>-195621.37656600779</v>
      </c>
      <c r="AG318" s="3">
        <f t="shared" si="104"/>
        <v>-14.532592651129361</v>
      </c>
      <c r="AH318" s="233">
        <f t="shared" si="108"/>
        <v>283310.31976041669</v>
      </c>
      <c r="AI318" s="233">
        <f t="shared" si="108"/>
        <v>1877242.9548629166</v>
      </c>
      <c r="AJ318" s="233">
        <f t="shared" si="108"/>
        <v>72657039.612888485</v>
      </c>
      <c r="AK318" s="233">
        <f t="shared" si="108"/>
        <v>75689170.949661508</v>
      </c>
      <c r="AL318" s="233">
        <f t="shared" si="108"/>
        <v>1996.5012056570124</v>
      </c>
      <c r="AM318" s="233">
        <f t="shared" si="107"/>
        <v>286852.47509187501</v>
      </c>
      <c r="AN318" s="233">
        <f t="shared" si="107"/>
        <v>1857323.2479083335</v>
      </c>
      <c r="AO318" s="233">
        <f t="shared" si="107"/>
        <v>71597423.823155999</v>
      </c>
      <c r="AP318" s="233">
        <f t="shared" si="107"/>
        <v>76944408.115960002</v>
      </c>
      <c r="AQ318" s="233">
        <f t="shared" si="107"/>
        <v>2011.0337983081417</v>
      </c>
      <c r="AS318" s="231">
        <f t="shared" si="103"/>
        <v>0</v>
      </c>
    </row>
    <row r="319" spans="2:45" ht="72.5" x14ac:dyDescent="0.35">
      <c r="B319" s="56" t="s">
        <v>92</v>
      </c>
      <c r="C319" s="361" t="s">
        <v>207</v>
      </c>
      <c r="D319" s="56">
        <v>13</v>
      </c>
      <c r="E319" s="3">
        <v>435.05121000000003</v>
      </c>
      <c r="F319" s="3">
        <v>6359.65</v>
      </c>
      <c r="G319" s="3">
        <v>62714.9</v>
      </c>
      <c r="H319" s="3">
        <v>57.46</v>
      </c>
      <c r="I319" s="3">
        <v>42.39</v>
      </c>
      <c r="J319" s="3">
        <f t="shared" si="97"/>
        <v>49.762131397260269</v>
      </c>
      <c r="K319" s="3">
        <v>6446.02</v>
      </c>
      <c r="L319" s="3">
        <v>63562.1</v>
      </c>
      <c r="M319" s="3">
        <v>58.48</v>
      </c>
      <c r="N319" s="3">
        <v>43.16</v>
      </c>
      <c r="O319" s="3">
        <f t="shared" si="98"/>
        <v>50.436859618679122</v>
      </c>
      <c r="P319" s="3">
        <f t="shared" si="99"/>
        <v>176.65694444444443</v>
      </c>
      <c r="Q319" s="3">
        <f t="shared" si="100"/>
        <v>1742.0805555555555</v>
      </c>
      <c r="R319" s="3">
        <f t="shared" si="91"/>
        <v>62842.086666666662</v>
      </c>
      <c r="S319" s="3">
        <f t="shared" si="91"/>
        <v>46360.53</v>
      </c>
      <c r="T319" s="3">
        <f t="shared" si="92"/>
        <v>1.3822814277016742</v>
      </c>
      <c r="U319" s="3">
        <f t="shared" si="92"/>
        <v>179.05611111111114</v>
      </c>
      <c r="V319" s="3">
        <f t="shared" si="92"/>
        <v>1765.6138888888888</v>
      </c>
      <c r="W319" s="3">
        <f t="shared" si="93"/>
        <v>63957.626666666663</v>
      </c>
      <c r="X319" s="3">
        <f t="shared" si="93"/>
        <v>47202.653333333335</v>
      </c>
      <c r="Y319" s="3">
        <f t="shared" si="96"/>
        <v>1.4010238782966422</v>
      </c>
      <c r="Z319" s="3">
        <f t="shared" si="105"/>
        <v>-2.3991666666667015</v>
      </c>
      <c r="AA319" s="3">
        <f t="shared" si="105"/>
        <v>-23.533333333333303</v>
      </c>
      <c r="AB319" s="3">
        <f t="shared" si="101"/>
        <v>-1957.6633333333302</v>
      </c>
      <c r="AC319" s="3">
        <f t="shared" si="102"/>
        <v>-1.8742450594968041E-2</v>
      </c>
      <c r="AD319" s="3">
        <f t="shared" si="106"/>
        <v>-1043.7603613250153</v>
      </c>
      <c r="AE319" s="3">
        <f t="shared" si="106"/>
        <v>-10238.205141999988</v>
      </c>
      <c r="AF319" s="3">
        <f t="shared" si="106"/>
        <v>-851683.80193929875</v>
      </c>
      <c r="AG319" s="3">
        <f t="shared" si="104"/>
        <v>-8.1539258097060667</v>
      </c>
      <c r="AH319" s="233">
        <f t="shared" si="108"/>
        <v>76854.817435458332</v>
      </c>
      <c r="AI319" s="233">
        <f t="shared" si="108"/>
        <v>757894.25361191668</v>
      </c>
      <c r="AJ319" s="233">
        <f t="shared" si="108"/>
        <v>27339525.843258198</v>
      </c>
      <c r="AK319" s="233">
        <f t="shared" si="108"/>
        <v>20169204.672741301</v>
      </c>
      <c r="AL319" s="233">
        <f t="shared" si="108"/>
        <v>601.36320768214091</v>
      </c>
      <c r="AM319" s="233">
        <f t="shared" si="107"/>
        <v>77898.577796783342</v>
      </c>
      <c r="AN319" s="233">
        <f t="shared" si="107"/>
        <v>768132.45875391667</v>
      </c>
      <c r="AO319" s="233">
        <f t="shared" si="107"/>
        <v>27824842.870061599</v>
      </c>
      <c r="AP319" s="233">
        <f t="shared" si="107"/>
        <v>20535571.447877202</v>
      </c>
      <c r="AQ319" s="233">
        <f t="shared" si="107"/>
        <v>609.51713349184695</v>
      </c>
      <c r="AS319" s="231">
        <f t="shared" si="103"/>
        <v>0</v>
      </c>
    </row>
    <row r="320" spans="2:45" ht="72.5" x14ac:dyDescent="0.35">
      <c r="B320" s="56" t="s">
        <v>92</v>
      </c>
      <c r="C320" s="361" t="s">
        <v>207</v>
      </c>
      <c r="D320" s="56">
        <v>14</v>
      </c>
      <c r="E320" s="3">
        <v>197.64359999999999</v>
      </c>
      <c r="F320" s="3">
        <v>6696.73</v>
      </c>
      <c r="G320" s="3">
        <v>59226.7</v>
      </c>
      <c r="H320" s="3">
        <v>51.94</v>
      </c>
      <c r="I320" s="3">
        <v>45.38</v>
      </c>
      <c r="J320" s="3">
        <f t="shared" si="97"/>
        <v>50.762298407130544</v>
      </c>
      <c r="K320" s="3">
        <v>6833.35</v>
      </c>
      <c r="L320" s="3">
        <v>57887.5</v>
      </c>
      <c r="M320" s="3">
        <v>50.05</v>
      </c>
      <c r="N320" s="3">
        <v>46.6</v>
      </c>
      <c r="O320" s="3">
        <f t="shared" si="98"/>
        <v>51.18559688886873</v>
      </c>
      <c r="P320" s="3">
        <f t="shared" si="99"/>
        <v>186.02027777777778</v>
      </c>
      <c r="Q320" s="3">
        <f t="shared" si="100"/>
        <v>1645.1861111111111</v>
      </c>
      <c r="R320" s="3">
        <f t="shared" si="91"/>
        <v>56805.046666666662</v>
      </c>
      <c r="S320" s="3">
        <f t="shared" si="91"/>
        <v>49630.593333333338</v>
      </c>
      <c r="T320" s="3">
        <f t="shared" si="92"/>
        <v>1.4100638446425151</v>
      </c>
      <c r="U320" s="3">
        <f t="shared" si="92"/>
        <v>189.81527777777779</v>
      </c>
      <c r="V320" s="3">
        <f t="shared" si="92"/>
        <v>1607.9861111111111</v>
      </c>
      <c r="W320" s="3">
        <f t="shared" si="93"/>
        <v>54738.016666666663</v>
      </c>
      <c r="X320" s="3">
        <f t="shared" si="93"/>
        <v>50964.866666666669</v>
      </c>
      <c r="Y320" s="3">
        <f t="shared" si="96"/>
        <v>1.4218221358019092</v>
      </c>
      <c r="Z320" s="3">
        <f t="shared" si="105"/>
        <v>-3.7950000000000159</v>
      </c>
      <c r="AA320" s="3">
        <f t="shared" si="105"/>
        <v>37.200000000000045</v>
      </c>
      <c r="AB320" s="3">
        <f t="shared" si="101"/>
        <v>732.75666666666802</v>
      </c>
      <c r="AC320" s="3">
        <f t="shared" si="102"/>
        <v>-1.1758291159394085E-2</v>
      </c>
      <c r="AD320" s="3">
        <f t="shared" si="106"/>
        <v>-750.05746200000317</v>
      </c>
      <c r="AE320" s="3">
        <f t="shared" si="106"/>
        <v>7352.3419200000089</v>
      </c>
      <c r="AF320" s="3">
        <f t="shared" si="106"/>
        <v>144824.66552400027</v>
      </c>
      <c r="AG320" s="3">
        <f t="shared" si="104"/>
        <v>-2.3239509945908208</v>
      </c>
      <c r="AH320" s="233">
        <f t="shared" si="108"/>
        <v>36765.717372999999</v>
      </c>
      <c r="AI320" s="233">
        <f t="shared" si="108"/>
        <v>325160.50566999998</v>
      </c>
      <c r="AJ320" s="233">
        <f t="shared" si="108"/>
        <v>11227153.921367999</v>
      </c>
      <c r="AK320" s="233">
        <f t="shared" si="108"/>
        <v>9809169.1365360003</v>
      </c>
      <c r="AL320" s="233">
        <f t="shared" si="108"/>
        <v>278.69009448498741</v>
      </c>
      <c r="AM320" s="233">
        <f t="shared" si="107"/>
        <v>37515.774835000004</v>
      </c>
      <c r="AN320" s="233">
        <f t="shared" si="107"/>
        <v>317808.16375000001</v>
      </c>
      <c r="AO320" s="233">
        <f t="shared" si="107"/>
        <v>10818618.670859998</v>
      </c>
      <c r="AP320" s="233">
        <f t="shared" si="107"/>
        <v>10072879.721519999</v>
      </c>
      <c r="AQ320" s="233">
        <f t="shared" si="107"/>
        <v>281.01404547957821</v>
      </c>
      <c r="AS320" s="231">
        <f t="shared" si="103"/>
        <v>0</v>
      </c>
    </row>
    <row r="321" spans="2:47" ht="72.5" x14ac:dyDescent="0.35">
      <c r="B321" s="56" t="s">
        <v>92</v>
      </c>
      <c r="C321" s="361" t="s">
        <v>207</v>
      </c>
      <c r="D321" s="56">
        <v>15</v>
      </c>
      <c r="E321" s="3">
        <v>128.70362999999998</v>
      </c>
      <c r="F321" s="3">
        <v>4919.01</v>
      </c>
      <c r="G321" s="3">
        <v>95645</v>
      </c>
      <c r="H321" s="3">
        <v>80.84</v>
      </c>
      <c r="I321" s="3">
        <v>29.99</v>
      </c>
      <c r="J321" s="3">
        <f t="shared" si="97"/>
        <v>49.81922029902023</v>
      </c>
      <c r="K321" s="3">
        <v>4922.96</v>
      </c>
      <c r="L321" s="3">
        <v>97987.7</v>
      </c>
      <c r="M321" s="3">
        <v>82.94</v>
      </c>
      <c r="N321" s="3">
        <v>30.03</v>
      </c>
      <c r="O321" s="3">
        <f t="shared" si="98"/>
        <v>50.403847445532072</v>
      </c>
      <c r="P321" s="3">
        <f t="shared" si="99"/>
        <v>136.63916666666668</v>
      </c>
      <c r="Q321" s="3">
        <f t="shared" si="100"/>
        <v>2656.8055555555557</v>
      </c>
      <c r="R321" s="3">
        <f t="shared" si="91"/>
        <v>88412.013333333336</v>
      </c>
      <c r="S321" s="3">
        <f t="shared" si="91"/>
        <v>32799.063333333332</v>
      </c>
      <c r="T321" s="3">
        <f t="shared" si="92"/>
        <v>1.3838672305283397</v>
      </c>
      <c r="U321" s="3">
        <f t="shared" si="92"/>
        <v>136.7488888888889</v>
      </c>
      <c r="V321" s="3">
        <f t="shared" si="92"/>
        <v>2721.8805555555555</v>
      </c>
      <c r="W321" s="3">
        <f t="shared" si="93"/>
        <v>90708.713333333333</v>
      </c>
      <c r="X321" s="3">
        <f t="shared" si="93"/>
        <v>32842.810000000005</v>
      </c>
      <c r="Y321" s="3">
        <f t="shared" si="96"/>
        <v>1.4001068734870019</v>
      </c>
      <c r="Z321" s="3">
        <f t="shared" si="105"/>
        <v>-0.10972222222221717</v>
      </c>
      <c r="AA321" s="3">
        <f t="shared" si="105"/>
        <v>-65.074999999999818</v>
      </c>
      <c r="AB321" s="3">
        <f t="shared" si="101"/>
        <v>-2340.4466666666776</v>
      </c>
      <c r="AC321" s="3">
        <f t="shared" si="102"/>
        <v>-1.6239642958662204E-2</v>
      </c>
      <c r="AD321" s="3">
        <f t="shared" si="106"/>
        <v>-14.121648291666014</v>
      </c>
      <c r="AE321" s="3">
        <f t="shared" si="106"/>
        <v>-8375.3887222499743</v>
      </c>
      <c r="AF321" s="3">
        <f t="shared" si="106"/>
        <v>-301223.98182140134</v>
      </c>
      <c r="AG321" s="3">
        <f t="shared" si="104"/>
        <v>-2.0901009986837651</v>
      </c>
      <c r="AH321" s="233">
        <f t="shared" si="108"/>
        <v>17585.956750174999</v>
      </c>
      <c r="AI321" s="233">
        <f t="shared" si="108"/>
        <v>341940.5192041666</v>
      </c>
      <c r="AJ321" s="233">
        <f t="shared" si="108"/>
        <v>11378947.051608399</v>
      </c>
      <c r="AK321" s="233">
        <f t="shared" si="108"/>
        <v>4221358.5115998993</v>
      </c>
      <c r="AL321" s="233">
        <f t="shared" si="108"/>
        <v>178.10873600704412</v>
      </c>
      <c r="AM321" s="233">
        <f t="shared" si="107"/>
        <v>17600.078398466663</v>
      </c>
      <c r="AN321" s="233">
        <f t="shared" si="107"/>
        <v>350315.90792641661</v>
      </c>
      <c r="AO321" s="233">
        <f t="shared" si="107"/>
        <v>11674540.678629398</v>
      </c>
      <c r="AP321" s="233">
        <f t="shared" si="107"/>
        <v>4226988.8664002996</v>
      </c>
      <c r="AQ321" s="233">
        <f t="shared" si="107"/>
        <v>180.19883700572788</v>
      </c>
      <c r="AS321" s="231">
        <f t="shared" si="103"/>
        <v>0</v>
      </c>
    </row>
    <row r="322" spans="2:47" ht="72.5" x14ac:dyDescent="0.35">
      <c r="B322" s="56" t="s">
        <v>92</v>
      </c>
      <c r="C322" s="361" t="s">
        <v>207</v>
      </c>
      <c r="D322" s="56">
        <v>16</v>
      </c>
      <c r="E322" s="3">
        <v>79.763310000000004</v>
      </c>
      <c r="F322" s="3">
        <v>9326.34</v>
      </c>
      <c r="G322" s="3">
        <v>50301.599999999999</v>
      </c>
      <c r="H322" s="3">
        <v>38.520000000000003</v>
      </c>
      <c r="I322" s="3">
        <v>67.790000000000006</v>
      </c>
      <c r="J322" s="3">
        <f t="shared" si="97"/>
        <v>62.960102936532707</v>
      </c>
      <c r="K322" s="3">
        <v>9500.2800000000007</v>
      </c>
      <c r="L322" s="3">
        <v>50430.5</v>
      </c>
      <c r="M322" s="3">
        <v>38.65</v>
      </c>
      <c r="N322" s="3">
        <v>69.31</v>
      </c>
      <c r="O322" s="3">
        <f t="shared" si="98"/>
        <v>63.93982725422299</v>
      </c>
      <c r="P322" s="3">
        <f t="shared" si="99"/>
        <v>259.065</v>
      </c>
      <c r="Q322" s="3">
        <f t="shared" si="100"/>
        <v>1397.2666666666667</v>
      </c>
      <c r="R322" s="3">
        <f t="shared" si="91"/>
        <v>42128.04</v>
      </c>
      <c r="S322" s="3">
        <f t="shared" si="91"/>
        <v>74139.663333333345</v>
      </c>
      <c r="T322" s="3">
        <f t="shared" si="92"/>
        <v>1.7488917482370196</v>
      </c>
      <c r="U322" s="3">
        <f t="shared" si="92"/>
        <v>263.8966666666667</v>
      </c>
      <c r="V322" s="3">
        <f t="shared" si="92"/>
        <v>1400.8472222222222</v>
      </c>
      <c r="W322" s="3">
        <f t="shared" si="93"/>
        <v>42270.216666666667</v>
      </c>
      <c r="X322" s="3">
        <f t="shared" si="93"/>
        <v>75802.036666666667</v>
      </c>
      <c r="Y322" s="3">
        <f t="shared" si="96"/>
        <v>1.7761063126173053</v>
      </c>
      <c r="Z322" s="3">
        <f t="shared" si="105"/>
        <v>-4.8316666666667061</v>
      </c>
      <c r="AA322" s="3">
        <f t="shared" si="105"/>
        <v>-3.5805555555555202</v>
      </c>
      <c r="AB322" s="3">
        <f t="shared" si="101"/>
        <v>-1804.5500000000029</v>
      </c>
      <c r="AC322" s="3">
        <f t="shared" si="102"/>
        <v>-2.7214564380285688E-2</v>
      </c>
      <c r="AD322" s="3">
        <f t="shared" si="106"/>
        <v>-385.38972615000318</v>
      </c>
      <c r="AE322" s="3">
        <f t="shared" si="106"/>
        <v>-285.5969627499972</v>
      </c>
      <c r="AF322" s="3">
        <f t="shared" si="106"/>
        <v>-143936.88106050025</v>
      </c>
      <c r="AG322" s="3">
        <f t="shared" si="104"/>
        <v>-2.1707237351796853</v>
      </c>
      <c r="AH322" s="233">
        <f t="shared" si="108"/>
        <v>20663.88190515</v>
      </c>
      <c r="AI322" s="233">
        <f t="shared" si="108"/>
        <v>111450.61428600001</v>
      </c>
      <c r="AJ322" s="233">
        <f t="shared" si="108"/>
        <v>3360271.9142124001</v>
      </c>
      <c r="AK322" s="233">
        <f t="shared" si="108"/>
        <v>5913624.949752301</v>
      </c>
      <c r="AL322" s="233">
        <f t="shared" si="108"/>
        <v>139.49739467107136</v>
      </c>
      <c r="AM322" s="233">
        <f t="shared" si="107"/>
        <v>21049.271631300006</v>
      </c>
      <c r="AN322" s="233">
        <f t="shared" si="107"/>
        <v>111736.21124875</v>
      </c>
      <c r="AO322" s="233">
        <f t="shared" si="107"/>
        <v>3371612.3957505003</v>
      </c>
      <c r="AP322" s="233">
        <f t="shared" si="107"/>
        <v>6046221.3492747005</v>
      </c>
      <c r="AQ322" s="233">
        <f t="shared" si="107"/>
        <v>141.66811840625104</v>
      </c>
      <c r="AS322" s="231">
        <f t="shared" si="103"/>
        <v>0</v>
      </c>
    </row>
    <row r="323" spans="2:47" ht="72.5" x14ac:dyDescent="0.35">
      <c r="B323" s="56" t="s">
        <v>93</v>
      </c>
      <c r="C323" s="361" t="s">
        <v>207</v>
      </c>
      <c r="D323" s="56">
        <v>9</v>
      </c>
      <c r="E323" s="3">
        <v>6451.92</v>
      </c>
      <c r="F323" s="3">
        <v>13014.4</v>
      </c>
      <c r="G323" s="3">
        <v>602251</v>
      </c>
      <c r="H323" s="3">
        <v>158.16900000000001</v>
      </c>
      <c r="I323" s="3">
        <v>28.145499999999998</v>
      </c>
      <c r="J323" s="3">
        <f t="shared" si="97"/>
        <v>215.74073463476367</v>
      </c>
      <c r="K323" s="3">
        <v>13021.8</v>
      </c>
      <c r="L323" s="3">
        <v>601475</v>
      </c>
      <c r="M323" s="3">
        <v>157.965</v>
      </c>
      <c r="N323" s="3">
        <v>28.163</v>
      </c>
      <c r="O323" s="3">
        <f t="shared" si="98"/>
        <v>215.59458105533881</v>
      </c>
      <c r="P323" s="3">
        <f t="shared" si="99"/>
        <v>147.89090909090908</v>
      </c>
      <c r="Q323" s="3">
        <f t="shared" si="100"/>
        <v>6843.761363636364</v>
      </c>
      <c r="R323" s="3">
        <f t="shared" ref="R323:S386" si="109">H323/VLOOKUP($B323,$N$131:$P$134, 3, FALSE)*VLOOKUP($B323,$N$131:$P$134, 2, FALSE)</f>
        <v>203283.11250000002</v>
      </c>
      <c r="S323" s="3">
        <f t="shared" si="109"/>
        <v>36173.364204545447</v>
      </c>
      <c r="T323" s="3">
        <f t="shared" ref="T323:V386" si="110">J323/VLOOKUP($B323,$N$131:$P$134, 3, FALSE)</f>
        <v>2.4515992572132235</v>
      </c>
      <c r="U323" s="3">
        <f t="shared" si="110"/>
        <v>147.97499999999999</v>
      </c>
      <c r="V323" s="3">
        <f t="shared" si="110"/>
        <v>6834.943181818182</v>
      </c>
      <c r="W323" s="3">
        <f t="shared" ref="W323:X386" si="111">M323/VLOOKUP($B323,$N$131:$P$134, 3, FALSE)*VLOOKUP($B323,$N$131:$P$134, 2, FALSE)</f>
        <v>203020.92613636365</v>
      </c>
      <c r="X323" s="3">
        <f t="shared" si="111"/>
        <v>36195.855681818182</v>
      </c>
      <c r="Y323" s="3">
        <f t="shared" si="96"/>
        <v>2.4499384210833957</v>
      </c>
      <c r="Z323" s="3">
        <f t="shared" si="105"/>
        <v>-8.4090909090917876E-2</v>
      </c>
      <c r="AA323" s="3">
        <f t="shared" si="105"/>
        <v>8.8181818181819835</v>
      </c>
      <c r="AB323" s="3">
        <f t="shared" si="101"/>
        <v>239.69488636363531</v>
      </c>
      <c r="AC323" s="3">
        <f t="shared" si="102"/>
        <v>1.660836129827814E-3</v>
      </c>
      <c r="AD323" s="3">
        <f t="shared" si="106"/>
        <v>-542.54781818187485</v>
      </c>
      <c r="AE323" s="3">
        <f t="shared" si="106"/>
        <v>56894.203636364706</v>
      </c>
      <c r="AF323" s="3">
        <f t="shared" si="106"/>
        <v>1546492.2312272659</v>
      </c>
      <c r="AG323" s="3">
        <f t="shared" si="104"/>
        <v>10.71558184275867</v>
      </c>
      <c r="AH323" s="233">
        <f t="shared" si="108"/>
        <v>954180.31418181804</v>
      </c>
      <c r="AI323" s="233">
        <f t="shared" si="108"/>
        <v>44155400.81727273</v>
      </c>
      <c r="AJ323" s="233">
        <f t="shared" si="108"/>
        <v>1311566379.2010002</v>
      </c>
      <c r="AK323" s="233">
        <f t="shared" si="108"/>
        <v>233387651.97859088</v>
      </c>
      <c r="AL323" s="233">
        <f t="shared" si="108"/>
        <v>15817.522279599141</v>
      </c>
      <c r="AM323" s="233">
        <f t="shared" si="107"/>
        <v>954722.86199999996</v>
      </c>
      <c r="AN323" s="233">
        <f t="shared" si="107"/>
        <v>44098506.613636367</v>
      </c>
      <c r="AO323" s="233">
        <f t="shared" si="107"/>
        <v>1309874773.7577274</v>
      </c>
      <c r="AP323" s="233">
        <f t="shared" si="107"/>
        <v>233532765.19063637</v>
      </c>
      <c r="AQ323" s="233">
        <f t="shared" si="107"/>
        <v>15806.806697756383</v>
      </c>
      <c r="AS323" s="231">
        <f t="shared" si="103"/>
        <v>0</v>
      </c>
    </row>
    <row r="324" spans="2:47" ht="72.5" x14ac:dyDescent="0.35">
      <c r="B324" s="56" t="s">
        <v>93</v>
      </c>
      <c r="C324" s="361" t="s">
        <v>207</v>
      </c>
      <c r="D324" s="56">
        <v>10</v>
      </c>
      <c r="E324" s="3">
        <v>2279.4</v>
      </c>
      <c r="F324" s="3">
        <v>12554.7</v>
      </c>
      <c r="G324" s="3">
        <v>616685</v>
      </c>
      <c r="H324" s="3">
        <v>159.77600000000001</v>
      </c>
      <c r="I324" s="3">
        <v>27.344899999999999</v>
      </c>
      <c r="J324" s="3">
        <f t="shared" si="97"/>
        <v>216.70263572911188</v>
      </c>
      <c r="K324" s="3">
        <v>12563.7</v>
      </c>
      <c r="L324" s="3">
        <v>615892</v>
      </c>
      <c r="M324" s="3">
        <v>159.57900000000001</v>
      </c>
      <c r="N324" s="3">
        <v>27.366499999999998</v>
      </c>
      <c r="O324" s="3">
        <f t="shared" si="98"/>
        <v>216.56112317399982</v>
      </c>
      <c r="P324" s="3">
        <f t="shared" si="99"/>
        <v>142.66704545454547</v>
      </c>
      <c r="Q324" s="3">
        <f t="shared" si="100"/>
        <v>7007.784090909091</v>
      </c>
      <c r="R324" s="3">
        <f t="shared" si="109"/>
        <v>205348.47272727275</v>
      </c>
      <c r="S324" s="3">
        <f t="shared" si="109"/>
        <v>35144.411249999997</v>
      </c>
      <c r="T324" s="3">
        <f t="shared" si="110"/>
        <v>2.4625299514671806</v>
      </c>
      <c r="U324" s="3">
        <f t="shared" si="110"/>
        <v>142.76931818181819</v>
      </c>
      <c r="V324" s="3">
        <f t="shared" si="110"/>
        <v>6998.772727272727</v>
      </c>
      <c r="W324" s="3">
        <f t="shared" si="111"/>
        <v>205095.28295454546</v>
      </c>
      <c r="X324" s="3">
        <f t="shared" si="111"/>
        <v>35172.172159090907</v>
      </c>
      <c r="Y324" s="3">
        <f t="shared" si="96"/>
        <v>2.4609218542499978</v>
      </c>
      <c r="Z324" s="3">
        <f t="shared" si="105"/>
        <v>-0.10227272727271952</v>
      </c>
      <c r="AA324" s="3">
        <f t="shared" si="105"/>
        <v>9.0113636363639671</v>
      </c>
      <c r="AB324" s="3">
        <f t="shared" si="101"/>
        <v>225.42886363638536</v>
      </c>
      <c r="AC324" s="3">
        <f t="shared" si="102"/>
        <v>1.6080972171828023E-3</v>
      </c>
      <c r="AD324" s="3">
        <f t="shared" si="106"/>
        <v>-233.1204545454369</v>
      </c>
      <c r="AE324" s="3">
        <f t="shared" si="106"/>
        <v>20540.502272728027</v>
      </c>
      <c r="AF324" s="3">
        <f t="shared" si="106"/>
        <v>513842.55177277682</v>
      </c>
      <c r="AG324" s="3">
        <f t="shared" si="104"/>
        <v>3.6654967968464796</v>
      </c>
      <c r="AH324" s="233">
        <f t="shared" si="108"/>
        <v>325195.26340909099</v>
      </c>
      <c r="AI324" s="233">
        <f t="shared" si="108"/>
        <v>15973543.056818184</v>
      </c>
      <c r="AJ324" s="233">
        <f t="shared" si="108"/>
        <v>468071308.73454553</v>
      </c>
      <c r="AK324" s="233">
        <f t="shared" si="108"/>
        <v>80108171.003250003</v>
      </c>
      <c r="AL324" s="233">
        <f t="shared" si="108"/>
        <v>5613.0907713742918</v>
      </c>
      <c r="AM324" s="233">
        <f t="shared" si="107"/>
        <v>325428.38386363641</v>
      </c>
      <c r="AN324" s="233">
        <f t="shared" si="107"/>
        <v>15953002.554545455</v>
      </c>
      <c r="AO324" s="233">
        <f t="shared" si="107"/>
        <v>467494187.96659094</v>
      </c>
      <c r="AP324" s="233">
        <f t="shared" si="107"/>
        <v>80171449.219431818</v>
      </c>
      <c r="AQ324" s="233">
        <f t="shared" si="107"/>
        <v>5609.4252745774447</v>
      </c>
      <c r="AS324" s="231">
        <f t="shared" si="103"/>
        <v>0</v>
      </c>
    </row>
    <row r="325" spans="2:47" ht="72.5" x14ac:dyDescent="0.35">
      <c r="B325" s="56" t="s">
        <v>93</v>
      </c>
      <c r="C325" s="361" t="s">
        <v>207</v>
      </c>
      <c r="D325" s="56">
        <v>11</v>
      </c>
      <c r="E325" s="3">
        <v>650.75999999999988</v>
      </c>
      <c r="F325" s="3">
        <v>15434.8</v>
      </c>
      <c r="G325" s="3">
        <v>618916</v>
      </c>
      <c r="H325" s="3">
        <v>165.22200000000001</v>
      </c>
      <c r="I325" s="3">
        <v>34.0364</v>
      </c>
      <c r="J325" s="3">
        <f t="shared" si="97"/>
        <v>232.94815518896849</v>
      </c>
      <c r="K325" s="3">
        <v>15448.4</v>
      </c>
      <c r="L325" s="3">
        <v>618301</v>
      </c>
      <c r="M325" s="3">
        <v>165.04900000000001</v>
      </c>
      <c r="N325" s="3">
        <v>34.068399999999997</v>
      </c>
      <c r="O325" s="3">
        <f t="shared" si="98"/>
        <v>232.87451636296834</v>
      </c>
      <c r="P325" s="3">
        <f t="shared" si="99"/>
        <v>175.39545454545453</v>
      </c>
      <c r="Q325" s="3">
        <f t="shared" si="100"/>
        <v>7033.136363636364</v>
      </c>
      <c r="R325" s="3">
        <f t="shared" si="109"/>
        <v>212347.82045454546</v>
      </c>
      <c r="S325" s="3">
        <f t="shared" si="109"/>
        <v>43744.509545454544</v>
      </c>
      <c r="T325" s="3">
        <f t="shared" si="110"/>
        <v>2.6471381271473691</v>
      </c>
      <c r="U325" s="3">
        <f t="shared" si="110"/>
        <v>175.54999999999998</v>
      </c>
      <c r="V325" s="3">
        <f t="shared" si="110"/>
        <v>7026.147727272727</v>
      </c>
      <c r="W325" s="3">
        <f t="shared" si="111"/>
        <v>212125.47613636364</v>
      </c>
      <c r="X325" s="3">
        <f t="shared" si="111"/>
        <v>43785.636818181811</v>
      </c>
      <c r="Y325" s="3">
        <f t="shared" si="96"/>
        <v>2.6463013223064582</v>
      </c>
      <c r="Z325" s="3">
        <f t="shared" si="105"/>
        <v>-0.1545454545454561</v>
      </c>
      <c r="AA325" s="3">
        <f t="shared" si="105"/>
        <v>6.9886363636369424</v>
      </c>
      <c r="AB325" s="3">
        <f t="shared" si="101"/>
        <v>181.21704545457033</v>
      </c>
      <c r="AC325" s="3">
        <f t="shared" si="102"/>
        <v>8.3680484091086527E-4</v>
      </c>
      <c r="AD325" s="3">
        <f t="shared" si="106"/>
        <v>-100.57200000000098</v>
      </c>
      <c r="AE325" s="3">
        <f t="shared" si="106"/>
        <v>4547.9250000003758</v>
      </c>
      <c r="AF325" s="3">
        <f t="shared" si="106"/>
        <v>117928.80450001617</v>
      </c>
      <c r="AG325" s="3">
        <f t="shared" si="104"/>
        <v>0.54455911827115455</v>
      </c>
      <c r="AH325" s="233">
        <f t="shared" si="108"/>
        <v>114140.34599999996</v>
      </c>
      <c r="AI325" s="233">
        <f t="shared" si="108"/>
        <v>4576883.8199999994</v>
      </c>
      <c r="AJ325" s="233">
        <f t="shared" si="108"/>
        <v>138187467.63899997</v>
      </c>
      <c r="AK325" s="233">
        <f t="shared" si="108"/>
        <v>28467177.031799994</v>
      </c>
      <c r="AL325" s="233">
        <f t="shared" si="108"/>
        <v>1722.6516076224216</v>
      </c>
      <c r="AM325" s="233">
        <f t="shared" si="107"/>
        <v>114240.91799999996</v>
      </c>
      <c r="AN325" s="233">
        <f t="shared" si="107"/>
        <v>4572335.8949999986</v>
      </c>
      <c r="AO325" s="233">
        <f t="shared" si="107"/>
        <v>138042774.85049999</v>
      </c>
      <c r="AP325" s="233">
        <f t="shared" si="107"/>
        <v>28493941.015799988</v>
      </c>
      <c r="AQ325" s="233">
        <f t="shared" si="107"/>
        <v>1722.1070485041505</v>
      </c>
      <c r="AS325" s="231">
        <f t="shared" si="103"/>
        <v>0</v>
      </c>
    </row>
    <row r="326" spans="2:47" ht="72.5" x14ac:dyDescent="0.35">
      <c r="B326" s="56" t="s">
        <v>93</v>
      </c>
      <c r="C326" s="361" t="s">
        <v>207</v>
      </c>
      <c r="D326" s="56">
        <v>13</v>
      </c>
      <c r="E326" s="3">
        <v>1072.4199999999998</v>
      </c>
      <c r="F326" s="3">
        <v>14504.4</v>
      </c>
      <c r="G326" s="3">
        <v>636603</v>
      </c>
      <c r="H326" s="3">
        <v>164.244603579949</v>
      </c>
      <c r="I326" s="3">
        <v>46.018711544081903</v>
      </c>
      <c r="J326" s="3">
        <f t="shared" si="97"/>
        <v>232.12453745976592</v>
      </c>
      <c r="K326" s="3">
        <v>14519.3</v>
      </c>
      <c r="L326" s="3">
        <v>635830</v>
      </c>
      <c r="M326" s="3">
        <v>164.05346436445399</v>
      </c>
      <c r="N326" s="3">
        <v>46.0679872471555</v>
      </c>
      <c r="O326" s="3">
        <f t="shared" si="98"/>
        <v>232.02001312464847</v>
      </c>
      <c r="P326" s="3">
        <f t="shared" si="99"/>
        <v>164.82272727272726</v>
      </c>
      <c r="Q326" s="3">
        <f t="shared" si="100"/>
        <v>7234.125</v>
      </c>
      <c r="R326" s="3">
        <f t="shared" si="109"/>
        <v>211091.64391922991</v>
      </c>
      <c r="S326" s="3">
        <f t="shared" si="109"/>
        <v>59144.50313222345</v>
      </c>
      <c r="T326" s="3">
        <f t="shared" si="110"/>
        <v>2.6377788347700672</v>
      </c>
      <c r="U326" s="3">
        <f t="shared" si="110"/>
        <v>164.99204545454543</v>
      </c>
      <c r="V326" s="3">
        <f t="shared" si="110"/>
        <v>7225.340909090909</v>
      </c>
      <c r="W326" s="3">
        <f t="shared" si="111"/>
        <v>210845.98658658803</v>
      </c>
      <c r="X326" s="3">
        <f t="shared" si="111"/>
        <v>59207.833609696441</v>
      </c>
      <c r="Y326" s="3">
        <f t="shared" si="96"/>
        <v>2.6365910582346417</v>
      </c>
      <c r="Z326" s="3">
        <f t="shared" si="105"/>
        <v>-0.16931818181816993</v>
      </c>
      <c r="AA326" s="3">
        <f t="shared" si="105"/>
        <v>8.7840909090909918</v>
      </c>
      <c r="AB326" s="3">
        <f t="shared" si="101"/>
        <v>182.32685516888887</v>
      </c>
      <c r="AC326" s="3">
        <f t="shared" si="102"/>
        <v>1.1877765354255665E-3</v>
      </c>
      <c r="AD326" s="3">
        <f t="shared" si="106"/>
        <v>-181.58020454544177</v>
      </c>
      <c r="AE326" s="3">
        <f t="shared" si="106"/>
        <v>9420.2347727273609</v>
      </c>
      <c r="AF326" s="3">
        <f t="shared" si="106"/>
        <v>195530.96602021978</v>
      </c>
      <c r="AG326" s="3">
        <f t="shared" si="104"/>
        <v>1.2737953121210859</v>
      </c>
      <c r="AH326" s="233">
        <f t="shared" si="108"/>
        <v>176759.18918181813</v>
      </c>
      <c r="AI326" s="233">
        <f t="shared" si="108"/>
        <v>7758020.3324999986</v>
      </c>
      <c r="AJ326" s="233">
        <f t="shared" si="108"/>
        <v>226378900.77186051</v>
      </c>
      <c r="AK326" s="233">
        <f t="shared" si="108"/>
        <v>63427748.049059063</v>
      </c>
      <c r="AL326" s="233">
        <f t="shared" si="108"/>
        <v>2828.8067779841149</v>
      </c>
      <c r="AM326" s="233">
        <f t="shared" si="107"/>
        <v>176940.76938636359</v>
      </c>
      <c r="AN326" s="233">
        <f t="shared" si="107"/>
        <v>7748600.0977272717</v>
      </c>
      <c r="AO326" s="233">
        <f t="shared" si="107"/>
        <v>226115452.93518871</v>
      </c>
      <c r="AP326" s="233">
        <f t="shared" si="107"/>
        <v>63495664.919710651</v>
      </c>
      <c r="AQ326" s="233">
        <f t="shared" si="107"/>
        <v>2827.532982671994</v>
      </c>
      <c r="AS326" s="231">
        <f t="shared" si="103"/>
        <v>0</v>
      </c>
    </row>
    <row r="327" spans="2:47" ht="72.5" x14ac:dyDescent="0.35">
      <c r="B327" s="56" t="s">
        <v>93</v>
      </c>
      <c r="C327" s="361" t="s">
        <v>207</v>
      </c>
      <c r="D327" s="56">
        <v>14</v>
      </c>
      <c r="E327" s="3">
        <v>487.2</v>
      </c>
      <c r="F327" s="3">
        <v>14671.1</v>
      </c>
      <c r="G327" s="3">
        <v>621084</v>
      </c>
      <c r="H327" s="3">
        <v>165.108</v>
      </c>
      <c r="I327" s="3">
        <v>32.447000000000003</v>
      </c>
      <c r="J327" s="3">
        <f t="shared" si="97"/>
        <v>229.30370394638481</v>
      </c>
      <c r="K327" s="3">
        <v>14689.7</v>
      </c>
      <c r="L327" s="3">
        <v>620464</v>
      </c>
      <c r="M327" s="3">
        <v>164.93</v>
      </c>
      <c r="N327" s="3">
        <v>32.491500000000002</v>
      </c>
      <c r="O327" s="3">
        <f t="shared" si="98"/>
        <v>229.25613545740725</v>
      </c>
      <c r="P327" s="3">
        <f t="shared" si="99"/>
        <v>166.71704545454546</v>
      </c>
      <c r="Q327" s="3">
        <f t="shared" si="100"/>
        <v>7057.772727272727</v>
      </c>
      <c r="R327" s="3">
        <f t="shared" si="109"/>
        <v>212201.30454545456</v>
      </c>
      <c r="S327" s="3">
        <f t="shared" si="109"/>
        <v>41701.769318181825</v>
      </c>
      <c r="T327" s="3">
        <f t="shared" si="110"/>
        <v>2.6057239084816457</v>
      </c>
      <c r="U327" s="3">
        <f t="shared" si="110"/>
        <v>166.9284090909091</v>
      </c>
      <c r="V327" s="3">
        <f t="shared" si="110"/>
        <v>7050.727272727273</v>
      </c>
      <c r="W327" s="3">
        <f t="shared" si="111"/>
        <v>211972.53409090909</v>
      </c>
      <c r="X327" s="3">
        <f t="shared" si="111"/>
        <v>41758.961931818187</v>
      </c>
      <c r="Y327" s="3">
        <f t="shared" si="96"/>
        <v>2.605183357470537</v>
      </c>
      <c r="Z327" s="3">
        <f t="shared" si="105"/>
        <v>-0.21136363636364308</v>
      </c>
      <c r="AA327" s="3">
        <f t="shared" si="105"/>
        <v>7.0454545454540494</v>
      </c>
      <c r="AB327" s="3">
        <f t="shared" si="101"/>
        <v>171.57784090910718</v>
      </c>
      <c r="AC327" s="3">
        <f t="shared" si="102"/>
        <v>5.4055101110872528E-4</v>
      </c>
      <c r="AD327" s="3">
        <f t="shared" si="106"/>
        <v>-102.97636363636691</v>
      </c>
      <c r="AE327" s="3">
        <f t="shared" si="106"/>
        <v>3432.5454545452126</v>
      </c>
      <c r="AF327" s="3">
        <f t="shared" si="106"/>
        <v>83592.724090917021</v>
      </c>
      <c r="AG327" s="3">
        <f t="shared" si="104"/>
        <v>0.26335645261217094</v>
      </c>
      <c r="AH327" s="233">
        <f t="shared" si="108"/>
        <v>81224.544545454541</v>
      </c>
      <c r="AI327" s="233">
        <f t="shared" si="108"/>
        <v>3438546.8727272726</v>
      </c>
      <c r="AJ327" s="233">
        <f t="shared" si="108"/>
        <v>103384475.57454546</v>
      </c>
      <c r="AK327" s="233">
        <f t="shared" si="108"/>
        <v>20317102.011818185</v>
      </c>
      <c r="AL327" s="233">
        <f t="shared" si="108"/>
        <v>1269.5086882122578</v>
      </c>
      <c r="AM327" s="233">
        <f t="shared" si="107"/>
        <v>81327.520909090905</v>
      </c>
      <c r="AN327" s="233">
        <f t="shared" si="107"/>
        <v>3435114.3272727272</v>
      </c>
      <c r="AO327" s="233">
        <f t="shared" si="107"/>
        <v>103273018.60909091</v>
      </c>
      <c r="AP327" s="233">
        <f t="shared" si="107"/>
        <v>20344966.253181819</v>
      </c>
      <c r="AQ327" s="233">
        <f t="shared" si="107"/>
        <v>1269.2453317596455</v>
      </c>
      <c r="AS327" s="231">
        <f t="shared" si="103"/>
        <v>0</v>
      </c>
    </row>
    <row r="328" spans="2:47" ht="72.5" x14ac:dyDescent="0.35">
      <c r="B328" s="56" t="s">
        <v>93</v>
      </c>
      <c r="C328" s="361" t="s">
        <v>207</v>
      </c>
      <c r="D328" s="56">
        <v>15</v>
      </c>
      <c r="E328" s="3">
        <v>317.26</v>
      </c>
      <c r="F328" s="3">
        <v>9835.24</v>
      </c>
      <c r="G328" s="3">
        <v>732471</v>
      </c>
      <c r="H328" s="3">
        <v>181.667524940813</v>
      </c>
      <c r="I328" s="3">
        <v>30.878207444525501</v>
      </c>
      <c r="J328" s="3">
        <f t="shared" si="97"/>
        <v>229.69941760241312</v>
      </c>
      <c r="K328" s="3">
        <v>9839.09</v>
      </c>
      <c r="L328" s="3">
        <v>731471</v>
      </c>
      <c r="M328" s="3">
        <v>181.42852761870199</v>
      </c>
      <c r="N328" s="3">
        <v>30.891037410251101</v>
      </c>
      <c r="O328" s="3">
        <f t="shared" si="98"/>
        <v>229.48006105913998</v>
      </c>
      <c r="P328" s="3">
        <f t="shared" si="99"/>
        <v>111.76409090909091</v>
      </c>
      <c r="Q328" s="3">
        <f t="shared" si="100"/>
        <v>8323.5340909090901</v>
      </c>
      <c r="R328" s="3">
        <f t="shared" si="109"/>
        <v>233484.05762279485</v>
      </c>
      <c r="S328" s="3">
        <f t="shared" si="109"/>
        <v>39685.51434063448</v>
      </c>
      <c r="T328" s="3">
        <f t="shared" si="110"/>
        <v>2.6102206545728763</v>
      </c>
      <c r="U328" s="3">
        <f t="shared" si="110"/>
        <v>111.80784090909091</v>
      </c>
      <c r="V328" s="3">
        <f t="shared" si="110"/>
        <v>8312.170454545454</v>
      </c>
      <c r="W328" s="3">
        <f t="shared" si="111"/>
        <v>233176.89174630903</v>
      </c>
      <c r="X328" s="3">
        <f t="shared" si="111"/>
        <v>39702.003762493179</v>
      </c>
      <c r="Y328" s="3">
        <f t="shared" si="96"/>
        <v>2.6077279665811361</v>
      </c>
      <c r="Z328" s="3">
        <f t="shared" si="105"/>
        <v>-4.3750000000002842E-2</v>
      </c>
      <c r="AA328" s="3">
        <f t="shared" si="105"/>
        <v>11.363636363636033</v>
      </c>
      <c r="AB328" s="3">
        <f t="shared" si="101"/>
        <v>290.67645462712244</v>
      </c>
      <c r="AC328" s="3">
        <f t="shared" si="102"/>
        <v>2.4926879917401834E-3</v>
      </c>
      <c r="AD328" s="3">
        <f t="shared" si="106"/>
        <v>-13.880125000000902</v>
      </c>
      <c r="AE328" s="3">
        <f t="shared" si="106"/>
        <v>3605.2272727271675</v>
      </c>
      <c r="AF328" s="3">
        <f t="shared" si="106"/>
        <v>92220.011995000867</v>
      </c>
      <c r="AG328" s="3">
        <f t="shared" si="104"/>
        <v>0.79083019225949058</v>
      </c>
      <c r="AH328" s="233">
        <f t="shared" si="108"/>
        <v>35458.275481818178</v>
      </c>
      <c r="AI328" s="233">
        <f t="shared" si="108"/>
        <v>2640724.4256818178</v>
      </c>
      <c r="AJ328" s="233">
        <f t="shared" si="108"/>
        <v>74075152.121407896</v>
      </c>
      <c r="AK328" s="233">
        <f t="shared" si="108"/>
        <v>12590626.279709695</v>
      </c>
      <c r="AL328" s="233">
        <f t="shared" si="108"/>
        <v>828.11860486979072</v>
      </c>
      <c r="AM328" s="233">
        <f t="shared" si="107"/>
        <v>35472.155606818182</v>
      </c>
      <c r="AN328" s="233">
        <f t="shared" si="107"/>
        <v>2637119.1984090907</v>
      </c>
      <c r="AO328" s="233">
        <f t="shared" si="107"/>
        <v>73977700.675434008</v>
      </c>
      <c r="AP328" s="233">
        <f t="shared" si="107"/>
        <v>12595857.713688586</v>
      </c>
      <c r="AQ328" s="233">
        <f t="shared" si="107"/>
        <v>827.32777467753124</v>
      </c>
      <c r="AS328" s="231">
        <f t="shared" si="103"/>
        <v>0</v>
      </c>
    </row>
    <row r="329" spans="2:47" ht="72.5" x14ac:dyDescent="0.35">
      <c r="B329" s="56" t="s">
        <v>94</v>
      </c>
      <c r="C329" s="361" t="s">
        <v>207</v>
      </c>
      <c r="D329" s="56">
        <v>9</v>
      </c>
      <c r="E329" s="3">
        <v>556.20000000000005</v>
      </c>
      <c r="F329" s="3">
        <v>14084.3</v>
      </c>
      <c r="G329" s="3">
        <v>586889</v>
      </c>
      <c r="H329" s="3">
        <v>139.49600000000001</v>
      </c>
      <c r="I329" s="3">
        <v>27.4619</v>
      </c>
      <c r="J329" s="3">
        <f t="shared" si="97"/>
        <v>217.88407231044181</v>
      </c>
      <c r="K329" s="3">
        <v>14088.5</v>
      </c>
      <c r="L329" s="3">
        <v>586464</v>
      </c>
      <c r="M329" s="3">
        <v>139.39599999999999</v>
      </c>
      <c r="N329" s="3">
        <v>27.4709</v>
      </c>
      <c r="O329" s="3">
        <f t="shared" si="98"/>
        <v>217.80482955774289</v>
      </c>
      <c r="P329" s="3">
        <f t="shared" si="99"/>
        <v>120.37863247863247</v>
      </c>
      <c r="Q329" s="3">
        <f t="shared" si="100"/>
        <v>5016.1452991452988</v>
      </c>
      <c r="R329" s="3">
        <f t="shared" si="109"/>
        <v>149511.09743589745</v>
      </c>
      <c r="S329" s="3">
        <f t="shared" si="109"/>
        <v>29433.523589743589</v>
      </c>
      <c r="T329" s="3">
        <f t="shared" si="110"/>
        <v>1.8622570282943745</v>
      </c>
      <c r="U329" s="3">
        <f t="shared" si="110"/>
        <v>120.41452991452991</v>
      </c>
      <c r="V329" s="3">
        <f t="shared" si="110"/>
        <v>5012.5128205128203</v>
      </c>
      <c r="W329" s="3">
        <f t="shared" si="111"/>
        <v>149403.91794871795</v>
      </c>
      <c r="X329" s="3">
        <f t="shared" si="111"/>
        <v>29443.169743589744</v>
      </c>
      <c r="Y329" s="3">
        <f t="shared" si="96"/>
        <v>1.8615797398097682</v>
      </c>
      <c r="Z329" s="3">
        <f t="shared" si="105"/>
        <v>-3.5897435897439323E-2</v>
      </c>
      <c r="AA329" s="3">
        <f t="shared" si="105"/>
        <v>3.6324786324785237</v>
      </c>
      <c r="AB329" s="3">
        <f t="shared" si="101"/>
        <v>97.5333333333474</v>
      </c>
      <c r="AC329" s="3">
        <f t="shared" si="102"/>
        <v>6.7728848460624214E-4</v>
      </c>
      <c r="AD329" s="3">
        <f t="shared" si="106"/>
        <v>-19.966153846155752</v>
      </c>
      <c r="AE329" s="3">
        <f t="shared" si="106"/>
        <v>2020.384615384555</v>
      </c>
      <c r="AF329" s="3">
        <f t="shared" si="106"/>
        <v>54248.04000000783</v>
      </c>
      <c r="AG329" s="3">
        <f t="shared" si="104"/>
        <v>0.37670785513799193</v>
      </c>
      <c r="AH329" s="233">
        <f t="shared" si="108"/>
        <v>66954.595384615386</v>
      </c>
      <c r="AI329" s="233">
        <f t="shared" si="108"/>
        <v>2789980.0153846154</v>
      </c>
      <c r="AJ329" s="233">
        <f t="shared" si="108"/>
        <v>83158072.393846169</v>
      </c>
      <c r="AK329" s="233">
        <f t="shared" si="108"/>
        <v>16370925.820615385</v>
      </c>
      <c r="AL329" s="233">
        <f t="shared" si="108"/>
        <v>1035.7873591373311</v>
      </c>
      <c r="AM329" s="233">
        <f t="shared" si="107"/>
        <v>66974.561538461538</v>
      </c>
      <c r="AN329" s="233">
        <f t="shared" si="107"/>
        <v>2787959.6307692309</v>
      </c>
      <c r="AO329" s="233">
        <f t="shared" si="107"/>
        <v>83098459.163076937</v>
      </c>
      <c r="AP329" s="233">
        <f t="shared" si="107"/>
        <v>16376291.011384618</v>
      </c>
      <c r="AQ329" s="233">
        <f t="shared" si="107"/>
        <v>1035.4106512821932</v>
      </c>
      <c r="AS329" s="231">
        <f t="shared" si="103"/>
        <v>0</v>
      </c>
    </row>
    <row r="330" spans="2:47" ht="72.5" x14ac:dyDescent="0.35">
      <c r="B330" s="56" t="s">
        <v>94</v>
      </c>
      <c r="C330" s="361" t="s">
        <v>207</v>
      </c>
      <c r="D330" s="56">
        <v>10</v>
      </c>
      <c r="E330" s="3">
        <v>196.50000000000003</v>
      </c>
      <c r="F330" s="3">
        <v>13696.9</v>
      </c>
      <c r="G330" s="3">
        <v>598283</v>
      </c>
      <c r="H330" s="3">
        <v>140.57599999999999</v>
      </c>
      <c r="I330" s="3">
        <v>26.956700000000001</v>
      </c>
      <c r="J330" s="3">
        <f t="shared" si="97"/>
        <v>218.50964575832353</v>
      </c>
      <c r="K330" s="3">
        <v>13701.7</v>
      </c>
      <c r="L330" s="3">
        <v>597843</v>
      </c>
      <c r="M330" s="3">
        <v>140.47800000000001</v>
      </c>
      <c r="N330" s="3">
        <v>26.966999999999999</v>
      </c>
      <c r="O330" s="3">
        <f t="shared" si="98"/>
        <v>218.43007031860654</v>
      </c>
      <c r="P330" s="3">
        <f t="shared" si="99"/>
        <v>117.06752136752137</v>
      </c>
      <c r="Q330" s="3">
        <f t="shared" si="100"/>
        <v>5113.5299145299141</v>
      </c>
      <c r="R330" s="3">
        <f t="shared" si="109"/>
        <v>150668.63589743589</v>
      </c>
      <c r="S330" s="3">
        <f t="shared" si="109"/>
        <v>28892.052820512825</v>
      </c>
      <c r="T330" s="3">
        <f t="shared" si="110"/>
        <v>1.867603809900201</v>
      </c>
      <c r="U330" s="3">
        <f t="shared" si="110"/>
        <v>117.10854700854702</v>
      </c>
      <c r="V330" s="3">
        <f t="shared" si="110"/>
        <v>5109.7692307692305</v>
      </c>
      <c r="W330" s="3">
        <f t="shared" si="111"/>
        <v>150563.6</v>
      </c>
      <c r="X330" s="3">
        <f t="shared" si="111"/>
        <v>28903.092307692306</v>
      </c>
      <c r="Y330" s="3">
        <f t="shared" si="96"/>
        <v>1.8669236779368081</v>
      </c>
      <c r="Z330" s="3">
        <f t="shared" si="105"/>
        <v>-4.1025641025655091E-2</v>
      </c>
      <c r="AA330" s="3">
        <f t="shared" si="105"/>
        <v>3.7606837606836052</v>
      </c>
      <c r="AB330" s="3">
        <f t="shared" si="101"/>
        <v>93.996410256397212</v>
      </c>
      <c r="AC330" s="3">
        <f t="shared" si="102"/>
        <v>6.8013196339289372E-4</v>
      </c>
      <c r="AD330" s="3">
        <f t="shared" si="106"/>
        <v>-8.0615384615412271</v>
      </c>
      <c r="AE330" s="3">
        <f t="shared" si="106"/>
        <v>738.97435897432854</v>
      </c>
      <c r="AF330" s="3">
        <f t="shared" si="106"/>
        <v>18470.294615382056</v>
      </c>
      <c r="AG330" s="3">
        <f t="shared" si="104"/>
        <v>0.13364593080670364</v>
      </c>
      <c r="AH330" s="233">
        <f t="shared" si="108"/>
        <v>23003.767948717952</v>
      </c>
      <c r="AI330" s="233">
        <f t="shared" si="108"/>
        <v>1004808.6282051282</v>
      </c>
      <c r="AJ330" s="233">
        <f t="shared" si="108"/>
        <v>29606386.953846157</v>
      </c>
      <c r="AK330" s="233">
        <f t="shared" si="108"/>
        <v>5677288.3792307712</v>
      </c>
      <c r="AL330" s="233">
        <f t="shared" si="108"/>
        <v>366.98414864538955</v>
      </c>
      <c r="AM330" s="233">
        <f t="shared" si="107"/>
        <v>23011.829487179493</v>
      </c>
      <c r="AN330" s="233">
        <f t="shared" si="107"/>
        <v>1004069.653846154</v>
      </c>
      <c r="AO330" s="233">
        <f t="shared" si="107"/>
        <v>29585747.400000006</v>
      </c>
      <c r="AP330" s="233">
        <f t="shared" si="107"/>
        <v>5679457.6384615386</v>
      </c>
      <c r="AQ330" s="233">
        <f t="shared" si="107"/>
        <v>366.85050271458283</v>
      </c>
      <c r="AS330" s="231">
        <f t="shared" si="103"/>
        <v>0</v>
      </c>
    </row>
    <row r="331" spans="2:47" ht="72.5" x14ac:dyDescent="0.35">
      <c r="B331" s="56" t="s">
        <v>94</v>
      </c>
      <c r="C331" s="361" t="s">
        <v>207</v>
      </c>
      <c r="D331" s="56">
        <v>11</v>
      </c>
      <c r="E331" s="3">
        <v>56.1</v>
      </c>
      <c r="F331" s="3">
        <v>17437.3</v>
      </c>
      <c r="G331" s="3">
        <v>599622</v>
      </c>
      <c r="H331" s="3">
        <v>145.14099999999999</v>
      </c>
      <c r="I331" s="3">
        <v>34.811199999999999</v>
      </c>
      <c r="J331" s="3">
        <f t="shared" si="97"/>
        <v>239.23320811875169</v>
      </c>
      <c r="K331" s="3">
        <v>17444.099999999999</v>
      </c>
      <c r="L331" s="3">
        <v>599291</v>
      </c>
      <c r="M331" s="3">
        <v>145.06</v>
      </c>
      <c r="N331" s="3">
        <v>34.825499999999998</v>
      </c>
      <c r="O331" s="3">
        <f t="shared" si="98"/>
        <v>239.19074033802048</v>
      </c>
      <c r="P331" s="3">
        <f t="shared" si="99"/>
        <v>149.03675213675214</v>
      </c>
      <c r="Q331" s="3">
        <f t="shared" si="100"/>
        <v>5124.9743589743593</v>
      </c>
      <c r="R331" s="3">
        <f t="shared" si="109"/>
        <v>155561.37948717948</v>
      </c>
      <c r="S331" s="3">
        <f t="shared" si="109"/>
        <v>37310.465641025636</v>
      </c>
      <c r="T331" s="3">
        <f t="shared" si="110"/>
        <v>2.0447282745192452</v>
      </c>
      <c r="U331" s="3">
        <f t="shared" si="110"/>
        <v>149.09487179487178</v>
      </c>
      <c r="V331" s="3">
        <f t="shared" si="110"/>
        <v>5122.1452991452988</v>
      </c>
      <c r="W331" s="3">
        <f t="shared" si="111"/>
        <v>155474.56410256409</v>
      </c>
      <c r="X331" s="3">
        <f t="shared" si="111"/>
        <v>37325.792307692311</v>
      </c>
      <c r="Y331" s="3">
        <f t="shared" si="96"/>
        <v>2.0443653020343628</v>
      </c>
      <c r="Z331" s="3">
        <f t="shared" si="105"/>
        <v>-5.8119658119636597E-2</v>
      </c>
      <c r="AA331" s="3">
        <f t="shared" si="105"/>
        <v>2.8290598290604976</v>
      </c>
      <c r="AB331" s="3">
        <f t="shared" si="101"/>
        <v>71.488717948705016</v>
      </c>
      <c r="AC331" s="3">
        <f t="shared" si="102"/>
        <v>3.6297248488237344E-4</v>
      </c>
      <c r="AD331" s="3">
        <f t="shared" si="106"/>
        <v>-3.2605128205116132</v>
      </c>
      <c r="AE331" s="3">
        <f t="shared" si="106"/>
        <v>158.71025641029391</v>
      </c>
      <c r="AF331" s="3">
        <f t="shared" si="106"/>
        <v>4010.5170769223514</v>
      </c>
      <c r="AG331" s="3">
        <f t="shared" si="104"/>
        <v>2.036275640190115E-2</v>
      </c>
      <c r="AH331" s="233">
        <f t="shared" si="108"/>
        <v>8360.9617948717951</v>
      </c>
      <c r="AI331" s="233">
        <f t="shared" si="108"/>
        <v>287511.0615384616</v>
      </c>
      <c r="AJ331" s="233">
        <f t="shared" si="108"/>
        <v>8726993.3892307691</v>
      </c>
      <c r="AK331" s="233">
        <f t="shared" si="108"/>
        <v>2093117.1224615383</v>
      </c>
      <c r="AL331" s="233">
        <f t="shared" si="108"/>
        <v>114.70925620052967</v>
      </c>
      <c r="AM331" s="233">
        <f t="shared" si="107"/>
        <v>8364.2223076923074</v>
      </c>
      <c r="AN331" s="233">
        <f t="shared" si="107"/>
        <v>287352.3512820513</v>
      </c>
      <c r="AO331" s="233">
        <f t="shared" si="107"/>
        <v>8722123.0461538453</v>
      </c>
      <c r="AP331" s="233">
        <f t="shared" si="107"/>
        <v>2093976.9484615386</v>
      </c>
      <c r="AQ331" s="233">
        <f t="shared" si="107"/>
        <v>114.68889344412776</v>
      </c>
      <c r="AS331" s="231">
        <f t="shared" si="103"/>
        <v>0</v>
      </c>
    </row>
    <row r="332" spans="2:47" ht="72.5" x14ac:dyDescent="0.35">
      <c r="B332" s="56" t="s">
        <v>94</v>
      </c>
      <c r="C332" s="361" t="s">
        <v>207</v>
      </c>
      <c r="D332" s="56">
        <v>13</v>
      </c>
      <c r="E332" s="3">
        <v>92.45</v>
      </c>
      <c r="F332" s="3">
        <v>15633.2</v>
      </c>
      <c r="G332" s="3">
        <v>619221</v>
      </c>
      <c r="H332" s="3">
        <v>145.093621466591</v>
      </c>
      <c r="I332" s="3">
        <v>44.734367539479798</v>
      </c>
      <c r="J332" s="3">
        <f t="shared" si="97"/>
        <v>234.10362140950741</v>
      </c>
      <c r="K332" s="3">
        <v>15640.7</v>
      </c>
      <c r="L332" s="3">
        <v>618795</v>
      </c>
      <c r="M332" s="3">
        <v>144.998853348669</v>
      </c>
      <c r="N332" s="3">
        <v>44.7567822166206</v>
      </c>
      <c r="O332" s="3">
        <f t="shared" si="98"/>
        <v>234.04213789821284</v>
      </c>
      <c r="P332" s="3">
        <f t="shared" si="99"/>
        <v>133.61709401709402</v>
      </c>
      <c r="Q332" s="3">
        <f t="shared" si="100"/>
        <v>5292.4871794871797</v>
      </c>
      <c r="R332" s="3">
        <f t="shared" si="109"/>
        <v>155510.59941803856</v>
      </c>
      <c r="S332" s="3">
        <f t="shared" si="109"/>
        <v>47946.065721801424</v>
      </c>
      <c r="T332" s="3">
        <f t="shared" si="110"/>
        <v>2.000885653072713</v>
      </c>
      <c r="U332" s="3">
        <f t="shared" si="110"/>
        <v>133.68119658119659</v>
      </c>
      <c r="V332" s="3">
        <f t="shared" si="110"/>
        <v>5288.8461538461543</v>
      </c>
      <c r="W332" s="3">
        <f t="shared" si="111"/>
        <v>155409.0274352401</v>
      </c>
      <c r="X332" s="3">
        <f t="shared" si="111"/>
        <v>47970.089657813878</v>
      </c>
      <c r="Y332" s="3">
        <f t="shared" si="96"/>
        <v>2.0003601529761781</v>
      </c>
      <c r="Z332" s="3">
        <f t="shared" si="105"/>
        <v>-6.4102564102569204E-2</v>
      </c>
      <c r="AA332" s="3">
        <f t="shared" si="105"/>
        <v>3.6410256410254078</v>
      </c>
      <c r="AB332" s="3">
        <f t="shared" si="101"/>
        <v>77.548046786003397</v>
      </c>
      <c r="AC332" s="3">
        <f t="shared" si="102"/>
        <v>5.2550009653495877E-4</v>
      </c>
      <c r="AD332" s="3">
        <f t="shared" si="106"/>
        <v>-5.9262820512825227</v>
      </c>
      <c r="AE332" s="3">
        <f t="shared" si="106"/>
        <v>336.61282051279898</v>
      </c>
      <c r="AF332" s="3">
        <f t="shared" si="106"/>
        <v>7169.3169253660144</v>
      </c>
      <c r="AG332" s="3">
        <f t="shared" si="104"/>
        <v>4.8582483924656937E-2</v>
      </c>
      <c r="AH332" s="233">
        <f t="shared" si="108"/>
        <v>12352.900341880342</v>
      </c>
      <c r="AI332" s="233">
        <f t="shared" si="108"/>
        <v>489290.43974358978</v>
      </c>
      <c r="AJ332" s="233">
        <f t="shared" si="108"/>
        <v>14376954.916197665</v>
      </c>
      <c r="AK332" s="233">
        <f t="shared" si="108"/>
        <v>4432613.7759805415</v>
      </c>
      <c r="AL332" s="233">
        <f t="shared" si="108"/>
        <v>184.98187862657232</v>
      </c>
      <c r="AM332" s="233">
        <f t="shared" si="107"/>
        <v>12358.826623931625</v>
      </c>
      <c r="AN332" s="233">
        <f t="shared" si="107"/>
        <v>488953.82692307699</v>
      </c>
      <c r="AO332" s="233">
        <f t="shared" si="107"/>
        <v>14367564.586387947</v>
      </c>
      <c r="AP332" s="233">
        <f t="shared" si="107"/>
        <v>4434834.7888648929</v>
      </c>
      <c r="AQ332" s="233">
        <f t="shared" si="107"/>
        <v>184.93329614264766</v>
      </c>
      <c r="AS332" s="231">
        <f t="shared" si="103"/>
        <v>0</v>
      </c>
    </row>
    <row r="333" spans="2:47" ht="72.5" x14ac:dyDescent="0.35">
      <c r="B333" s="56" t="s">
        <v>94</v>
      </c>
      <c r="C333" s="361" t="s">
        <v>207</v>
      </c>
      <c r="D333" s="56">
        <v>14</v>
      </c>
      <c r="E333" s="3">
        <v>42.000000000000007</v>
      </c>
      <c r="F333" s="3">
        <v>16854.599999999999</v>
      </c>
      <c r="G333" s="3">
        <v>602947</v>
      </c>
      <c r="H333" s="3">
        <v>144.82</v>
      </c>
      <c r="I333" s="3">
        <v>33.771000000000001</v>
      </c>
      <c r="J333" s="3">
        <f t="shared" si="97"/>
        <v>236.85409950294837</v>
      </c>
      <c r="K333" s="3">
        <v>16862.5</v>
      </c>
      <c r="L333" s="3">
        <v>602600</v>
      </c>
      <c r="M333" s="3">
        <v>144.72999999999999</v>
      </c>
      <c r="N333" s="3">
        <v>33.7879</v>
      </c>
      <c r="O333" s="3">
        <f t="shared" si="98"/>
        <v>236.81378589086455</v>
      </c>
      <c r="P333" s="3">
        <f t="shared" si="99"/>
        <v>144.05641025641023</v>
      </c>
      <c r="Q333" s="3">
        <f t="shared" si="100"/>
        <v>5153.3931623931621</v>
      </c>
      <c r="R333" s="3">
        <f t="shared" si="109"/>
        <v>155217.33333333331</v>
      </c>
      <c r="S333" s="3">
        <f t="shared" si="109"/>
        <v>36195.584615384621</v>
      </c>
      <c r="T333" s="3">
        <f t="shared" si="110"/>
        <v>2.0243940128457125</v>
      </c>
      <c r="U333" s="3">
        <f t="shared" si="110"/>
        <v>144.12393162393161</v>
      </c>
      <c r="V333" s="3">
        <f t="shared" si="110"/>
        <v>5150.4273504273506</v>
      </c>
      <c r="W333" s="3">
        <f t="shared" si="111"/>
        <v>155120.87179487178</v>
      </c>
      <c r="X333" s="3">
        <f t="shared" si="111"/>
        <v>36213.697948717949</v>
      </c>
      <c r="Y333" s="3">
        <f t="shared" si="96"/>
        <v>2.0240494520586716</v>
      </c>
      <c r="Z333" s="3">
        <f t="shared" si="105"/>
        <v>-6.7521367521379716E-2</v>
      </c>
      <c r="AA333" s="3">
        <f t="shared" si="105"/>
        <v>2.9658119658115538</v>
      </c>
      <c r="AB333" s="3">
        <f t="shared" si="101"/>
        <v>78.348205128218979</v>
      </c>
      <c r="AC333" s="3">
        <f t="shared" si="102"/>
        <v>3.4456078704092619E-4</v>
      </c>
      <c r="AD333" s="3">
        <f t="shared" si="106"/>
        <v>-2.8358974358979485</v>
      </c>
      <c r="AE333" s="3">
        <f t="shared" si="106"/>
        <v>124.56410256408527</v>
      </c>
      <c r="AF333" s="3">
        <f t="shared" si="106"/>
        <v>3290.6246153851976</v>
      </c>
      <c r="AG333" s="3">
        <f t="shared" si="104"/>
        <v>1.4471553055718902E-2</v>
      </c>
      <c r="AH333" s="233">
        <f t="shared" si="108"/>
        <v>6050.3692307692309</v>
      </c>
      <c r="AI333" s="233">
        <f t="shared" si="108"/>
        <v>216442.51282051284</v>
      </c>
      <c r="AJ333" s="233">
        <f t="shared" si="108"/>
        <v>6519128</v>
      </c>
      <c r="AK333" s="233">
        <f t="shared" si="108"/>
        <v>1520214.5538461544</v>
      </c>
      <c r="AL333" s="233">
        <f t="shared" si="108"/>
        <v>85.024548539519941</v>
      </c>
      <c r="AM333" s="233">
        <f t="shared" si="107"/>
        <v>6053.2051282051289</v>
      </c>
      <c r="AN333" s="233">
        <f t="shared" si="107"/>
        <v>216317.94871794875</v>
      </c>
      <c r="AO333" s="233">
        <f t="shared" si="107"/>
        <v>6515076.615384616</v>
      </c>
      <c r="AP333" s="233">
        <f t="shared" si="107"/>
        <v>1520975.3138461541</v>
      </c>
      <c r="AQ333" s="233">
        <f t="shared" si="107"/>
        <v>85.010076986464227</v>
      </c>
      <c r="AS333" s="231">
        <f t="shared" si="103"/>
        <v>0</v>
      </c>
    </row>
    <row r="334" spans="2:47" ht="72.5" x14ac:dyDescent="0.35">
      <c r="B334" s="56" t="s">
        <v>94</v>
      </c>
      <c r="C334" s="361" t="s">
        <v>207</v>
      </c>
      <c r="D334" s="56">
        <v>15</v>
      </c>
      <c r="E334" s="3">
        <v>27.35</v>
      </c>
      <c r="F334" s="3">
        <v>10689.9</v>
      </c>
      <c r="G334" s="3">
        <v>731768</v>
      </c>
      <c r="H334" s="3">
        <v>163.89031008932801</v>
      </c>
      <c r="I334" s="3">
        <v>30.278795671335502</v>
      </c>
      <c r="J334" s="3">
        <f t="shared" si="97"/>
        <v>234.19212485249022</v>
      </c>
      <c r="K334" s="3">
        <v>10692</v>
      </c>
      <c r="L334" s="3">
        <v>731228</v>
      </c>
      <c r="M334" s="3">
        <v>163.77701560910199</v>
      </c>
      <c r="N334" s="3">
        <v>30.285308990089799</v>
      </c>
      <c r="O334" s="3">
        <f t="shared" si="98"/>
        <v>234.07378686201577</v>
      </c>
      <c r="P334" s="3">
        <f t="shared" si="99"/>
        <v>91.36666666666666</v>
      </c>
      <c r="Q334" s="3">
        <f t="shared" si="100"/>
        <v>6254.4273504273506</v>
      </c>
      <c r="R334" s="3">
        <f t="shared" si="109"/>
        <v>175656.7938906131</v>
      </c>
      <c r="S334" s="3">
        <f t="shared" si="109"/>
        <v>32452.657924662155</v>
      </c>
      <c r="T334" s="3">
        <f t="shared" si="110"/>
        <v>2.0016420927563265</v>
      </c>
      <c r="U334" s="3">
        <f t="shared" si="110"/>
        <v>91.384615384615387</v>
      </c>
      <c r="V334" s="3">
        <f t="shared" si="110"/>
        <v>6249.8119658119658</v>
      </c>
      <c r="W334" s="3">
        <f t="shared" si="111"/>
        <v>175535.36544770419</v>
      </c>
      <c r="X334" s="3">
        <f t="shared" si="111"/>
        <v>32459.638866301371</v>
      </c>
      <c r="Y334" s="3">
        <f t="shared" si="96"/>
        <v>2.0006306569403058</v>
      </c>
      <c r="Z334" s="3">
        <f t="shared" si="105"/>
        <v>-1.7948717948726767E-2</v>
      </c>
      <c r="AA334" s="3">
        <f t="shared" si="105"/>
        <v>4.6153846153847553</v>
      </c>
      <c r="AB334" s="3">
        <f t="shared" si="101"/>
        <v>114.44750126968574</v>
      </c>
      <c r="AC334" s="3">
        <f t="shared" si="102"/>
        <v>1.0114358160207004E-3</v>
      </c>
      <c r="AD334" s="3">
        <f t="shared" si="106"/>
        <v>-0.49089743589767709</v>
      </c>
      <c r="AE334" s="3">
        <f t="shared" si="106"/>
        <v>126.23076923077306</v>
      </c>
      <c r="AF334" s="3">
        <f t="shared" si="106"/>
        <v>3130.1391597259053</v>
      </c>
      <c r="AG334" s="3">
        <f t="shared" si="104"/>
        <v>2.7662769568166157E-2</v>
      </c>
      <c r="AH334" s="233">
        <f t="shared" si="108"/>
        <v>2498.8783333333331</v>
      </c>
      <c r="AI334" s="233">
        <f t="shared" si="108"/>
        <v>171058.58803418805</v>
      </c>
      <c r="AJ334" s="233">
        <f t="shared" si="108"/>
        <v>4804213.3129082685</v>
      </c>
      <c r="AK334" s="233">
        <f t="shared" si="108"/>
        <v>887580.19423950999</v>
      </c>
      <c r="AL334" s="233">
        <f t="shared" si="108"/>
        <v>54.744911236885535</v>
      </c>
      <c r="AM334" s="233">
        <f t="shared" si="107"/>
        <v>2499.3692307692309</v>
      </c>
      <c r="AN334" s="233">
        <f t="shared" si="107"/>
        <v>170932.35726495727</v>
      </c>
      <c r="AO334" s="233">
        <f t="shared" si="107"/>
        <v>4800892.2449947093</v>
      </c>
      <c r="AP334" s="233">
        <f t="shared" si="107"/>
        <v>887771.12299334258</v>
      </c>
      <c r="AQ334" s="233">
        <f t="shared" si="107"/>
        <v>54.717248467317368</v>
      </c>
      <c r="AS334" s="231">
        <f t="shared" si="103"/>
        <v>0</v>
      </c>
    </row>
    <row r="335" spans="2:47" ht="58" x14ac:dyDescent="0.35">
      <c r="B335" s="57" t="s">
        <v>93</v>
      </c>
      <c r="C335" s="377" t="s">
        <v>214</v>
      </c>
      <c r="D335" s="57">
        <v>6</v>
      </c>
      <c r="E335" s="59">
        <v>1075.03</v>
      </c>
      <c r="F335" s="59">
        <v>12853.8</v>
      </c>
      <c r="G335" s="59">
        <v>584545</v>
      </c>
      <c r="H335" s="59">
        <v>144.678751585969</v>
      </c>
      <c r="I335" s="59">
        <v>44.473553873152802</v>
      </c>
      <c r="J335" s="59">
        <f t="shared" si="97"/>
        <v>210.60900958387009</v>
      </c>
      <c r="K335" s="59">
        <v>12864.7</v>
      </c>
      <c r="L335" s="59">
        <v>584427</v>
      </c>
      <c r="M335" s="59">
        <v>144.711114365567</v>
      </c>
      <c r="N335" s="59">
        <v>44.632748213248803</v>
      </c>
      <c r="O335" s="59">
        <f t="shared" si="98"/>
        <v>210.64010078308991</v>
      </c>
      <c r="P335" s="59">
        <f t="shared" si="99"/>
        <v>146.06590909090909</v>
      </c>
      <c r="Q335" s="59">
        <f t="shared" si="100"/>
        <v>6642.556818181818</v>
      </c>
      <c r="R335" s="59">
        <f t="shared" si="109"/>
        <v>185945.07732242151</v>
      </c>
      <c r="S335" s="59">
        <f t="shared" si="109"/>
        <v>57158.624352881619</v>
      </c>
      <c r="T335" s="59">
        <f t="shared" si="110"/>
        <v>2.3932841998167054</v>
      </c>
      <c r="U335" s="59">
        <f t="shared" si="110"/>
        <v>146.18977272727273</v>
      </c>
      <c r="V335" s="59">
        <f t="shared" si="110"/>
        <v>6641.215909090909</v>
      </c>
      <c r="W335" s="59">
        <f t="shared" si="111"/>
        <v>185986.67084938212</v>
      </c>
      <c r="X335" s="59">
        <f t="shared" si="111"/>
        <v>57363.225260436819</v>
      </c>
      <c r="Y335" s="59">
        <f t="shared" si="96"/>
        <v>2.3936375088987489</v>
      </c>
      <c r="Z335" s="59">
        <f t="shared" ref="Z335:AA367" si="112">P335-U335</f>
        <v>-0.1238636363636374</v>
      </c>
      <c r="AA335" s="59">
        <f t="shared" si="112"/>
        <v>1.3409090909090082</v>
      </c>
      <c r="AB335" s="59">
        <f t="shared" si="101"/>
        <v>-246.19443451580446</v>
      </c>
      <c r="AC335" s="59">
        <f t="shared" si="102"/>
        <v>-3.5330908204356248E-4</v>
      </c>
      <c r="AD335" s="59">
        <f t="shared" ref="AD335:AG367" si="113">Z335*$E335</f>
        <v>-133.15712500000112</v>
      </c>
      <c r="AE335" s="59">
        <f t="shared" si="113"/>
        <v>1441.517499999911</v>
      </c>
      <c r="AF335" s="59">
        <f t="shared" si="113"/>
        <v>-264666.40293752524</v>
      </c>
      <c r="AG335" s="59">
        <f t="shared" si="104"/>
        <v>-0.37981786246929095</v>
      </c>
      <c r="AH335" s="382">
        <f t="shared" si="108"/>
        <v>157025.23424999998</v>
      </c>
      <c r="AI335" s="382">
        <f t="shared" si="108"/>
        <v>7140947.8562499993</v>
      </c>
      <c r="AJ335" s="382">
        <f t="shared" si="108"/>
        <v>199896536.47392279</v>
      </c>
      <c r="AK335" s="382">
        <f t="shared" si="108"/>
        <v>61447235.938078329</v>
      </c>
      <c r="AL335" s="382">
        <f t="shared" si="108"/>
        <v>2572.8523133289527</v>
      </c>
      <c r="AM335" s="382">
        <f t="shared" si="107"/>
        <v>157158.39137500001</v>
      </c>
      <c r="AN335" s="382">
        <f t="shared" si="107"/>
        <v>7139506.3387500001</v>
      </c>
      <c r="AO335" s="382">
        <f t="shared" si="107"/>
        <v>199941250.76321125</v>
      </c>
      <c r="AP335" s="382">
        <f t="shared" si="107"/>
        <v>61667188.051727392</v>
      </c>
      <c r="AQ335" s="382">
        <f t="shared" si="107"/>
        <v>2573.232131191422</v>
      </c>
      <c r="AR335" s="378">
        <v>-73.06363636363686</v>
      </c>
      <c r="AS335" s="231">
        <f t="shared" si="103"/>
        <v>-78545.601000000534</v>
      </c>
      <c r="AT335" s="378"/>
      <c r="AU335" s="378"/>
    </row>
    <row r="336" spans="2:47" ht="58" x14ac:dyDescent="0.35">
      <c r="B336" s="56" t="s">
        <v>93</v>
      </c>
      <c r="C336" s="361" t="s">
        <v>214</v>
      </c>
      <c r="D336" s="56">
        <v>7</v>
      </c>
      <c r="E336" s="3">
        <v>1155.7370000000001</v>
      </c>
      <c r="F336" s="3">
        <v>12610.7</v>
      </c>
      <c r="G336" s="3">
        <v>573438</v>
      </c>
      <c r="H336" s="3">
        <v>140.48093381287501</v>
      </c>
      <c r="I336" s="3">
        <v>42.9393053862063</v>
      </c>
      <c r="J336" s="3">
        <f t="shared" si="97"/>
        <v>206.61340432613628</v>
      </c>
      <c r="K336" s="3">
        <v>12618.3</v>
      </c>
      <c r="L336" s="3">
        <v>573302</v>
      </c>
      <c r="M336" s="3">
        <v>140.49359901632599</v>
      </c>
      <c r="N336" s="3">
        <v>43.075400769019701</v>
      </c>
      <c r="O336" s="3">
        <f t="shared" si="98"/>
        <v>206.62216951855214</v>
      </c>
      <c r="P336" s="3">
        <f t="shared" si="99"/>
        <v>143.3034090909091</v>
      </c>
      <c r="Q336" s="3">
        <f t="shared" si="100"/>
        <v>6516.340909090909</v>
      </c>
      <c r="R336" s="3">
        <f t="shared" si="109"/>
        <v>180549.92743450185</v>
      </c>
      <c r="S336" s="3">
        <f t="shared" si="109"/>
        <v>55186.76635431742</v>
      </c>
      <c r="T336" s="3">
        <f t="shared" si="110"/>
        <v>2.3478795946151849</v>
      </c>
      <c r="U336" s="3">
        <f t="shared" si="110"/>
        <v>143.38977272727271</v>
      </c>
      <c r="V336" s="3">
        <f t="shared" si="110"/>
        <v>6514.795454545455</v>
      </c>
      <c r="W336" s="3">
        <f t="shared" si="111"/>
        <v>180566.20509939169</v>
      </c>
      <c r="X336" s="3">
        <f t="shared" si="111"/>
        <v>55361.679852001456</v>
      </c>
      <c r="Y336" s="3">
        <f t="shared" si="96"/>
        <v>2.3479791990744561</v>
      </c>
      <c r="Z336" s="3">
        <f t="shared" si="112"/>
        <v>-8.636363636361466E-2</v>
      </c>
      <c r="AA336" s="3">
        <f t="shared" si="112"/>
        <v>1.5454545454540494</v>
      </c>
      <c r="AB336" s="3">
        <f t="shared" si="101"/>
        <v>-191.19116257387213</v>
      </c>
      <c r="AC336" s="3">
        <f t="shared" si="102"/>
        <v>-9.9604459271152024E-5</v>
      </c>
      <c r="AD336" s="3">
        <f t="shared" si="113"/>
        <v>-99.813649999974928</v>
      </c>
      <c r="AE336" s="3">
        <f t="shared" si="113"/>
        <v>1786.1389999994267</v>
      </c>
      <c r="AF336" s="3">
        <f t="shared" si="113"/>
        <v>-220966.70065963926</v>
      </c>
      <c r="AG336" s="3">
        <f t="shared" si="104"/>
        <v>-0.11511655894466344</v>
      </c>
      <c r="AH336" s="233">
        <f t="shared" si="108"/>
        <v>165621.05211250001</v>
      </c>
      <c r="AI336" s="233">
        <f t="shared" si="108"/>
        <v>7531176.2932500001</v>
      </c>
      <c r="AJ336" s="233">
        <f t="shared" si="108"/>
        <v>208668231.48336887</v>
      </c>
      <c r="AK336" s="233">
        <f t="shared" si="108"/>
        <v>63781387.786039755</v>
      </c>
      <c r="AL336" s="233">
        <f t="shared" si="108"/>
        <v>2713.5313190417701</v>
      </c>
      <c r="AM336" s="233">
        <f t="shared" si="107"/>
        <v>165720.86576250001</v>
      </c>
      <c r="AN336" s="233">
        <f t="shared" si="107"/>
        <v>7529390.1542500006</v>
      </c>
      <c r="AO336" s="233">
        <f t="shared" si="107"/>
        <v>208687044.18295568</v>
      </c>
      <c r="AP336" s="233">
        <f t="shared" si="107"/>
        <v>63983541.787112609</v>
      </c>
      <c r="AQ336" s="233">
        <f t="shared" si="107"/>
        <v>2713.646435600715</v>
      </c>
      <c r="AR336">
        <v>-73.06363636363686</v>
      </c>
      <c r="AS336" s="231">
        <f t="shared" si="103"/>
        <v>-84442.347900000575</v>
      </c>
    </row>
    <row r="337" spans="2:45" ht="58" x14ac:dyDescent="0.35">
      <c r="B337" s="56" t="s">
        <v>93</v>
      </c>
      <c r="C337" s="361" t="s">
        <v>214</v>
      </c>
      <c r="D337" s="56">
        <v>11</v>
      </c>
      <c r="E337" s="3">
        <v>357.91800000000001</v>
      </c>
      <c r="F337" s="3">
        <v>15320.7</v>
      </c>
      <c r="G337" s="3">
        <v>620787</v>
      </c>
      <c r="H337" s="3">
        <v>161.277492403407</v>
      </c>
      <c r="I337" s="3">
        <v>58.189166617591098</v>
      </c>
      <c r="J337" s="3">
        <f t="shared" si="97"/>
        <v>232.77551168393359</v>
      </c>
      <c r="K337" s="3">
        <v>15457.9</v>
      </c>
      <c r="L337" s="3">
        <v>621912</v>
      </c>
      <c r="M337" s="3">
        <v>161.88193864790199</v>
      </c>
      <c r="N337" s="3">
        <v>59.056362768848501</v>
      </c>
      <c r="O337" s="3">
        <f t="shared" si="98"/>
        <v>233.79425916801233</v>
      </c>
      <c r="P337" s="3">
        <f t="shared" si="99"/>
        <v>174.09886363636363</v>
      </c>
      <c r="Q337" s="3">
        <f t="shared" si="100"/>
        <v>7054.397727272727</v>
      </c>
      <c r="R337" s="3">
        <f t="shared" si="109"/>
        <v>207278.23171392421</v>
      </c>
      <c r="S337" s="3">
        <f t="shared" si="109"/>
        <v>74786.303914199467</v>
      </c>
      <c r="T337" s="3">
        <f t="shared" si="110"/>
        <v>2.6451762691356091</v>
      </c>
      <c r="U337" s="3">
        <f t="shared" si="110"/>
        <v>175.65795454545454</v>
      </c>
      <c r="V337" s="3">
        <f t="shared" si="110"/>
        <v>7067.181818181818</v>
      </c>
      <c r="W337" s="3">
        <f t="shared" si="111"/>
        <v>208055.08251224676</v>
      </c>
      <c r="X337" s="3">
        <f t="shared" si="111"/>
        <v>75900.8480585996</v>
      </c>
      <c r="Y337" s="3">
        <f t="shared" si="96"/>
        <v>2.6567529450910494</v>
      </c>
      <c r="Z337" s="3">
        <f t="shared" si="112"/>
        <v>-1.5590909090909122</v>
      </c>
      <c r="AA337" s="3">
        <f t="shared" si="112"/>
        <v>-12.784090909090992</v>
      </c>
      <c r="AB337" s="3">
        <f t="shared" si="101"/>
        <v>-1891.3949427226908</v>
      </c>
      <c r="AC337" s="3">
        <f t="shared" si="102"/>
        <v>-1.1576675955440319E-2</v>
      </c>
      <c r="AD337" s="3">
        <f t="shared" si="113"/>
        <v>-558.02670000000114</v>
      </c>
      <c r="AE337" s="3">
        <f t="shared" si="113"/>
        <v>-4575.65625000003</v>
      </c>
      <c r="AF337" s="3">
        <f t="shared" si="113"/>
        <v>-676964.29510942008</v>
      </c>
      <c r="AG337" s="3">
        <f t="shared" si="104"/>
        <v>-4.1435007046192878</v>
      </c>
      <c r="AH337" s="233">
        <f t="shared" si="108"/>
        <v>62313.117075000002</v>
      </c>
      <c r="AI337" s="233">
        <f t="shared" si="108"/>
        <v>2524895.9257499999</v>
      </c>
      <c r="AJ337" s="233">
        <f t="shared" si="108"/>
        <v>74188610.138584331</v>
      </c>
      <c r="AK337" s="233">
        <f t="shared" si="108"/>
        <v>26767364.324362446</v>
      </c>
      <c r="AL337" s="233">
        <f t="shared" si="108"/>
        <v>946.75619989647896</v>
      </c>
      <c r="AM337" s="233">
        <f t="shared" si="107"/>
        <v>62871.143775000004</v>
      </c>
      <c r="AN337" s="233">
        <f t="shared" si="107"/>
        <v>2529471.5819999999</v>
      </c>
      <c r="AO337" s="233">
        <f t="shared" si="107"/>
        <v>74466659.022618338</v>
      </c>
      <c r="AP337" s="233">
        <f t="shared" si="107"/>
        <v>27166279.735437851</v>
      </c>
      <c r="AQ337" s="233">
        <f t="shared" si="107"/>
        <v>950.89970060109829</v>
      </c>
      <c r="AR337">
        <v>-138.43636363636344</v>
      </c>
      <c r="AS337" s="231">
        <f t="shared" si="103"/>
        <v>-49548.866399999933</v>
      </c>
    </row>
    <row r="338" spans="2:45" ht="58" x14ac:dyDescent="0.35">
      <c r="B338" s="56" t="s">
        <v>93</v>
      </c>
      <c r="C338" s="361" t="s">
        <v>214</v>
      </c>
      <c r="D338" s="56">
        <v>14</v>
      </c>
      <c r="E338" s="3">
        <v>267.96000000000004</v>
      </c>
      <c r="F338" s="3">
        <v>14499.2</v>
      </c>
      <c r="G338" s="3">
        <v>622458</v>
      </c>
      <c r="H338" s="3">
        <v>158.151486292545</v>
      </c>
      <c r="I338" s="3">
        <v>54.9348559199005</v>
      </c>
      <c r="J338" s="3">
        <f t="shared" si="97"/>
        <v>228.69633779569989</v>
      </c>
      <c r="K338" s="3">
        <v>14632.1</v>
      </c>
      <c r="L338" s="3">
        <v>623436</v>
      </c>
      <c r="M338" s="3">
        <v>158.69086695707901</v>
      </c>
      <c r="N338" s="3">
        <v>55.816712582266298</v>
      </c>
      <c r="O338" s="3">
        <f t="shared" si="98"/>
        <v>229.65629891599383</v>
      </c>
      <c r="P338" s="3">
        <f t="shared" si="99"/>
        <v>164.76363636363638</v>
      </c>
      <c r="Q338" s="3">
        <f t="shared" si="100"/>
        <v>7073.386363636364</v>
      </c>
      <c r="R338" s="3">
        <f t="shared" si="109"/>
        <v>203260.60340553228</v>
      </c>
      <c r="S338" s="3">
        <f t="shared" si="109"/>
        <v>70603.775051599398</v>
      </c>
      <c r="T338" s="3">
        <f t="shared" si="110"/>
        <v>2.5988220204056804</v>
      </c>
      <c r="U338" s="3">
        <f t="shared" si="110"/>
        <v>166.27386363636364</v>
      </c>
      <c r="V338" s="3">
        <f t="shared" si="110"/>
        <v>7084.5</v>
      </c>
      <c r="W338" s="3">
        <f t="shared" si="111"/>
        <v>203953.83014597316</v>
      </c>
      <c r="X338" s="3">
        <f t="shared" si="111"/>
        <v>71737.161284708171</v>
      </c>
      <c r="Y338" s="3">
        <f t="shared" si="96"/>
        <v>2.60973066949993</v>
      </c>
      <c r="Z338" s="3">
        <f t="shared" si="112"/>
        <v>-1.5102272727272634</v>
      </c>
      <c r="AA338" s="3">
        <f t="shared" si="112"/>
        <v>-11.113636363636033</v>
      </c>
      <c r="AB338" s="3">
        <f t="shared" si="101"/>
        <v>-1826.6129735496506</v>
      </c>
      <c r="AC338" s="3">
        <f t="shared" si="102"/>
        <v>-1.0908649094249601E-2</v>
      </c>
      <c r="AD338" s="3">
        <f t="shared" si="113"/>
        <v>-404.68049999999755</v>
      </c>
      <c r="AE338" s="3">
        <f t="shared" si="113"/>
        <v>-2978.009999999912</v>
      </c>
      <c r="AF338" s="3">
        <f t="shared" si="113"/>
        <v>-489459.21239236445</v>
      </c>
      <c r="AG338" s="3">
        <f t="shared" si="104"/>
        <v>-2.9230816112951232</v>
      </c>
      <c r="AH338" s="233">
        <f t="shared" si="108"/>
        <v>44150.064000000013</v>
      </c>
      <c r="AI338" s="233">
        <f t="shared" si="108"/>
        <v>1895384.6100000003</v>
      </c>
      <c r="AJ338" s="233">
        <f t="shared" si="108"/>
        <v>54465711.288546436</v>
      </c>
      <c r="AK338" s="233">
        <f t="shared" si="108"/>
        <v>18918987.562826578</v>
      </c>
      <c r="AL338" s="233">
        <f t="shared" si="108"/>
        <v>696.38034858790627</v>
      </c>
      <c r="AM338" s="233">
        <f t="shared" si="107"/>
        <v>44554.744500000008</v>
      </c>
      <c r="AN338" s="233">
        <f t="shared" si="107"/>
        <v>1898362.6200000003</v>
      </c>
      <c r="AO338" s="233">
        <f t="shared" si="107"/>
        <v>54651468.325914972</v>
      </c>
      <c r="AP338" s="233">
        <f t="shared" si="107"/>
        <v>19222689.737850405</v>
      </c>
      <c r="AQ338" s="233">
        <f t="shared" si="107"/>
        <v>699.30343019920133</v>
      </c>
      <c r="AR338">
        <v>-138.43636363636344</v>
      </c>
      <c r="AS338" s="231">
        <f t="shared" si="103"/>
        <v>-37095.407999999952</v>
      </c>
    </row>
    <row r="339" spans="2:45" ht="58" x14ac:dyDescent="0.35">
      <c r="B339" s="56" t="s">
        <v>93</v>
      </c>
      <c r="C339" s="361" t="s">
        <v>214</v>
      </c>
      <c r="D339" s="56">
        <v>15</v>
      </c>
      <c r="E339" s="3">
        <v>174.49300000000002</v>
      </c>
      <c r="F339" s="3">
        <v>9796.49</v>
      </c>
      <c r="G339" s="3">
        <v>735862</v>
      </c>
      <c r="H339" s="3">
        <v>183.20271504623199</v>
      </c>
      <c r="I339" s="3">
        <v>33.015967673641299</v>
      </c>
      <c r="J339" s="3">
        <f t="shared" si="97"/>
        <v>230.30310613842875</v>
      </c>
      <c r="K339" s="3">
        <v>9817.1200000000008</v>
      </c>
      <c r="L339" s="3">
        <v>737777</v>
      </c>
      <c r="M339" s="3">
        <v>183.95300310919399</v>
      </c>
      <c r="N339" s="3">
        <v>33.290824155749199</v>
      </c>
      <c r="O339" s="3">
        <f t="shared" si="98"/>
        <v>230.87591277585051</v>
      </c>
      <c r="P339" s="3">
        <f t="shared" si="99"/>
        <v>111.32375</v>
      </c>
      <c r="Q339" s="3">
        <f t="shared" si="100"/>
        <v>8362.068181818182</v>
      </c>
      <c r="R339" s="3">
        <f t="shared" si="109"/>
        <v>235457.12581510041</v>
      </c>
      <c r="S339" s="3">
        <f t="shared" si="109"/>
        <v>42433.022089645805</v>
      </c>
      <c r="T339" s="3">
        <f t="shared" si="110"/>
        <v>2.6170807515730541</v>
      </c>
      <c r="U339" s="3">
        <f t="shared" si="110"/>
        <v>111.55818181818182</v>
      </c>
      <c r="V339" s="3">
        <f t="shared" si="110"/>
        <v>8383.829545454546</v>
      </c>
      <c r="W339" s="3">
        <f t="shared" si="111"/>
        <v>236421.41649602092</v>
      </c>
      <c r="X339" s="3">
        <f t="shared" si="111"/>
        <v>42786.275136536759</v>
      </c>
      <c r="Y339" s="3">
        <f t="shared" ref="Y339:Y402" si="114">O339/VLOOKUP($B339,$N$131:$P$134, 3, FALSE)</f>
        <v>2.6235899179073923</v>
      </c>
      <c r="Z339" s="3">
        <f t="shared" si="112"/>
        <v>-0.23443181818181813</v>
      </c>
      <c r="AA339" s="3">
        <f t="shared" si="112"/>
        <v>-21.761363636363967</v>
      </c>
      <c r="AB339" s="3">
        <f t="shared" si="101"/>
        <v>-1317.5437278114405</v>
      </c>
      <c r="AC339" s="3">
        <f t="shared" si="102"/>
        <v>-6.5091663343381789E-3</v>
      </c>
      <c r="AD339" s="3">
        <f t="shared" si="113"/>
        <v>-40.906711249999994</v>
      </c>
      <c r="AE339" s="3">
        <f t="shared" si="113"/>
        <v>-3797.2056250000583</v>
      </c>
      <c r="AF339" s="3">
        <f t="shared" si="113"/>
        <v>-229902.1576970017</v>
      </c>
      <c r="AG339" s="3">
        <f t="shared" si="104"/>
        <v>-1.135803961177672</v>
      </c>
      <c r="AH339" s="233">
        <f t="shared" si="108"/>
        <v>19425.215108750002</v>
      </c>
      <c r="AI339" s="233">
        <f t="shared" si="108"/>
        <v>1459122.3632500002</v>
      </c>
      <c r="AJ339" s="233">
        <f t="shared" si="108"/>
        <v>41085620.254854321</v>
      </c>
      <c r="AK339" s="233">
        <f t="shared" si="108"/>
        <v>7404265.3234885661</v>
      </c>
      <c r="AL339" s="233">
        <f t="shared" si="108"/>
        <v>456.66227158423698</v>
      </c>
      <c r="AM339" s="233">
        <f t="shared" si="107"/>
        <v>19466.121820000004</v>
      </c>
      <c r="AN339" s="233">
        <f t="shared" si="107"/>
        <v>1462919.5688750003</v>
      </c>
      <c r="AO339" s="233">
        <f t="shared" si="107"/>
        <v>41253882.228640184</v>
      </c>
      <c r="AP339" s="233">
        <f t="shared" si="107"/>
        <v>7465905.5073997099</v>
      </c>
      <c r="AQ339" s="233">
        <f t="shared" si="107"/>
        <v>457.79807554541463</v>
      </c>
      <c r="AR339">
        <v>-138.43636363636344</v>
      </c>
      <c r="AS339" s="231">
        <f t="shared" si="103"/>
        <v>-24156.176399999968</v>
      </c>
    </row>
    <row r="340" spans="2:45" ht="58" x14ac:dyDescent="0.35">
      <c r="B340" s="56" t="s">
        <v>93</v>
      </c>
      <c r="C340" s="361" t="s">
        <v>214</v>
      </c>
      <c r="D340" s="56">
        <v>16</v>
      </c>
      <c r="E340" s="3">
        <v>108.14100000000001</v>
      </c>
      <c r="F340" s="3">
        <v>22164.2</v>
      </c>
      <c r="G340" s="3">
        <v>552243</v>
      </c>
      <c r="H340" s="3">
        <v>133.29130238892699</v>
      </c>
      <c r="I340" s="3">
        <v>82.964257455416401</v>
      </c>
      <c r="J340" s="3">
        <f t="shared" ref="J340:J403" si="115">G340*$G$141*10^-6 + F340*$G$142*10^-6</f>
        <v>253.62789204363605</v>
      </c>
      <c r="K340" s="3">
        <v>22454.3</v>
      </c>
      <c r="L340" s="3">
        <v>552928</v>
      </c>
      <c r="M340" s="3">
        <v>133.56084252229601</v>
      </c>
      <c r="N340" s="3">
        <v>84.396778810893196</v>
      </c>
      <c r="O340" s="3">
        <f t="shared" ref="O340:O403" si="116">L340*$G$141*10^-6 + K340*$G$142*10^-6</f>
        <v>255.37486420511658</v>
      </c>
      <c r="P340" s="3">
        <f t="shared" ref="P340:P403" si="117">F340/VLOOKUP(B340,$N$131:$P$134, 3, FALSE)</f>
        <v>251.8659090909091</v>
      </c>
      <c r="Q340" s="3">
        <f t="shared" ref="Q340:Q403" si="118">G340/VLOOKUP($B340,$N$131:$P$134, 3, FALSE)</f>
        <v>6275.488636363636</v>
      </c>
      <c r="R340" s="3">
        <f t="shared" si="109"/>
        <v>171309.61704758686</v>
      </c>
      <c r="S340" s="3">
        <f t="shared" si="109"/>
        <v>106627.92634326813</v>
      </c>
      <c r="T340" s="3">
        <f t="shared" si="110"/>
        <v>2.8821351368595005</v>
      </c>
      <c r="U340" s="3">
        <f t="shared" si="110"/>
        <v>255.16249999999999</v>
      </c>
      <c r="V340" s="3">
        <f t="shared" si="110"/>
        <v>6283.272727272727</v>
      </c>
      <c r="W340" s="3">
        <f t="shared" si="111"/>
        <v>171656.03737808726</v>
      </c>
      <c r="X340" s="3">
        <f t="shared" si="111"/>
        <v>108469.04185809115</v>
      </c>
      <c r="Y340" s="3">
        <f t="shared" si="114"/>
        <v>2.9019870932399612</v>
      </c>
      <c r="Z340" s="3">
        <f t="shared" si="112"/>
        <v>-3.2965909090908951</v>
      </c>
      <c r="AA340" s="3">
        <f t="shared" si="112"/>
        <v>-7.7840909090909918</v>
      </c>
      <c r="AB340" s="3">
        <f t="shared" ref="AB340:AB403" si="119">R340+S340-W340-X340</f>
        <v>-2187.5358453234512</v>
      </c>
      <c r="AC340" s="3">
        <f t="shared" ref="AC340:AC403" si="120">T340-Y340</f>
        <v>-1.9851956380460667E-2</v>
      </c>
      <c r="AD340" s="3">
        <f t="shared" si="113"/>
        <v>-356.49663749999849</v>
      </c>
      <c r="AE340" s="3">
        <f t="shared" si="113"/>
        <v>-841.77937500000894</v>
      </c>
      <c r="AF340" s="3">
        <f t="shared" si="113"/>
        <v>-236562.31384912334</v>
      </c>
      <c r="AG340" s="3">
        <f t="shared" si="104"/>
        <v>-2.1468104149393969</v>
      </c>
      <c r="AH340" s="233">
        <f t="shared" si="108"/>
        <v>27237.031275000001</v>
      </c>
      <c r="AI340" s="233">
        <f t="shared" si="108"/>
        <v>678637.61662500002</v>
      </c>
      <c r="AJ340" s="233">
        <f t="shared" si="108"/>
        <v>18525593.297143091</v>
      </c>
      <c r="AK340" s="233">
        <f t="shared" si="108"/>
        <v>11530850.582687359</v>
      </c>
      <c r="AL340" s="233">
        <f t="shared" si="108"/>
        <v>311.67697583512324</v>
      </c>
      <c r="AM340" s="233">
        <f t="shared" si="107"/>
        <v>27593.527912500002</v>
      </c>
      <c r="AN340" s="233">
        <f t="shared" si="107"/>
        <v>679479.39599999995</v>
      </c>
      <c r="AO340" s="233">
        <f t="shared" si="107"/>
        <v>18563055.538103737</v>
      </c>
      <c r="AP340" s="233">
        <f t="shared" si="107"/>
        <v>11729950.655575836</v>
      </c>
      <c r="AQ340" s="233">
        <f t="shared" si="107"/>
        <v>313.82378625006265</v>
      </c>
      <c r="AR340">
        <v>-138.43636363636344</v>
      </c>
      <c r="AS340" s="231">
        <f t="shared" ref="AS340:AS403" si="121">AR340*E340</f>
        <v>-14970.646799999979</v>
      </c>
    </row>
    <row r="341" spans="2:45" ht="58" x14ac:dyDescent="0.35">
      <c r="B341" s="56" t="s">
        <v>94</v>
      </c>
      <c r="C341" s="361" t="s">
        <v>214</v>
      </c>
      <c r="D341" s="56">
        <v>6</v>
      </c>
      <c r="E341" s="3">
        <v>50.550000000000011</v>
      </c>
      <c r="F341" s="3">
        <v>13867.3</v>
      </c>
      <c r="G341" s="3">
        <v>565061</v>
      </c>
      <c r="H341" s="3">
        <v>130.251</v>
      </c>
      <c r="I341" s="3">
        <v>26.887899999999998</v>
      </c>
      <c r="J341" s="3">
        <f t="shared" si="115"/>
        <v>211.45397003973508</v>
      </c>
      <c r="K341" s="3">
        <v>13879.7</v>
      </c>
      <c r="L341" s="3">
        <v>564909</v>
      </c>
      <c r="M341" s="3">
        <v>130.25700000000001</v>
      </c>
      <c r="N341" s="3">
        <v>26.914999999999999</v>
      </c>
      <c r="O341" s="3">
        <f t="shared" si="116"/>
        <v>211.48507076766759</v>
      </c>
      <c r="P341" s="3">
        <f t="shared" si="117"/>
        <v>118.52393162393162</v>
      </c>
      <c r="Q341" s="3">
        <f t="shared" si="118"/>
        <v>4829.5811965811963</v>
      </c>
      <c r="R341" s="3">
        <f t="shared" si="109"/>
        <v>139602.35384615383</v>
      </c>
      <c r="S341" s="3">
        <f t="shared" si="109"/>
        <v>28818.313333333332</v>
      </c>
      <c r="T341" s="3">
        <f t="shared" si="110"/>
        <v>1.8072988892285049</v>
      </c>
      <c r="U341" s="3">
        <f t="shared" si="110"/>
        <v>118.62991452991453</v>
      </c>
      <c r="V341" s="3">
        <f t="shared" si="110"/>
        <v>4828.2820512820517</v>
      </c>
      <c r="W341" s="3">
        <f t="shared" si="111"/>
        <v>139608.78461538462</v>
      </c>
      <c r="X341" s="3">
        <f t="shared" si="111"/>
        <v>28847.358974358973</v>
      </c>
      <c r="Y341" s="3">
        <f t="shared" si="114"/>
        <v>1.8075647074159624</v>
      </c>
      <c r="Z341" s="3">
        <f t="shared" si="112"/>
        <v>-0.10598290598291271</v>
      </c>
      <c r="AA341" s="3">
        <f t="shared" si="112"/>
        <v>1.299145299144584</v>
      </c>
      <c r="AB341" s="3">
        <f t="shared" si="119"/>
        <v>-35.476410256440431</v>
      </c>
      <c r="AC341" s="3">
        <f t="shared" si="120"/>
        <v>-2.6581818745752273E-4</v>
      </c>
      <c r="AD341" s="3">
        <f t="shared" si="113"/>
        <v>-5.3574358974362388</v>
      </c>
      <c r="AE341" s="3">
        <f t="shared" si="113"/>
        <v>65.671794871758735</v>
      </c>
      <c r="AF341" s="3">
        <f t="shared" si="113"/>
        <v>-1793.3325384630641</v>
      </c>
      <c r="AG341" s="3">
        <f t="shared" si="104"/>
        <v>-1.3437109375977778E-2</v>
      </c>
      <c r="AH341" s="233">
        <f t="shared" si="108"/>
        <v>5991.3847435897442</v>
      </c>
      <c r="AI341" s="233">
        <f t="shared" si="108"/>
        <v>244135.32948717952</v>
      </c>
      <c r="AJ341" s="233">
        <f t="shared" si="108"/>
        <v>7056898.9869230771</v>
      </c>
      <c r="AK341" s="233">
        <f t="shared" si="108"/>
        <v>1456765.7390000003</v>
      </c>
      <c r="AL341" s="233">
        <f t="shared" si="108"/>
        <v>91.35895885050094</v>
      </c>
      <c r="AM341" s="233">
        <f t="shared" si="107"/>
        <v>5996.7421794871807</v>
      </c>
      <c r="AN341" s="233">
        <f t="shared" si="107"/>
        <v>244069.65769230778</v>
      </c>
      <c r="AO341" s="233">
        <f t="shared" si="107"/>
        <v>7057224.062307694</v>
      </c>
      <c r="AP341" s="233">
        <f t="shared" si="107"/>
        <v>1458233.9961538464</v>
      </c>
      <c r="AQ341" s="233">
        <f t="shared" si="107"/>
        <v>91.372395959876926</v>
      </c>
      <c r="AR341">
        <v>-74.830769230769732</v>
      </c>
      <c r="AS341" s="231">
        <f t="shared" si="121"/>
        <v>-3782.6953846154106</v>
      </c>
    </row>
    <row r="342" spans="2:45" ht="58" x14ac:dyDescent="0.35">
      <c r="B342" s="56" t="s">
        <v>94</v>
      </c>
      <c r="C342" s="361" t="s">
        <v>214</v>
      </c>
      <c r="D342" s="56">
        <v>7</v>
      </c>
      <c r="E342" s="3">
        <v>54.344999999999999</v>
      </c>
      <c r="F342" s="3">
        <v>13455.6</v>
      </c>
      <c r="G342" s="3">
        <v>557320</v>
      </c>
      <c r="H342" s="3">
        <v>127.057</v>
      </c>
      <c r="I342" s="3">
        <v>26.0914</v>
      </c>
      <c r="J342" s="3">
        <f t="shared" si="115"/>
        <v>207.34778752753334</v>
      </c>
      <c r="K342" s="3">
        <v>13464</v>
      </c>
      <c r="L342" s="3">
        <v>557143</v>
      </c>
      <c r="M342" s="3">
        <v>127.047</v>
      </c>
      <c r="N342" s="3">
        <v>26.1099</v>
      </c>
      <c r="O342" s="3">
        <f t="shared" si="116"/>
        <v>207.35106165971152</v>
      </c>
      <c r="P342" s="3">
        <f t="shared" si="117"/>
        <v>115.0051282051282</v>
      </c>
      <c r="Q342" s="3">
        <f t="shared" si="118"/>
        <v>4763.4188034188037</v>
      </c>
      <c r="R342" s="3">
        <f t="shared" si="109"/>
        <v>136179.04102564105</v>
      </c>
      <c r="S342" s="3">
        <f t="shared" si="109"/>
        <v>27964.628717948719</v>
      </c>
      <c r="T342" s="3">
        <f t="shared" si="110"/>
        <v>1.7722033122011396</v>
      </c>
      <c r="U342" s="3">
        <f t="shared" si="110"/>
        <v>115.07692307692308</v>
      </c>
      <c r="V342" s="3">
        <f t="shared" si="110"/>
        <v>4761.9059829059825</v>
      </c>
      <c r="W342" s="3">
        <f t="shared" si="111"/>
        <v>136168.32307692309</v>
      </c>
      <c r="X342" s="3">
        <f t="shared" si="111"/>
        <v>27984.456923076923</v>
      </c>
      <c r="Y342" s="3">
        <f t="shared" si="114"/>
        <v>1.7722312962368505</v>
      </c>
      <c r="Z342" s="3">
        <f t="shared" si="112"/>
        <v>-7.1794871794878645E-2</v>
      </c>
      <c r="AA342" s="3">
        <f t="shared" si="112"/>
        <v>1.5128205128212358</v>
      </c>
      <c r="AB342" s="3">
        <f t="shared" si="119"/>
        <v>-9.1102564102438919</v>
      </c>
      <c r="AC342" s="3">
        <f t="shared" si="120"/>
        <v>-2.7984035710915123E-5</v>
      </c>
      <c r="AD342" s="3">
        <f t="shared" si="113"/>
        <v>-3.9016923076926799</v>
      </c>
      <c r="AE342" s="3">
        <f t="shared" si="113"/>
        <v>82.21423076927006</v>
      </c>
      <c r="AF342" s="3">
        <f t="shared" si="113"/>
        <v>-495.09688461470427</v>
      </c>
      <c r="AG342" s="3">
        <f t="shared" si="104"/>
        <v>-1.5207924207096823E-3</v>
      </c>
      <c r="AH342" s="233">
        <f t="shared" si="108"/>
        <v>6249.9536923076921</v>
      </c>
      <c r="AI342" s="233">
        <f t="shared" si="108"/>
        <v>258867.99487179489</v>
      </c>
      <c r="AJ342" s="233">
        <f t="shared" si="108"/>
        <v>7400649.9845384629</v>
      </c>
      <c r="AK342" s="233">
        <f t="shared" si="108"/>
        <v>1519737.7476769232</v>
      </c>
      <c r="AL342" s="233">
        <f t="shared" si="108"/>
        <v>96.310389001570925</v>
      </c>
      <c r="AM342" s="233">
        <f t="shared" si="107"/>
        <v>6253.8553846153845</v>
      </c>
      <c r="AN342" s="233">
        <f t="shared" si="107"/>
        <v>258785.7806410256</v>
      </c>
      <c r="AO342" s="233">
        <f t="shared" si="107"/>
        <v>7400067.5176153854</v>
      </c>
      <c r="AP342" s="233">
        <f t="shared" si="107"/>
        <v>1520815.3114846153</v>
      </c>
      <c r="AQ342" s="233">
        <f t="shared" si="107"/>
        <v>96.311909793991632</v>
      </c>
      <c r="AR342">
        <v>-74.830769230769732</v>
      </c>
      <c r="AS342" s="231">
        <f t="shared" si="121"/>
        <v>-4066.678153846181</v>
      </c>
    </row>
    <row r="343" spans="2:45" ht="58" x14ac:dyDescent="0.35">
      <c r="B343" s="56" t="s">
        <v>94</v>
      </c>
      <c r="C343" s="361" t="s">
        <v>214</v>
      </c>
      <c r="D343" s="56">
        <v>11</v>
      </c>
      <c r="E343" s="3">
        <v>16.829999999999998</v>
      </c>
      <c r="F343" s="3">
        <v>17122.599999999999</v>
      </c>
      <c r="G343" s="3">
        <v>599611</v>
      </c>
      <c r="H343" s="3">
        <v>144.726</v>
      </c>
      <c r="I343" s="3">
        <v>34.134099999999997</v>
      </c>
      <c r="J343" s="3">
        <f t="shared" si="115"/>
        <v>237.51405713335748</v>
      </c>
      <c r="K343" s="3">
        <v>17423.8</v>
      </c>
      <c r="L343" s="3">
        <v>602054</v>
      </c>
      <c r="M343" s="3">
        <v>145.715</v>
      </c>
      <c r="N343" s="3">
        <v>34.779899999999998</v>
      </c>
      <c r="O343" s="3">
        <f t="shared" si="116"/>
        <v>239.74411937294747</v>
      </c>
      <c r="P343" s="3">
        <f t="shared" si="117"/>
        <v>146.34700854700853</v>
      </c>
      <c r="Q343" s="3">
        <f t="shared" si="118"/>
        <v>5124.8803418803418</v>
      </c>
      <c r="R343" s="3">
        <f t="shared" si="109"/>
        <v>155116.58461538461</v>
      </c>
      <c r="S343" s="3">
        <f t="shared" si="109"/>
        <v>36584.753333333327</v>
      </c>
      <c r="T343" s="3">
        <f t="shared" si="110"/>
        <v>2.0300346763534827</v>
      </c>
      <c r="U343" s="3">
        <f t="shared" si="110"/>
        <v>148.92136752136753</v>
      </c>
      <c r="V343" s="3">
        <f t="shared" si="110"/>
        <v>5145.7606837606836</v>
      </c>
      <c r="W343" s="3">
        <f t="shared" si="111"/>
        <v>156176.58974358975</v>
      </c>
      <c r="X343" s="3">
        <f t="shared" si="111"/>
        <v>37276.918461538466</v>
      </c>
      <c r="Y343" s="3">
        <f t="shared" si="114"/>
        <v>2.0490950373756194</v>
      </c>
      <c r="Z343" s="3">
        <f t="shared" si="112"/>
        <v>-2.5743589743590007</v>
      </c>
      <c r="AA343" s="3">
        <f t="shared" si="112"/>
        <v>-20.880341880341803</v>
      </c>
      <c r="AB343" s="3">
        <f t="shared" si="119"/>
        <v>-1752.1702564102816</v>
      </c>
      <c r="AC343" s="3">
        <f t="shared" si="120"/>
        <v>-1.9060361022136707E-2</v>
      </c>
      <c r="AD343" s="3">
        <f t="shared" si="113"/>
        <v>-43.326461538461977</v>
      </c>
      <c r="AE343" s="3">
        <f t="shared" si="113"/>
        <v>-351.4161538461525</v>
      </c>
      <c r="AF343" s="3">
        <f t="shared" si="113"/>
        <v>-29489.025415385036</v>
      </c>
      <c r="AG343" s="3">
        <f t="shared" si="104"/>
        <v>-0.32078587600256075</v>
      </c>
      <c r="AH343" s="233">
        <f t="shared" si="108"/>
        <v>2463.0201538461533</v>
      </c>
      <c r="AI343" s="233">
        <f t="shared" si="108"/>
        <v>86251.736153846141</v>
      </c>
      <c r="AJ343" s="233">
        <f t="shared" si="108"/>
        <v>2610612.1190769225</v>
      </c>
      <c r="AK343" s="233">
        <f t="shared" si="108"/>
        <v>615721.39859999984</v>
      </c>
      <c r="AL343" s="233">
        <f t="shared" si="108"/>
        <v>34.165483603029109</v>
      </c>
      <c r="AM343" s="233">
        <f t="shared" si="107"/>
        <v>2506.3466153846152</v>
      </c>
      <c r="AN343" s="233">
        <f t="shared" si="107"/>
        <v>86603.152307692289</v>
      </c>
      <c r="AO343" s="233">
        <f t="shared" si="107"/>
        <v>2628452.0053846152</v>
      </c>
      <c r="AP343" s="233">
        <f t="shared" si="107"/>
        <v>627370.53770769236</v>
      </c>
      <c r="AQ343" s="233">
        <f t="shared" si="107"/>
        <v>34.48626947903167</v>
      </c>
      <c r="AR343">
        <v>-141.78461538461517</v>
      </c>
      <c r="AS343" s="231">
        <f t="shared" si="121"/>
        <v>-2386.2350769230729</v>
      </c>
    </row>
    <row r="344" spans="2:45" ht="58" x14ac:dyDescent="0.35">
      <c r="B344" s="56" t="s">
        <v>94</v>
      </c>
      <c r="C344" s="361" t="s">
        <v>214</v>
      </c>
      <c r="D344" s="56">
        <v>14</v>
      </c>
      <c r="E344" s="3">
        <v>12.600000000000001</v>
      </c>
      <c r="F344" s="3">
        <v>16590.900000000001</v>
      </c>
      <c r="G344" s="3">
        <v>603239</v>
      </c>
      <c r="H344" s="3">
        <v>144.51499999999999</v>
      </c>
      <c r="I344" s="3">
        <v>33.198900000000002</v>
      </c>
      <c r="J344" s="3">
        <f t="shared" si="115"/>
        <v>235.48595200526171</v>
      </c>
      <c r="K344" s="3">
        <v>16874.5</v>
      </c>
      <c r="L344" s="3">
        <v>605431</v>
      </c>
      <c r="M344" s="3">
        <v>145.41200000000001</v>
      </c>
      <c r="N344" s="3">
        <v>33.813099999999999</v>
      </c>
      <c r="O344" s="3">
        <f t="shared" si="116"/>
        <v>237.55968701714596</v>
      </c>
      <c r="P344" s="3">
        <f t="shared" si="117"/>
        <v>141.80256410256411</v>
      </c>
      <c r="Q344" s="3">
        <f t="shared" si="118"/>
        <v>5155.8888888888887</v>
      </c>
      <c r="R344" s="3">
        <f t="shared" si="109"/>
        <v>154890.43589743588</v>
      </c>
      <c r="S344" s="3">
        <f t="shared" si="109"/>
        <v>35582.410769230773</v>
      </c>
      <c r="T344" s="3">
        <f t="shared" si="110"/>
        <v>2.0127004444894161</v>
      </c>
      <c r="U344" s="3">
        <f t="shared" si="110"/>
        <v>144.22649572649573</v>
      </c>
      <c r="V344" s="3">
        <f t="shared" si="110"/>
        <v>5174.6239316239316</v>
      </c>
      <c r="W344" s="3">
        <f t="shared" si="111"/>
        <v>155851.8358974359</v>
      </c>
      <c r="X344" s="3">
        <f t="shared" si="111"/>
        <v>36240.707179487174</v>
      </c>
      <c r="Y344" s="3">
        <f t="shared" si="114"/>
        <v>2.030424675360222</v>
      </c>
      <c r="Z344" s="3">
        <f t="shared" si="112"/>
        <v>-2.4239316239316224</v>
      </c>
      <c r="AA344" s="3">
        <f t="shared" si="112"/>
        <v>-18.735042735042953</v>
      </c>
      <c r="AB344" s="3">
        <f t="shared" si="119"/>
        <v>-1619.6964102564234</v>
      </c>
      <c r="AC344" s="3">
        <f t="shared" si="120"/>
        <v>-1.7724230870805879E-2</v>
      </c>
      <c r="AD344" s="3">
        <f t="shared" si="113"/>
        <v>-30.541538461538448</v>
      </c>
      <c r="AE344" s="3">
        <f t="shared" si="113"/>
        <v>-236.06153846154123</v>
      </c>
      <c r="AF344" s="3">
        <f t="shared" si="113"/>
        <v>-20408.174769230936</v>
      </c>
      <c r="AG344" s="3">
        <f t="shared" si="104"/>
        <v>-0.22332530897215411</v>
      </c>
      <c r="AH344" s="233">
        <f t="shared" si="108"/>
        <v>1786.7123076923078</v>
      </c>
      <c r="AI344" s="233">
        <f t="shared" si="108"/>
        <v>64964.200000000004</v>
      </c>
      <c r="AJ344" s="233">
        <f t="shared" si="108"/>
        <v>1951619.4923076923</v>
      </c>
      <c r="AK344" s="233">
        <f t="shared" si="108"/>
        <v>448338.37569230777</v>
      </c>
      <c r="AL344" s="233">
        <f t="shared" si="108"/>
        <v>25.360025600566647</v>
      </c>
      <c r="AM344" s="233">
        <f t="shared" si="107"/>
        <v>1817.2538461538463</v>
      </c>
      <c r="AN344" s="233">
        <f t="shared" si="107"/>
        <v>65200.261538461549</v>
      </c>
      <c r="AO344" s="233">
        <f t="shared" si="107"/>
        <v>1963733.1323076927</v>
      </c>
      <c r="AP344" s="233">
        <f t="shared" si="107"/>
        <v>456632.91046153841</v>
      </c>
      <c r="AQ344" s="233">
        <f t="shared" si="107"/>
        <v>25.583350909538801</v>
      </c>
      <c r="AR344">
        <v>-141.78461538461517</v>
      </c>
      <c r="AS344" s="231">
        <f t="shared" si="121"/>
        <v>-1786.4861538461512</v>
      </c>
    </row>
    <row r="345" spans="2:45" ht="58" x14ac:dyDescent="0.35">
      <c r="B345" s="56" t="s">
        <v>94</v>
      </c>
      <c r="C345" s="361" t="s">
        <v>214</v>
      </c>
      <c r="D345" s="56">
        <v>15</v>
      </c>
      <c r="E345" s="3">
        <v>8.2050000000000001</v>
      </c>
      <c r="F345" s="3">
        <v>10685.5</v>
      </c>
      <c r="G345" s="3">
        <v>734020</v>
      </c>
      <c r="H345" s="3">
        <v>173.54599999999999</v>
      </c>
      <c r="I345" s="3">
        <v>20.866399999999999</v>
      </c>
      <c r="J345" s="3">
        <f t="shared" si="115"/>
        <v>234.70940726707795</v>
      </c>
      <c r="K345" s="3">
        <v>10734.3</v>
      </c>
      <c r="L345" s="3">
        <v>737873</v>
      </c>
      <c r="M345" s="3">
        <v>174.798</v>
      </c>
      <c r="N345" s="3">
        <v>20.973400000000002</v>
      </c>
      <c r="O345" s="3">
        <f t="shared" si="116"/>
        <v>235.90167508464117</v>
      </c>
      <c r="P345" s="3">
        <f t="shared" si="117"/>
        <v>91.32905982905983</v>
      </c>
      <c r="Q345" s="3">
        <f t="shared" si="118"/>
        <v>6273.6752136752139</v>
      </c>
      <c r="R345" s="3">
        <f t="shared" si="109"/>
        <v>186005.71282051282</v>
      </c>
      <c r="S345" s="3">
        <f t="shared" si="109"/>
        <v>22364.500512820512</v>
      </c>
      <c r="T345" s="3">
        <f t="shared" si="110"/>
        <v>2.0060633099750254</v>
      </c>
      <c r="U345" s="3">
        <f t="shared" si="110"/>
        <v>91.746153846153845</v>
      </c>
      <c r="V345" s="3">
        <f t="shared" si="110"/>
        <v>6306.6068376068379</v>
      </c>
      <c r="W345" s="3">
        <f t="shared" si="111"/>
        <v>187347.6</v>
      </c>
      <c r="X345" s="3">
        <f t="shared" si="111"/>
        <v>22479.182564102564</v>
      </c>
      <c r="Y345" s="3">
        <f t="shared" si="114"/>
        <v>2.0162536332020613</v>
      </c>
      <c r="Z345" s="3">
        <f t="shared" si="112"/>
        <v>-0.41709401709401561</v>
      </c>
      <c r="AA345" s="3">
        <f t="shared" si="112"/>
        <v>-32.931623931624017</v>
      </c>
      <c r="AB345" s="3">
        <f t="shared" si="119"/>
        <v>-1456.5692307692225</v>
      </c>
      <c r="AC345" s="3">
        <f t="shared" si="120"/>
        <v>-1.0190323227035947E-2</v>
      </c>
      <c r="AD345" s="3">
        <f t="shared" si="113"/>
        <v>-3.4222564102563982</v>
      </c>
      <c r="AE345" s="3">
        <f t="shared" si="113"/>
        <v>-270.20397435897507</v>
      </c>
      <c r="AF345" s="3">
        <f t="shared" si="113"/>
        <v>-11951.15053846147</v>
      </c>
      <c r="AG345" s="3">
        <f t="shared" si="104"/>
        <v>-8.3611602077829944E-2</v>
      </c>
      <c r="AH345" s="233">
        <f t="shared" si="108"/>
        <v>749.35493589743589</v>
      </c>
      <c r="AI345" s="233">
        <f t="shared" si="108"/>
        <v>51475.505128205128</v>
      </c>
      <c r="AJ345" s="233">
        <f t="shared" si="108"/>
        <v>1526176.8736923079</v>
      </c>
      <c r="AK345" s="233">
        <f t="shared" si="108"/>
        <v>183500.72670769232</v>
      </c>
      <c r="AL345" s="233">
        <f t="shared" si="108"/>
        <v>16.459749458345083</v>
      </c>
      <c r="AM345" s="233">
        <f t="shared" si="107"/>
        <v>752.7771923076923</v>
      </c>
      <c r="AN345" s="233">
        <f t="shared" si="107"/>
        <v>51745.709102564106</v>
      </c>
      <c r="AO345" s="233">
        <f t="shared" si="107"/>
        <v>1537187.058</v>
      </c>
      <c r="AP345" s="233">
        <f t="shared" si="107"/>
        <v>184441.69293846155</v>
      </c>
      <c r="AQ345" s="233">
        <f t="shared" si="107"/>
        <v>16.543361060422914</v>
      </c>
      <c r="AR345">
        <v>-141.78461538461517</v>
      </c>
      <c r="AS345" s="231">
        <f t="shared" si="121"/>
        <v>-1163.3427692307675</v>
      </c>
    </row>
    <row r="346" spans="2:45" ht="58" x14ac:dyDescent="0.35">
      <c r="B346" s="56" t="s">
        <v>94</v>
      </c>
      <c r="C346" s="361" t="s">
        <v>214</v>
      </c>
      <c r="D346" s="56">
        <v>16</v>
      </c>
      <c r="E346" s="3">
        <v>5.0850000000000009</v>
      </c>
      <c r="F346" s="3">
        <v>25278.7</v>
      </c>
      <c r="G346" s="3">
        <v>530099</v>
      </c>
      <c r="H346" s="3">
        <v>119.072</v>
      </c>
      <c r="I346" s="3">
        <v>50.6843</v>
      </c>
      <c r="J346" s="3">
        <f t="shared" si="115"/>
        <v>265.29324907121475</v>
      </c>
      <c r="K346" s="3">
        <v>25855</v>
      </c>
      <c r="L346" s="3">
        <v>531544</v>
      </c>
      <c r="M346" s="3">
        <v>119.407</v>
      </c>
      <c r="N346" s="3">
        <v>51.883000000000003</v>
      </c>
      <c r="O346" s="3">
        <f t="shared" si="116"/>
        <v>268.78394784813571</v>
      </c>
      <c r="P346" s="3">
        <f t="shared" si="117"/>
        <v>216.05726495726498</v>
      </c>
      <c r="Q346" s="3">
        <f t="shared" si="118"/>
        <v>4530.7606837606836</v>
      </c>
      <c r="R346" s="3">
        <f t="shared" si="109"/>
        <v>127620.75897435898</v>
      </c>
      <c r="S346" s="3">
        <f t="shared" si="109"/>
        <v>54323.172820512824</v>
      </c>
      <c r="T346" s="3">
        <f t="shared" si="110"/>
        <v>2.2674636672753397</v>
      </c>
      <c r="U346" s="3">
        <f t="shared" si="110"/>
        <v>220.98290598290598</v>
      </c>
      <c r="V346" s="3">
        <f t="shared" si="110"/>
        <v>4543.1111111111113</v>
      </c>
      <c r="W346" s="3">
        <f t="shared" si="111"/>
        <v>127979.81025641024</v>
      </c>
      <c r="X346" s="3">
        <f t="shared" si="111"/>
        <v>55607.933333333334</v>
      </c>
      <c r="Y346" s="3">
        <f t="shared" si="114"/>
        <v>2.2972986995567153</v>
      </c>
      <c r="Z346" s="3">
        <f t="shared" si="112"/>
        <v>-4.9256410256409993</v>
      </c>
      <c r="AA346" s="3">
        <f t="shared" si="112"/>
        <v>-12.350427350427708</v>
      </c>
      <c r="AB346" s="3">
        <f t="shared" si="119"/>
        <v>-1643.81179487177</v>
      </c>
      <c r="AC346" s="3">
        <f t="shared" si="120"/>
        <v>-2.9835032281375629E-2</v>
      </c>
      <c r="AD346" s="3">
        <f t="shared" si="113"/>
        <v>-25.046884615384485</v>
      </c>
      <c r="AE346" s="3">
        <f t="shared" si="113"/>
        <v>-62.801923076924908</v>
      </c>
      <c r="AF346" s="3">
        <f t="shared" si="113"/>
        <v>-8358.782976922952</v>
      </c>
      <c r="AG346" s="3">
        <f t="shared" si="104"/>
        <v>-0.15171113915079509</v>
      </c>
      <c r="AH346" s="233">
        <f t="shared" si="108"/>
        <v>1098.6511923076926</v>
      </c>
      <c r="AI346" s="233">
        <f t="shared" si="108"/>
        <v>23038.918076923081</v>
      </c>
      <c r="AJ346" s="233">
        <f t="shared" si="108"/>
        <v>648951.55938461551</v>
      </c>
      <c r="AK346" s="233">
        <f t="shared" si="108"/>
        <v>276233.33379230776</v>
      </c>
      <c r="AL346" s="233">
        <f t="shared" si="108"/>
        <v>11.530052748095104</v>
      </c>
      <c r="AM346" s="233">
        <f t="shared" si="107"/>
        <v>1123.698076923077</v>
      </c>
      <c r="AN346" s="233">
        <f t="shared" si="107"/>
        <v>23101.720000000005</v>
      </c>
      <c r="AO346" s="233">
        <f t="shared" si="107"/>
        <v>650777.33515384619</v>
      </c>
      <c r="AP346" s="233">
        <f t="shared" si="107"/>
        <v>282766.34100000007</v>
      </c>
      <c r="AQ346" s="233">
        <f t="shared" si="107"/>
        <v>11.6817638872459</v>
      </c>
      <c r="AR346">
        <v>-141.78461538461517</v>
      </c>
      <c r="AS346" s="231">
        <f t="shared" si="121"/>
        <v>-720.97476923076829</v>
      </c>
    </row>
    <row r="347" spans="2:45" ht="58" x14ac:dyDescent="0.35">
      <c r="B347" s="56" t="s">
        <v>92</v>
      </c>
      <c r="C347" s="361" t="s">
        <v>214</v>
      </c>
      <c r="D347" s="56">
        <v>1</v>
      </c>
      <c r="E347" s="3">
        <v>2.88585</v>
      </c>
      <c r="F347" s="3">
        <v>8580.92</v>
      </c>
      <c r="G347" s="3">
        <v>42365.3</v>
      </c>
      <c r="H347" s="3">
        <v>31.01</v>
      </c>
      <c r="I347" s="3">
        <v>60.76</v>
      </c>
      <c r="J347" s="3">
        <f t="shared" si="115"/>
        <v>56.986728680005442</v>
      </c>
      <c r="K347" s="3">
        <v>8642.7800000000007</v>
      </c>
      <c r="L347" s="3">
        <v>42494</v>
      </c>
      <c r="M347" s="3">
        <v>31.1</v>
      </c>
      <c r="N347" s="3">
        <v>61.29</v>
      </c>
      <c r="O347" s="3">
        <f t="shared" si="116"/>
        <v>57.355073143046354</v>
      </c>
      <c r="P347" s="3">
        <f t="shared" si="117"/>
        <v>238.35888888888888</v>
      </c>
      <c r="Q347" s="3">
        <f t="shared" si="118"/>
        <v>1176.8138888888889</v>
      </c>
      <c r="R347" s="3">
        <f t="shared" si="109"/>
        <v>33914.60333333334</v>
      </c>
      <c r="S347" s="3">
        <f t="shared" si="109"/>
        <v>66451.186666666676</v>
      </c>
      <c r="T347" s="3">
        <f t="shared" si="110"/>
        <v>1.5829646855557067</v>
      </c>
      <c r="U347" s="3">
        <f t="shared" si="110"/>
        <v>240.07722222222225</v>
      </c>
      <c r="V347" s="3">
        <f t="shared" si="110"/>
        <v>1180.3888888888889</v>
      </c>
      <c r="W347" s="3">
        <f t="shared" si="111"/>
        <v>34013.033333333333</v>
      </c>
      <c r="X347" s="3">
        <f t="shared" si="111"/>
        <v>67030.83</v>
      </c>
      <c r="Y347" s="3">
        <f t="shared" si="114"/>
        <v>1.593196476195732</v>
      </c>
      <c r="Z347" s="3">
        <f t="shared" si="112"/>
        <v>-1.7183333333333621</v>
      </c>
      <c r="AA347" s="3">
        <f t="shared" si="112"/>
        <v>-3.5750000000000455</v>
      </c>
      <c r="AB347" s="3">
        <f t="shared" si="119"/>
        <v>-678.07333333331917</v>
      </c>
      <c r="AC347" s="3">
        <f t="shared" si="120"/>
        <v>-1.0231790640025329E-2</v>
      </c>
      <c r="AD347" s="3">
        <f t="shared" si="113"/>
        <v>-4.9588522500000831</v>
      </c>
      <c r="AE347" s="3">
        <f t="shared" si="113"/>
        <v>-10.316913750000131</v>
      </c>
      <c r="AF347" s="3">
        <f t="shared" si="113"/>
        <v>-1956.8179289999591</v>
      </c>
      <c r="AG347" s="3">
        <f t="shared" si="104"/>
        <v>-2.9527413018517096E-2</v>
      </c>
      <c r="AH347" s="233">
        <f t="shared" si="108"/>
        <v>687.8679995</v>
      </c>
      <c r="AI347" s="233">
        <f t="shared" si="108"/>
        <v>3396.1083612500001</v>
      </c>
      <c r="AJ347" s="233">
        <f t="shared" si="108"/>
        <v>97872.45802950002</v>
      </c>
      <c r="AK347" s="233">
        <f t="shared" si="108"/>
        <v>191768.15704200004</v>
      </c>
      <c r="AL347" s="233">
        <f t="shared" si="108"/>
        <v>4.5681986378109363</v>
      </c>
      <c r="AM347" s="233">
        <f t="shared" si="107"/>
        <v>692.82685175000006</v>
      </c>
      <c r="AN347" s="233">
        <f t="shared" si="107"/>
        <v>3406.4252750000001</v>
      </c>
      <c r="AO347" s="233">
        <f t="shared" si="107"/>
        <v>98156.512245000005</v>
      </c>
      <c r="AP347" s="233">
        <f t="shared" si="107"/>
        <v>193440.9207555</v>
      </c>
      <c r="AQ347" s="233">
        <f t="shared" si="107"/>
        <v>4.5977260508294533</v>
      </c>
      <c r="AS347" s="231">
        <f t="shared" si="121"/>
        <v>0</v>
      </c>
    </row>
    <row r="348" spans="2:45" ht="58" x14ac:dyDescent="0.35">
      <c r="B348" s="56" t="s">
        <v>92</v>
      </c>
      <c r="C348" s="361" t="s">
        <v>214</v>
      </c>
      <c r="D348" s="56">
        <v>2</v>
      </c>
      <c r="E348" s="3">
        <v>17.12997</v>
      </c>
      <c r="F348" s="3">
        <v>7240.34</v>
      </c>
      <c r="G348" s="3">
        <v>35435.699999999997</v>
      </c>
      <c r="H348" s="3">
        <v>31.73</v>
      </c>
      <c r="I348" s="3">
        <v>49.7</v>
      </c>
      <c r="J348" s="3">
        <f t="shared" si="115"/>
        <v>48.009066205561098</v>
      </c>
      <c r="K348" s="3">
        <v>7273.36</v>
      </c>
      <c r="L348" s="3">
        <v>35509.1</v>
      </c>
      <c r="M348" s="3">
        <v>31.8</v>
      </c>
      <c r="N348" s="3">
        <v>49.99</v>
      </c>
      <c r="O348" s="3">
        <f t="shared" si="116"/>
        <v>48.206813404617613</v>
      </c>
      <c r="P348" s="3">
        <f t="shared" si="117"/>
        <v>201.12055555555557</v>
      </c>
      <c r="Q348" s="3">
        <f t="shared" si="118"/>
        <v>984.32499999999993</v>
      </c>
      <c r="R348" s="3">
        <f t="shared" si="109"/>
        <v>34702.043333333335</v>
      </c>
      <c r="S348" s="3">
        <f t="shared" si="109"/>
        <v>54355.23333333333</v>
      </c>
      <c r="T348" s="3">
        <f t="shared" si="110"/>
        <v>1.3335851723766972</v>
      </c>
      <c r="U348" s="3">
        <f t="shared" si="110"/>
        <v>202.03777777777776</v>
      </c>
      <c r="V348" s="3">
        <f t="shared" si="110"/>
        <v>986.36388888888882</v>
      </c>
      <c r="W348" s="3">
        <f t="shared" si="111"/>
        <v>34778.6</v>
      </c>
      <c r="X348" s="3">
        <f t="shared" si="111"/>
        <v>54672.396666666675</v>
      </c>
      <c r="Y348" s="3">
        <f t="shared" si="114"/>
        <v>1.3390781501282669</v>
      </c>
      <c r="Z348" s="3">
        <f t="shared" si="112"/>
        <v>-0.9172222222221933</v>
      </c>
      <c r="AA348" s="3">
        <f t="shared" si="112"/>
        <v>-2.0388888888888914</v>
      </c>
      <c r="AB348" s="3">
        <f t="shared" si="119"/>
        <v>-393.72000000000116</v>
      </c>
      <c r="AC348" s="3">
        <f t="shared" si="120"/>
        <v>-5.4929777515697609E-3</v>
      </c>
      <c r="AD348" s="3">
        <f t="shared" si="113"/>
        <v>-15.711989149999505</v>
      </c>
      <c r="AE348" s="3">
        <f t="shared" si="113"/>
        <v>-34.926105500000041</v>
      </c>
      <c r="AF348" s="3">
        <f t="shared" si="113"/>
        <v>-6744.4117884000198</v>
      </c>
      <c r="AG348" s="3">
        <f t="shared" si="104"/>
        <v>-9.4094544095057464E-2</v>
      </c>
      <c r="AH348" s="233">
        <f t="shared" si="108"/>
        <v>3445.1890830500001</v>
      </c>
      <c r="AI348" s="233">
        <f t="shared" si="108"/>
        <v>16861.45772025</v>
      </c>
      <c r="AJ348" s="233">
        <f t="shared" si="108"/>
        <v>594444.96123870008</v>
      </c>
      <c r="AK348" s="233">
        <f t="shared" si="108"/>
        <v>931103.516343</v>
      </c>
      <c r="AL348" s="233">
        <f t="shared" si="108"/>
        <v>22.844273995257652</v>
      </c>
      <c r="AM348" s="233">
        <f t="shared" si="107"/>
        <v>3460.9010721999998</v>
      </c>
      <c r="AN348" s="233">
        <f t="shared" si="107"/>
        <v>16896.383825749999</v>
      </c>
      <c r="AO348" s="233">
        <f t="shared" si="107"/>
        <v>595756.37464199995</v>
      </c>
      <c r="AP348" s="233">
        <f t="shared" si="107"/>
        <v>936536.51472810016</v>
      </c>
      <c r="AQ348" s="233">
        <f t="shared" si="107"/>
        <v>22.938368539352709</v>
      </c>
      <c r="AS348" s="231">
        <f t="shared" si="121"/>
        <v>0</v>
      </c>
    </row>
    <row r="349" spans="2:45" ht="58" x14ac:dyDescent="0.35">
      <c r="B349" s="56" t="s">
        <v>92</v>
      </c>
      <c r="C349" s="361" t="s">
        <v>214</v>
      </c>
      <c r="D349" s="56">
        <v>3</v>
      </c>
      <c r="E349" s="3">
        <v>83.090699999999998</v>
      </c>
      <c r="F349" s="3">
        <v>6595.71</v>
      </c>
      <c r="G349" s="3">
        <v>28438.2</v>
      </c>
      <c r="H349" s="3">
        <v>22.81</v>
      </c>
      <c r="I349" s="3">
        <v>43.95</v>
      </c>
      <c r="J349" s="3">
        <f t="shared" si="115"/>
        <v>42.811089573355716</v>
      </c>
      <c r="K349" s="3">
        <v>6616.42</v>
      </c>
      <c r="L349" s="3">
        <v>28503.9</v>
      </c>
      <c r="M349" s="3">
        <v>22.88</v>
      </c>
      <c r="N349" s="3">
        <v>44.13</v>
      </c>
      <c r="O349" s="3">
        <f t="shared" si="116"/>
        <v>42.939842077628597</v>
      </c>
      <c r="P349" s="3">
        <f t="shared" si="117"/>
        <v>183.21416666666667</v>
      </c>
      <c r="Q349" s="3">
        <f t="shared" si="118"/>
        <v>789.95</v>
      </c>
      <c r="R349" s="3">
        <f t="shared" si="109"/>
        <v>24946.536666666667</v>
      </c>
      <c r="S349" s="3">
        <f t="shared" si="109"/>
        <v>48066.65</v>
      </c>
      <c r="T349" s="3">
        <f t="shared" si="110"/>
        <v>1.1891969325932144</v>
      </c>
      <c r="U349" s="3">
        <f t="shared" si="110"/>
        <v>183.78944444444446</v>
      </c>
      <c r="V349" s="3">
        <f t="shared" si="110"/>
        <v>791.77500000000009</v>
      </c>
      <c r="W349" s="3">
        <f t="shared" si="111"/>
        <v>25023.093333333334</v>
      </c>
      <c r="X349" s="3">
        <f t="shared" si="111"/>
        <v>48263.51</v>
      </c>
      <c r="Y349" s="3">
        <f t="shared" si="114"/>
        <v>1.1927733910452387</v>
      </c>
      <c r="Z349" s="3">
        <f t="shared" si="112"/>
        <v>-0.5752777777777851</v>
      </c>
      <c r="AA349" s="3">
        <f t="shared" si="112"/>
        <v>-1.8250000000000455</v>
      </c>
      <c r="AB349" s="3">
        <f t="shared" si="119"/>
        <v>-273.41666666666424</v>
      </c>
      <c r="AC349" s="3">
        <f t="shared" si="120"/>
        <v>-3.576458452024367E-3</v>
      </c>
      <c r="AD349" s="3">
        <f t="shared" si="113"/>
        <v>-47.800233250000609</v>
      </c>
      <c r="AE349" s="3">
        <f t="shared" si="113"/>
        <v>-151.64052750000377</v>
      </c>
      <c r="AF349" s="3">
        <f t="shared" si="113"/>
        <v>-22718.382224999797</v>
      </c>
      <c r="AG349" s="3">
        <f t="shared" si="104"/>
        <v>-0.29717043629962109</v>
      </c>
      <c r="AH349" s="233">
        <f t="shared" si="108"/>
        <v>15223.393358249999</v>
      </c>
      <c r="AI349" s="233">
        <f t="shared" si="108"/>
        <v>65637.498464999997</v>
      </c>
      <c r="AJ349" s="233">
        <f t="shared" si="108"/>
        <v>2072825.1942089999</v>
      </c>
      <c r="AK349" s="233">
        <f t="shared" si="108"/>
        <v>3993891.5951550002</v>
      </c>
      <c r="AL349" s="233">
        <f t="shared" si="108"/>
        <v>98.811205567022995</v>
      </c>
      <c r="AM349" s="233">
        <f t="shared" si="107"/>
        <v>15271.193591500001</v>
      </c>
      <c r="AN349" s="233">
        <f t="shared" si="107"/>
        <v>65789.138992500011</v>
      </c>
      <c r="AO349" s="233">
        <f t="shared" si="107"/>
        <v>2079186.3412319999</v>
      </c>
      <c r="AP349" s="233">
        <f t="shared" si="107"/>
        <v>4010248.8303570002</v>
      </c>
      <c r="AQ349" s="233">
        <f t="shared" si="107"/>
        <v>99.108376003322618</v>
      </c>
      <c r="AS349" s="231">
        <f t="shared" si="121"/>
        <v>0</v>
      </c>
    </row>
    <row r="350" spans="2:45" ht="58" x14ac:dyDescent="0.35">
      <c r="B350" s="56" t="s">
        <v>92</v>
      </c>
      <c r="C350" s="361" t="s">
        <v>214</v>
      </c>
      <c r="D350" s="56">
        <v>4</v>
      </c>
      <c r="E350" s="3">
        <v>43.287750000000003</v>
      </c>
      <c r="F350" s="3">
        <v>6305.56</v>
      </c>
      <c r="G350" s="3">
        <v>34232.400000000001</v>
      </c>
      <c r="H350" s="3">
        <v>31.64</v>
      </c>
      <c r="I350" s="3">
        <v>41.57</v>
      </c>
      <c r="J350" s="3">
        <f t="shared" si="115"/>
        <v>42.621159763186071</v>
      </c>
      <c r="K350" s="3">
        <v>6324.3</v>
      </c>
      <c r="L350" s="3">
        <v>34261.199999999997</v>
      </c>
      <c r="M350" s="3">
        <v>31.68</v>
      </c>
      <c r="N350" s="3">
        <v>41.74</v>
      </c>
      <c r="O350" s="3">
        <f t="shared" si="116"/>
        <v>42.730297914088723</v>
      </c>
      <c r="P350" s="3">
        <f t="shared" si="117"/>
        <v>175.15444444444447</v>
      </c>
      <c r="Q350" s="3">
        <f t="shared" si="118"/>
        <v>950.90000000000009</v>
      </c>
      <c r="R350" s="3">
        <f t="shared" si="109"/>
        <v>34603.613333333335</v>
      </c>
      <c r="S350" s="3">
        <f t="shared" si="109"/>
        <v>45463.723333333335</v>
      </c>
      <c r="T350" s="3">
        <f t="shared" si="110"/>
        <v>1.1839211045329465</v>
      </c>
      <c r="U350" s="3">
        <f t="shared" si="110"/>
        <v>175.67500000000001</v>
      </c>
      <c r="V350" s="3">
        <f t="shared" si="110"/>
        <v>951.69999999999993</v>
      </c>
      <c r="W350" s="3">
        <f t="shared" si="111"/>
        <v>34647.360000000001</v>
      </c>
      <c r="X350" s="3">
        <f t="shared" si="111"/>
        <v>45649.646666666667</v>
      </c>
      <c r="Y350" s="3">
        <f t="shared" si="114"/>
        <v>1.1869527198357979</v>
      </c>
      <c r="Z350" s="3">
        <f t="shared" si="112"/>
        <v>-0.52055555555554633</v>
      </c>
      <c r="AA350" s="3">
        <f t="shared" si="112"/>
        <v>-0.79999999999984084</v>
      </c>
      <c r="AB350" s="3">
        <f t="shared" si="119"/>
        <v>-229.66999999999825</v>
      </c>
      <c r="AC350" s="3">
        <f t="shared" si="120"/>
        <v>-3.0316153028513426E-3</v>
      </c>
      <c r="AD350" s="3">
        <f t="shared" si="113"/>
        <v>-22.533678749999602</v>
      </c>
      <c r="AE350" s="3">
        <f t="shared" si="113"/>
        <v>-34.63019999999311</v>
      </c>
      <c r="AF350" s="3">
        <f t="shared" si="113"/>
        <v>-9941.8975424999244</v>
      </c>
      <c r="AG350" s="3">
        <f t="shared" si="104"/>
        <v>-0.1312318053260032</v>
      </c>
      <c r="AH350" s="233">
        <f t="shared" si="108"/>
        <v>7582.0418025000017</v>
      </c>
      <c r="AI350" s="233">
        <f t="shared" si="108"/>
        <v>41162.321475000004</v>
      </c>
      <c r="AJ350" s="233">
        <f t="shared" si="108"/>
        <v>1497912.5630700001</v>
      </c>
      <c r="AK350" s="233">
        <f t="shared" si="108"/>
        <v>1968022.2897225001</v>
      </c>
      <c r="AL350" s="233">
        <f t="shared" si="108"/>
        <v>51.249280792746056</v>
      </c>
      <c r="AM350" s="233">
        <f t="shared" si="107"/>
        <v>7604.5754812500008</v>
      </c>
      <c r="AN350" s="233">
        <f t="shared" si="107"/>
        <v>41196.951674999997</v>
      </c>
      <c r="AO350" s="233">
        <f t="shared" si="107"/>
        <v>1499806.2578400001</v>
      </c>
      <c r="AP350" s="233">
        <f t="shared" si="107"/>
        <v>1976070.4924950001</v>
      </c>
      <c r="AQ350" s="233">
        <f t="shared" si="107"/>
        <v>51.380512598072059</v>
      </c>
      <c r="AS350" s="231">
        <f t="shared" si="121"/>
        <v>0</v>
      </c>
    </row>
    <row r="351" spans="2:45" ht="58" x14ac:dyDescent="0.35">
      <c r="B351" s="56" t="s">
        <v>92</v>
      </c>
      <c r="C351" s="361" t="s">
        <v>214</v>
      </c>
      <c r="D351" s="56">
        <v>5</v>
      </c>
      <c r="E351" s="3">
        <v>7.6883400000000002</v>
      </c>
      <c r="F351" s="3">
        <v>6519.73</v>
      </c>
      <c r="G351" s="3">
        <v>28852.6</v>
      </c>
      <c r="H351" s="3">
        <v>21.59</v>
      </c>
      <c r="I351" s="3">
        <v>43.24</v>
      </c>
      <c r="J351" s="3">
        <f t="shared" si="115"/>
        <v>42.496266034409871</v>
      </c>
      <c r="K351" s="3">
        <v>6538.5</v>
      </c>
      <c r="L351" s="3">
        <v>28915.4</v>
      </c>
      <c r="M351" s="3">
        <v>21.63</v>
      </c>
      <c r="N351" s="3">
        <v>43.4</v>
      </c>
      <c r="O351" s="3">
        <f t="shared" si="116"/>
        <v>42.613739924521454</v>
      </c>
      <c r="P351" s="3">
        <f t="shared" si="117"/>
        <v>181.10361111111109</v>
      </c>
      <c r="Q351" s="3">
        <f t="shared" si="118"/>
        <v>801.46111111111111</v>
      </c>
      <c r="R351" s="3">
        <f t="shared" si="109"/>
        <v>23612.263333333336</v>
      </c>
      <c r="S351" s="3">
        <f t="shared" si="109"/>
        <v>47290.146666666675</v>
      </c>
      <c r="T351" s="3">
        <f t="shared" si="110"/>
        <v>1.180451834289163</v>
      </c>
      <c r="U351" s="3">
        <f t="shared" si="110"/>
        <v>181.625</v>
      </c>
      <c r="V351" s="3">
        <f t="shared" si="110"/>
        <v>803.20555555555563</v>
      </c>
      <c r="W351" s="3">
        <f t="shared" si="111"/>
        <v>23656.01</v>
      </c>
      <c r="X351" s="3">
        <f t="shared" si="111"/>
        <v>47465.133333333331</v>
      </c>
      <c r="Y351" s="3">
        <f t="shared" si="114"/>
        <v>1.1837149979033736</v>
      </c>
      <c r="Z351" s="3">
        <f t="shared" si="112"/>
        <v>-0.52138888888890733</v>
      </c>
      <c r="AA351" s="3">
        <f t="shared" si="112"/>
        <v>-1.7444444444445253</v>
      </c>
      <c r="AB351" s="3">
        <f t="shared" si="119"/>
        <v>-218.73333333332266</v>
      </c>
      <c r="AC351" s="3">
        <f t="shared" si="120"/>
        <v>-3.2631636142106402E-3</v>
      </c>
      <c r="AD351" s="3">
        <f t="shared" si="113"/>
        <v>-4.0086150500001416</v>
      </c>
      <c r="AE351" s="3">
        <f t="shared" si="113"/>
        <v>-13.411882000000622</v>
      </c>
      <c r="AF351" s="3">
        <f t="shared" si="113"/>
        <v>-1681.6962359999179</v>
      </c>
      <c r="AG351" s="3">
        <f t="shared" si="104"/>
        <v>-2.5088311341680235E-2</v>
      </c>
      <c r="AH351" s="233">
        <f t="shared" si="108"/>
        <v>1392.38613745</v>
      </c>
      <c r="AI351" s="233">
        <f t="shared" si="108"/>
        <v>6161.9055189999999</v>
      </c>
      <c r="AJ351" s="233">
        <f t="shared" si="108"/>
        <v>181539.10867620003</v>
      </c>
      <c r="AK351" s="233">
        <f t="shared" si="108"/>
        <v>363582.72622320009</v>
      </c>
      <c r="AL351" s="233">
        <f t="shared" si="108"/>
        <v>9.075715055638744</v>
      </c>
      <c r="AM351" s="233">
        <f t="shared" si="107"/>
        <v>1396.3947525000001</v>
      </c>
      <c r="AN351" s="233">
        <f t="shared" si="107"/>
        <v>6175.3174010000012</v>
      </c>
      <c r="AO351" s="233">
        <f t="shared" si="107"/>
        <v>181875.4479234</v>
      </c>
      <c r="AP351" s="233">
        <f t="shared" si="107"/>
        <v>364928.08321199997</v>
      </c>
      <c r="AQ351" s="233">
        <f t="shared" si="107"/>
        <v>9.1008033669804238</v>
      </c>
      <c r="AS351" s="231">
        <f t="shared" si="121"/>
        <v>0</v>
      </c>
    </row>
    <row r="352" spans="2:45" ht="58" x14ac:dyDescent="0.35">
      <c r="B352" s="56" t="s">
        <v>92</v>
      </c>
      <c r="C352" s="361" t="s">
        <v>214</v>
      </c>
      <c r="D352" s="56">
        <v>8</v>
      </c>
      <c r="E352" s="3">
        <v>51.596820000000001</v>
      </c>
      <c r="F352" s="3">
        <v>5640.33</v>
      </c>
      <c r="G352" s="3">
        <v>39243.9</v>
      </c>
      <c r="H352" s="3">
        <v>35.56</v>
      </c>
      <c r="I352" s="3">
        <v>35.869999999999997</v>
      </c>
      <c r="J352" s="3">
        <f t="shared" si="115"/>
        <v>40.197258095962987</v>
      </c>
      <c r="K352" s="3">
        <v>5642.91</v>
      </c>
      <c r="L352" s="3">
        <v>39255.599999999999</v>
      </c>
      <c r="M352" s="3">
        <v>35.619999999999997</v>
      </c>
      <c r="N352" s="3">
        <v>35.89</v>
      </c>
      <c r="O352" s="3">
        <f t="shared" si="116"/>
        <v>40.214142674598563</v>
      </c>
      <c r="P352" s="3">
        <f t="shared" si="117"/>
        <v>156.67583333333334</v>
      </c>
      <c r="Q352" s="3">
        <f t="shared" si="118"/>
        <v>1090.1083333333333</v>
      </c>
      <c r="R352" s="3">
        <f t="shared" si="109"/>
        <v>38890.786666666667</v>
      </c>
      <c r="S352" s="3">
        <f t="shared" si="109"/>
        <v>39229.823333333326</v>
      </c>
      <c r="T352" s="3">
        <f t="shared" si="110"/>
        <v>1.1165905026656384</v>
      </c>
      <c r="U352" s="3">
        <f t="shared" si="110"/>
        <v>156.7475</v>
      </c>
      <c r="V352" s="3">
        <f t="shared" si="110"/>
        <v>1090.4333333333334</v>
      </c>
      <c r="W352" s="3">
        <f t="shared" si="111"/>
        <v>38956.406666666662</v>
      </c>
      <c r="X352" s="3">
        <f t="shared" si="111"/>
        <v>39251.696666666663</v>
      </c>
      <c r="Y352" s="3">
        <f t="shared" si="114"/>
        <v>1.117059518738849</v>
      </c>
      <c r="Z352" s="3">
        <f t="shared" si="112"/>
        <v>-7.166666666665833E-2</v>
      </c>
      <c r="AA352" s="3">
        <f t="shared" si="112"/>
        <v>-0.32500000000004547</v>
      </c>
      <c r="AB352" s="3">
        <f t="shared" si="119"/>
        <v>-87.493333333339251</v>
      </c>
      <c r="AC352" s="3">
        <f t="shared" si="120"/>
        <v>-4.6901607321059302E-4</v>
      </c>
      <c r="AD352" s="3">
        <f t="shared" si="113"/>
        <v>-3.69777209999957</v>
      </c>
      <c r="AE352" s="3">
        <f t="shared" si="113"/>
        <v>-16.768966500002346</v>
      </c>
      <c r="AF352" s="3">
        <f t="shared" si="113"/>
        <v>-4514.3777712003057</v>
      </c>
      <c r="AG352" s="3">
        <f t="shared" si="104"/>
        <v>-2.4199737906553789E-2</v>
      </c>
      <c r="AH352" s="233">
        <f t="shared" si="108"/>
        <v>8083.9747708500008</v>
      </c>
      <c r="AI352" s="233">
        <f t="shared" si="108"/>
        <v>56246.123455500005</v>
      </c>
      <c r="AJ352" s="233">
        <f t="shared" si="108"/>
        <v>2006640.9192983999</v>
      </c>
      <c r="AK352" s="233">
        <f t="shared" si="108"/>
        <v>2024134.1331617997</v>
      </c>
      <c r="AL352" s="233">
        <f t="shared" si="108"/>
        <v>57.612519179748467</v>
      </c>
      <c r="AM352" s="233">
        <f t="shared" si="107"/>
        <v>8087.6725429500002</v>
      </c>
      <c r="AN352" s="233">
        <f t="shared" si="107"/>
        <v>56262.892422000004</v>
      </c>
      <c r="AO352" s="233">
        <f t="shared" si="107"/>
        <v>2010026.7026267997</v>
      </c>
      <c r="AP352" s="233">
        <f t="shared" si="107"/>
        <v>2025262.7276045999</v>
      </c>
      <c r="AQ352" s="233">
        <f t="shared" si="107"/>
        <v>57.636718917655024</v>
      </c>
      <c r="AS352" s="231">
        <f t="shared" si="121"/>
        <v>0</v>
      </c>
    </row>
    <row r="353" spans="2:47" ht="58" x14ac:dyDescent="0.35">
      <c r="B353" s="56" t="s">
        <v>92</v>
      </c>
      <c r="C353" s="361" t="s">
        <v>214</v>
      </c>
      <c r="D353" s="56">
        <v>9</v>
      </c>
      <c r="E353" s="3">
        <v>121.14036000000002</v>
      </c>
      <c r="F353" s="3">
        <v>5745.87</v>
      </c>
      <c r="G353" s="3">
        <v>39641.9</v>
      </c>
      <c r="H353" s="3">
        <v>36.5</v>
      </c>
      <c r="I353" s="3">
        <v>36.799999999999997</v>
      </c>
      <c r="J353" s="3">
        <f t="shared" si="115"/>
        <v>40.868579667168646</v>
      </c>
      <c r="K353" s="3">
        <v>5753.59</v>
      </c>
      <c r="L353" s="3">
        <v>39664.9</v>
      </c>
      <c r="M353" s="3">
        <v>36.58</v>
      </c>
      <c r="N353" s="3">
        <v>36.869999999999997</v>
      </c>
      <c r="O353" s="3">
        <f t="shared" si="116"/>
        <v>40.916216006114482</v>
      </c>
      <c r="P353" s="3">
        <f t="shared" si="117"/>
        <v>159.60749999999999</v>
      </c>
      <c r="Q353" s="3">
        <f t="shared" si="118"/>
        <v>1101.163888888889</v>
      </c>
      <c r="R353" s="3">
        <f t="shared" si="109"/>
        <v>39918.833333333328</v>
      </c>
      <c r="S353" s="3">
        <f t="shared" si="109"/>
        <v>40246.933333333327</v>
      </c>
      <c r="T353" s="3">
        <f t="shared" si="110"/>
        <v>1.1352383240880179</v>
      </c>
      <c r="U353" s="3">
        <f t="shared" si="110"/>
        <v>159.82194444444445</v>
      </c>
      <c r="V353" s="3">
        <f t="shared" si="110"/>
        <v>1101.8027777777779</v>
      </c>
      <c r="W353" s="3">
        <f t="shared" si="111"/>
        <v>40006.32666666666</v>
      </c>
      <c r="X353" s="3">
        <f t="shared" si="111"/>
        <v>40323.49</v>
      </c>
      <c r="Y353" s="3">
        <f t="shared" si="114"/>
        <v>1.1365615557254023</v>
      </c>
      <c r="Z353" s="3">
        <f t="shared" si="112"/>
        <v>-0.21444444444446731</v>
      </c>
      <c r="AA353" s="3">
        <f t="shared" si="112"/>
        <v>-0.63888888888891415</v>
      </c>
      <c r="AB353" s="3">
        <f t="shared" si="119"/>
        <v>-164.04999999999563</v>
      </c>
      <c r="AC353" s="3">
        <f t="shared" si="120"/>
        <v>-1.3232316373843478E-3</v>
      </c>
      <c r="AD353" s="3">
        <f t="shared" si="113"/>
        <v>-25.977877200002773</v>
      </c>
      <c r="AE353" s="3">
        <f t="shared" si="113"/>
        <v>-77.395230000003068</v>
      </c>
      <c r="AF353" s="3">
        <f t="shared" si="113"/>
        <v>-19873.076057999475</v>
      </c>
      <c r="AG353" s="3">
        <f t="shared" si="104"/>
        <v>-0.16029675691612938</v>
      </c>
      <c r="AH353" s="233">
        <f t="shared" si="108"/>
        <v>19334.910008700001</v>
      </c>
      <c r="AI353" s="233">
        <f t="shared" si="108"/>
        <v>133395.38991900004</v>
      </c>
      <c r="AJ353" s="233">
        <f t="shared" si="108"/>
        <v>4835781.8407800002</v>
      </c>
      <c r="AK353" s="233">
        <f t="shared" si="108"/>
        <v>4875527.9928959999</v>
      </c>
      <c r="AL353" s="233">
        <f t="shared" si="108"/>
        <v>137.52317926581918</v>
      </c>
      <c r="AM353" s="233">
        <f t="shared" si="107"/>
        <v>19360.887885900003</v>
      </c>
      <c r="AN353" s="233">
        <f t="shared" si="107"/>
        <v>133472.78514900003</v>
      </c>
      <c r="AO353" s="233">
        <f t="shared" si="107"/>
        <v>4846380.8146775998</v>
      </c>
      <c r="AP353" s="233">
        <f t="shared" si="107"/>
        <v>4884802.0950564006</v>
      </c>
      <c r="AQ353" s="233">
        <f t="shared" si="107"/>
        <v>137.68347602273531</v>
      </c>
      <c r="AS353" s="231">
        <f t="shared" si="121"/>
        <v>0</v>
      </c>
    </row>
    <row r="354" spans="2:47" ht="58" x14ac:dyDescent="0.35">
      <c r="B354" s="56" t="s">
        <v>92</v>
      </c>
      <c r="C354" s="361" t="s">
        <v>214</v>
      </c>
      <c r="D354" s="56">
        <v>10</v>
      </c>
      <c r="E354" s="3">
        <v>42.797700000000006</v>
      </c>
      <c r="F354" s="3">
        <v>5880.01</v>
      </c>
      <c r="G354" s="3">
        <v>46851.1</v>
      </c>
      <c r="H354" s="3">
        <v>42.67</v>
      </c>
      <c r="I354" s="3">
        <v>38.07</v>
      </c>
      <c r="J354" s="3">
        <f t="shared" si="115"/>
        <v>43.333011038791618</v>
      </c>
      <c r="K354" s="3">
        <v>5892.44</v>
      </c>
      <c r="L354" s="3">
        <v>46919.4</v>
      </c>
      <c r="M354" s="3">
        <v>42.78</v>
      </c>
      <c r="N354" s="3">
        <v>38.18</v>
      </c>
      <c r="O354" s="3">
        <f t="shared" si="116"/>
        <v>43.417225842456681</v>
      </c>
      <c r="P354" s="3">
        <f t="shared" si="117"/>
        <v>163.33361111111111</v>
      </c>
      <c r="Q354" s="3">
        <f t="shared" si="118"/>
        <v>1301.4194444444445</v>
      </c>
      <c r="R354" s="3">
        <f t="shared" si="109"/>
        <v>46666.756666666668</v>
      </c>
      <c r="S354" s="3">
        <f t="shared" si="109"/>
        <v>41635.890000000007</v>
      </c>
      <c r="T354" s="3">
        <f t="shared" si="110"/>
        <v>1.2036947510775449</v>
      </c>
      <c r="U354" s="3">
        <f t="shared" si="110"/>
        <v>163.67888888888888</v>
      </c>
      <c r="V354" s="3">
        <f t="shared" si="110"/>
        <v>1303.3166666666666</v>
      </c>
      <c r="W354" s="3">
        <f t="shared" si="111"/>
        <v>46787.060000000005</v>
      </c>
      <c r="X354" s="3">
        <f t="shared" si="111"/>
        <v>41756.193333333329</v>
      </c>
      <c r="Y354" s="3">
        <f t="shared" si="114"/>
        <v>1.2060340511793521</v>
      </c>
      <c r="Z354" s="3">
        <f t="shared" si="112"/>
        <v>-0.34527777777776691</v>
      </c>
      <c r="AA354" s="3">
        <f t="shared" si="112"/>
        <v>-1.8972222222221262</v>
      </c>
      <c r="AB354" s="3">
        <f t="shared" si="119"/>
        <v>-240.60666666666657</v>
      </c>
      <c r="AC354" s="3">
        <f t="shared" si="120"/>
        <v>-2.3393001018072734E-3</v>
      </c>
      <c r="AD354" s="3">
        <f t="shared" si="113"/>
        <v>-14.777094749999538</v>
      </c>
      <c r="AE354" s="3">
        <f t="shared" si="113"/>
        <v>-81.196747499995908</v>
      </c>
      <c r="AF354" s="3">
        <f t="shared" si="113"/>
        <v>-10297.411937999997</v>
      </c>
      <c r="AG354" s="3">
        <f t="shared" si="104"/>
        <v>-0.10011666396711716</v>
      </c>
      <c r="AH354" s="233">
        <f t="shared" si="108"/>
        <v>6990.3028882500012</v>
      </c>
      <c r="AI354" s="233">
        <f t="shared" si="108"/>
        <v>55697.758957500009</v>
      </c>
      <c r="AJ354" s="233">
        <f t="shared" si="108"/>
        <v>1997229.8517930002</v>
      </c>
      <c r="AK354" s="233">
        <f t="shared" si="108"/>
        <v>1781920.3294530006</v>
      </c>
      <c r="AL354" s="233">
        <f t="shared" si="108"/>
        <v>51.515366848191448</v>
      </c>
      <c r="AM354" s="233">
        <f t="shared" si="107"/>
        <v>7005.0799830000005</v>
      </c>
      <c r="AN354" s="233">
        <f t="shared" si="107"/>
        <v>55778.955705000008</v>
      </c>
      <c r="AO354" s="233">
        <f t="shared" si="107"/>
        <v>2002378.5577620005</v>
      </c>
      <c r="AP354" s="233">
        <f t="shared" si="107"/>
        <v>1787069.0354220001</v>
      </c>
      <c r="AQ354" s="233">
        <f t="shared" si="107"/>
        <v>51.615483512158569</v>
      </c>
      <c r="AS354" s="231">
        <f t="shared" si="121"/>
        <v>0</v>
      </c>
    </row>
    <row r="355" spans="2:47" ht="58" x14ac:dyDescent="0.35">
      <c r="B355" s="56" t="s">
        <v>92</v>
      </c>
      <c r="C355" s="361" t="s">
        <v>214</v>
      </c>
      <c r="D355" s="56">
        <v>12</v>
      </c>
      <c r="E355" s="3">
        <v>68.988150000000005</v>
      </c>
      <c r="F355" s="3">
        <v>6799.11</v>
      </c>
      <c r="G355" s="3">
        <v>43480.9</v>
      </c>
      <c r="H355" s="3">
        <v>42.11</v>
      </c>
      <c r="I355" s="3">
        <v>46.04</v>
      </c>
      <c r="J355" s="3">
        <f t="shared" si="115"/>
        <v>47.536123618125728</v>
      </c>
      <c r="K355" s="3">
        <v>6829.16</v>
      </c>
      <c r="L355" s="3">
        <v>43557</v>
      </c>
      <c r="M355" s="3">
        <v>42.24</v>
      </c>
      <c r="N355" s="3">
        <v>46.31</v>
      </c>
      <c r="O355" s="3">
        <f t="shared" si="116"/>
        <v>47.718320140850949</v>
      </c>
      <c r="P355" s="3">
        <f t="shared" si="117"/>
        <v>188.86416666666665</v>
      </c>
      <c r="Q355" s="3">
        <f t="shared" si="118"/>
        <v>1207.8027777777779</v>
      </c>
      <c r="R355" s="3">
        <f t="shared" si="109"/>
        <v>46054.30333333333</v>
      </c>
      <c r="S355" s="3">
        <f t="shared" si="109"/>
        <v>50352.413333333338</v>
      </c>
      <c r="T355" s="3">
        <f t="shared" si="110"/>
        <v>1.3204478782812703</v>
      </c>
      <c r="U355" s="3">
        <f t="shared" si="110"/>
        <v>189.69888888888889</v>
      </c>
      <c r="V355" s="3">
        <f t="shared" si="110"/>
        <v>1209.9166666666667</v>
      </c>
      <c r="W355" s="3">
        <f t="shared" si="111"/>
        <v>46196.480000000003</v>
      </c>
      <c r="X355" s="3">
        <f t="shared" si="111"/>
        <v>50647.703333333338</v>
      </c>
      <c r="Y355" s="3">
        <f t="shared" si="114"/>
        <v>1.3255088928014152</v>
      </c>
      <c r="Z355" s="3">
        <f t="shared" si="112"/>
        <v>-0.83472222222223991</v>
      </c>
      <c r="AA355" s="3">
        <f t="shared" si="112"/>
        <v>-2.1138888888888232</v>
      </c>
      <c r="AB355" s="3">
        <f t="shared" si="119"/>
        <v>-437.46666666666715</v>
      </c>
      <c r="AC355" s="3">
        <f t="shared" si="120"/>
        <v>-5.0610145201448464E-3</v>
      </c>
      <c r="AD355" s="3">
        <f t="shared" si="113"/>
        <v>-57.585941875001225</v>
      </c>
      <c r="AE355" s="3">
        <f t="shared" si="113"/>
        <v>-145.83328374999547</v>
      </c>
      <c r="AF355" s="3">
        <f t="shared" si="113"/>
        <v>-30180.016020000035</v>
      </c>
      <c r="AG355" s="3">
        <f t="shared" si="113"/>
        <v>-0.34915002886793073</v>
      </c>
      <c r="AH355" s="233">
        <f t="shared" si="108"/>
        <v>13029.389459624999</v>
      </c>
      <c r="AI355" s="233">
        <f t="shared" si="108"/>
        <v>83324.079203750021</v>
      </c>
      <c r="AJ355" s="233">
        <f t="shared" si="108"/>
        <v>3177201.1865054998</v>
      </c>
      <c r="AK355" s="233">
        <f t="shared" si="108"/>
        <v>3473719.8439020007</v>
      </c>
      <c r="AL355" s="233">
        <f t="shared" si="108"/>
        <v>91.095256294050017</v>
      </c>
      <c r="AM355" s="233">
        <f t="shared" si="107"/>
        <v>13086.975401500002</v>
      </c>
      <c r="AN355" s="233">
        <f t="shared" si="107"/>
        <v>83469.912487500013</v>
      </c>
      <c r="AO355" s="233">
        <f t="shared" si="107"/>
        <v>3187009.6917120004</v>
      </c>
      <c r="AP355" s="233">
        <f t="shared" si="107"/>
        <v>3494091.3547155005</v>
      </c>
      <c r="AQ355" s="233">
        <f t="shared" si="107"/>
        <v>91.444406322917956</v>
      </c>
      <c r="AS355" s="231">
        <f t="shared" si="121"/>
        <v>0</v>
      </c>
    </row>
    <row r="356" spans="2:47" ht="58" x14ac:dyDescent="0.35">
      <c r="B356" s="56" t="s">
        <v>92</v>
      </c>
      <c r="C356" s="361" t="s">
        <v>214</v>
      </c>
      <c r="D356" s="56">
        <v>13</v>
      </c>
      <c r="E356" s="3">
        <v>20.13561</v>
      </c>
      <c r="F356" s="3">
        <v>6311.74</v>
      </c>
      <c r="G356" s="3">
        <v>61580.6</v>
      </c>
      <c r="H356" s="3">
        <v>56.03</v>
      </c>
      <c r="I356" s="3">
        <v>41.96</v>
      </c>
      <c r="J356" s="3">
        <f t="shared" si="115"/>
        <v>49.228174074063325</v>
      </c>
      <c r="K356" s="3">
        <v>6337.04</v>
      </c>
      <c r="L356" s="3">
        <v>61818.8</v>
      </c>
      <c r="M356" s="3">
        <v>56.28</v>
      </c>
      <c r="N356" s="3">
        <v>42.19</v>
      </c>
      <c r="O356" s="3">
        <f t="shared" si="116"/>
        <v>49.423423804808124</v>
      </c>
      <c r="P356" s="3">
        <f t="shared" si="117"/>
        <v>175.32611111111112</v>
      </c>
      <c r="Q356" s="3">
        <f t="shared" si="118"/>
        <v>1710.5722222222221</v>
      </c>
      <c r="R356" s="3">
        <f t="shared" si="109"/>
        <v>61278.143333333333</v>
      </c>
      <c r="S356" s="3">
        <f t="shared" si="109"/>
        <v>45890.253333333341</v>
      </c>
      <c r="T356" s="3">
        <f t="shared" si="110"/>
        <v>1.3674492798350923</v>
      </c>
      <c r="U356" s="3">
        <f t="shared" si="110"/>
        <v>176.0288888888889</v>
      </c>
      <c r="V356" s="3">
        <f t="shared" si="110"/>
        <v>1717.1888888888889</v>
      </c>
      <c r="W356" s="3">
        <f t="shared" si="111"/>
        <v>61551.560000000005</v>
      </c>
      <c r="X356" s="3">
        <f t="shared" si="111"/>
        <v>46141.796666666669</v>
      </c>
      <c r="Y356" s="3">
        <f t="shared" si="114"/>
        <v>1.3728728834668924</v>
      </c>
      <c r="Z356" s="3">
        <f t="shared" si="112"/>
        <v>-0.70277777777778283</v>
      </c>
      <c r="AA356" s="3">
        <f t="shared" si="112"/>
        <v>-6.6166666666667879</v>
      </c>
      <c r="AB356" s="3">
        <f t="shared" si="119"/>
        <v>-524.9600000000064</v>
      </c>
      <c r="AC356" s="3">
        <f t="shared" si="120"/>
        <v>-5.4236036318000558E-3</v>
      </c>
      <c r="AD356" s="3">
        <f t="shared" si="113"/>
        <v>-14.150859250000101</v>
      </c>
      <c r="AE356" s="3">
        <f t="shared" si="113"/>
        <v>-133.23061950000243</v>
      </c>
      <c r="AF356" s="3">
        <f t="shared" si="113"/>
        <v>-10570.389825600128</v>
      </c>
      <c r="AG356" s="3">
        <f t="shared" si="113"/>
        <v>-0.10920756752450952</v>
      </c>
      <c r="AH356" s="233">
        <f t="shared" si="108"/>
        <v>3530.29819615</v>
      </c>
      <c r="AI356" s="233">
        <f t="shared" si="108"/>
        <v>34443.415143499995</v>
      </c>
      <c r="AJ356" s="233">
        <f t="shared" si="108"/>
        <v>1233872.7956840999</v>
      </c>
      <c r="AK356" s="233">
        <f t="shared" si="108"/>
        <v>924028.24392120016</v>
      </c>
      <c r="AL356" s="233">
        <f t="shared" si="108"/>
        <v>27.534425393540282</v>
      </c>
      <c r="AM356" s="233">
        <f t="shared" si="107"/>
        <v>3544.4490554000004</v>
      </c>
      <c r="AN356" s="233">
        <f t="shared" si="107"/>
        <v>34576.645763</v>
      </c>
      <c r="AO356" s="233">
        <f t="shared" si="107"/>
        <v>1239378.2070516001</v>
      </c>
      <c r="AP356" s="233">
        <f t="shared" si="107"/>
        <v>929093.22237930004</v>
      </c>
      <c r="AQ356" s="233">
        <f t="shared" si="107"/>
        <v>27.643632961064792</v>
      </c>
      <c r="AS356" s="231">
        <f t="shared" si="121"/>
        <v>0</v>
      </c>
    </row>
    <row r="357" spans="2:47" ht="58" x14ac:dyDescent="0.35">
      <c r="B357" s="57" t="s">
        <v>93</v>
      </c>
      <c r="C357" s="377" t="s">
        <v>214</v>
      </c>
      <c r="D357" s="57">
        <v>1</v>
      </c>
      <c r="E357" s="59">
        <v>59.635600000000004</v>
      </c>
      <c r="F357" s="59">
        <v>21105.200000000001</v>
      </c>
      <c r="G357" s="59">
        <v>493743</v>
      </c>
      <c r="H357" s="59">
        <v>118.69219201331499</v>
      </c>
      <c r="I357" s="59">
        <v>54.434966620727103</v>
      </c>
      <c r="J357" s="59">
        <f t="shared" si="115"/>
        <v>233.79082727088814</v>
      </c>
      <c r="K357" s="59">
        <v>20932.400000000001</v>
      </c>
      <c r="L357" s="59">
        <v>493391</v>
      </c>
      <c r="M357" s="59">
        <v>118.606833852761</v>
      </c>
      <c r="N357" s="59">
        <v>53.972362694911503</v>
      </c>
      <c r="O357" s="59">
        <f t="shared" si="116"/>
        <v>232.7636975559285</v>
      </c>
      <c r="P357" s="59">
        <f t="shared" si="117"/>
        <v>239.83181818181819</v>
      </c>
      <c r="Q357" s="59">
        <f t="shared" si="118"/>
        <v>5610.715909090909</v>
      </c>
      <c r="R357" s="59">
        <f t="shared" si="109"/>
        <v>152546.44223529461</v>
      </c>
      <c r="S357" s="59">
        <f t="shared" si="109"/>
        <v>69961.303690957226</v>
      </c>
      <c r="T357" s="59">
        <f t="shared" si="110"/>
        <v>2.6567139462600924</v>
      </c>
      <c r="U357" s="59">
        <f t="shared" si="110"/>
        <v>237.86818181818182</v>
      </c>
      <c r="V357" s="59">
        <f t="shared" si="110"/>
        <v>5606.715909090909</v>
      </c>
      <c r="W357" s="59">
        <f t="shared" si="111"/>
        <v>152436.7375994008</v>
      </c>
      <c r="X357" s="59">
        <f t="shared" si="111"/>
        <v>69366.752509028302</v>
      </c>
      <c r="Y357" s="59">
        <f t="shared" si="114"/>
        <v>2.6450420176810057</v>
      </c>
      <c r="Z357" s="59">
        <f t="shared" si="112"/>
        <v>1.9636363636363683</v>
      </c>
      <c r="AA357" s="59">
        <f t="shared" si="112"/>
        <v>4</v>
      </c>
      <c r="AB357" s="59">
        <f t="shared" si="119"/>
        <v>704.25581782273366</v>
      </c>
      <c r="AC357" s="59">
        <f t="shared" si="120"/>
        <v>1.1671928579086721E-2</v>
      </c>
      <c r="AD357" s="59">
        <f t="shared" si="113"/>
        <v>117.10263272727302</v>
      </c>
      <c r="AE357" s="59">
        <f t="shared" si="113"/>
        <v>238.54240000000001</v>
      </c>
      <c r="AF357" s="59">
        <f t="shared" si="113"/>
        <v>41998.718249349418</v>
      </c>
      <c r="AG357" s="59">
        <f t="shared" si="113"/>
        <v>0.69606246397098415</v>
      </c>
      <c r="AH357" s="382">
        <f t="shared" si="108"/>
        <v>14302.514376363639</v>
      </c>
      <c r="AI357" s="382">
        <f t="shared" si="108"/>
        <v>334598.40966818185</v>
      </c>
      <c r="AJ357" s="382">
        <f t="shared" si="108"/>
        <v>9097198.6105671357</v>
      </c>
      <c r="AK357" s="382">
        <f t="shared" si="108"/>
        <v>4172184.3223924488</v>
      </c>
      <c r="AL357" s="382">
        <f t="shared" si="108"/>
        <v>158.43473021358838</v>
      </c>
      <c r="AM357" s="382">
        <f t="shared" si="107"/>
        <v>14185.411743636365</v>
      </c>
      <c r="AN357" s="382">
        <f t="shared" si="107"/>
        <v>334359.86726818181</v>
      </c>
      <c r="AO357" s="382">
        <f t="shared" si="107"/>
        <v>9090656.3087828271</v>
      </c>
      <c r="AP357" s="382">
        <f t="shared" si="107"/>
        <v>4136727.9059274085</v>
      </c>
      <c r="AQ357" s="382">
        <f t="shared" si="107"/>
        <v>157.73866774961738</v>
      </c>
      <c r="AR357" s="378">
        <v>41.610818181818182</v>
      </c>
      <c r="AS357" s="231">
        <f t="shared" si="121"/>
        <v>2481.4861087636364</v>
      </c>
      <c r="AT357" s="378"/>
      <c r="AU357" s="378"/>
    </row>
    <row r="358" spans="2:47" ht="58" x14ac:dyDescent="0.35">
      <c r="B358" s="56" t="s">
        <v>93</v>
      </c>
      <c r="C358" s="361" t="s">
        <v>214</v>
      </c>
      <c r="D358" s="56">
        <v>2</v>
      </c>
      <c r="E358" s="3">
        <v>353.98791999999997</v>
      </c>
      <c r="F358" s="3">
        <v>17133</v>
      </c>
      <c r="G358" s="3">
        <v>553933</v>
      </c>
      <c r="H358" s="3">
        <v>143.338344739353</v>
      </c>
      <c r="I358" s="3">
        <v>44.384260627040199</v>
      </c>
      <c r="J358" s="3">
        <f t="shared" si="115"/>
        <v>226.59179840469926</v>
      </c>
      <c r="K358" s="3">
        <v>17016.599999999999</v>
      </c>
      <c r="L358" s="3">
        <v>553242</v>
      </c>
      <c r="M358" s="3">
        <v>143.15123121118299</v>
      </c>
      <c r="N358" s="3">
        <v>44.064329350317401</v>
      </c>
      <c r="O358" s="3">
        <f t="shared" si="116"/>
        <v>225.79081746493694</v>
      </c>
      <c r="P358" s="3">
        <f t="shared" si="117"/>
        <v>194.69318181818181</v>
      </c>
      <c r="Q358" s="3">
        <f t="shared" si="118"/>
        <v>6294.693181818182</v>
      </c>
      <c r="R358" s="3">
        <f t="shared" si="109"/>
        <v>184222.34988660028</v>
      </c>
      <c r="S358" s="3">
        <f t="shared" si="109"/>
        <v>57043.862237707348</v>
      </c>
      <c r="T358" s="3">
        <f t="shared" si="110"/>
        <v>2.5749068000534008</v>
      </c>
      <c r="U358" s="3">
        <f t="shared" si="110"/>
        <v>193.37045454545452</v>
      </c>
      <c r="V358" s="3">
        <f t="shared" si="110"/>
        <v>6286.840909090909</v>
      </c>
      <c r="W358" s="3">
        <f t="shared" si="111"/>
        <v>183981.86647709995</v>
      </c>
      <c r="X358" s="3">
        <f t="shared" si="111"/>
        <v>56632.677835464747</v>
      </c>
      <c r="Y358" s="3">
        <f t="shared" si="114"/>
        <v>2.5658047439197378</v>
      </c>
      <c r="Z358" s="3">
        <f t="shared" si="112"/>
        <v>1.3227272727272918</v>
      </c>
      <c r="AA358" s="3">
        <f t="shared" si="112"/>
        <v>7.8522727272729753</v>
      </c>
      <c r="AB358" s="3">
        <f t="shared" si="119"/>
        <v>651.66781174294738</v>
      </c>
      <c r="AC358" s="3">
        <f t="shared" si="120"/>
        <v>9.1020561336629946E-3</v>
      </c>
      <c r="AD358" s="3">
        <f t="shared" si="113"/>
        <v>468.22947600000674</v>
      </c>
      <c r="AE358" s="3">
        <f t="shared" si="113"/>
        <v>2779.6096900000875</v>
      </c>
      <c r="AF358" s="3">
        <f t="shared" si="113"/>
        <v>230682.53320983751</v>
      </c>
      <c r="AG358" s="3">
        <f t="shared" si="113"/>
        <v>3.2220179184786053</v>
      </c>
      <c r="AH358" s="233">
        <f t="shared" si="108"/>
        <v>68919.034469999999</v>
      </c>
      <c r="AI358" s="233">
        <f t="shared" si="108"/>
        <v>2228245.3464699998</v>
      </c>
      <c r="AJ358" s="233">
        <f t="shared" si="108"/>
        <v>65212486.453869864</v>
      </c>
      <c r="AK358" s="233">
        <f t="shared" si="108"/>
        <v>20192838.142292567</v>
      </c>
      <c r="AL358" s="233">
        <f t="shared" si="108"/>
        <v>911.48590234475921</v>
      </c>
      <c r="AM358" s="233">
        <f t="shared" si="107"/>
        <v>68450.804993999991</v>
      </c>
      <c r="AN358" s="233">
        <f t="shared" si="107"/>
        <v>2225465.7367799999</v>
      </c>
      <c r="AO358" s="233">
        <f t="shared" si="107"/>
        <v>65127358.231946334</v>
      </c>
      <c r="AP358" s="233">
        <f t="shared" si="107"/>
        <v>20047283.831006266</v>
      </c>
      <c r="AQ358" s="233">
        <f t="shared" si="107"/>
        <v>908.26388442628058</v>
      </c>
      <c r="AR358">
        <v>41.610818181818182</v>
      </c>
      <c r="AS358" s="231">
        <f t="shared" si="121"/>
        <v>14729.726977679999</v>
      </c>
    </row>
    <row r="359" spans="2:47" ht="58" x14ac:dyDescent="0.35">
      <c r="B359" s="56" t="s">
        <v>93</v>
      </c>
      <c r="C359" s="361" t="s">
        <v>214</v>
      </c>
      <c r="D359" s="56">
        <v>3</v>
      </c>
      <c r="E359" s="3">
        <v>1717.0552</v>
      </c>
      <c r="F359" s="3">
        <v>16040.5</v>
      </c>
      <c r="G359" s="3">
        <v>526260</v>
      </c>
      <c r="H359" s="3">
        <v>132.26012841693901</v>
      </c>
      <c r="I359" s="3">
        <v>41.300508709552602</v>
      </c>
      <c r="J359" s="3">
        <f t="shared" si="115"/>
        <v>213.98146712827725</v>
      </c>
      <c r="K359" s="3">
        <v>15963.9</v>
      </c>
      <c r="L359" s="3">
        <v>526002</v>
      </c>
      <c r="M359" s="3">
        <v>132.24651798273001</v>
      </c>
      <c r="N359" s="3">
        <v>41.088242334979498</v>
      </c>
      <c r="O359" s="3">
        <f t="shared" si="116"/>
        <v>213.50164642284315</v>
      </c>
      <c r="P359" s="3">
        <f t="shared" si="117"/>
        <v>182.27840909090909</v>
      </c>
      <c r="Q359" s="3">
        <f t="shared" si="118"/>
        <v>5980.227272727273</v>
      </c>
      <c r="R359" s="3">
        <f t="shared" si="109"/>
        <v>169984.32413586139</v>
      </c>
      <c r="S359" s="3">
        <f t="shared" si="109"/>
        <v>53080.540171027264</v>
      </c>
      <c r="T359" s="3">
        <f t="shared" si="110"/>
        <v>2.4316075810031506</v>
      </c>
      <c r="U359" s="3">
        <f t="shared" si="110"/>
        <v>181.40795454545454</v>
      </c>
      <c r="V359" s="3">
        <f t="shared" si="110"/>
        <v>5977.295454545455</v>
      </c>
      <c r="W359" s="3">
        <f t="shared" si="111"/>
        <v>169966.83163462233</v>
      </c>
      <c r="X359" s="3">
        <f t="shared" si="111"/>
        <v>52807.729637342964</v>
      </c>
      <c r="Y359" s="3">
        <f t="shared" si="114"/>
        <v>2.426155072986854</v>
      </c>
      <c r="Z359" s="3">
        <f t="shared" si="112"/>
        <v>0.87045454545454959</v>
      </c>
      <c r="AA359" s="3">
        <f t="shared" si="112"/>
        <v>2.9318181818180165</v>
      </c>
      <c r="AB359" s="3">
        <f t="shared" si="119"/>
        <v>290.30303492336679</v>
      </c>
      <c r="AC359" s="3">
        <f t="shared" si="120"/>
        <v>5.4525080162965978E-3</v>
      </c>
      <c r="AD359" s="3">
        <f t="shared" si="113"/>
        <v>1494.6185036363706</v>
      </c>
      <c r="AE359" s="3">
        <f t="shared" si="113"/>
        <v>5034.0936545451705</v>
      </c>
      <c r="AF359" s="3">
        <f t="shared" si="113"/>
        <v>498466.33569094859</v>
      </c>
      <c r="AG359" s="3">
        <f t="shared" si="113"/>
        <v>9.3622572424237571</v>
      </c>
      <c r="AH359" s="233">
        <f t="shared" si="108"/>
        <v>312982.09017727274</v>
      </c>
      <c r="AI359" s="233">
        <f t="shared" si="108"/>
        <v>10268380.335818183</v>
      </c>
      <c r="AJ359" s="233">
        <f t="shared" si="108"/>
        <v>291872467.67596632</v>
      </c>
      <c r="AK359" s="233">
        <f t="shared" si="108"/>
        <v>91142217.519471258</v>
      </c>
      <c r="AL359" s="233">
        <f t="shared" si="108"/>
        <v>4175.2044413208805</v>
      </c>
      <c r="AM359" s="233">
        <f t="shared" si="107"/>
        <v>311487.47167363635</v>
      </c>
      <c r="AN359" s="233">
        <f t="shared" si="107"/>
        <v>10263346.242163638</v>
      </c>
      <c r="AO359" s="233">
        <f t="shared" si="107"/>
        <v>291842432.08575279</v>
      </c>
      <c r="AP359" s="233">
        <f t="shared" si="107"/>
        <v>90673786.77399385</v>
      </c>
      <c r="AQ359" s="233">
        <f t="shared" si="107"/>
        <v>4165.8421840784567</v>
      </c>
      <c r="AR359">
        <v>41.610818181818182</v>
      </c>
      <c r="AS359" s="231">
        <f t="shared" si="121"/>
        <v>71448.071735345453</v>
      </c>
    </row>
    <row r="360" spans="2:47" ht="58" x14ac:dyDescent="0.35">
      <c r="B360" s="56" t="s">
        <v>93</v>
      </c>
      <c r="C360" s="361" t="s">
        <v>214</v>
      </c>
      <c r="D360" s="56">
        <v>4</v>
      </c>
      <c r="E360" s="3">
        <v>894.53399999999999</v>
      </c>
      <c r="F360" s="3">
        <v>14767.1</v>
      </c>
      <c r="G360" s="3">
        <v>572391</v>
      </c>
      <c r="H360" s="3">
        <v>147.87640563906501</v>
      </c>
      <c r="I360" s="3">
        <v>38.060903878477703</v>
      </c>
      <c r="J360" s="3">
        <f t="shared" si="115"/>
        <v>218.12367030536154</v>
      </c>
      <c r="K360" s="3">
        <v>14699.5</v>
      </c>
      <c r="L360" s="3">
        <v>571977</v>
      </c>
      <c r="M360" s="3">
        <v>147.74889790297101</v>
      </c>
      <c r="N360" s="3">
        <v>37.872867822119503</v>
      </c>
      <c r="O360" s="3">
        <f t="shared" si="116"/>
        <v>217.65544386373946</v>
      </c>
      <c r="P360" s="3">
        <f t="shared" si="117"/>
        <v>167.80795454545455</v>
      </c>
      <c r="Q360" s="3">
        <f t="shared" si="118"/>
        <v>6504.443181818182</v>
      </c>
      <c r="R360" s="3">
        <f t="shared" si="109"/>
        <v>190054.78952020741</v>
      </c>
      <c r="S360" s="3">
        <f t="shared" si="109"/>
        <v>48916.911689270775</v>
      </c>
      <c r="T360" s="3">
        <f t="shared" si="110"/>
        <v>2.4786780716518355</v>
      </c>
      <c r="U360" s="3">
        <f t="shared" si="110"/>
        <v>167.03977272727272</v>
      </c>
      <c r="V360" s="3">
        <f t="shared" si="110"/>
        <v>6499.738636363636</v>
      </c>
      <c r="W360" s="3">
        <f t="shared" si="111"/>
        <v>189890.9131002957</v>
      </c>
      <c r="X360" s="3">
        <f t="shared" si="111"/>
        <v>48675.242621383135</v>
      </c>
      <c r="Y360" s="3">
        <f t="shared" si="114"/>
        <v>2.4733573166334031</v>
      </c>
      <c r="Z360" s="3">
        <f t="shared" si="112"/>
        <v>0.76818181818183007</v>
      </c>
      <c r="AA360" s="3">
        <f t="shared" si="112"/>
        <v>4.7045454545459506</v>
      </c>
      <c r="AB360" s="3">
        <f t="shared" si="119"/>
        <v>405.54548779936158</v>
      </c>
      <c r="AC360" s="3">
        <f t="shared" si="120"/>
        <v>5.3207550184324326E-3</v>
      </c>
      <c r="AD360" s="3">
        <f t="shared" si="113"/>
        <v>687.16475454546514</v>
      </c>
      <c r="AE360" s="3">
        <f t="shared" si="113"/>
        <v>4208.3758636368075</v>
      </c>
      <c r="AF360" s="3">
        <f t="shared" si="113"/>
        <v>362774.22738311411</v>
      </c>
      <c r="AG360" s="3">
        <f t="shared" si="113"/>
        <v>4.759596269658438</v>
      </c>
      <c r="AH360" s="233">
        <f t="shared" si="108"/>
        <v>150109.92081136364</v>
      </c>
      <c r="AI360" s="233">
        <f t="shared" si="108"/>
        <v>5818445.577204546</v>
      </c>
      <c r="AJ360" s="233">
        <f t="shared" si="108"/>
        <v>170010471.08866921</v>
      </c>
      <c r="AK360" s="233">
        <f t="shared" si="108"/>
        <v>43757840.681050144</v>
      </c>
      <c r="AL360" s="233">
        <f t="shared" si="108"/>
        <v>2217.261810147003</v>
      </c>
      <c r="AM360" s="233">
        <f t="shared" si="107"/>
        <v>149422.75605681818</v>
      </c>
      <c r="AN360" s="233">
        <f t="shared" si="107"/>
        <v>5814237.2013409091</v>
      </c>
      <c r="AO360" s="233">
        <f t="shared" si="107"/>
        <v>169863878.05925992</v>
      </c>
      <c r="AP360" s="233">
        <f t="shared" si="107"/>
        <v>43541659.483076341</v>
      </c>
      <c r="AQ360" s="233">
        <f t="shared" si="107"/>
        <v>2212.5022138773447</v>
      </c>
      <c r="AR360">
        <v>41.610818181818182</v>
      </c>
      <c r="AS360" s="231">
        <f t="shared" si="121"/>
        <v>37222.291631454544</v>
      </c>
    </row>
    <row r="361" spans="2:47" ht="58" x14ac:dyDescent="0.35">
      <c r="B361" s="56" t="s">
        <v>93</v>
      </c>
      <c r="C361" s="361" t="s">
        <v>214</v>
      </c>
      <c r="D361" s="56">
        <v>5</v>
      </c>
      <c r="E361" s="3">
        <v>158.87824000000001</v>
      </c>
      <c r="F361" s="3">
        <v>15722.6</v>
      </c>
      <c r="G361" s="3">
        <v>532833</v>
      </c>
      <c r="H361" s="3">
        <v>128.404697644637</v>
      </c>
      <c r="I361" s="3">
        <v>40.346945007815698</v>
      </c>
      <c r="J361" s="3">
        <f t="shared" si="115"/>
        <v>213.82736637675768</v>
      </c>
      <c r="K361" s="3">
        <v>15644.9</v>
      </c>
      <c r="L361" s="3">
        <v>532483</v>
      </c>
      <c r="M361" s="3">
        <v>128.42465643202399</v>
      </c>
      <c r="N361" s="3">
        <v>40.133650632814302</v>
      </c>
      <c r="O361" s="3">
        <f t="shared" si="116"/>
        <v>213.31943304672049</v>
      </c>
      <c r="P361" s="3">
        <f t="shared" si="117"/>
        <v>178.66590909090908</v>
      </c>
      <c r="Q361" s="3">
        <f t="shared" si="118"/>
        <v>6054.920454545455</v>
      </c>
      <c r="R361" s="3">
        <f t="shared" si="109"/>
        <v>165029.21935918686</v>
      </c>
      <c r="S361" s="3">
        <f t="shared" si="109"/>
        <v>51854.994095272217</v>
      </c>
      <c r="T361" s="3">
        <f t="shared" si="110"/>
        <v>2.4298564360995192</v>
      </c>
      <c r="U361" s="3">
        <f t="shared" si="110"/>
        <v>177.78295454545454</v>
      </c>
      <c r="V361" s="3">
        <f t="shared" si="110"/>
        <v>6050.943181818182</v>
      </c>
      <c r="W361" s="3">
        <f t="shared" si="111"/>
        <v>165054.8709370672</v>
      </c>
      <c r="X361" s="3">
        <f t="shared" si="111"/>
        <v>51580.862347401111</v>
      </c>
      <c r="Y361" s="3">
        <f t="shared" si="114"/>
        <v>2.4240844664400054</v>
      </c>
      <c r="Z361" s="3">
        <f t="shared" si="112"/>
        <v>0.88295454545453822</v>
      </c>
      <c r="AA361" s="3">
        <f t="shared" si="112"/>
        <v>3.9772727272729753</v>
      </c>
      <c r="AB361" s="3">
        <f t="shared" si="119"/>
        <v>248.4801699907548</v>
      </c>
      <c r="AC361" s="3">
        <f t="shared" si="120"/>
        <v>5.7719696595137648E-3</v>
      </c>
      <c r="AD361" s="3">
        <f t="shared" si="113"/>
        <v>140.28226418181703</v>
      </c>
      <c r="AE361" s="3">
        <f t="shared" si="113"/>
        <v>631.90209090913038</v>
      </c>
      <c r="AF361" s="3">
        <f t="shared" si="113"/>
        <v>39478.092083031937</v>
      </c>
      <c r="AG361" s="3">
        <f t="shared" si="113"/>
        <v>0.91704038083694628</v>
      </c>
      <c r="AH361" s="233">
        <f t="shared" si="108"/>
        <v>28386.125184363635</v>
      </c>
      <c r="AI361" s="233">
        <f t="shared" si="108"/>
        <v>961995.10515818186</v>
      </c>
      <c r="AJ361" s="233">
        <f t="shared" si="108"/>
        <v>26219551.920361537</v>
      </c>
      <c r="AK361" s="233">
        <f t="shared" si="108"/>
        <v>8238630.1970672421</v>
      </c>
      <c r="AL361" s="233">
        <f t="shared" si="108"/>
        <v>386.05131402016406</v>
      </c>
      <c r="AM361" s="233">
        <f t="shared" si="107"/>
        <v>28245.842920181818</v>
      </c>
      <c r="AN361" s="233">
        <f t="shared" si="107"/>
        <v>961363.20306727279</v>
      </c>
      <c r="AO361" s="233">
        <f t="shared" si="107"/>
        <v>26223627.39790839</v>
      </c>
      <c r="AP361" s="233">
        <f t="shared" si="107"/>
        <v>8195076.6274373578</v>
      </c>
      <c r="AQ361" s="233">
        <f t="shared" si="107"/>
        <v>385.13427363932715</v>
      </c>
      <c r="AR361">
        <v>41.610818181818182</v>
      </c>
      <c r="AS361" s="231">
        <f t="shared" si="121"/>
        <v>6611.0535576872726</v>
      </c>
    </row>
    <row r="362" spans="2:47" ht="58" x14ac:dyDescent="0.35">
      <c r="B362" s="56" t="s">
        <v>93</v>
      </c>
      <c r="C362" s="361" t="s">
        <v>214</v>
      </c>
      <c r="D362" s="56">
        <v>8</v>
      </c>
      <c r="E362" s="3">
        <v>1066.2395199999999</v>
      </c>
      <c r="F362" s="3">
        <v>12502</v>
      </c>
      <c r="G362" s="3">
        <v>609134</v>
      </c>
      <c r="H362" s="3">
        <v>154.48820480339401</v>
      </c>
      <c r="I362" s="3">
        <v>32.111598139322197</v>
      </c>
      <c r="J362" s="3">
        <f t="shared" si="115"/>
        <v>214.60025889957362</v>
      </c>
      <c r="K362" s="3">
        <v>12474.1</v>
      </c>
      <c r="L362" s="3">
        <v>608698</v>
      </c>
      <c r="M362" s="3">
        <v>154.37463255757001</v>
      </c>
      <c r="N362" s="3">
        <v>32.032435351024503</v>
      </c>
      <c r="O362" s="3">
        <f t="shared" si="116"/>
        <v>214.34328523641477</v>
      </c>
      <c r="P362" s="3">
        <f t="shared" si="117"/>
        <v>142.06818181818181</v>
      </c>
      <c r="Q362" s="3">
        <f t="shared" si="118"/>
        <v>6921.977272727273</v>
      </c>
      <c r="R362" s="3">
        <f t="shared" si="109"/>
        <v>198552.45412799844</v>
      </c>
      <c r="S362" s="3">
        <f t="shared" si="109"/>
        <v>41270.701699515237</v>
      </c>
      <c r="T362" s="3">
        <f t="shared" si="110"/>
        <v>2.4386393056769728</v>
      </c>
      <c r="U362" s="3">
        <f t="shared" si="110"/>
        <v>141.75113636363636</v>
      </c>
      <c r="V362" s="3">
        <f t="shared" si="110"/>
        <v>6917.022727272727</v>
      </c>
      <c r="W362" s="3">
        <f t="shared" si="111"/>
        <v>198406.48798024055</v>
      </c>
      <c r="X362" s="3">
        <f t="shared" si="111"/>
        <v>41168.959525009901</v>
      </c>
      <c r="Y362" s="3">
        <f t="shared" si="114"/>
        <v>2.4357191504138043</v>
      </c>
      <c r="Z362" s="3">
        <f t="shared" si="112"/>
        <v>0.31704545454545041</v>
      </c>
      <c r="AA362" s="3">
        <f t="shared" si="112"/>
        <v>4.9545454545459506</v>
      </c>
      <c r="AB362" s="3">
        <f t="shared" si="119"/>
        <v>247.70832226321363</v>
      </c>
      <c r="AC362" s="3">
        <f t="shared" si="120"/>
        <v>2.9201552631685779E-3</v>
      </c>
      <c r="AD362" s="3">
        <f t="shared" si="113"/>
        <v>338.04639327272281</v>
      </c>
      <c r="AE362" s="3">
        <f t="shared" si="113"/>
        <v>5282.7321672732551</v>
      </c>
      <c r="AF362" s="3">
        <f t="shared" si="113"/>
        <v>264116.40262993419</v>
      </c>
      <c r="AG362" s="3">
        <f t="shared" si="113"/>
        <v>3.1135849461263376</v>
      </c>
      <c r="AH362" s="233">
        <f t="shared" si="108"/>
        <v>151478.70998909089</v>
      </c>
      <c r="AI362" s="233">
        <f t="shared" si="108"/>
        <v>7380485.7247236352</v>
      </c>
      <c r="AJ362" s="233">
        <f t="shared" si="108"/>
        <v>211704473.38425905</v>
      </c>
      <c r="AK362" s="233">
        <f t="shared" si="108"/>
        <v>44004453.170154303</v>
      </c>
      <c r="AL362" s="233">
        <f t="shared" si="108"/>
        <v>2600.1736027381485</v>
      </c>
      <c r="AM362" s="233">
        <f t="shared" si="107"/>
        <v>151140.66359581816</v>
      </c>
      <c r="AN362" s="233">
        <f t="shared" si="107"/>
        <v>7375202.9925563624</v>
      </c>
      <c r="AO362" s="233">
        <f t="shared" si="107"/>
        <v>211548838.50893742</v>
      </c>
      <c r="AP362" s="233">
        <f t="shared" si="107"/>
        <v>43895971.642845981</v>
      </c>
      <c r="AQ362" s="233">
        <f t="shared" si="107"/>
        <v>2597.0600177920223</v>
      </c>
      <c r="AR362">
        <v>41.610818181818182</v>
      </c>
      <c r="AS362" s="231">
        <f t="shared" si="121"/>
        <v>44367.098804989088</v>
      </c>
    </row>
    <row r="363" spans="2:47" ht="58" x14ac:dyDescent="0.35">
      <c r="B363" s="56" t="s">
        <v>93</v>
      </c>
      <c r="C363" s="361" t="s">
        <v>214</v>
      </c>
      <c r="D363" s="56">
        <v>9</v>
      </c>
      <c r="E363" s="3">
        <v>2503.3449599999999</v>
      </c>
      <c r="F363" s="3">
        <v>12991.3</v>
      </c>
      <c r="G363" s="3">
        <v>605927</v>
      </c>
      <c r="H363" s="3">
        <v>155.586807571539</v>
      </c>
      <c r="I363" s="3">
        <v>33.469693943484899</v>
      </c>
      <c r="J363" s="3">
        <f t="shared" si="115"/>
        <v>216.49828637920712</v>
      </c>
      <c r="K363" s="3">
        <v>12953.3</v>
      </c>
      <c r="L363" s="3">
        <v>605429</v>
      </c>
      <c r="M363" s="3">
        <v>155.459514083497</v>
      </c>
      <c r="N363" s="3">
        <v>33.362479406672399</v>
      </c>
      <c r="O363" s="3">
        <f t="shared" si="116"/>
        <v>216.17132096235144</v>
      </c>
      <c r="P363" s="3">
        <f t="shared" si="117"/>
        <v>147.62840909090909</v>
      </c>
      <c r="Q363" s="3">
        <f t="shared" si="118"/>
        <v>6885.534090909091</v>
      </c>
      <c r="R363" s="3">
        <f t="shared" si="109"/>
        <v>199964.40836751205</v>
      </c>
      <c r="S363" s="3">
        <f t="shared" si="109"/>
        <v>43016.163466001613</v>
      </c>
      <c r="T363" s="3">
        <f t="shared" si="110"/>
        <v>2.4602077997637171</v>
      </c>
      <c r="U363" s="3">
        <f t="shared" si="110"/>
        <v>147.1965909090909</v>
      </c>
      <c r="V363" s="3">
        <f t="shared" si="110"/>
        <v>6879.875</v>
      </c>
      <c r="W363" s="3">
        <f t="shared" si="111"/>
        <v>199800.8073050399</v>
      </c>
      <c r="X363" s="3">
        <f t="shared" si="111"/>
        <v>42878.368419257364</v>
      </c>
      <c r="Y363" s="3">
        <f t="shared" si="114"/>
        <v>2.4564922836630845</v>
      </c>
      <c r="Z363" s="3">
        <f t="shared" si="112"/>
        <v>0.43181818181818699</v>
      </c>
      <c r="AA363" s="3">
        <f t="shared" si="112"/>
        <v>5.6590909090909918</v>
      </c>
      <c r="AB363" s="3">
        <f t="shared" si="119"/>
        <v>301.39610921641724</v>
      </c>
      <c r="AC363" s="3">
        <f t="shared" si="120"/>
        <v>3.7155161006325876E-3</v>
      </c>
      <c r="AD363" s="3">
        <f t="shared" si="113"/>
        <v>1080.989869090922</v>
      </c>
      <c r="AE363" s="3">
        <f t="shared" si="113"/>
        <v>14166.656705454752</v>
      </c>
      <c r="AF363" s="3">
        <f t="shared" si="113"/>
        <v>754498.43097052758</v>
      </c>
      <c r="AG363" s="3">
        <f t="shared" si="113"/>
        <v>9.3012185043174416</v>
      </c>
      <c r="AH363" s="233">
        <f t="shared" si="108"/>
        <v>369564.83385054546</v>
      </c>
      <c r="AI363" s="233">
        <f t="shared" si="108"/>
        <v>17236867.063385453</v>
      </c>
      <c r="AJ363" s="233">
        <f t="shared" si="108"/>
        <v>500579893.86619312</v>
      </c>
      <c r="AK363" s="233">
        <f t="shared" si="108"/>
        <v>107684296.01115127</v>
      </c>
      <c r="AL363" s="233">
        <f t="shared" si="108"/>
        <v>6158.7487960911903</v>
      </c>
      <c r="AM363" s="233">
        <f t="shared" si="107"/>
        <v>368483.8439814545</v>
      </c>
      <c r="AN363" s="233">
        <f t="shared" si="107"/>
        <v>17222700.406679999</v>
      </c>
      <c r="AO363" s="233">
        <f t="shared" si="107"/>
        <v>500170343.97100276</v>
      </c>
      <c r="AP363" s="233">
        <f t="shared" si="107"/>
        <v>107339347.47537108</v>
      </c>
      <c r="AQ363" s="233">
        <f t="shared" si="107"/>
        <v>6149.4475775868723</v>
      </c>
      <c r="AR363">
        <v>41.610818181818182</v>
      </c>
      <c r="AS363" s="231">
        <f t="shared" si="121"/>
        <v>104166.23197693091</v>
      </c>
    </row>
    <row r="364" spans="2:47" ht="58" x14ac:dyDescent="0.35">
      <c r="B364" s="56" t="s">
        <v>93</v>
      </c>
      <c r="C364" s="361" t="s">
        <v>214</v>
      </c>
      <c r="D364" s="56">
        <v>10</v>
      </c>
      <c r="E364" s="3">
        <v>884.40719999999999</v>
      </c>
      <c r="F364" s="3">
        <v>12524.6</v>
      </c>
      <c r="G364" s="3">
        <v>620408</v>
      </c>
      <c r="H364" s="3">
        <v>156.11997458881601</v>
      </c>
      <c r="I364" s="3">
        <v>32.4549024955014</v>
      </c>
      <c r="J364" s="3">
        <f t="shared" si="115"/>
        <v>217.43330324467024</v>
      </c>
      <c r="K364" s="3">
        <v>12470.6</v>
      </c>
      <c r="L364" s="3">
        <v>619705</v>
      </c>
      <c r="M364" s="3">
        <v>155.994240220828</v>
      </c>
      <c r="N364" s="3">
        <v>32.302266659485298</v>
      </c>
      <c r="O364" s="3">
        <f t="shared" si="116"/>
        <v>216.9697940570625</v>
      </c>
      <c r="P364" s="3">
        <f t="shared" si="117"/>
        <v>142.32500000000002</v>
      </c>
      <c r="Q364" s="3">
        <f t="shared" si="118"/>
        <v>7050.090909090909</v>
      </c>
      <c r="R364" s="3">
        <f t="shared" si="109"/>
        <v>200649.64915903512</v>
      </c>
      <c r="S364" s="3">
        <f t="shared" si="109"/>
        <v>41711.925820922821</v>
      </c>
      <c r="T364" s="3">
        <f t="shared" si="110"/>
        <v>2.4708329914167071</v>
      </c>
      <c r="U364" s="3">
        <f t="shared" si="110"/>
        <v>141.71136363636364</v>
      </c>
      <c r="V364" s="3">
        <f t="shared" si="110"/>
        <v>7042.102272727273</v>
      </c>
      <c r="W364" s="3">
        <f t="shared" si="111"/>
        <v>200488.05192017779</v>
      </c>
      <c r="X364" s="3">
        <f t="shared" si="111"/>
        <v>41515.754081679399</v>
      </c>
      <c r="Y364" s="3">
        <f t="shared" si="114"/>
        <v>2.4655658415575283</v>
      </c>
      <c r="Z364" s="3">
        <f t="shared" si="112"/>
        <v>0.61363636363637397</v>
      </c>
      <c r="AA364" s="3">
        <f t="shared" si="112"/>
        <v>7.9886363636360329</v>
      </c>
      <c r="AB364" s="3">
        <f t="shared" si="119"/>
        <v>357.76897810075752</v>
      </c>
      <c r="AC364" s="3">
        <f t="shared" si="120"/>
        <v>5.2671498591787547E-3</v>
      </c>
      <c r="AD364" s="3">
        <f t="shared" si="113"/>
        <v>542.70441818182735</v>
      </c>
      <c r="AE364" s="3">
        <f t="shared" si="113"/>
        <v>7065.2075181815253</v>
      </c>
      <c r="AF364" s="3">
        <f t="shared" si="113"/>
        <v>316413.4601689523</v>
      </c>
      <c r="AG364" s="3">
        <f t="shared" si="113"/>
        <v>4.6583052589366769</v>
      </c>
      <c r="AH364" s="233">
        <f t="shared" si="108"/>
        <v>125873.25474000002</v>
      </c>
      <c r="AI364" s="233">
        <f t="shared" si="108"/>
        <v>6235151.1606545458</v>
      </c>
      <c r="AJ364" s="233">
        <f t="shared" si="108"/>
        <v>177455994.39372459</v>
      </c>
      <c r="AK364" s="233">
        <f t="shared" si="108"/>
        <v>36890327.521890052</v>
      </c>
      <c r="AL364" s="233">
        <f t="shared" si="108"/>
        <v>2185.2224876064738</v>
      </c>
      <c r="AM364" s="233">
        <f t="shared" si="107"/>
        <v>125330.55032181818</v>
      </c>
      <c r="AN364" s="233">
        <f t="shared" si="107"/>
        <v>6228085.953136364</v>
      </c>
      <c r="AO364" s="233">
        <f t="shared" si="107"/>
        <v>177313076.63217905</v>
      </c>
      <c r="AP364" s="233">
        <f t="shared" si="107"/>
        <v>36716831.823266648</v>
      </c>
      <c r="AQ364" s="233">
        <f t="shared" si="107"/>
        <v>2180.5641823475371</v>
      </c>
      <c r="AR364">
        <v>41.610818181818182</v>
      </c>
      <c r="AS364" s="231">
        <f t="shared" si="121"/>
        <v>36800.907197890912</v>
      </c>
    </row>
    <row r="365" spans="2:47" ht="58" x14ac:dyDescent="0.35">
      <c r="B365" s="56" t="s">
        <v>93</v>
      </c>
      <c r="C365" s="361" t="s">
        <v>214</v>
      </c>
      <c r="D365" s="56">
        <v>12</v>
      </c>
      <c r="E365" s="3">
        <v>1425.6284000000001</v>
      </c>
      <c r="F365" s="3">
        <v>15566.6</v>
      </c>
      <c r="G365" s="3">
        <v>590547</v>
      </c>
      <c r="H365" s="3">
        <v>152.55677563758499</v>
      </c>
      <c r="I365" s="3">
        <v>40.6112668577424</v>
      </c>
      <c r="J365" s="3">
        <f t="shared" si="115"/>
        <v>226.84838674961446</v>
      </c>
      <c r="K365" s="3">
        <v>15437.3</v>
      </c>
      <c r="L365" s="3">
        <v>589693</v>
      </c>
      <c r="M365" s="3">
        <v>152.26446724336901</v>
      </c>
      <c r="N365" s="3">
        <v>40.251556030301401</v>
      </c>
      <c r="O365" s="3">
        <f t="shared" si="116"/>
        <v>225.93786570697631</v>
      </c>
      <c r="P365" s="3">
        <f t="shared" si="117"/>
        <v>176.89318181818183</v>
      </c>
      <c r="Q365" s="3">
        <f t="shared" si="118"/>
        <v>6710.761363636364</v>
      </c>
      <c r="R365" s="3">
        <f t="shared" si="109"/>
        <v>196070.12868875981</v>
      </c>
      <c r="S365" s="3">
        <f t="shared" si="109"/>
        <v>52194.707745575746</v>
      </c>
      <c r="T365" s="3">
        <f t="shared" si="110"/>
        <v>2.5778225767001643</v>
      </c>
      <c r="U365" s="3">
        <f t="shared" si="110"/>
        <v>175.42386363636362</v>
      </c>
      <c r="V365" s="3">
        <f t="shared" si="110"/>
        <v>6701.056818181818</v>
      </c>
      <c r="W365" s="3">
        <f t="shared" si="111"/>
        <v>195694.44596846632</v>
      </c>
      <c r="X365" s="3">
        <f t="shared" si="111"/>
        <v>51732.397579853277</v>
      </c>
      <c r="Y365" s="3">
        <f t="shared" si="114"/>
        <v>2.5674757466701852</v>
      </c>
      <c r="Z365" s="3">
        <f t="shared" si="112"/>
        <v>1.4693181818182097</v>
      </c>
      <c r="AA365" s="3">
        <f t="shared" si="112"/>
        <v>9.7045454545459506</v>
      </c>
      <c r="AB365" s="3">
        <f t="shared" si="119"/>
        <v>837.99288601597073</v>
      </c>
      <c r="AC365" s="3">
        <f t="shared" si="120"/>
        <v>1.0346830029979159E-2</v>
      </c>
      <c r="AD365" s="3">
        <f t="shared" si="113"/>
        <v>2094.7017286364035</v>
      </c>
      <c r="AE365" s="3">
        <f t="shared" si="113"/>
        <v>13835.075609091617</v>
      </c>
      <c r="AF365" s="3">
        <f t="shared" si="113"/>
        <v>1194666.4573023308</v>
      </c>
      <c r="AG365" s="3">
        <f t="shared" si="113"/>
        <v>14.750734740711142</v>
      </c>
      <c r="AH365" s="233">
        <f t="shared" si="108"/>
        <v>252183.94376636366</v>
      </c>
      <c r="AI365" s="233">
        <f t="shared" si="108"/>
        <v>9567051.9856227282</v>
      </c>
      <c r="AJ365" s="233">
        <f t="shared" si="108"/>
        <v>279523143.85035074</v>
      </c>
      <c r="AK365" s="233">
        <f t="shared" si="108"/>
        <v>74410257.691792756</v>
      </c>
      <c r="AL365" s="233">
        <f t="shared" si="108"/>
        <v>3675.0170755049326</v>
      </c>
      <c r="AM365" s="233">
        <f t="shared" ref="AM365:AQ415" si="122">U365*$E365</f>
        <v>250089.24203772726</v>
      </c>
      <c r="AN365" s="233">
        <f t="shared" si="122"/>
        <v>9553216.9100136366</v>
      </c>
      <c r="AO365" s="233">
        <f t="shared" si="122"/>
        <v>278987559.89491111</v>
      </c>
      <c r="AP365" s="233">
        <f t="shared" si="122"/>
        <v>73751175.189930096</v>
      </c>
      <c r="AQ365" s="233">
        <f t="shared" si="122"/>
        <v>3660.2663407642217</v>
      </c>
      <c r="AR365">
        <v>41.610818181818182</v>
      </c>
      <c r="AS365" s="231">
        <f t="shared" si="121"/>
        <v>59321.564147236364</v>
      </c>
    </row>
    <row r="366" spans="2:47" ht="58" x14ac:dyDescent="0.35">
      <c r="B366" s="56" t="s">
        <v>93</v>
      </c>
      <c r="C366" s="361" t="s">
        <v>214</v>
      </c>
      <c r="D366" s="56">
        <v>13</v>
      </c>
      <c r="E366" s="3">
        <v>416.09895999999998</v>
      </c>
      <c r="F366" s="3">
        <v>14449</v>
      </c>
      <c r="G366" s="3">
        <v>640319</v>
      </c>
      <c r="H366" s="3">
        <v>166.90249244741699</v>
      </c>
      <c r="I366" s="3">
        <v>37.7504494753641</v>
      </c>
      <c r="J366" s="3">
        <f t="shared" si="115"/>
        <v>232.71552556881068</v>
      </c>
      <c r="K366" s="3">
        <v>14366.5</v>
      </c>
      <c r="L366" s="3">
        <v>639254</v>
      </c>
      <c r="M366" s="3">
        <v>166.61951439499299</v>
      </c>
      <c r="N366" s="3">
        <v>37.519783386773298</v>
      </c>
      <c r="O366" s="3">
        <f t="shared" si="116"/>
        <v>232.00955641340835</v>
      </c>
      <c r="P366" s="3">
        <f t="shared" si="117"/>
        <v>164.19318181818181</v>
      </c>
      <c r="Q366" s="3">
        <f t="shared" si="118"/>
        <v>7276.352272727273</v>
      </c>
      <c r="R366" s="3">
        <f t="shared" si="109"/>
        <v>214507.63517957798</v>
      </c>
      <c r="S366" s="3">
        <f t="shared" si="109"/>
        <v>48517.907223450908</v>
      </c>
      <c r="T366" s="3">
        <f t="shared" si="110"/>
        <v>2.6444946087364851</v>
      </c>
      <c r="U366" s="3">
        <f t="shared" si="110"/>
        <v>163.25568181818181</v>
      </c>
      <c r="V366" s="3">
        <f t="shared" si="110"/>
        <v>7264.25</v>
      </c>
      <c r="W366" s="3">
        <f t="shared" si="111"/>
        <v>214143.9440690194</v>
      </c>
      <c r="X366" s="3">
        <f t="shared" si="111"/>
        <v>48221.448875500682</v>
      </c>
      <c r="Y366" s="3">
        <f t="shared" si="114"/>
        <v>2.6364722319705494</v>
      </c>
      <c r="Z366" s="3">
        <f t="shared" si="112"/>
        <v>0.9375</v>
      </c>
      <c r="AA366" s="3">
        <f t="shared" si="112"/>
        <v>12.102272727272975</v>
      </c>
      <c r="AB366" s="3">
        <f t="shared" si="119"/>
        <v>660.14945850878576</v>
      </c>
      <c r="AC366" s="3">
        <f t="shared" si="120"/>
        <v>8.022376765935757E-3</v>
      </c>
      <c r="AD366" s="3">
        <f t="shared" si="113"/>
        <v>390.09277499999996</v>
      </c>
      <c r="AE366" s="3">
        <f t="shared" si="113"/>
        <v>5035.743095454648</v>
      </c>
      <c r="AF366" s="3">
        <f t="shared" si="113"/>
        <v>274687.50313006889</v>
      </c>
      <c r="AG366" s="3">
        <f t="shared" si="113"/>
        <v>3.3381026290340317</v>
      </c>
      <c r="AH366" s="233">
        <f t="shared" ref="AH366:AL416" si="123">P366*$E366</f>
        <v>68320.612193636363</v>
      </c>
      <c r="AI366" s="233">
        <f t="shared" si="123"/>
        <v>3027682.6132754544</v>
      </c>
      <c r="AJ366" s="233">
        <f t="shared" si="123"/>
        <v>89256403.910281807</v>
      </c>
      <c r="AK366" s="233">
        <f t="shared" si="123"/>
        <v>20188250.737054408</v>
      </c>
      <c r="AL366" s="233">
        <f t="shared" si="123"/>
        <v>1100.3714564208583</v>
      </c>
      <c r="AM366" s="233">
        <f t="shared" si="122"/>
        <v>67930.519418636351</v>
      </c>
      <c r="AN366" s="233">
        <f t="shared" si="122"/>
        <v>3022646.8701799996</v>
      </c>
      <c r="AO366" s="233">
        <f t="shared" si="122"/>
        <v>89105072.417417139</v>
      </c>
      <c r="AP366" s="233">
        <f t="shared" si="122"/>
        <v>20064894.726789001</v>
      </c>
      <c r="AQ366" s="233">
        <f t="shared" si="122"/>
        <v>1097.0333537918243</v>
      </c>
      <c r="AR366">
        <v>41.610818181818182</v>
      </c>
      <c r="AS366" s="231">
        <f t="shared" si="121"/>
        <v>17314.218170203636</v>
      </c>
    </row>
    <row r="367" spans="2:47" ht="87" x14ac:dyDescent="0.35">
      <c r="B367" s="56" t="s">
        <v>93</v>
      </c>
      <c r="C367" s="361" t="s">
        <v>221</v>
      </c>
      <c r="D367" s="56">
        <v>1</v>
      </c>
      <c r="E367" s="3">
        <v>128.64689999999999</v>
      </c>
      <c r="F367" s="3">
        <v>21598.799999999999</v>
      </c>
      <c r="G367" s="3">
        <v>493242</v>
      </c>
      <c r="H367" s="3">
        <v>118.69076854760699</v>
      </c>
      <c r="I367" s="3">
        <v>67.973701849023101</v>
      </c>
      <c r="J367" s="3">
        <f t="shared" si="115"/>
        <v>236.36271230681302</v>
      </c>
      <c r="K367" s="3">
        <v>20565.400000000001</v>
      </c>
      <c r="L367" s="3">
        <v>495914</v>
      </c>
      <c r="M367" s="3">
        <v>119.13703695804701</v>
      </c>
      <c r="N367" s="3">
        <v>64.651507123277</v>
      </c>
      <c r="O367" s="3">
        <f t="shared" si="116"/>
        <v>231.3683425132904</v>
      </c>
      <c r="P367" s="3">
        <f t="shared" si="117"/>
        <v>245.44090909090909</v>
      </c>
      <c r="Q367" s="3">
        <f t="shared" si="118"/>
        <v>5605.022727272727</v>
      </c>
      <c r="R367" s="3">
        <f t="shared" si="109"/>
        <v>152544.61275834488</v>
      </c>
      <c r="S367" s="3">
        <f t="shared" si="109"/>
        <v>87361.655444596734</v>
      </c>
      <c r="T367" s="3">
        <f t="shared" si="110"/>
        <v>2.6859399125774206</v>
      </c>
      <c r="U367" s="3">
        <f t="shared" si="110"/>
        <v>233.69772727272729</v>
      </c>
      <c r="V367" s="3">
        <f t="shared" si="110"/>
        <v>5635.386363636364</v>
      </c>
      <c r="W367" s="3">
        <f t="shared" si="111"/>
        <v>153118.16909039902</v>
      </c>
      <c r="X367" s="3">
        <f t="shared" si="111"/>
        <v>83091.88017775715</v>
      </c>
      <c r="Y367" s="3">
        <f t="shared" si="114"/>
        <v>2.6291857103782998</v>
      </c>
      <c r="Z367" s="3">
        <f t="shared" si="112"/>
        <v>11.743181818181796</v>
      </c>
      <c r="AA367" s="3">
        <f t="shared" si="112"/>
        <v>-30.363636363636942</v>
      </c>
      <c r="AB367" s="3">
        <f t="shared" si="119"/>
        <v>3696.2189347854583</v>
      </c>
      <c r="AC367" s="3">
        <f t="shared" si="120"/>
        <v>5.6754202199120751E-2</v>
      </c>
      <c r="AD367" s="3">
        <f t="shared" si="113"/>
        <v>1510.7239370454515</v>
      </c>
      <c r="AE367" s="3">
        <f t="shared" si="113"/>
        <v>-3906.1876909091652</v>
      </c>
      <c r="AF367" s="3">
        <f t="shared" si="113"/>
        <v>475507.10768145131</v>
      </c>
      <c r="AG367" s="3">
        <f t="shared" si="113"/>
        <v>7.3012521748900667</v>
      </c>
      <c r="AH367" s="233">
        <f t="shared" si="123"/>
        <v>31575.212087727268</v>
      </c>
      <c r="AI367" s="233">
        <f t="shared" si="123"/>
        <v>721068.7982931817</v>
      </c>
      <c r="AJ367" s="233">
        <f t="shared" si="123"/>
        <v>19624391.543061517</v>
      </c>
      <c r="AK367" s="233">
        <f t="shared" si="123"/>
        <v>11238806.151815491</v>
      </c>
      <c r="AL367" s="233">
        <f t="shared" si="123"/>
        <v>345.53784333935613</v>
      </c>
      <c r="AM367" s="233">
        <f t="shared" si="122"/>
        <v>30064.488150681816</v>
      </c>
      <c r="AN367" s="233">
        <f t="shared" si="122"/>
        <v>724974.98598409083</v>
      </c>
      <c r="AO367" s="233">
        <f t="shared" si="122"/>
        <v>19698177.787155651</v>
      </c>
      <c r="AP367" s="233">
        <f t="shared" si="122"/>
        <v>10689512.800039906</v>
      </c>
      <c r="AQ367" s="233">
        <f t="shared" si="122"/>
        <v>338.23659116446606</v>
      </c>
      <c r="AR367" s="383">
        <v>38.086363636363636</v>
      </c>
      <c r="AS367" s="231">
        <f t="shared" si="121"/>
        <v>4899.6926140909081</v>
      </c>
    </row>
    <row r="368" spans="2:47" ht="87" x14ac:dyDescent="0.35">
      <c r="B368" s="56" t="s">
        <v>93</v>
      </c>
      <c r="C368" s="361" t="s">
        <v>221</v>
      </c>
      <c r="D368" s="56">
        <v>2</v>
      </c>
      <c r="E368" s="3">
        <v>763.62857999999983</v>
      </c>
      <c r="F368" s="3">
        <v>17400.099999999999</v>
      </c>
      <c r="G368" s="3">
        <v>551144</v>
      </c>
      <c r="H368" s="3">
        <v>141.764583571049</v>
      </c>
      <c r="I368" s="3">
        <v>54.928362252470997</v>
      </c>
      <c r="J368" s="3">
        <f t="shared" si="115"/>
        <v>227.37832182627233</v>
      </c>
      <c r="K368" s="3">
        <v>17042.7</v>
      </c>
      <c r="L368" s="3">
        <v>551316</v>
      </c>
      <c r="M368" s="3">
        <v>141.617522482879</v>
      </c>
      <c r="N368" s="3">
        <v>53.751861261407598</v>
      </c>
      <c r="O368" s="3">
        <f t="shared" si="116"/>
        <v>225.47025211984035</v>
      </c>
      <c r="P368" s="3">
        <f t="shared" si="117"/>
        <v>197.72840909090908</v>
      </c>
      <c r="Q368" s="3">
        <f t="shared" si="118"/>
        <v>6263</v>
      </c>
      <c r="R368" s="3">
        <f t="shared" si="109"/>
        <v>182199.70911233683</v>
      </c>
      <c r="S368" s="3">
        <f t="shared" si="109"/>
        <v>70595.429213118972</v>
      </c>
      <c r="T368" s="3">
        <f t="shared" si="110"/>
        <v>2.5838445662076399</v>
      </c>
      <c r="U368" s="3">
        <f t="shared" si="110"/>
        <v>193.66704545454547</v>
      </c>
      <c r="V368" s="3">
        <f t="shared" si="110"/>
        <v>6264.954545454545</v>
      </c>
      <c r="W368" s="3">
        <f t="shared" si="111"/>
        <v>182010.70219106381</v>
      </c>
      <c r="X368" s="3">
        <f t="shared" si="111"/>
        <v>69083.358053013639</v>
      </c>
      <c r="Y368" s="3">
        <f t="shared" si="114"/>
        <v>2.5621619559072766</v>
      </c>
      <c r="Z368" s="3">
        <f t="shared" ref="Z368:AA398" si="124">P368-U368</f>
        <v>4.061363636363609</v>
      </c>
      <c r="AA368" s="3">
        <f t="shared" si="124"/>
        <v>-1.9545454545450411</v>
      </c>
      <c r="AB368" s="3">
        <f t="shared" si="119"/>
        <v>1701.0780813783495</v>
      </c>
      <c r="AC368" s="3">
        <f t="shared" si="120"/>
        <v>2.1682610300363336E-2</v>
      </c>
      <c r="AD368" s="3">
        <f t="shared" ref="AD368:AG398" si="125">Z368*$E368</f>
        <v>3101.3733464999782</v>
      </c>
      <c r="AE368" s="3">
        <f t="shared" si="125"/>
        <v>-1492.5467699996839</v>
      </c>
      <c r="AF368" s="3">
        <f t="shared" si="125"/>
        <v>1298991.8397520732</v>
      </c>
      <c r="AG368" s="3">
        <f t="shared" si="125"/>
        <v>16.557460914359826</v>
      </c>
      <c r="AH368" s="233">
        <f t="shared" si="123"/>
        <v>150991.06425974995</v>
      </c>
      <c r="AI368" s="233">
        <f t="shared" si="123"/>
        <v>4782605.7965399986</v>
      </c>
      <c r="AJ368" s="233">
        <f t="shared" si="123"/>
        <v>139132905.14586681</v>
      </c>
      <c r="AK368" s="233">
        <f t="shared" si="123"/>
        <v>53908687.364504546</v>
      </c>
      <c r="AL368" s="233">
        <f t="shared" si="123"/>
        <v>1973.0975570338555</v>
      </c>
      <c r="AM368" s="233">
        <f t="shared" si="122"/>
        <v>147889.69091324997</v>
      </c>
      <c r="AN368" s="233">
        <f t="shared" si="122"/>
        <v>4784098.3433099985</v>
      </c>
      <c r="AO368" s="233">
        <f t="shared" si="122"/>
        <v>138988574.05896491</v>
      </c>
      <c r="AP368" s="233">
        <f t="shared" si="122"/>
        <v>52754026.611654356</v>
      </c>
      <c r="AQ368" s="233">
        <f t="shared" si="122"/>
        <v>1956.5400961194957</v>
      </c>
      <c r="AR368" s="383">
        <v>38.086363636363636</v>
      </c>
      <c r="AS368" s="231">
        <f t="shared" si="121"/>
        <v>29083.835780999994</v>
      </c>
    </row>
    <row r="369" spans="2:45" ht="87" x14ac:dyDescent="0.35">
      <c r="B369" s="56" t="s">
        <v>93</v>
      </c>
      <c r="C369" s="361" t="s">
        <v>221</v>
      </c>
      <c r="D369" s="56">
        <v>3</v>
      </c>
      <c r="E369" s="3">
        <v>3704.0597999999995</v>
      </c>
      <c r="F369" s="3">
        <v>16262.1</v>
      </c>
      <c r="G369" s="3">
        <v>522950</v>
      </c>
      <c r="H369" s="3">
        <v>131.17538792687299</v>
      </c>
      <c r="I369" s="3">
        <v>51.135379173460301</v>
      </c>
      <c r="J369" s="3">
        <f t="shared" si="115"/>
        <v>214.39458876721403</v>
      </c>
      <c r="K369" s="3">
        <v>16006</v>
      </c>
      <c r="L369" s="3">
        <v>523804</v>
      </c>
      <c r="M369" s="3">
        <v>131.30928990669099</v>
      </c>
      <c r="N369" s="3">
        <v>50.290571597878703</v>
      </c>
      <c r="O369" s="3">
        <f t="shared" si="116"/>
        <v>213.20297500136081</v>
      </c>
      <c r="P369" s="3">
        <f t="shared" si="117"/>
        <v>184.79659090909092</v>
      </c>
      <c r="Q369" s="3">
        <f t="shared" si="118"/>
        <v>5942.613636363636</v>
      </c>
      <c r="R369" s="3">
        <f t="shared" si="109"/>
        <v>168590.18607419697</v>
      </c>
      <c r="S369" s="3">
        <f t="shared" si="109"/>
        <v>65720.583914981369</v>
      </c>
      <c r="T369" s="3">
        <f t="shared" si="110"/>
        <v>2.4363021450819775</v>
      </c>
      <c r="U369" s="3">
        <f t="shared" si="110"/>
        <v>181.88636363636363</v>
      </c>
      <c r="V369" s="3">
        <f t="shared" si="110"/>
        <v>5952.318181818182</v>
      </c>
      <c r="W369" s="3">
        <f t="shared" si="111"/>
        <v>168762.28055053126</v>
      </c>
      <c r="X369" s="3">
        <f t="shared" si="111"/>
        <v>64634.814178637287</v>
      </c>
      <c r="Y369" s="3">
        <f t="shared" si="114"/>
        <v>2.4227610795609182</v>
      </c>
      <c r="Z369" s="3">
        <f t="shared" si="124"/>
        <v>2.9102272727272975</v>
      </c>
      <c r="AA369" s="3">
        <f t="shared" si="124"/>
        <v>-9.7045454545459506</v>
      </c>
      <c r="AB369" s="3">
        <f t="shared" si="119"/>
        <v>913.67526000979706</v>
      </c>
      <c r="AC369" s="3">
        <f t="shared" si="120"/>
        <v>1.354106552105927E-2</v>
      </c>
      <c r="AD369" s="3">
        <f t="shared" si="125"/>
        <v>10779.655849772818</v>
      </c>
      <c r="AE369" s="3">
        <f t="shared" si="125"/>
        <v>-35946.21669545638</v>
      </c>
      <c r="AF369" s="3">
        <f t="shared" si="125"/>
        <v>3384307.8008568366</v>
      </c>
      <c r="AG369" s="3">
        <f t="shared" si="125"/>
        <v>50.156916445721691</v>
      </c>
      <c r="AH369" s="233">
        <f t="shared" si="123"/>
        <v>684497.62356340908</v>
      </c>
      <c r="AI369" s="233">
        <f t="shared" si="123"/>
        <v>22011796.27738636</v>
      </c>
      <c r="AJ369" s="233">
        <f t="shared" si="123"/>
        <v>624468130.91195273</v>
      </c>
      <c r="AK369" s="233">
        <f t="shared" si="123"/>
        <v>243432972.91200909</v>
      </c>
      <c r="AL369" s="233">
        <f t="shared" si="123"/>
        <v>9024.2088362519189</v>
      </c>
      <c r="AM369" s="233">
        <f t="shared" si="122"/>
        <v>673717.96771363623</v>
      </c>
      <c r="AN369" s="233">
        <f t="shared" si="122"/>
        <v>22047742.494081818</v>
      </c>
      <c r="AO369" s="233">
        <f t="shared" si="122"/>
        <v>625105579.14354467</v>
      </c>
      <c r="AP369" s="233">
        <f t="shared" si="122"/>
        <v>239411216.87956035</v>
      </c>
      <c r="AQ369" s="233">
        <f t="shared" si="122"/>
        <v>8974.0519198061975</v>
      </c>
      <c r="AR369" s="383">
        <v>38.086363636363636</v>
      </c>
      <c r="AS369" s="231">
        <f t="shared" si="121"/>
        <v>141074.16847363635</v>
      </c>
    </row>
    <row r="370" spans="2:45" ht="87" x14ac:dyDescent="0.35">
      <c r="B370" s="56" t="s">
        <v>93</v>
      </c>
      <c r="C370" s="361" t="s">
        <v>221</v>
      </c>
      <c r="D370" s="56">
        <v>4</v>
      </c>
      <c r="E370" s="3">
        <v>1929.7034999999998</v>
      </c>
      <c r="F370" s="3">
        <v>14935.9</v>
      </c>
      <c r="G370" s="3">
        <v>568752</v>
      </c>
      <c r="H370" s="3">
        <v>145.48879777176199</v>
      </c>
      <c r="I370" s="3">
        <v>46.9930069575773</v>
      </c>
      <c r="J370" s="3">
        <f t="shared" si="115"/>
        <v>218.16972123641477</v>
      </c>
      <c r="K370" s="3">
        <v>14738.7</v>
      </c>
      <c r="L370" s="3">
        <v>569410</v>
      </c>
      <c r="M370" s="3">
        <v>145.39419393814299</v>
      </c>
      <c r="N370" s="3">
        <v>46.3404015239066</v>
      </c>
      <c r="O370" s="3">
        <f t="shared" si="116"/>
        <v>217.25226322298829</v>
      </c>
      <c r="P370" s="3">
        <f t="shared" si="117"/>
        <v>169.72613636363636</v>
      </c>
      <c r="Q370" s="3">
        <f t="shared" si="118"/>
        <v>6463.090909090909</v>
      </c>
      <c r="R370" s="3">
        <f t="shared" si="109"/>
        <v>186986.17077257138</v>
      </c>
      <c r="S370" s="3">
        <f t="shared" si="109"/>
        <v>60396.69416934083</v>
      </c>
      <c r="T370" s="3">
        <f t="shared" si="110"/>
        <v>2.4792013776865316</v>
      </c>
      <c r="U370" s="3">
        <f t="shared" si="110"/>
        <v>167.48522727272729</v>
      </c>
      <c r="V370" s="3">
        <f t="shared" si="110"/>
        <v>6470.568181818182</v>
      </c>
      <c r="W370" s="3">
        <f t="shared" si="111"/>
        <v>186864.58334549968</v>
      </c>
      <c r="X370" s="3">
        <f t="shared" si="111"/>
        <v>59557.94786765724</v>
      </c>
      <c r="Y370" s="3">
        <f t="shared" si="114"/>
        <v>2.4687757184430486</v>
      </c>
      <c r="Z370" s="3">
        <f t="shared" si="124"/>
        <v>2.2409090909090708</v>
      </c>
      <c r="AA370" s="3">
        <f t="shared" si="124"/>
        <v>-7.4772727272729753</v>
      </c>
      <c r="AB370" s="3">
        <f t="shared" si="119"/>
        <v>960.33372875529312</v>
      </c>
      <c r="AC370" s="3">
        <f t="shared" si="120"/>
        <v>1.0425659243483043E-2</v>
      </c>
      <c r="AD370" s="3">
        <f t="shared" si="125"/>
        <v>4324.2901159090516</v>
      </c>
      <c r="AE370" s="3">
        <f t="shared" si="125"/>
        <v>-14428.919352273204</v>
      </c>
      <c r="AF370" s="3">
        <f t="shared" si="125"/>
        <v>1853159.3575471397</v>
      </c>
      <c r="AG370" s="3">
        <f t="shared" si="125"/>
        <v>20.11843113195658</v>
      </c>
      <c r="AH370" s="233">
        <f t="shared" si="123"/>
        <v>327521.11938238633</v>
      </c>
      <c r="AI370" s="233">
        <f t="shared" si="123"/>
        <v>12471849.148090908</v>
      </c>
      <c r="AJ370" s="233">
        <f t="shared" si="123"/>
        <v>360827868.19142866</v>
      </c>
      <c r="AK370" s="233">
        <f t="shared" si="123"/>
        <v>116547712.12700658</v>
      </c>
      <c r="AL370" s="233">
        <f t="shared" si="123"/>
        <v>4784.1235757265213</v>
      </c>
      <c r="AM370" s="233">
        <f t="shared" si="122"/>
        <v>323196.82926647726</v>
      </c>
      <c r="AN370" s="233">
        <f t="shared" si="122"/>
        <v>12486278.067443181</v>
      </c>
      <c r="AO370" s="233">
        <f t="shared" si="122"/>
        <v>360593240.50785238</v>
      </c>
      <c r="AP370" s="233">
        <f t="shared" si="122"/>
        <v>114929180.4530357</v>
      </c>
      <c r="AQ370" s="233">
        <f t="shared" si="122"/>
        <v>4764.0051445945646</v>
      </c>
      <c r="AR370" s="383">
        <v>38.086363636363636</v>
      </c>
      <c r="AS370" s="231">
        <f t="shared" si="121"/>
        <v>73495.389211363625</v>
      </c>
    </row>
    <row r="371" spans="2:45" ht="87" x14ac:dyDescent="0.35">
      <c r="B371" s="56" t="s">
        <v>93</v>
      </c>
      <c r="C371" s="361" t="s">
        <v>221</v>
      </c>
      <c r="D371" s="56">
        <v>5</v>
      </c>
      <c r="E371" s="3">
        <v>342.73475999999999</v>
      </c>
      <c r="F371" s="3">
        <v>15911.3</v>
      </c>
      <c r="G371" s="3">
        <v>529159</v>
      </c>
      <c r="H371" s="3">
        <v>127.514326141143</v>
      </c>
      <c r="I371" s="3">
        <v>49.919209903543504</v>
      </c>
      <c r="J371" s="3">
        <f t="shared" si="115"/>
        <v>213.97354787244851</v>
      </c>
      <c r="K371" s="3">
        <v>15692.2</v>
      </c>
      <c r="L371" s="3">
        <v>530192</v>
      </c>
      <c r="M371" s="3">
        <v>127.766017022966</v>
      </c>
      <c r="N371" s="3">
        <v>49.200418445832902</v>
      </c>
      <c r="O371" s="3">
        <f t="shared" si="116"/>
        <v>213.02677151247391</v>
      </c>
      <c r="P371" s="3">
        <f t="shared" si="117"/>
        <v>180.81022727272727</v>
      </c>
      <c r="Q371" s="3">
        <f t="shared" si="118"/>
        <v>6013.170454545455</v>
      </c>
      <c r="R371" s="3">
        <f t="shared" si="109"/>
        <v>163884.8896200372</v>
      </c>
      <c r="S371" s="3">
        <f t="shared" si="109"/>
        <v>64157.530001031475</v>
      </c>
      <c r="T371" s="3">
        <f t="shared" si="110"/>
        <v>2.4315175894596419</v>
      </c>
      <c r="U371" s="3">
        <f t="shared" si="110"/>
        <v>178.32045454545457</v>
      </c>
      <c r="V371" s="3">
        <f t="shared" si="110"/>
        <v>6024.909090909091</v>
      </c>
      <c r="W371" s="3">
        <f t="shared" si="111"/>
        <v>164208.3696056529</v>
      </c>
      <c r="X371" s="3">
        <f t="shared" si="111"/>
        <v>63233.719616178416</v>
      </c>
      <c r="Y371" s="3">
        <f t="shared" si="114"/>
        <v>2.4207587671872037</v>
      </c>
      <c r="Z371" s="3">
        <f t="shared" si="124"/>
        <v>2.4897727272727082</v>
      </c>
      <c r="AA371" s="3">
        <f t="shared" si="124"/>
        <v>-11.738636363636033</v>
      </c>
      <c r="AB371" s="3">
        <f t="shared" si="119"/>
        <v>600.33039923734759</v>
      </c>
      <c r="AC371" s="3">
        <f t="shared" si="120"/>
        <v>1.0758822272438184E-2</v>
      </c>
      <c r="AD371" s="3">
        <f t="shared" si="125"/>
        <v>853.33165813635708</v>
      </c>
      <c r="AE371" s="3">
        <f t="shared" si="125"/>
        <v>-4023.2387168180685</v>
      </c>
      <c r="AF371" s="3">
        <f t="shared" si="125"/>
        <v>205754.09530331651</v>
      </c>
      <c r="AG371" s="3">
        <f t="shared" si="125"/>
        <v>3.6874223694267556</v>
      </c>
      <c r="AH371" s="233">
        <f t="shared" si="123"/>
        <v>61969.949849863639</v>
      </c>
      <c r="AI371" s="233">
        <f t="shared" si="123"/>
        <v>2060922.5325777275</v>
      </c>
      <c r="AJ371" s="233">
        <f t="shared" si="123"/>
        <v>56169048.311549939</v>
      </c>
      <c r="AK371" s="233">
        <f t="shared" si="123"/>
        <v>21989015.647096321</v>
      </c>
      <c r="AL371" s="233">
        <f t="shared" si="123"/>
        <v>833.36559745922887</v>
      </c>
      <c r="AM371" s="233">
        <f t="shared" si="122"/>
        <v>61116.618191727277</v>
      </c>
      <c r="AN371" s="233">
        <f t="shared" si="122"/>
        <v>2064945.7712945454</v>
      </c>
      <c r="AO371" s="233">
        <f t="shared" si="122"/>
        <v>56279916.146784738</v>
      </c>
      <c r="AP371" s="233">
        <f t="shared" si="122"/>
        <v>21672393.716558199</v>
      </c>
      <c r="AQ371" s="233">
        <f t="shared" si="122"/>
        <v>829.67817508980215</v>
      </c>
      <c r="AR371" s="383">
        <v>38.086363636363636</v>
      </c>
      <c r="AS371" s="231">
        <f t="shared" si="121"/>
        <v>13053.520700181818</v>
      </c>
    </row>
    <row r="372" spans="2:45" ht="87" x14ac:dyDescent="0.35">
      <c r="B372" s="56" t="s">
        <v>93</v>
      </c>
      <c r="C372" s="361" t="s">
        <v>221</v>
      </c>
      <c r="D372" s="56">
        <v>8</v>
      </c>
      <c r="E372" s="3">
        <v>2300.1094799999996</v>
      </c>
      <c r="F372" s="3">
        <v>12566.1</v>
      </c>
      <c r="G372" s="3">
        <v>604453</v>
      </c>
      <c r="H372" s="3">
        <v>149.52713284682699</v>
      </c>
      <c r="I372" s="3">
        <v>39.373384914269103</v>
      </c>
      <c r="J372" s="3">
        <f t="shared" si="115"/>
        <v>213.82478066370317</v>
      </c>
      <c r="K372" s="3">
        <v>12490</v>
      </c>
      <c r="L372" s="3">
        <v>605530</v>
      </c>
      <c r="M372" s="3">
        <v>149.59858270034499</v>
      </c>
      <c r="N372" s="3">
        <v>39.119689124292798</v>
      </c>
      <c r="O372" s="3">
        <f t="shared" si="116"/>
        <v>213.66856252834981</v>
      </c>
      <c r="P372" s="3">
        <f t="shared" si="117"/>
        <v>142.79659090909092</v>
      </c>
      <c r="Q372" s="3">
        <f t="shared" si="118"/>
        <v>6868.784090909091</v>
      </c>
      <c r="R372" s="3">
        <f t="shared" si="109"/>
        <v>192176.34914745606</v>
      </c>
      <c r="S372" s="3">
        <f t="shared" si="109"/>
        <v>50603.748111407222</v>
      </c>
      <c r="T372" s="3">
        <f t="shared" si="110"/>
        <v>2.429827052996627</v>
      </c>
      <c r="U372" s="3">
        <f t="shared" si="110"/>
        <v>141.93181818181819</v>
      </c>
      <c r="V372" s="3">
        <f t="shared" si="110"/>
        <v>6881.022727272727</v>
      </c>
      <c r="W372" s="3">
        <f t="shared" si="111"/>
        <v>192268.17844782976</v>
      </c>
      <c r="X372" s="3">
        <f t="shared" si="111"/>
        <v>50277.691363153586</v>
      </c>
      <c r="Y372" s="3">
        <f t="shared" si="114"/>
        <v>2.4280518469130659</v>
      </c>
      <c r="Z372" s="3">
        <f t="shared" si="124"/>
        <v>0.86477272727273657</v>
      </c>
      <c r="AA372" s="3">
        <f t="shared" si="124"/>
        <v>-12.238636363636033</v>
      </c>
      <c r="AB372" s="3">
        <f t="shared" si="119"/>
        <v>234.22744787992269</v>
      </c>
      <c r="AC372" s="3">
        <f t="shared" si="120"/>
        <v>1.7752060835611871E-3</v>
      </c>
      <c r="AD372" s="3">
        <f t="shared" si="125"/>
        <v>1989.0719480454757</v>
      </c>
      <c r="AE372" s="3">
        <f t="shared" si="125"/>
        <v>-28150.203522271961</v>
      </c>
      <c r="AF372" s="3">
        <f t="shared" si="125"/>
        <v>538748.77334481594</v>
      </c>
      <c r="AG372" s="3">
        <f t="shared" si="125"/>
        <v>4.0831683417527582</v>
      </c>
      <c r="AH372" s="233">
        <f t="shared" si="123"/>
        <v>328447.79246168182</v>
      </c>
      <c r="AI372" s="233">
        <f t="shared" si="123"/>
        <v>15798955.40357318</v>
      </c>
      <c r="AJ372" s="233">
        <f t="shared" si="123"/>
        <v>442026642.50585353</v>
      </c>
      <c r="AK372" s="233">
        <f t="shared" si="123"/>
        <v>116394160.75457983</v>
      </c>
      <c r="AL372" s="233">
        <f t="shared" si="123"/>
        <v>5588.8682393580029</v>
      </c>
      <c r="AM372" s="233">
        <f t="shared" si="122"/>
        <v>326458.7205136363</v>
      </c>
      <c r="AN372" s="233">
        <f t="shared" si="122"/>
        <v>15827105.607095452</v>
      </c>
      <c r="AO372" s="233">
        <f t="shared" si="122"/>
        <v>442237859.95018482</v>
      </c>
      <c r="AP372" s="233">
        <f t="shared" si="122"/>
        <v>115644194.53690366</v>
      </c>
      <c r="AQ372" s="233">
        <f t="shared" si="122"/>
        <v>5584.7850710162502</v>
      </c>
      <c r="AR372" s="383">
        <v>38.086363636363636</v>
      </c>
      <c r="AS372" s="231">
        <f t="shared" si="121"/>
        <v>87602.806058727263</v>
      </c>
    </row>
    <row r="373" spans="2:45" ht="87" x14ac:dyDescent="0.35">
      <c r="B373" s="56" t="s">
        <v>93</v>
      </c>
      <c r="C373" s="361" t="s">
        <v>221</v>
      </c>
      <c r="D373" s="56">
        <v>9</v>
      </c>
      <c r="E373" s="3">
        <v>5400.2570399999995</v>
      </c>
      <c r="F373" s="3">
        <v>13084.3</v>
      </c>
      <c r="G373" s="3">
        <v>601557</v>
      </c>
      <c r="H373" s="3">
        <v>150.78813079879799</v>
      </c>
      <c r="I373" s="3">
        <v>41.079149225278897</v>
      </c>
      <c r="J373" s="3">
        <f t="shared" si="115"/>
        <v>215.9551917207657</v>
      </c>
      <c r="K373" s="3">
        <v>12974.5</v>
      </c>
      <c r="L373" s="3">
        <v>602381</v>
      </c>
      <c r="M373" s="3">
        <v>150.76055445550099</v>
      </c>
      <c r="N373" s="3">
        <v>40.714051464605802</v>
      </c>
      <c r="O373" s="3">
        <f t="shared" si="116"/>
        <v>215.55434942756057</v>
      </c>
      <c r="P373" s="3">
        <f t="shared" si="117"/>
        <v>148.68522727272727</v>
      </c>
      <c r="Q373" s="3">
        <f t="shared" si="118"/>
        <v>6835.875</v>
      </c>
      <c r="R373" s="3">
        <f t="shared" si="109"/>
        <v>193797.01810618243</v>
      </c>
      <c r="S373" s="3">
        <f t="shared" si="109"/>
        <v>52796.042924761852</v>
      </c>
      <c r="T373" s="3">
        <f t="shared" si="110"/>
        <v>2.4540362695541558</v>
      </c>
      <c r="U373" s="3">
        <f t="shared" si="110"/>
        <v>147.4375</v>
      </c>
      <c r="V373" s="3">
        <f t="shared" si="110"/>
        <v>6845.238636363636</v>
      </c>
      <c r="W373" s="3">
        <f t="shared" si="111"/>
        <v>193761.57623769503</v>
      </c>
      <c r="X373" s="3">
        <f t="shared" si="111"/>
        <v>52326.809325533141</v>
      </c>
      <c r="Y373" s="3">
        <f t="shared" si="114"/>
        <v>2.4494812434950064</v>
      </c>
      <c r="Z373" s="3">
        <f t="shared" si="124"/>
        <v>1.2477272727272748</v>
      </c>
      <c r="AA373" s="3">
        <f t="shared" si="124"/>
        <v>-9.3636363636360329</v>
      </c>
      <c r="AB373" s="3">
        <f t="shared" si="119"/>
        <v>504.67546771611524</v>
      </c>
      <c r="AC373" s="3">
        <f t="shared" si="120"/>
        <v>4.5550260591493696E-3</v>
      </c>
      <c r="AD373" s="3">
        <f t="shared" si="125"/>
        <v>6738.0479885454652</v>
      </c>
      <c r="AE373" s="3">
        <f t="shared" si="125"/>
        <v>-50566.043192725483</v>
      </c>
      <c r="AF373" s="3">
        <f t="shared" si="125"/>
        <v>2725377.2474492439</v>
      </c>
      <c r="AG373" s="3">
        <f t="shared" si="125"/>
        <v>24.598311543304838</v>
      </c>
      <c r="AH373" s="233">
        <f t="shared" si="123"/>
        <v>802938.44532354537</v>
      </c>
      <c r="AI373" s="233">
        <f t="shared" si="123"/>
        <v>36915482.093309999</v>
      </c>
      <c r="AJ373" s="233">
        <f t="shared" si="123"/>
        <v>1046553711.358919</v>
      </c>
      <c r="AK373" s="233">
        <f t="shared" si="123"/>
        <v>285112202.48858738</v>
      </c>
      <c r="AL373" s="233">
        <f t="shared" si="123"/>
        <v>13252.426641075166</v>
      </c>
      <c r="AM373" s="233">
        <f t="shared" si="122"/>
        <v>796200.39733499987</v>
      </c>
      <c r="AN373" s="233">
        <f t="shared" si="122"/>
        <v>36966048.13650272</v>
      </c>
      <c r="AO373" s="233">
        <f t="shared" si="122"/>
        <v>1046362316.1591092</v>
      </c>
      <c r="AP373" s="233">
        <f t="shared" si="122"/>
        <v>282578220.44094795</v>
      </c>
      <c r="AQ373" s="233">
        <f t="shared" si="122"/>
        <v>13227.828329531862</v>
      </c>
      <c r="AR373" s="383">
        <v>38.086363636363636</v>
      </c>
      <c r="AS373" s="231">
        <f t="shared" si="121"/>
        <v>205676.15335527272</v>
      </c>
    </row>
    <row r="374" spans="2:45" ht="87" x14ac:dyDescent="0.35">
      <c r="B374" s="56" t="s">
        <v>93</v>
      </c>
      <c r="C374" s="361" t="s">
        <v>221</v>
      </c>
      <c r="D374" s="56">
        <v>10</v>
      </c>
      <c r="E374" s="3">
        <v>1907.8577999999998</v>
      </c>
      <c r="F374" s="3">
        <v>12641.7</v>
      </c>
      <c r="G374" s="3">
        <v>616576</v>
      </c>
      <c r="H374" s="3">
        <v>151.82257789161301</v>
      </c>
      <c r="I374" s="3">
        <v>39.838230846614501</v>
      </c>
      <c r="J374" s="3">
        <f t="shared" si="115"/>
        <v>217.1509717596843</v>
      </c>
      <c r="K374" s="3">
        <v>12490.7</v>
      </c>
      <c r="L374" s="3">
        <v>616802</v>
      </c>
      <c r="M374" s="3">
        <v>151.69986414294601</v>
      </c>
      <c r="N374" s="3">
        <v>39.335525277510698</v>
      </c>
      <c r="O374" s="3">
        <f t="shared" si="116"/>
        <v>216.38167428712694</v>
      </c>
      <c r="P374" s="3">
        <f t="shared" si="117"/>
        <v>143.65568181818182</v>
      </c>
      <c r="Q374" s="3">
        <f t="shared" si="118"/>
        <v>7006.545454545455</v>
      </c>
      <c r="R374" s="3">
        <f t="shared" si="109"/>
        <v>195126.51772206172</v>
      </c>
      <c r="S374" s="3">
        <f t="shared" si="109"/>
        <v>51201.18078127387</v>
      </c>
      <c r="T374" s="3">
        <f t="shared" si="110"/>
        <v>2.4676246790873217</v>
      </c>
      <c r="U374" s="3">
        <f t="shared" si="110"/>
        <v>141.93977272727273</v>
      </c>
      <c r="V374" s="3">
        <f t="shared" si="110"/>
        <v>7009.113636363636</v>
      </c>
      <c r="W374" s="3">
        <f t="shared" si="111"/>
        <v>194968.80266553629</v>
      </c>
      <c r="X374" s="3">
        <f t="shared" si="111"/>
        <v>50555.089873709767</v>
      </c>
      <c r="Y374" s="3">
        <f t="shared" si="114"/>
        <v>2.4588826623537154</v>
      </c>
      <c r="Z374" s="3">
        <f t="shared" si="124"/>
        <v>1.7159090909090935</v>
      </c>
      <c r="AA374" s="3">
        <f t="shared" si="124"/>
        <v>-2.568181818181074</v>
      </c>
      <c r="AB374" s="3">
        <f t="shared" si="119"/>
        <v>803.80596408952988</v>
      </c>
      <c r="AC374" s="3">
        <f t="shared" si="120"/>
        <v>8.7420167336063059E-3</v>
      </c>
      <c r="AD374" s="3">
        <f t="shared" si="125"/>
        <v>3273.7105431818227</v>
      </c>
      <c r="AE374" s="3">
        <f t="shared" si="125"/>
        <v>-4899.7257136349435</v>
      </c>
      <c r="AF374" s="3">
        <f t="shared" si="125"/>
        <v>1533547.4782747293</v>
      </c>
      <c r="AG374" s="3">
        <f t="shared" si="125"/>
        <v>16.678524812941312</v>
      </c>
      <c r="AH374" s="233">
        <f t="shared" si="123"/>
        <v>274074.61307113635</v>
      </c>
      <c r="AI374" s="233">
        <f t="shared" si="123"/>
        <v>13367492.39650909</v>
      </c>
      <c r="AJ374" s="233">
        <f t="shared" si="123"/>
        <v>372273648.82287365</v>
      </c>
      <c r="AK374" s="233">
        <f t="shared" si="123"/>
        <v>97684572.12276344</v>
      </c>
      <c r="AL374" s="233">
        <f t="shared" si="123"/>
        <v>4707.876991469243</v>
      </c>
      <c r="AM374" s="233">
        <f t="shared" si="122"/>
        <v>270800.90252795449</v>
      </c>
      <c r="AN374" s="233">
        <f t="shared" si="122"/>
        <v>13372392.122222725</v>
      </c>
      <c r="AO374" s="233">
        <f t="shared" si="122"/>
        <v>371972750.92210418</v>
      </c>
      <c r="AP374" s="233">
        <f t="shared" si="122"/>
        <v>96451922.545258179</v>
      </c>
      <c r="AQ374" s="233">
        <f t="shared" si="122"/>
        <v>4691.1984666563021</v>
      </c>
      <c r="AR374" s="383">
        <v>38.086363636363636</v>
      </c>
      <c r="AS374" s="231">
        <f t="shared" si="121"/>
        <v>72663.365937272712</v>
      </c>
    </row>
    <row r="375" spans="2:45" ht="87" x14ac:dyDescent="0.35">
      <c r="B375" s="56" t="s">
        <v>93</v>
      </c>
      <c r="C375" s="361" t="s">
        <v>221</v>
      </c>
      <c r="D375" s="56">
        <v>11</v>
      </c>
      <c r="E375" s="3">
        <v>544.68611999999996</v>
      </c>
      <c r="F375" s="3">
        <v>15640.9</v>
      </c>
      <c r="G375" s="3">
        <v>619619</v>
      </c>
      <c r="H375" s="3">
        <v>159.59162820134799</v>
      </c>
      <c r="I375" s="3">
        <v>49.712216449841101</v>
      </c>
      <c r="J375" s="3">
        <f t="shared" si="115"/>
        <v>234.24128218760774</v>
      </c>
      <c r="K375" s="3">
        <v>15255.5</v>
      </c>
      <c r="L375" s="3">
        <v>618499</v>
      </c>
      <c r="M375" s="3">
        <v>158.988075970496</v>
      </c>
      <c r="N375" s="3">
        <v>48.434929041558902</v>
      </c>
      <c r="O375" s="3">
        <f t="shared" si="116"/>
        <v>231.86994857661256</v>
      </c>
      <c r="P375" s="3">
        <f t="shared" si="117"/>
        <v>177.73749999999998</v>
      </c>
      <c r="Q375" s="3">
        <f t="shared" si="118"/>
        <v>7041.125</v>
      </c>
      <c r="R375" s="3">
        <f t="shared" si="109"/>
        <v>205111.51306332339</v>
      </c>
      <c r="S375" s="3">
        <f t="shared" si="109"/>
        <v>63891.496369057139</v>
      </c>
      <c r="T375" s="3">
        <f t="shared" si="110"/>
        <v>2.6618327521319061</v>
      </c>
      <c r="U375" s="3">
        <f t="shared" si="110"/>
        <v>173.35795454545453</v>
      </c>
      <c r="V375" s="3">
        <f t="shared" si="110"/>
        <v>7028.397727272727</v>
      </c>
      <c r="W375" s="3">
        <f t="shared" si="111"/>
        <v>204335.81127571702</v>
      </c>
      <c r="X375" s="3">
        <f t="shared" si="111"/>
        <v>62249.891756821722</v>
      </c>
      <c r="Y375" s="3">
        <f t="shared" si="114"/>
        <v>2.634885779279688</v>
      </c>
      <c r="Z375" s="3">
        <f t="shared" si="124"/>
        <v>4.3795454545454504</v>
      </c>
      <c r="AA375" s="3">
        <f t="shared" si="124"/>
        <v>12.727272727272975</v>
      </c>
      <c r="AB375" s="3">
        <f t="shared" si="119"/>
        <v>2417.3063998418147</v>
      </c>
      <c r="AC375" s="3">
        <f t="shared" si="120"/>
        <v>2.6946972852218032E-2</v>
      </c>
      <c r="AD375" s="3">
        <f t="shared" si="125"/>
        <v>2385.4776209999977</v>
      </c>
      <c r="AE375" s="3">
        <f t="shared" si="125"/>
        <v>6932.3688000001348</v>
      </c>
      <c r="AF375" s="3">
        <f t="shared" si="125"/>
        <v>1316673.2437810067</v>
      </c>
      <c r="AG375" s="3">
        <f t="shared" si="125"/>
        <v>14.677642088619972</v>
      </c>
      <c r="AH375" s="233">
        <f t="shared" si="123"/>
        <v>96811.149253499985</v>
      </c>
      <c r="AI375" s="233">
        <f t="shared" si="123"/>
        <v>3835203.0566849997</v>
      </c>
      <c r="AJ375" s="233">
        <f t="shared" si="123"/>
        <v>111721394.21779093</v>
      </c>
      <c r="AK375" s="233">
        <f t="shared" si="123"/>
        <v>34800811.258255817</v>
      </c>
      <c r="AL375" s="233">
        <f t="shared" si="123"/>
        <v>1449.8633538476495</v>
      </c>
      <c r="AM375" s="233">
        <f t="shared" si="122"/>
        <v>94425.671632499987</v>
      </c>
      <c r="AN375" s="233">
        <f t="shared" si="122"/>
        <v>3828270.6878849994</v>
      </c>
      <c r="AO375" s="233">
        <f t="shared" si="122"/>
        <v>111298880.22082254</v>
      </c>
      <c r="AP375" s="233">
        <f t="shared" si="122"/>
        <v>33906652.011443205</v>
      </c>
      <c r="AQ375" s="233">
        <f t="shared" si="122"/>
        <v>1435.1857117590296</v>
      </c>
      <c r="AR375" s="383">
        <v>38.086363636363636</v>
      </c>
      <c r="AS375" s="231">
        <f t="shared" si="121"/>
        <v>20745.113633999998</v>
      </c>
    </row>
    <row r="376" spans="2:45" ht="87" x14ac:dyDescent="0.35">
      <c r="B376" s="56" t="s">
        <v>93</v>
      </c>
      <c r="C376" s="361" t="s">
        <v>221</v>
      </c>
      <c r="D376" s="56">
        <v>12</v>
      </c>
      <c r="E376" s="3">
        <v>3075.3890999999999</v>
      </c>
      <c r="F376" s="3">
        <v>15799.2</v>
      </c>
      <c r="G376" s="3">
        <v>587544</v>
      </c>
      <c r="H376" s="3">
        <v>150.51255948794099</v>
      </c>
      <c r="I376" s="3">
        <v>50.1031414958413</v>
      </c>
      <c r="J376" s="3">
        <f t="shared" si="115"/>
        <v>227.39529636142612</v>
      </c>
      <c r="K376" s="3">
        <v>15479.9</v>
      </c>
      <c r="L376" s="3">
        <v>587429</v>
      </c>
      <c r="M376" s="3">
        <v>150.216194588186</v>
      </c>
      <c r="N376" s="3">
        <v>49.045922071006501</v>
      </c>
      <c r="O376" s="3">
        <f t="shared" si="116"/>
        <v>225.62605799637123</v>
      </c>
      <c r="P376" s="3">
        <f t="shared" si="117"/>
        <v>179.53636363636363</v>
      </c>
      <c r="Q376" s="3">
        <f t="shared" si="118"/>
        <v>6676.636363636364</v>
      </c>
      <c r="R376" s="3">
        <f t="shared" si="109"/>
        <v>193442.84634188781</v>
      </c>
      <c r="S376" s="3">
        <f t="shared" si="109"/>
        <v>64393.923899768764</v>
      </c>
      <c r="T376" s="3">
        <f t="shared" si="110"/>
        <v>2.5840374586525696</v>
      </c>
      <c r="U376" s="3">
        <f t="shared" si="110"/>
        <v>175.90795454545454</v>
      </c>
      <c r="V376" s="3">
        <f t="shared" si="110"/>
        <v>6675.329545454545</v>
      </c>
      <c r="W376" s="3">
        <f t="shared" si="111"/>
        <v>193061.9500900436</v>
      </c>
      <c r="X376" s="3">
        <f t="shared" si="111"/>
        <v>63035.156661714034</v>
      </c>
      <c r="Y376" s="3">
        <f t="shared" si="114"/>
        <v>2.5639324772314911</v>
      </c>
      <c r="Z376" s="3">
        <f t="shared" si="124"/>
        <v>3.6284090909090878</v>
      </c>
      <c r="AA376" s="3">
        <f t="shared" si="124"/>
        <v>1.306818181818926</v>
      </c>
      <c r="AB376" s="3">
        <f t="shared" si="119"/>
        <v>1739.6634898989432</v>
      </c>
      <c r="AC376" s="3">
        <f t="shared" si="120"/>
        <v>2.0104981421078527E-2</v>
      </c>
      <c r="AD376" s="3">
        <f t="shared" si="125"/>
        <v>11158.769768522718</v>
      </c>
      <c r="AE376" s="3">
        <f t="shared" si="125"/>
        <v>4018.9743920477431</v>
      </c>
      <c r="AF376" s="3">
        <f t="shared" si="125"/>
        <v>5350142.1345031699</v>
      </c>
      <c r="AG376" s="3">
        <f t="shared" si="125"/>
        <v>61.830640718087409</v>
      </c>
      <c r="AH376" s="233">
        <f t="shared" si="123"/>
        <v>552144.17578090902</v>
      </c>
      <c r="AI376" s="233">
        <f t="shared" si="123"/>
        <v>20533254.69739091</v>
      </c>
      <c r="AJ376" s="233">
        <f t="shared" si="123"/>
        <v>594912021.11281657</v>
      </c>
      <c r="AK376" s="233">
        <f t="shared" si="123"/>
        <v>198036371.66757834</v>
      </c>
      <c r="AL376" s="233">
        <f t="shared" si="123"/>
        <v>7946.9206343318128</v>
      </c>
      <c r="AM376" s="233">
        <f t="shared" si="122"/>
        <v>540985.40601238632</v>
      </c>
      <c r="AN376" s="233">
        <f t="shared" si="122"/>
        <v>20529235.722998861</v>
      </c>
      <c r="AO376" s="233">
        <f t="shared" si="122"/>
        <v>593740616.93166411</v>
      </c>
      <c r="AP376" s="233">
        <f t="shared" si="122"/>
        <v>193857633.71422771</v>
      </c>
      <c r="AQ376" s="233">
        <f t="shared" si="122"/>
        <v>7885.0899936137257</v>
      </c>
      <c r="AR376" s="383">
        <v>38.086363636363636</v>
      </c>
      <c r="AS376" s="231">
        <f t="shared" si="121"/>
        <v>117130.38758590909</v>
      </c>
    </row>
    <row r="377" spans="2:45" ht="87" x14ac:dyDescent="0.35">
      <c r="B377" s="56" t="s">
        <v>93</v>
      </c>
      <c r="C377" s="361" t="s">
        <v>221</v>
      </c>
      <c r="D377" s="56">
        <v>13</v>
      </c>
      <c r="E377" s="3">
        <v>897.6155399999999</v>
      </c>
      <c r="F377" s="3">
        <v>14642.1</v>
      </c>
      <c r="G377" s="3">
        <v>637747</v>
      </c>
      <c r="H377" s="3">
        <v>164.773296028537</v>
      </c>
      <c r="I377" s="3">
        <v>46.475947157047798</v>
      </c>
      <c r="J377" s="3">
        <f t="shared" si="115"/>
        <v>233.15057892098341</v>
      </c>
      <c r="K377" s="3">
        <v>14370.4</v>
      </c>
      <c r="L377" s="3">
        <v>636621</v>
      </c>
      <c r="M377" s="3">
        <v>164.16797410100699</v>
      </c>
      <c r="N377" s="3">
        <v>45.574329341317799</v>
      </c>
      <c r="O377" s="3">
        <f t="shared" si="116"/>
        <v>231.39797112301551</v>
      </c>
      <c r="P377" s="3">
        <f t="shared" si="117"/>
        <v>166.38750000000002</v>
      </c>
      <c r="Q377" s="3">
        <f t="shared" si="118"/>
        <v>7247.125</v>
      </c>
      <c r="R377" s="3">
        <f t="shared" si="109"/>
        <v>211771.13387304018</v>
      </c>
      <c r="S377" s="3">
        <f t="shared" si="109"/>
        <v>59732.154812069391</v>
      </c>
      <c r="T377" s="3">
        <f t="shared" si="110"/>
        <v>2.6494383968293569</v>
      </c>
      <c r="U377" s="3">
        <f t="shared" si="110"/>
        <v>163.29999999999998</v>
      </c>
      <c r="V377" s="3">
        <f t="shared" si="110"/>
        <v>7234.329545454545</v>
      </c>
      <c r="W377" s="3">
        <f t="shared" si="111"/>
        <v>210993.15762299875</v>
      </c>
      <c r="X377" s="3">
        <f t="shared" si="111"/>
        <v>58573.371005716406</v>
      </c>
      <c r="Y377" s="3">
        <f t="shared" si="114"/>
        <v>2.6295223991251762</v>
      </c>
      <c r="Z377" s="3">
        <f t="shared" si="124"/>
        <v>3.0875000000000341</v>
      </c>
      <c r="AA377" s="3">
        <f t="shared" si="124"/>
        <v>12.795454545454959</v>
      </c>
      <c r="AB377" s="3">
        <f t="shared" si="119"/>
        <v>1936.7600563944216</v>
      </c>
      <c r="AC377" s="3">
        <f t="shared" si="120"/>
        <v>1.9915997704180732E-2</v>
      </c>
      <c r="AD377" s="3">
        <f t="shared" si="125"/>
        <v>2771.3879797500304</v>
      </c>
      <c r="AE377" s="3">
        <f t="shared" si="125"/>
        <v>11485.398841364005</v>
      </c>
      <c r="AF377" s="3">
        <f t="shared" si="125"/>
        <v>1738465.923870909</v>
      </c>
      <c r="AG377" s="3">
        <f t="shared" si="125"/>
        <v>17.876909033876945</v>
      </c>
      <c r="AH377" s="233">
        <f t="shared" si="123"/>
        <v>149352.00566175001</v>
      </c>
      <c r="AI377" s="233">
        <f t="shared" si="123"/>
        <v>6505132.0203224989</v>
      </c>
      <c r="AJ377" s="233">
        <f t="shared" si="123"/>
        <v>190089060.68786123</v>
      </c>
      <c r="AK377" s="233">
        <f t="shared" si="123"/>
        <v>53616510.396999262</v>
      </c>
      <c r="AL377" s="233">
        <f t="shared" si="123"/>
        <v>2378.1770772667173</v>
      </c>
      <c r="AM377" s="233">
        <f t="shared" si="122"/>
        <v>146580.61768199998</v>
      </c>
      <c r="AN377" s="233">
        <f t="shared" si="122"/>
        <v>6493646.6214811355</v>
      </c>
      <c r="AO377" s="233">
        <f t="shared" si="122"/>
        <v>189390737.11607313</v>
      </c>
      <c r="AP377" s="233">
        <f t="shared" si="122"/>
        <v>52576368.044916466</v>
      </c>
      <c r="AQ377" s="233">
        <f t="shared" si="122"/>
        <v>2360.3001682328404</v>
      </c>
      <c r="AR377" s="383">
        <v>38.086363636363636</v>
      </c>
      <c r="AS377" s="231">
        <f t="shared" si="121"/>
        <v>34186.911862090907</v>
      </c>
    </row>
    <row r="378" spans="2:45" ht="87" x14ac:dyDescent="0.35">
      <c r="B378" s="56" t="s">
        <v>93</v>
      </c>
      <c r="C378" s="361" t="s">
        <v>221</v>
      </c>
      <c r="D378" s="56">
        <v>14</v>
      </c>
      <c r="E378" s="3">
        <v>407.78639999999996</v>
      </c>
      <c r="F378" s="3">
        <v>14846.2</v>
      </c>
      <c r="G378" s="3">
        <v>621467</v>
      </c>
      <c r="H378" s="3">
        <v>156.50754069197899</v>
      </c>
      <c r="I378" s="3">
        <v>47.165368440192502</v>
      </c>
      <c r="J378" s="3">
        <f t="shared" si="115"/>
        <v>230.35082987362787</v>
      </c>
      <c r="K378" s="3">
        <v>14505.2</v>
      </c>
      <c r="L378" s="3">
        <v>620693</v>
      </c>
      <c r="M378" s="3">
        <v>156.02693620628</v>
      </c>
      <c r="N378" s="3">
        <v>46.032922963663196</v>
      </c>
      <c r="O378" s="3">
        <f t="shared" si="116"/>
        <v>228.30483586655174</v>
      </c>
      <c r="P378" s="3">
        <f t="shared" si="117"/>
        <v>168.70681818181819</v>
      </c>
      <c r="Q378" s="3">
        <f t="shared" si="118"/>
        <v>7062.125</v>
      </c>
      <c r="R378" s="3">
        <f t="shared" si="109"/>
        <v>201147.75968480483</v>
      </c>
      <c r="S378" s="3">
        <f t="shared" si="109"/>
        <v>60618.217847565589</v>
      </c>
      <c r="T378" s="3">
        <f t="shared" si="110"/>
        <v>2.6176230667457712</v>
      </c>
      <c r="U378" s="3">
        <f t="shared" si="110"/>
        <v>164.83181818181819</v>
      </c>
      <c r="V378" s="3">
        <f t="shared" si="110"/>
        <v>7053.329545454545</v>
      </c>
      <c r="W378" s="3">
        <f t="shared" si="111"/>
        <v>200530.07369238941</v>
      </c>
      <c r="X378" s="3">
        <f t="shared" si="111"/>
        <v>59162.768036253488</v>
      </c>
      <c r="Y378" s="3">
        <f t="shared" si="114"/>
        <v>2.5943731348471788</v>
      </c>
      <c r="Z378" s="3">
        <f t="shared" si="124"/>
        <v>3.875</v>
      </c>
      <c r="AA378" s="3">
        <f t="shared" si="124"/>
        <v>8.7954545454549589</v>
      </c>
      <c r="AB378" s="3">
        <f t="shared" si="119"/>
        <v>2073.1358037275204</v>
      </c>
      <c r="AC378" s="3">
        <f t="shared" si="120"/>
        <v>2.3249931898592369E-2</v>
      </c>
      <c r="AD378" s="3">
        <f t="shared" si="125"/>
        <v>1580.1722999999997</v>
      </c>
      <c r="AE378" s="3">
        <f t="shared" si="125"/>
        <v>3586.6667454547137</v>
      </c>
      <c r="AF378" s="3">
        <f t="shared" si="125"/>
        <v>845396.58611315209</v>
      </c>
      <c r="AG378" s="3">
        <f t="shared" si="125"/>
        <v>9.4810060291721463</v>
      </c>
      <c r="AH378" s="233">
        <f t="shared" si="123"/>
        <v>68796.346041818178</v>
      </c>
      <c r="AI378" s="233">
        <f t="shared" si="123"/>
        <v>2879838.5300999996</v>
      </c>
      <c r="AJ378" s="233">
        <f t="shared" si="123"/>
        <v>82025320.789931685</v>
      </c>
      <c r="AK378" s="233">
        <f t="shared" si="123"/>
        <v>24719284.830474518</v>
      </c>
      <c r="AL378" s="233">
        <f t="shared" si="123"/>
        <v>1067.4310869452177</v>
      </c>
      <c r="AM378" s="233">
        <f t="shared" si="122"/>
        <v>67216.173741818173</v>
      </c>
      <c r="AN378" s="233">
        <f t="shared" si="122"/>
        <v>2876251.8633545451</v>
      </c>
      <c r="AO378" s="233">
        <f t="shared" si="122"/>
        <v>81773436.842754185</v>
      </c>
      <c r="AP378" s="233">
        <f t="shared" si="122"/>
        <v>24125772.191538878</v>
      </c>
      <c r="AQ378" s="233">
        <f t="shared" si="122"/>
        <v>1057.9500809160454</v>
      </c>
      <c r="AR378" s="383">
        <v>38.086363636363636</v>
      </c>
      <c r="AS378" s="231">
        <f t="shared" si="121"/>
        <v>15531.101116363634</v>
      </c>
    </row>
    <row r="379" spans="2:45" ht="87" x14ac:dyDescent="0.35">
      <c r="B379" s="56" t="s">
        <v>93</v>
      </c>
      <c r="C379" s="361" t="s">
        <v>221</v>
      </c>
      <c r="D379" s="56">
        <v>15</v>
      </c>
      <c r="E379" s="3">
        <v>265.54661999999996</v>
      </c>
      <c r="F379" s="3">
        <v>9866.24</v>
      </c>
      <c r="G379" s="3">
        <v>734525</v>
      </c>
      <c r="H379" s="3">
        <v>182.39322103246499</v>
      </c>
      <c r="I379" s="3">
        <v>30.981907402679902</v>
      </c>
      <c r="J379" s="3">
        <f t="shared" si="115"/>
        <v>230.36219610554295</v>
      </c>
      <c r="K379" s="3">
        <v>9814.11</v>
      </c>
      <c r="L379" s="3">
        <v>732055</v>
      </c>
      <c r="M379" s="3">
        <v>181.48701760477499</v>
      </c>
      <c r="N379" s="3">
        <v>30.807628052320901</v>
      </c>
      <c r="O379" s="3">
        <f t="shared" si="116"/>
        <v>229.48417750767487</v>
      </c>
      <c r="P379" s="3">
        <f t="shared" si="117"/>
        <v>112.11636363636363</v>
      </c>
      <c r="Q379" s="3">
        <f t="shared" si="118"/>
        <v>8346.875</v>
      </c>
      <c r="R379" s="3">
        <f t="shared" si="109"/>
        <v>234416.74203149762</v>
      </c>
      <c r="S379" s="3">
        <f t="shared" si="109"/>
        <v>39818.792355035192</v>
      </c>
      <c r="T379" s="3">
        <f t="shared" si="110"/>
        <v>2.6177522284720789</v>
      </c>
      <c r="U379" s="3">
        <f t="shared" si="110"/>
        <v>111.52397727272728</v>
      </c>
      <c r="V379" s="3">
        <f t="shared" si="110"/>
        <v>8318.806818181818</v>
      </c>
      <c r="W379" s="3">
        <f t="shared" si="111"/>
        <v>233252.06467159151</v>
      </c>
      <c r="X379" s="3">
        <f t="shared" si="111"/>
        <v>39594.803780880611</v>
      </c>
      <c r="Y379" s="3">
        <f t="shared" si="114"/>
        <v>2.6077747444053965</v>
      </c>
      <c r="Z379" s="3">
        <f t="shared" si="124"/>
        <v>0.59238636363635067</v>
      </c>
      <c r="AA379" s="3">
        <f t="shared" si="124"/>
        <v>28.068181818181984</v>
      </c>
      <c r="AB379" s="3">
        <f t="shared" si="119"/>
        <v>1388.6659340606711</v>
      </c>
      <c r="AC379" s="3">
        <f t="shared" si="120"/>
        <v>9.9774840666824183E-3</v>
      </c>
      <c r="AD379" s="3">
        <f t="shared" si="125"/>
        <v>157.30619659772381</v>
      </c>
      <c r="AE379" s="3">
        <f t="shared" si="125"/>
        <v>7453.4108113636794</v>
      </c>
      <c r="AF379" s="3">
        <f t="shared" si="125"/>
        <v>368755.54509895405</v>
      </c>
      <c r="AG379" s="3">
        <f t="shared" si="125"/>
        <v>2.6494871700113705</v>
      </c>
      <c r="AH379" s="233">
        <f t="shared" si="123"/>
        <v>29772.121410327265</v>
      </c>
      <c r="AI379" s="233">
        <f t="shared" si="123"/>
        <v>2216484.4438124998</v>
      </c>
      <c r="AJ379" s="233">
        <f t="shared" si="123"/>
        <v>62248573.517876118</v>
      </c>
      <c r="AK379" s="233">
        <f t="shared" si="123"/>
        <v>10573745.722361434</v>
      </c>
      <c r="AL379" s="233">
        <f t="shared" si="123"/>
        <v>695.1352562682282</v>
      </c>
      <c r="AM379" s="233">
        <f t="shared" si="122"/>
        <v>29614.815213729544</v>
      </c>
      <c r="AN379" s="233">
        <f t="shared" si="122"/>
        <v>2209031.033001136</v>
      </c>
      <c r="AO379" s="233">
        <f t="shared" si="122"/>
        <v>61939297.381562524</v>
      </c>
      <c r="AP379" s="233">
        <f t="shared" si="122"/>
        <v>10514266.313576065</v>
      </c>
      <c r="AQ379" s="233">
        <f t="shared" si="122"/>
        <v>692.48576909821679</v>
      </c>
      <c r="AR379" s="383">
        <v>38.086363636363636</v>
      </c>
      <c r="AS379" s="231">
        <f t="shared" si="121"/>
        <v>10113.705131727271</v>
      </c>
    </row>
    <row r="380" spans="2:45" ht="87" x14ac:dyDescent="0.35">
      <c r="B380" s="56" t="s">
        <v>93</v>
      </c>
      <c r="C380" s="361" t="s">
        <v>221</v>
      </c>
      <c r="D380" s="56">
        <v>16</v>
      </c>
      <c r="E380" s="3">
        <v>164.57093999999998</v>
      </c>
      <c r="F380" s="3">
        <v>22727.8</v>
      </c>
      <c r="G380" s="3">
        <v>550375</v>
      </c>
      <c r="H380" s="3">
        <v>130.99338967075599</v>
      </c>
      <c r="I380" s="3">
        <v>72.352711807835604</v>
      </c>
      <c r="J380" s="3">
        <f t="shared" si="115"/>
        <v>256.25301997033478</v>
      </c>
      <c r="K380" s="3">
        <v>21855.4</v>
      </c>
      <c r="L380" s="3">
        <v>550036</v>
      </c>
      <c r="M380" s="3">
        <v>130.77521494571599</v>
      </c>
      <c r="N380" s="3">
        <v>69.513281803089399</v>
      </c>
      <c r="O380" s="3">
        <f t="shared" si="116"/>
        <v>251.41310021899665</v>
      </c>
      <c r="P380" s="3">
        <f t="shared" si="117"/>
        <v>258.27045454545453</v>
      </c>
      <c r="Q380" s="3">
        <f t="shared" si="118"/>
        <v>6254.261363636364</v>
      </c>
      <c r="R380" s="3">
        <f t="shared" si="109"/>
        <v>168356.27695184664</v>
      </c>
      <c r="S380" s="3">
        <f t="shared" si="109"/>
        <v>92989.678471206906</v>
      </c>
      <c r="T380" s="3">
        <f t="shared" si="110"/>
        <v>2.9119661360265314</v>
      </c>
      <c r="U380" s="3">
        <f t="shared" si="110"/>
        <v>248.3568181818182</v>
      </c>
      <c r="V380" s="3">
        <f t="shared" si="110"/>
        <v>6250.409090909091</v>
      </c>
      <c r="W380" s="3">
        <f t="shared" si="111"/>
        <v>168075.87284500542</v>
      </c>
      <c r="X380" s="3">
        <f t="shared" si="111"/>
        <v>89340.365590106943</v>
      </c>
      <c r="Y380" s="3">
        <f t="shared" si="114"/>
        <v>2.8569670479431437</v>
      </c>
      <c r="Z380" s="3">
        <f t="shared" si="124"/>
        <v>9.9136363636363285</v>
      </c>
      <c r="AA380" s="3">
        <f t="shared" si="124"/>
        <v>3.8522727272729753</v>
      </c>
      <c r="AB380" s="3">
        <f t="shared" si="119"/>
        <v>3929.7169879411667</v>
      </c>
      <c r="AC380" s="3">
        <f t="shared" si="120"/>
        <v>5.4999088083387715E-2</v>
      </c>
      <c r="AD380" s="3">
        <f t="shared" si="125"/>
        <v>1631.4964551818123</v>
      </c>
      <c r="AE380" s="3">
        <f t="shared" si="125"/>
        <v>633.97214386367705</v>
      </c>
      <c r="AF380" s="3">
        <f t="shared" si="125"/>
        <v>646717.21863944642</v>
      </c>
      <c r="AG380" s="3">
        <f t="shared" si="125"/>
        <v>9.0512516250259143</v>
      </c>
      <c r="AH380" s="233">
        <f t="shared" si="123"/>
        <v>42503.811478772717</v>
      </c>
      <c r="AI380" s="233">
        <f t="shared" si="123"/>
        <v>1029269.6716193181</v>
      </c>
      <c r="AJ380" s="233">
        <f t="shared" si="123"/>
        <v>27706550.752865732</v>
      </c>
      <c r="AK380" s="233">
        <f t="shared" si="123"/>
        <v>15303398.796304282</v>
      </c>
      <c r="AL380" s="233">
        <f t="shared" si="123"/>
        <v>479.22500425405406</v>
      </c>
      <c r="AM380" s="233">
        <f t="shared" si="122"/>
        <v>40872.315023590905</v>
      </c>
      <c r="AN380" s="233">
        <f t="shared" si="122"/>
        <v>1028635.6994754544</v>
      </c>
      <c r="AO380" s="233">
        <f t="shared" si="122"/>
        <v>27660404.385423012</v>
      </c>
      <c r="AP380" s="233">
        <f t="shared" si="122"/>
        <v>14702827.945107553</v>
      </c>
      <c r="AQ380" s="233">
        <f t="shared" si="122"/>
        <v>470.17375262902817</v>
      </c>
      <c r="AR380" s="383">
        <v>38.086363636363636</v>
      </c>
      <c r="AS380" s="231">
        <f t="shared" si="121"/>
        <v>6267.908664818181</v>
      </c>
    </row>
    <row r="381" spans="2:45" ht="87" x14ac:dyDescent="0.35">
      <c r="B381" s="56" t="s">
        <v>94</v>
      </c>
      <c r="C381" s="361" t="s">
        <v>221</v>
      </c>
      <c r="D381" s="56">
        <v>1</v>
      </c>
      <c r="E381" s="3">
        <v>0.99375000000000002</v>
      </c>
      <c r="F381" s="3">
        <v>24205.5</v>
      </c>
      <c r="G381" s="3">
        <v>466699</v>
      </c>
      <c r="H381" s="3">
        <v>102.64452380820801</v>
      </c>
      <c r="I381" s="3">
        <v>68.761622231841798</v>
      </c>
      <c r="J381" s="3">
        <f t="shared" si="115"/>
        <v>244.20098672412229</v>
      </c>
      <c r="K381" s="3">
        <v>22262.6</v>
      </c>
      <c r="L381" s="3">
        <v>477442</v>
      </c>
      <c r="M381" s="3">
        <v>104.475119037778</v>
      </c>
      <c r="N381" s="3">
        <v>63.123462271162303</v>
      </c>
      <c r="O381" s="3">
        <f t="shared" si="116"/>
        <v>236.18573264773653</v>
      </c>
      <c r="P381" s="3">
        <f t="shared" si="117"/>
        <v>206.88461538461539</v>
      </c>
      <c r="Q381" s="3">
        <f t="shared" si="118"/>
        <v>3988.8803418803418</v>
      </c>
      <c r="R381" s="3">
        <f t="shared" si="109"/>
        <v>110013.87423546397</v>
      </c>
      <c r="S381" s="3">
        <f t="shared" si="109"/>
        <v>73698.354084384293</v>
      </c>
      <c r="T381" s="3">
        <f t="shared" si="110"/>
        <v>2.0871879207189941</v>
      </c>
      <c r="U381" s="3">
        <f t="shared" si="110"/>
        <v>190.27863247863246</v>
      </c>
      <c r="V381" s="3">
        <f t="shared" si="110"/>
        <v>4080.7008547008545</v>
      </c>
      <c r="W381" s="3">
        <f t="shared" si="111"/>
        <v>111975.89681484924</v>
      </c>
      <c r="X381" s="3">
        <f t="shared" si="111"/>
        <v>67655.40315216883</v>
      </c>
      <c r="Y381" s="3">
        <f t="shared" si="114"/>
        <v>2.0186814756216798</v>
      </c>
      <c r="Z381" s="3">
        <f t="shared" si="124"/>
        <v>16.605982905982927</v>
      </c>
      <c r="AA381" s="3">
        <f t="shared" si="124"/>
        <v>-91.820512820512704</v>
      </c>
      <c r="AB381" s="3">
        <f t="shared" si="119"/>
        <v>4080.9283528301748</v>
      </c>
      <c r="AC381" s="3">
        <f t="shared" si="120"/>
        <v>6.8506445097314295E-2</v>
      </c>
      <c r="AD381" s="3">
        <f t="shared" si="125"/>
        <v>16.502195512820535</v>
      </c>
      <c r="AE381" s="3">
        <f t="shared" si="125"/>
        <v>-91.246634615384508</v>
      </c>
      <c r="AF381" s="3">
        <f t="shared" si="125"/>
        <v>4055.4225506249863</v>
      </c>
      <c r="AG381" s="3">
        <f t="shared" si="125"/>
        <v>6.8078279815456083E-2</v>
      </c>
      <c r="AH381" s="233">
        <f t="shared" si="123"/>
        <v>205.59158653846154</v>
      </c>
      <c r="AI381" s="233">
        <f t="shared" si="123"/>
        <v>3963.9498397435896</v>
      </c>
      <c r="AJ381" s="233">
        <f t="shared" si="123"/>
        <v>109326.28752149233</v>
      </c>
      <c r="AK381" s="233">
        <f t="shared" si="123"/>
        <v>73237.739371356889</v>
      </c>
      <c r="AL381" s="233">
        <f t="shared" si="123"/>
        <v>2.0741429962145004</v>
      </c>
      <c r="AM381" s="233">
        <f t="shared" si="122"/>
        <v>189.08939102564102</v>
      </c>
      <c r="AN381" s="233">
        <f t="shared" si="122"/>
        <v>4055.1964743589742</v>
      </c>
      <c r="AO381" s="233">
        <f t="shared" si="122"/>
        <v>111276.04745975643</v>
      </c>
      <c r="AP381" s="233">
        <f t="shared" si="122"/>
        <v>67232.556882467776</v>
      </c>
      <c r="AQ381" s="233">
        <f t="shared" si="122"/>
        <v>2.0060647163990444</v>
      </c>
      <c r="AR381">
        <v>58.290769230769229</v>
      </c>
      <c r="AS381" s="231">
        <f t="shared" si="121"/>
        <v>57.926451923076925</v>
      </c>
    </row>
    <row r="382" spans="2:45" ht="87" x14ac:dyDescent="0.35">
      <c r="B382" s="56" t="s">
        <v>94</v>
      </c>
      <c r="C382" s="361" t="s">
        <v>221</v>
      </c>
      <c r="D382" s="56">
        <v>2</v>
      </c>
      <c r="E382" s="3">
        <v>5.8987499999999997</v>
      </c>
      <c r="F382" s="3">
        <v>19763.900000000001</v>
      </c>
      <c r="G382" s="3">
        <v>522621</v>
      </c>
      <c r="H382" s="3">
        <v>122.614330918665</v>
      </c>
      <c r="I382" s="3">
        <v>56.312812941734599</v>
      </c>
      <c r="J382" s="3">
        <f t="shared" si="115"/>
        <v>233.41581175487616</v>
      </c>
      <c r="K382" s="3">
        <v>19042.3</v>
      </c>
      <c r="L382" s="3">
        <v>524546</v>
      </c>
      <c r="M382" s="3">
        <v>122.577852170456</v>
      </c>
      <c r="N382" s="3">
        <v>54.165090690383302</v>
      </c>
      <c r="O382" s="3">
        <f t="shared" si="116"/>
        <v>229.94258521482354</v>
      </c>
      <c r="P382" s="3">
        <f t="shared" si="117"/>
        <v>168.92222222222225</v>
      </c>
      <c r="Q382" s="3">
        <f t="shared" si="118"/>
        <v>4466.8461538461543</v>
      </c>
      <c r="R382" s="3">
        <f t="shared" si="109"/>
        <v>131417.41108718453</v>
      </c>
      <c r="S382" s="3">
        <f t="shared" si="109"/>
        <v>60355.784127295032</v>
      </c>
      <c r="T382" s="3">
        <f t="shared" si="110"/>
        <v>1.9950069380758646</v>
      </c>
      <c r="U382" s="3">
        <f t="shared" si="110"/>
        <v>162.75470085470084</v>
      </c>
      <c r="V382" s="3">
        <f t="shared" si="110"/>
        <v>4483.2991452991455</v>
      </c>
      <c r="W382" s="3">
        <f t="shared" si="111"/>
        <v>131378.31335192462</v>
      </c>
      <c r="X382" s="3">
        <f t="shared" si="111"/>
        <v>58053.866432256975</v>
      </c>
      <c r="Y382" s="3">
        <f t="shared" si="114"/>
        <v>1.965321241152338</v>
      </c>
      <c r="Z382" s="3">
        <f t="shared" si="124"/>
        <v>6.1675213675214025</v>
      </c>
      <c r="AA382" s="3">
        <f t="shared" si="124"/>
        <v>-16.452991452991228</v>
      </c>
      <c r="AB382" s="3">
        <f t="shared" si="119"/>
        <v>2341.0154302979863</v>
      </c>
      <c r="AC382" s="3">
        <f t="shared" si="120"/>
        <v>2.9685696923526628E-2</v>
      </c>
      <c r="AD382" s="3">
        <f t="shared" si="125"/>
        <v>36.380666666666869</v>
      </c>
      <c r="AE382" s="3">
        <f t="shared" si="125"/>
        <v>-97.052083333331993</v>
      </c>
      <c r="AF382" s="3">
        <f t="shared" si="125"/>
        <v>13809.064769470246</v>
      </c>
      <c r="AG382" s="3">
        <f t="shared" si="125"/>
        <v>0.17510850472765269</v>
      </c>
      <c r="AH382" s="233">
        <f t="shared" si="123"/>
        <v>996.42995833333339</v>
      </c>
      <c r="AI382" s="233">
        <f t="shared" si="123"/>
        <v>26348.80875</v>
      </c>
      <c r="AJ382" s="233">
        <f t="shared" si="123"/>
        <v>775198.45365052973</v>
      </c>
      <c r="AK382" s="233">
        <f t="shared" si="123"/>
        <v>356023.68162088154</v>
      </c>
      <c r="AL382" s="233">
        <f t="shared" si="123"/>
        <v>11.768047175975006</v>
      </c>
      <c r="AM382" s="233">
        <f t="shared" si="122"/>
        <v>960.04929166666659</v>
      </c>
      <c r="AN382" s="233">
        <f t="shared" si="122"/>
        <v>26445.860833333332</v>
      </c>
      <c r="AO382" s="233">
        <f t="shared" si="122"/>
        <v>774967.82588466536</v>
      </c>
      <c r="AP382" s="233">
        <f t="shared" si="122"/>
        <v>342445.24461727584</v>
      </c>
      <c r="AQ382" s="233">
        <f t="shared" si="122"/>
        <v>11.592938671247353</v>
      </c>
      <c r="AR382">
        <v>58.290769230769229</v>
      </c>
      <c r="AS382" s="231">
        <f t="shared" si="121"/>
        <v>343.84267499999999</v>
      </c>
    </row>
    <row r="383" spans="2:45" ht="87" x14ac:dyDescent="0.35">
      <c r="B383" s="56" t="s">
        <v>94</v>
      </c>
      <c r="C383" s="361" t="s">
        <v>221</v>
      </c>
      <c r="D383" s="56">
        <v>3</v>
      </c>
      <c r="E383" s="3">
        <v>28.612499999999997</v>
      </c>
      <c r="F383" s="3">
        <v>17396.7</v>
      </c>
      <c r="G383" s="3">
        <v>497931</v>
      </c>
      <c r="H383" s="3">
        <v>114.09826048214499</v>
      </c>
      <c r="I383" s="3">
        <v>49.337260293057703</v>
      </c>
      <c r="J383" s="3">
        <f t="shared" si="115"/>
        <v>214.56970903855574</v>
      </c>
      <c r="K383" s="3">
        <v>16866.8</v>
      </c>
      <c r="L383" s="3">
        <v>501306</v>
      </c>
      <c r="M383" s="3">
        <v>114.597015979858</v>
      </c>
      <c r="N383" s="3">
        <v>47.761606431399898</v>
      </c>
      <c r="O383" s="3">
        <f t="shared" si="116"/>
        <v>212.49061178608363</v>
      </c>
      <c r="P383" s="3">
        <f t="shared" si="117"/>
        <v>148.68974358974359</v>
      </c>
      <c r="Q383" s="3">
        <f t="shared" si="118"/>
        <v>4255.8205128205127</v>
      </c>
      <c r="R383" s="3">
        <f t="shared" si="109"/>
        <v>122289.93046547848</v>
      </c>
      <c r="S383" s="3">
        <f t="shared" si="109"/>
        <v>52879.422570507995</v>
      </c>
      <c r="T383" s="3">
        <f t="shared" si="110"/>
        <v>1.833929137081673</v>
      </c>
      <c r="U383" s="3">
        <f t="shared" si="110"/>
        <v>144.16068376068375</v>
      </c>
      <c r="V383" s="3">
        <f t="shared" si="110"/>
        <v>4284.666666666667</v>
      </c>
      <c r="W383" s="3">
        <f t="shared" si="111"/>
        <v>122824.49405020678</v>
      </c>
      <c r="X383" s="3">
        <f t="shared" si="111"/>
        <v>51190.644841859372</v>
      </c>
      <c r="Y383" s="3">
        <f t="shared" si="114"/>
        <v>1.8161590750947318</v>
      </c>
      <c r="Z383" s="3">
        <f t="shared" si="124"/>
        <v>4.5290598290598325</v>
      </c>
      <c r="AA383" s="3">
        <f t="shared" si="124"/>
        <v>-28.846153846154266</v>
      </c>
      <c r="AB383" s="3">
        <f t="shared" si="119"/>
        <v>1154.2141439203333</v>
      </c>
      <c r="AC383" s="3">
        <f t="shared" si="120"/>
        <v>1.7770061986941199E-2</v>
      </c>
      <c r="AD383" s="3">
        <f t="shared" si="125"/>
        <v>129.58772435897444</v>
      </c>
      <c r="AE383" s="3">
        <f t="shared" si="125"/>
        <v>-825.36057692308884</v>
      </c>
      <c r="AF383" s="3">
        <f t="shared" si="125"/>
        <v>33024.952192920537</v>
      </c>
      <c r="AG383" s="3">
        <f t="shared" si="125"/>
        <v>0.50844589860135503</v>
      </c>
      <c r="AH383" s="233">
        <f t="shared" si="123"/>
        <v>4254.385288461538</v>
      </c>
      <c r="AI383" s="233">
        <f t="shared" si="123"/>
        <v>121769.6644230769</v>
      </c>
      <c r="AJ383" s="233">
        <f t="shared" si="123"/>
        <v>3499020.6354435026</v>
      </c>
      <c r="AK383" s="233">
        <f t="shared" si="123"/>
        <v>1513012.4782986599</v>
      </c>
      <c r="AL383" s="233">
        <f t="shared" si="123"/>
        <v>52.473297434749362</v>
      </c>
      <c r="AM383" s="233">
        <f t="shared" si="122"/>
        <v>4124.7975641025632</v>
      </c>
      <c r="AN383" s="233">
        <f t="shared" si="122"/>
        <v>122595.02499999999</v>
      </c>
      <c r="AO383" s="233">
        <f t="shared" si="122"/>
        <v>3514315.8360115411</v>
      </c>
      <c r="AP383" s="233">
        <f t="shared" si="122"/>
        <v>1464692.3255377011</v>
      </c>
      <c r="AQ383" s="233">
        <f t="shared" si="122"/>
        <v>51.964851536148011</v>
      </c>
      <c r="AR383">
        <v>58.290769230769229</v>
      </c>
      <c r="AS383" s="231">
        <f t="shared" si="121"/>
        <v>1667.8446346153844</v>
      </c>
    </row>
    <row r="384" spans="2:45" ht="87" x14ac:dyDescent="0.35">
      <c r="B384" s="56" t="s">
        <v>94</v>
      </c>
      <c r="C384" s="361" t="s">
        <v>221</v>
      </c>
      <c r="D384" s="56">
        <v>4</v>
      </c>
      <c r="E384" s="3">
        <v>14.906250000000002</v>
      </c>
      <c r="F384" s="3">
        <v>16267.1</v>
      </c>
      <c r="G384" s="3">
        <v>543260</v>
      </c>
      <c r="H384" s="3">
        <v>126.457641429961</v>
      </c>
      <c r="I384" s="3">
        <v>46.161456070924899</v>
      </c>
      <c r="J384" s="3">
        <f t="shared" si="115"/>
        <v>219.30349274072393</v>
      </c>
      <c r="K384" s="3">
        <v>15874.7</v>
      </c>
      <c r="L384" s="3">
        <v>545940</v>
      </c>
      <c r="M384" s="3">
        <v>126.49032906576301</v>
      </c>
      <c r="N384" s="3">
        <v>44.990949002696901</v>
      </c>
      <c r="O384" s="3">
        <f t="shared" si="116"/>
        <v>217.80733124530528</v>
      </c>
      <c r="P384" s="3">
        <f t="shared" si="117"/>
        <v>139.03504273504274</v>
      </c>
      <c r="Q384" s="3">
        <f t="shared" si="118"/>
        <v>4643.2478632478633</v>
      </c>
      <c r="R384" s="3">
        <f t="shared" si="109"/>
        <v>135536.6515839069</v>
      </c>
      <c r="S384" s="3">
        <f t="shared" si="109"/>
        <v>49475.611891401553</v>
      </c>
      <c r="T384" s="3">
        <f t="shared" si="110"/>
        <v>1.8743888268437943</v>
      </c>
      <c r="U384" s="3">
        <f t="shared" si="110"/>
        <v>135.68119658119659</v>
      </c>
      <c r="V384" s="3">
        <f t="shared" si="110"/>
        <v>4666.1538461538457</v>
      </c>
      <c r="W384" s="3">
        <f t="shared" si="111"/>
        <v>135571.68602433061</v>
      </c>
      <c r="X384" s="3">
        <f t="shared" si="111"/>
        <v>48221.068418275143</v>
      </c>
      <c r="Y384" s="3">
        <f t="shared" si="114"/>
        <v>1.8616011217547459</v>
      </c>
      <c r="Z384" s="3">
        <f t="shared" si="124"/>
        <v>3.353846153846149</v>
      </c>
      <c r="AA384" s="3">
        <f t="shared" si="124"/>
        <v>-22.905982905982455</v>
      </c>
      <c r="AB384" s="3">
        <f t="shared" si="119"/>
        <v>1219.5090327026992</v>
      </c>
      <c r="AC384" s="3">
        <f t="shared" si="120"/>
        <v>1.2787705089048362E-2</v>
      </c>
      <c r="AD384" s="3">
        <f t="shared" si="125"/>
        <v>49.993269230769165</v>
      </c>
      <c r="AE384" s="3">
        <f t="shared" si="125"/>
        <v>-341.44230769230103</v>
      </c>
      <c r="AF384" s="3">
        <f t="shared" si="125"/>
        <v>18178.30651872461</v>
      </c>
      <c r="AG384" s="3">
        <f t="shared" si="125"/>
        <v>0.19061672898362716</v>
      </c>
      <c r="AH384" s="233">
        <f t="shared" si="123"/>
        <v>2072.4911057692311</v>
      </c>
      <c r="AI384" s="233">
        <f t="shared" si="123"/>
        <v>69213.413461538468</v>
      </c>
      <c r="AJ384" s="233">
        <f t="shared" si="123"/>
        <v>2020343.2126726126</v>
      </c>
      <c r="AK384" s="233">
        <f t="shared" si="123"/>
        <v>737495.83975620451</v>
      </c>
      <c r="AL384" s="233">
        <f t="shared" si="123"/>
        <v>27.940108450140311</v>
      </c>
      <c r="AM384" s="233">
        <f t="shared" si="122"/>
        <v>2022.4978365384618</v>
      </c>
      <c r="AN384" s="233">
        <f t="shared" si="122"/>
        <v>69554.855769230766</v>
      </c>
      <c r="AO384" s="233">
        <f t="shared" si="122"/>
        <v>2020865.4448001785</v>
      </c>
      <c r="AP384" s="233">
        <f t="shared" si="122"/>
        <v>718795.30110991397</v>
      </c>
      <c r="AQ384" s="233">
        <f t="shared" si="122"/>
        <v>27.749491721156684</v>
      </c>
      <c r="AR384">
        <v>58.290769230769229</v>
      </c>
      <c r="AS384" s="231">
        <f t="shared" si="121"/>
        <v>868.89677884615389</v>
      </c>
    </row>
    <row r="385" spans="2:45" ht="87" x14ac:dyDescent="0.35">
      <c r="B385" s="56" t="s">
        <v>94</v>
      </c>
      <c r="C385" s="361" t="s">
        <v>221</v>
      </c>
      <c r="D385" s="56">
        <v>5</v>
      </c>
      <c r="E385" s="3">
        <v>2.6475</v>
      </c>
      <c r="F385" s="3">
        <v>17448</v>
      </c>
      <c r="G385" s="3">
        <v>503971</v>
      </c>
      <c r="H385" s="3">
        <v>111.243157275578</v>
      </c>
      <c r="I385" s="3">
        <v>49.392409384490101</v>
      </c>
      <c r="J385" s="3">
        <f t="shared" si="115"/>
        <v>216.30127164791799</v>
      </c>
      <c r="K385" s="3">
        <v>17006.7</v>
      </c>
      <c r="L385" s="3">
        <v>507717</v>
      </c>
      <c r="M385" s="3">
        <v>111.995598098062</v>
      </c>
      <c r="N385" s="3">
        <v>48.087624143729997</v>
      </c>
      <c r="O385" s="3">
        <f t="shared" si="116"/>
        <v>214.79460841894223</v>
      </c>
      <c r="P385" s="3">
        <f t="shared" si="117"/>
        <v>149.12820512820514</v>
      </c>
      <c r="Q385" s="3">
        <f t="shared" si="118"/>
        <v>4307.4444444444443</v>
      </c>
      <c r="R385" s="3">
        <f t="shared" si="109"/>
        <v>119229.84549023487</v>
      </c>
      <c r="S385" s="3">
        <f t="shared" si="109"/>
        <v>52938.531083889386</v>
      </c>
      <c r="T385" s="3">
        <f t="shared" si="110"/>
        <v>1.8487288175035725</v>
      </c>
      <c r="U385" s="3">
        <f t="shared" si="110"/>
        <v>145.35641025641027</v>
      </c>
      <c r="V385" s="3">
        <f t="shared" si="110"/>
        <v>4339.4615384615381</v>
      </c>
      <c r="W385" s="3">
        <f t="shared" si="111"/>
        <v>120036.30770510236</v>
      </c>
      <c r="X385" s="3">
        <f t="shared" si="111"/>
        <v>51540.068954049071</v>
      </c>
      <c r="Y385" s="3">
        <f t="shared" si="114"/>
        <v>1.8358513540080532</v>
      </c>
      <c r="Z385" s="3">
        <f t="shared" si="124"/>
        <v>3.7717948717948673</v>
      </c>
      <c r="AA385" s="3">
        <f t="shared" si="124"/>
        <v>-32.017094017093768</v>
      </c>
      <c r="AB385" s="3">
        <f t="shared" si="119"/>
        <v>591.99991497283918</v>
      </c>
      <c r="AC385" s="3">
        <f t="shared" si="120"/>
        <v>1.2877463495519326E-2</v>
      </c>
      <c r="AD385" s="3">
        <f t="shared" si="125"/>
        <v>9.9858269230769103</v>
      </c>
      <c r="AE385" s="3">
        <f t="shared" si="125"/>
        <v>-84.765256410255745</v>
      </c>
      <c r="AF385" s="3">
        <f t="shared" si="125"/>
        <v>1567.3197748905918</v>
      </c>
      <c r="AG385" s="3">
        <f t="shared" si="125"/>
        <v>3.4093084604387411E-2</v>
      </c>
      <c r="AH385" s="233">
        <f t="shared" si="123"/>
        <v>394.8169230769231</v>
      </c>
      <c r="AI385" s="233">
        <f t="shared" si="123"/>
        <v>11403.959166666666</v>
      </c>
      <c r="AJ385" s="233">
        <f t="shared" si="123"/>
        <v>315661.01593539683</v>
      </c>
      <c r="AK385" s="233">
        <f t="shared" si="123"/>
        <v>140154.76104459714</v>
      </c>
      <c r="AL385" s="233">
        <f t="shared" si="123"/>
        <v>4.8945095443407078</v>
      </c>
      <c r="AM385" s="233">
        <f t="shared" si="122"/>
        <v>384.8310961538462</v>
      </c>
      <c r="AN385" s="233">
        <f t="shared" si="122"/>
        <v>11488.724423076923</v>
      </c>
      <c r="AO385" s="233">
        <f t="shared" si="122"/>
        <v>317796.12464925851</v>
      </c>
      <c r="AP385" s="233">
        <f t="shared" si="122"/>
        <v>136452.33255584491</v>
      </c>
      <c r="AQ385" s="233">
        <f t="shared" si="122"/>
        <v>4.8604164597363209</v>
      </c>
      <c r="AR385">
        <v>58.290769230769229</v>
      </c>
      <c r="AS385" s="231">
        <f t="shared" si="121"/>
        <v>154.32481153846152</v>
      </c>
    </row>
    <row r="386" spans="2:45" ht="87" x14ac:dyDescent="0.35">
      <c r="B386" s="56" t="s">
        <v>94</v>
      </c>
      <c r="C386" s="361" t="s">
        <v>221</v>
      </c>
      <c r="D386" s="56">
        <v>8</v>
      </c>
      <c r="E386" s="3">
        <v>17.767499999999998</v>
      </c>
      <c r="F386" s="3">
        <v>13620.6</v>
      </c>
      <c r="G386" s="3">
        <v>582532</v>
      </c>
      <c r="H386" s="3">
        <v>130.54051669698299</v>
      </c>
      <c r="I386" s="3">
        <v>38.487977455060502</v>
      </c>
      <c r="J386" s="3">
        <f t="shared" si="115"/>
        <v>214.30762473065408</v>
      </c>
      <c r="K386" s="3">
        <v>13478.1</v>
      </c>
      <c r="L386" s="3">
        <v>585866</v>
      </c>
      <c r="M386" s="3">
        <v>130.85619944002099</v>
      </c>
      <c r="N386" s="3">
        <v>38.059952482572001</v>
      </c>
      <c r="O386" s="3">
        <f t="shared" si="116"/>
        <v>214.33171653460948</v>
      </c>
      <c r="P386" s="3">
        <f t="shared" si="117"/>
        <v>116.41538461538462</v>
      </c>
      <c r="Q386" s="3">
        <f t="shared" si="118"/>
        <v>4978.9059829059825</v>
      </c>
      <c r="R386" s="3">
        <f t="shared" si="109"/>
        <v>139912.65635727922</v>
      </c>
      <c r="S386" s="3">
        <f t="shared" si="109"/>
        <v>41251.216862090485</v>
      </c>
      <c r="T386" s="3">
        <f t="shared" si="110"/>
        <v>1.8316891002620008</v>
      </c>
      <c r="U386" s="3">
        <f t="shared" si="110"/>
        <v>115.19743589743589</v>
      </c>
      <c r="V386" s="3">
        <f t="shared" si="110"/>
        <v>5007.401709401709</v>
      </c>
      <c r="W386" s="3">
        <f t="shared" si="111"/>
        <v>140251.00350238147</v>
      </c>
      <c r="X386" s="3">
        <f t="shared" si="111"/>
        <v>40792.461891577172</v>
      </c>
      <c r="Y386" s="3">
        <f t="shared" si="114"/>
        <v>1.8318950131163203</v>
      </c>
      <c r="Z386" s="3">
        <f t="shared" si="124"/>
        <v>1.2179487179487296</v>
      </c>
      <c r="AA386" s="3">
        <f t="shared" si="124"/>
        <v>-28.495726495726558</v>
      </c>
      <c r="AB386" s="3">
        <f t="shared" si="119"/>
        <v>120.40782541106455</v>
      </c>
      <c r="AC386" s="3">
        <f t="shared" si="120"/>
        <v>-2.0591285431947881E-4</v>
      </c>
      <c r="AD386" s="3">
        <f t="shared" si="125"/>
        <v>21.639903846154052</v>
      </c>
      <c r="AE386" s="3">
        <f t="shared" si="125"/>
        <v>-506.29782051282154</v>
      </c>
      <c r="AF386" s="3">
        <f t="shared" si="125"/>
        <v>2139.3460379910894</v>
      </c>
      <c r="AG386" s="3">
        <f t="shared" si="125"/>
        <v>-3.6585566391213395E-3</v>
      </c>
      <c r="AH386" s="233">
        <f t="shared" si="123"/>
        <v>2068.4103461538461</v>
      </c>
      <c r="AI386" s="233">
        <f t="shared" si="123"/>
        <v>88462.71205128204</v>
      </c>
      <c r="AJ386" s="233">
        <f t="shared" si="123"/>
        <v>2485898.1218279582</v>
      </c>
      <c r="AK386" s="233">
        <f t="shared" si="123"/>
        <v>732930.99559719267</v>
      </c>
      <c r="AL386" s="233">
        <f t="shared" si="123"/>
        <v>32.544536088905097</v>
      </c>
      <c r="AM386" s="233">
        <f t="shared" si="122"/>
        <v>2046.7704423076921</v>
      </c>
      <c r="AN386" s="233">
        <f t="shared" si="122"/>
        <v>88969.009871794857</v>
      </c>
      <c r="AO386" s="233">
        <f t="shared" si="122"/>
        <v>2491909.7047285624</v>
      </c>
      <c r="AP386" s="233">
        <f t="shared" si="122"/>
        <v>724780.06665859732</v>
      </c>
      <c r="AQ386" s="233">
        <f t="shared" si="122"/>
        <v>32.548194645544221</v>
      </c>
      <c r="AR386">
        <v>58.290769230769229</v>
      </c>
      <c r="AS386" s="231">
        <f t="shared" si="121"/>
        <v>1035.6812423076922</v>
      </c>
    </row>
    <row r="387" spans="2:45" ht="87" x14ac:dyDescent="0.35">
      <c r="B387" s="56" t="s">
        <v>94</v>
      </c>
      <c r="C387" s="361" t="s">
        <v>221</v>
      </c>
      <c r="D387" s="56">
        <v>9</v>
      </c>
      <c r="E387" s="3">
        <v>41.715000000000003</v>
      </c>
      <c r="F387" s="3">
        <v>14217.5</v>
      </c>
      <c r="G387" s="3">
        <v>582537</v>
      </c>
      <c r="H387" s="3">
        <v>132.322310004473</v>
      </c>
      <c r="I387" s="3">
        <v>40.2589028077346</v>
      </c>
      <c r="J387" s="3">
        <f t="shared" si="115"/>
        <v>217.56457188514923</v>
      </c>
      <c r="K387" s="3">
        <v>13996.4</v>
      </c>
      <c r="L387" s="3">
        <v>585371</v>
      </c>
      <c r="M387" s="3">
        <v>132.44205717457501</v>
      </c>
      <c r="N387" s="3">
        <v>39.595804711760202</v>
      </c>
      <c r="O387" s="3">
        <f t="shared" si="116"/>
        <v>217.03976796688744</v>
      </c>
      <c r="P387" s="3">
        <f t="shared" si="117"/>
        <v>121.51709401709402</v>
      </c>
      <c r="Q387" s="3">
        <f t="shared" si="118"/>
        <v>4978.9487179487178</v>
      </c>
      <c r="R387" s="3">
        <f t="shared" ref="R387:S450" si="126">H387/VLOOKUP($B387,$N$131:$P$134, 3, FALSE)*VLOOKUP($B387,$N$131:$P$134, 2, FALSE)</f>
        <v>141822.37328684542</v>
      </c>
      <c r="S387" s="3">
        <f t="shared" si="126"/>
        <v>43149.285573418114</v>
      </c>
      <c r="T387" s="3">
        <f t="shared" ref="T387:V450" si="127">J387/VLOOKUP($B387,$N$131:$P$134, 3, FALSE)</f>
        <v>1.859526255428626</v>
      </c>
      <c r="U387" s="3">
        <f t="shared" si="127"/>
        <v>119.62735042735042</v>
      </c>
      <c r="V387" s="3">
        <f t="shared" si="127"/>
        <v>5003.1709401709404</v>
      </c>
      <c r="W387" s="3">
        <f t="shared" ref="W387:X450" si="128">M387/VLOOKUP($B387,$N$131:$P$134, 3, FALSE)*VLOOKUP($B387,$N$131:$P$134, 2, FALSE)</f>
        <v>141950.71768967272</v>
      </c>
      <c r="X387" s="3">
        <f t="shared" si="128"/>
        <v>42438.580434655807</v>
      </c>
      <c r="Y387" s="3">
        <f t="shared" si="114"/>
        <v>1.8550407518537388</v>
      </c>
      <c r="Z387" s="3">
        <f t="shared" si="124"/>
        <v>1.8897435897436026</v>
      </c>
      <c r="AA387" s="3">
        <f t="shared" si="124"/>
        <v>-24.222222222222626</v>
      </c>
      <c r="AB387" s="3">
        <f t="shared" si="119"/>
        <v>582.36073593500623</v>
      </c>
      <c r="AC387" s="3">
        <f t="shared" si="120"/>
        <v>4.4855035748871952E-3</v>
      </c>
      <c r="AD387" s="3">
        <f t="shared" si="125"/>
        <v>78.830653846154391</v>
      </c>
      <c r="AE387" s="3">
        <f t="shared" si="125"/>
        <v>-1010.4300000000169</v>
      </c>
      <c r="AF387" s="3">
        <f t="shared" si="125"/>
        <v>24293.178099528788</v>
      </c>
      <c r="AG387" s="3">
        <f t="shared" si="125"/>
        <v>0.18711278162641937</v>
      </c>
      <c r="AH387" s="233">
        <f t="shared" si="123"/>
        <v>5069.0855769230775</v>
      </c>
      <c r="AI387" s="233">
        <f t="shared" si="123"/>
        <v>207696.84576923077</v>
      </c>
      <c r="AJ387" s="233">
        <f t="shared" si="123"/>
        <v>5916120.3016607575</v>
      </c>
      <c r="AK387" s="233">
        <f t="shared" si="123"/>
        <v>1799972.4476951368</v>
      </c>
      <c r="AL387" s="233">
        <f t="shared" si="123"/>
        <v>77.570137745205145</v>
      </c>
      <c r="AM387" s="233">
        <f t="shared" si="122"/>
        <v>4990.2549230769237</v>
      </c>
      <c r="AN387" s="233">
        <f t="shared" si="122"/>
        <v>208707.27576923079</v>
      </c>
      <c r="AO387" s="233">
        <f t="shared" si="122"/>
        <v>5921474.1884246981</v>
      </c>
      <c r="AP387" s="233">
        <f t="shared" si="122"/>
        <v>1770325.3828316671</v>
      </c>
      <c r="AQ387" s="233">
        <f t="shared" si="122"/>
        <v>77.38302496357872</v>
      </c>
      <c r="AR387">
        <v>58.290769230769229</v>
      </c>
      <c r="AS387" s="231">
        <f t="shared" si="121"/>
        <v>2431.5994384615387</v>
      </c>
    </row>
    <row r="388" spans="2:45" ht="87" x14ac:dyDescent="0.35">
      <c r="B388" s="56" t="s">
        <v>94</v>
      </c>
      <c r="C388" s="361" t="s">
        <v>221</v>
      </c>
      <c r="D388" s="56">
        <v>10</v>
      </c>
      <c r="E388" s="3">
        <v>14.737500000000002</v>
      </c>
      <c r="F388" s="3">
        <v>13854.2</v>
      </c>
      <c r="G388" s="3">
        <v>594482</v>
      </c>
      <c r="H388" s="3">
        <v>133.05212183927901</v>
      </c>
      <c r="I388" s="3">
        <v>39.421551185420803</v>
      </c>
      <c r="J388" s="3">
        <f t="shared" si="115"/>
        <v>218.45403313544409</v>
      </c>
      <c r="K388" s="3">
        <v>13565.3</v>
      </c>
      <c r="L388" s="3">
        <v>596189</v>
      </c>
      <c r="M388" s="3">
        <v>133.00578405591401</v>
      </c>
      <c r="N388" s="3">
        <v>38.554408759979403</v>
      </c>
      <c r="O388" s="3">
        <f t="shared" si="116"/>
        <v>217.28853801034199</v>
      </c>
      <c r="P388" s="3">
        <f t="shared" si="117"/>
        <v>118.41196581196581</v>
      </c>
      <c r="Q388" s="3">
        <f t="shared" si="118"/>
        <v>5081.0427350427353</v>
      </c>
      <c r="R388" s="3">
        <f t="shared" si="126"/>
        <v>142604.58186876573</v>
      </c>
      <c r="S388" s="3">
        <f t="shared" si="126"/>
        <v>42251.816398733063</v>
      </c>
      <c r="T388" s="3">
        <f t="shared" si="127"/>
        <v>1.8671284883371291</v>
      </c>
      <c r="U388" s="3">
        <f t="shared" si="127"/>
        <v>115.94273504273504</v>
      </c>
      <c r="V388" s="3">
        <f t="shared" si="127"/>
        <v>5095.6324786324785</v>
      </c>
      <c r="W388" s="3">
        <f t="shared" si="128"/>
        <v>142554.91727018476</v>
      </c>
      <c r="X388" s="3">
        <f t="shared" si="128"/>
        <v>41322.417594029212</v>
      </c>
      <c r="Y388" s="3">
        <f t="shared" si="114"/>
        <v>1.8571669915413846</v>
      </c>
      <c r="Z388" s="3">
        <f t="shared" si="124"/>
        <v>2.4692307692307764</v>
      </c>
      <c r="AA388" s="3">
        <f t="shared" si="124"/>
        <v>-14.589743589743193</v>
      </c>
      <c r="AB388" s="3">
        <f t="shared" si="119"/>
        <v>979.06340328482474</v>
      </c>
      <c r="AC388" s="3">
        <f t="shared" si="120"/>
        <v>9.9614967957444289E-3</v>
      </c>
      <c r="AD388" s="3">
        <f t="shared" si="125"/>
        <v>36.390288461538574</v>
      </c>
      <c r="AE388" s="3">
        <f t="shared" si="125"/>
        <v>-215.01634615384035</v>
      </c>
      <c r="AF388" s="3">
        <f t="shared" si="125"/>
        <v>14428.946905910107</v>
      </c>
      <c r="AG388" s="3">
        <f t="shared" si="125"/>
        <v>0.14680755902728354</v>
      </c>
      <c r="AH388" s="233">
        <f t="shared" si="123"/>
        <v>1745.0963461538465</v>
      </c>
      <c r="AI388" s="233">
        <f t="shared" si="123"/>
        <v>74881.86730769233</v>
      </c>
      <c r="AJ388" s="233">
        <f t="shared" si="123"/>
        <v>2101635.0252909353</v>
      </c>
      <c r="AK388" s="233">
        <f t="shared" si="123"/>
        <v>622686.14417632867</v>
      </c>
      <c r="AL388" s="233">
        <f t="shared" si="123"/>
        <v>27.516806096868443</v>
      </c>
      <c r="AM388" s="233">
        <f t="shared" si="122"/>
        <v>1708.7060576923079</v>
      </c>
      <c r="AN388" s="233">
        <f t="shared" si="122"/>
        <v>75096.883653846162</v>
      </c>
      <c r="AO388" s="233">
        <f t="shared" si="122"/>
        <v>2100903.0932693481</v>
      </c>
      <c r="AP388" s="233">
        <f t="shared" si="122"/>
        <v>608989.12929200556</v>
      </c>
      <c r="AQ388" s="233">
        <f t="shared" si="122"/>
        <v>27.369998537841163</v>
      </c>
      <c r="AR388">
        <v>58.290769230769229</v>
      </c>
      <c r="AS388" s="231">
        <f t="shared" si="121"/>
        <v>859.06021153846166</v>
      </c>
    </row>
    <row r="389" spans="2:45" ht="87" x14ac:dyDescent="0.35">
      <c r="B389" s="56" t="s">
        <v>94</v>
      </c>
      <c r="C389" s="361" t="s">
        <v>221</v>
      </c>
      <c r="D389" s="56">
        <v>11</v>
      </c>
      <c r="E389" s="3">
        <v>4.2074999999999996</v>
      </c>
      <c r="F389" s="3">
        <v>17847</v>
      </c>
      <c r="G389" s="3">
        <v>597291</v>
      </c>
      <c r="H389" s="3">
        <v>139.90734842231601</v>
      </c>
      <c r="I389" s="3">
        <v>51.2784423126853</v>
      </c>
      <c r="J389" s="3">
        <f t="shared" si="115"/>
        <v>240.90761541005173</v>
      </c>
      <c r="K389" s="3">
        <v>17015.599999999999</v>
      </c>
      <c r="L389" s="3">
        <v>595952</v>
      </c>
      <c r="M389" s="3">
        <v>138.946300634989</v>
      </c>
      <c r="N389" s="3">
        <v>48.793774604767201</v>
      </c>
      <c r="O389" s="3">
        <f t="shared" si="116"/>
        <v>236.05097094765489</v>
      </c>
      <c r="P389" s="3">
        <f t="shared" si="117"/>
        <v>152.53846153846155</v>
      </c>
      <c r="Q389" s="3">
        <f t="shared" si="118"/>
        <v>5105.0512820512822</v>
      </c>
      <c r="R389" s="3">
        <f t="shared" si="126"/>
        <v>149951.97856545664</v>
      </c>
      <c r="S389" s="3">
        <f t="shared" si="126"/>
        <v>54959.971504365276</v>
      </c>
      <c r="T389" s="3">
        <f t="shared" si="127"/>
        <v>2.0590394479491603</v>
      </c>
      <c r="U389" s="3">
        <f t="shared" si="127"/>
        <v>145.43247863247862</v>
      </c>
      <c r="V389" s="3">
        <f t="shared" si="127"/>
        <v>5093.6068376068379</v>
      </c>
      <c r="W389" s="3">
        <f t="shared" si="128"/>
        <v>148921.93247544975</v>
      </c>
      <c r="X389" s="3">
        <f t="shared" si="128"/>
        <v>52296.917396904333</v>
      </c>
      <c r="Y389" s="3">
        <f t="shared" si="114"/>
        <v>2.0175296662192728</v>
      </c>
      <c r="Z389" s="3">
        <f t="shared" si="124"/>
        <v>7.1059829059829269</v>
      </c>
      <c r="AA389" s="3">
        <f t="shared" si="124"/>
        <v>11.444444444444343</v>
      </c>
      <c r="AB389" s="3">
        <f t="shared" si="119"/>
        <v>3693.100197467822</v>
      </c>
      <c r="AC389" s="3">
        <f t="shared" si="120"/>
        <v>4.1509781729887507E-2</v>
      </c>
      <c r="AD389" s="3">
        <f t="shared" si="125"/>
        <v>29.898423076923162</v>
      </c>
      <c r="AE389" s="3">
        <f t="shared" si="125"/>
        <v>48.15249999999957</v>
      </c>
      <c r="AF389" s="3">
        <f t="shared" si="125"/>
        <v>15538.71908084586</v>
      </c>
      <c r="AG389" s="3">
        <f t="shared" si="125"/>
        <v>0.17465240662850168</v>
      </c>
      <c r="AH389" s="233">
        <f t="shared" si="123"/>
        <v>641.80557692307684</v>
      </c>
      <c r="AI389" s="233">
        <f t="shared" si="123"/>
        <v>21479.503269230769</v>
      </c>
      <c r="AJ389" s="233">
        <f t="shared" si="123"/>
        <v>630922.94981415872</v>
      </c>
      <c r="AK389" s="233">
        <f t="shared" si="123"/>
        <v>231244.08010461688</v>
      </c>
      <c r="AL389" s="233">
        <f t="shared" si="123"/>
        <v>8.6634084772460902</v>
      </c>
      <c r="AM389" s="233">
        <f t="shared" si="122"/>
        <v>611.90715384615373</v>
      </c>
      <c r="AN389" s="233">
        <f t="shared" si="122"/>
        <v>21431.350769230768</v>
      </c>
      <c r="AO389" s="233">
        <f t="shared" si="122"/>
        <v>626589.03089045477</v>
      </c>
      <c r="AP389" s="233">
        <f t="shared" si="122"/>
        <v>220039.27994747495</v>
      </c>
      <c r="AQ389" s="233">
        <f t="shared" si="122"/>
        <v>8.4887560706175886</v>
      </c>
      <c r="AR389">
        <v>58.290769230769229</v>
      </c>
      <c r="AS389" s="231">
        <f t="shared" si="121"/>
        <v>245.2584115384615</v>
      </c>
    </row>
    <row r="390" spans="2:45" ht="87" x14ac:dyDescent="0.35">
      <c r="B390" s="56" t="s">
        <v>94</v>
      </c>
      <c r="C390" s="361" t="s">
        <v>221</v>
      </c>
      <c r="D390" s="56">
        <v>12</v>
      </c>
      <c r="E390" s="3">
        <v>23.756250000000001</v>
      </c>
      <c r="F390" s="3">
        <v>17238.5</v>
      </c>
      <c r="G390" s="3">
        <v>561818</v>
      </c>
      <c r="H390" s="3">
        <v>131.52019410458499</v>
      </c>
      <c r="I390" s="3">
        <v>49.334821735071898</v>
      </c>
      <c r="J390" s="3">
        <f t="shared" si="115"/>
        <v>229.06244772248934</v>
      </c>
      <c r="K390" s="3">
        <v>16574.7</v>
      </c>
      <c r="L390" s="3">
        <v>562964</v>
      </c>
      <c r="M390" s="3">
        <v>131.17979431689099</v>
      </c>
      <c r="N390" s="3">
        <v>47.351332265654399</v>
      </c>
      <c r="O390" s="3">
        <f t="shared" si="116"/>
        <v>225.71724947809125</v>
      </c>
      <c r="P390" s="3">
        <f t="shared" si="117"/>
        <v>147.33760683760684</v>
      </c>
      <c r="Q390" s="3">
        <f t="shared" si="118"/>
        <v>4801.863247863248</v>
      </c>
      <c r="R390" s="3">
        <f t="shared" si="126"/>
        <v>140962.66957876031</v>
      </c>
      <c r="S390" s="3">
        <f t="shared" si="126"/>
        <v>52876.808936564245</v>
      </c>
      <c r="T390" s="3">
        <f t="shared" si="127"/>
        <v>1.9577986984828148</v>
      </c>
      <c r="U390" s="3">
        <f t="shared" si="127"/>
        <v>141.66410256410256</v>
      </c>
      <c r="V390" s="3">
        <f t="shared" si="127"/>
        <v>4811.6581196581201</v>
      </c>
      <c r="W390" s="3">
        <f t="shared" si="128"/>
        <v>140597.83083194983</v>
      </c>
      <c r="X390" s="3">
        <f t="shared" si="128"/>
        <v>50750.915094983437</v>
      </c>
      <c r="Y390" s="3">
        <f t="shared" si="114"/>
        <v>1.9292072604965065</v>
      </c>
      <c r="Z390" s="3">
        <f t="shared" si="124"/>
        <v>5.6735042735042782</v>
      </c>
      <c r="AA390" s="3">
        <f t="shared" si="124"/>
        <v>-9.7948717948720514</v>
      </c>
      <c r="AB390" s="3">
        <f t="shared" si="119"/>
        <v>2490.7325883912927</v>
      </c>
      <c r="AC390" s="3">
        <f t="shared" si="120"/>
        <v>2.8591437986308366E-2</v>
      </c>
      <c r="AD390" s="3">
        <f t="shared" si="125"/>
        <v>134.78118589743602</v>
      </c>
      <c r="AE390" s="3">
        <f t="shared" si="125"/>
        <v>-232.68942307692919</v>
      </c>
      <c r="AF390" s="3">
        <f t="shared" si="125"/>
        <v>59170.466052970653</v>
      </c>
      <c r="AG390" s="3">
        <f t="shared" si="125"/>
        <v>0.67922534866223816</v>
      </c>
      <c r="AH390" s="233">
        <f t="shared" si="123"/>
        <v>3500.1890224358976</v>
      </c>
      <c r="AI390" s="233">
        <f t="shared" si="123"/>
        <v>114074.26378205129</v>
      </c>
      <c r="AJ390" s="233">
        <f t="shared" si="123"/>
        <v>3348744.4191804249</v>
      </c>
      <c r="AK390" s="233">
        <f t="shared" si="123"/>
        <v>1256154.6922992545</v>
      </c>
      <c r="AL390" s="233">
        <f t="shared" si="123"/>
        <v>46.509955330832376</v>
      </c>
      <c r="AM390" s="233">
        <f t="shared" si="122"/>
        <v>3365.4078365384617</v>
      </c>
      <c r="AN390" s="233">
        <f t="shared" si="122"/>
        <v>114306.95320512821</v>
      </c>
      <c r="AO390" s="233">
        <f t="shared" si="122"/>
        <v>3340077.2187015084</v>
      </c>
      <c r="AP390" s="233">
        <f t="shared" si="122"/>
        <v>1205651.4267252004</v>
      </c>
      <c r="AQ390" s="233">
        <f t="shared" si="122"/>
        <v>45.830729982170133</v>
      </c>
      <c r="AR390">
        <v>58.290769230769229</v>
      </c>
      <c r="AS390" s="231">
        <f t="shared" si="121"/>
        <v>1384.7700865384616</v>
      </c>
    </row>
    <row r="391" spans="2:45" ht="87" x14ac:dyDescent="0.35">
      <c r="B391" s="56" t="s">
        <v>94</v>
      </c>
      <c r="C391" s="361" t="s">
        <v>221</v>
      </c>
      <c r="D391" s="56">
        <v>13</v>
      </c>
      <c r="E391" s="3">
        <v>6.9337499999999999</v>
      </c>
      <c r="F391" s="3">
        <v>15909.6</v>
      </c>
      <c r="G391" s="3">
        <v>617101</v>
      </c>
      <c r="H391" s="3">
        <v>145.01705466575899</v>
      </c>
      <c r="I391" s="3">
        <v>45.559657235205997</v>
      </c>
      <c r="J391" s="3">
        <f t="shared" si="115"/>
        <v>235.10166918270889</v>
      </c>
      <c r="K391" s="3">
        <v>15352.2</v>
      </c>
      <c r="L391" s="3">
        <v>615914</v>
      </c>
      <c r="M391" s="3">
        <v>144.05286206371699</v>
      </c>
      <c r="N391" s="3">
        <v>43.891146835909197</v>
      </c>
      <c r="O391" s="3">
        <f t="shared" si="116"/>
        <v>231.77607087653089</v>
      </c>
      <c r="P391" s="3">
        <f t="shared" si="117"/>
        <v>135.97948717948719</v>
      </c>
      <c r="Q391" s="3">
        <f t="shared" si="118"/>
        <v>5274.3675213675215</v>
      </c>
      <c r="R391" s="3">
        <f t="shared" si="126"/>
        <v>155428.53551355709</v>
      </c>
      <c r="S391" s="3">
        <f t="shared" si="126"/>
        <v>48830.606985425919</v>
      </c>
      <c r="T391" s="3">
        <f t="shared" si="127"/>
        <v>2.009415975920589</v>
      </c>
      <c r="U391" s="3">
        <f t="shared" si="127"/>
        <v>131.21538461538461</v>
      </c>
      <c r="V391" s="3">
        <f t="shared" si="127"/>
        <v>5264.2222222222226</v>
      </c>
      <c r="W391" s="3">
        <f t="shared" si="128"/>
        <v>154395.11882726592</v>
      </c>
      <c r="X391" s="3">
        <f t="shared" si="128"/>
        <v>47042.306095923188</v>
      </c>
      <c r="Y391" s="3">
        <f t="shared" si="114"/>
        <v>1.9809920587737684</v>
      </c>
      <c r="Z391" s="3">
        <f t="shared" si="124"/>
        <v>4.7641025641025863</v>
      </c>
      <c r="AA391" s="3">
        <f t="shared" si="124"/>
        <v>10.14529914529885</v>
      </c>
      <c r="AB391" s="3">
        <f t="shared" si="119"/>
        <v>2821.717575793904</v>
      </c>
      <c r="AC391" s="3">
        <f t="shared" si="120"/>
        <v>2.8423917146820576E-2</v>
      </c>
      <c r="AD391" s="3">
        <f t="shared" si="125"/>
        <v>33.033096153846309</v>
      </c>
      <c r="AE391" s="3">
        <f t="shared" si="125"/>
        <v>70.344967948715905</v>
      </c>
      <c r="AF391" s="3">
        <f t="shared" si="125"/>
        <v>19565.084241160981</v>
      </c>
      <c r="AG391" s="3">
        <f t="shared" si="125"/>
        <v>0.19708433551676716</v>
      </c>
      <c r="AH391" s="233">
        <f t="shared" si="123"/>
        <v>942.84776923076936</v>
      </c>
      <c r="AI391" s="233">
        <f t="shared" si="123"/>
        <v>36571.145801282051</v>
      </c>
      <c r="AJ391" s="233">
        <f t="shared" si="123"/>
        <v>1077702.6081171264</v>
      </c>
      <c r="AK391" s="233">
        <f t="shared" si="123"/>
        <v>338579.22118519695</v>
      </c>
      <c r="AL391" s="233">
        <f t="shared" si="123"/>
        <v>13.932788023039384</v>
      </c>
      <c r="AM391" s="233">
        <f t="shared" si="122"/>
        <v>909.81467307692299</v>
      </c>
      <c r="AN391" s="233">
        <f t="shared" si="122"/>
        <v>36500.800833333335</v>
      </c>
      <c r="AO391" s="233">
        <f t="shared" si="122"/>
        <v>1070537.155168555</v>
      </c>
      <c r="AP391" s="233">
        <f t="shared" si="122"/>
        <v>326179.58989260742</v>
      </c>
      <c r="AQ391" s="233">
        <f t="shared" si="122"/>
        <v>13.735703687522616</v>
      </c>
      <c r="AR391">
        <v>58.290769230769229</v>
      </c>
      <c r="AS391" s="231">
        <f t="shared" si="121"/>
        <v>404.17362115384611</v>
      </c>
    </row>
    <row r="392" spans="2:45" ht="87" x14ac:dyDescent="0.35">
      <c r="B392" s="56" t="s">
        <v>94</v>
      </c>
      <c r="C392" s="361" t="s">
        <v>221</v>
      </c>
      <c r="D392" s="56">
        <v>14</v>
      </c>
      <c r="E392" s="3">
        <v>3.1500000000000004</v>
      </c>
      <c r="F392" s="3">
        <v>17185.900000000001</v>
      </c>
      <c r="G392" s="3">
        <v>599590</v>
      </c>
      <c r="H392" s="3">
        <v>136.69788874746999</v>
      </c>
      <c r="I392" s="3">
        <v>49.3689747994271</v>
      </c>
      <c r="J392" s="3">
        <f t="shared" si="115"/>
        <v>237.8542746619795</v>
      </c>
      <c r="K392" s="3">
        <v>16515.3</v>
      </c>
      <c r="L392" s="3">
        <v>599437</v>
      </c>
      <c r="M392" s="3">
        <v>136.02901755857999</v>
      </c>
      <c r="N392" s="3">
        <v>47.362070584749503</v>
      </c>
      <c r="O392" s="3">
        <f t="shared" si="116"/>
        <v>234.15976379824005</v>
      </c>
      <c r="P392" s="3">
        <f t="shared" si="117"/>
        <v>146.8880341880342</v>
      </c>
      <c r="Q392" s="3">
        <f t="shared" si="118"/>
        <v>5124.7008547008545</v>
      </c>
      <c r="R392" s="3">
        <f t="shared" si="126"/>
        <v>146512.09614472423</v>
      </c>
      <c r="S392" s="3">
        <f t="shared" si="126"/>
        <v>52913.414015796225</v>
      </c>
      <c r="T392" s="3">
        <f t="shared" si="127"/>
        <v>2.0329425184784573</v>
      </c>
      <c r="U392" s="3">
        <f t="shared" si="127"/>
        <v>141.15641025641025</v>
      </c>
      <c r="V392" s="3">
        <f t="shared" si="127"/>
        <v>5123.3931623931621</v>
      </c>
      <c r="W392" s="3">
        <f t="shared" si="128"/>
        <v>145795.20343458062</v>
      </c>
      <c r="X392" s="3">
        <f t="shared" si="128"/>
        <v>50762.424370321263</v>
      </c>
      <c r="Y392" s="3">
        <f t="shared" si="114"/>
        <v>2.0013655025490604</v>
      </c>
      <c r="Z392" s="3">
        <f t="shared" si="124"/>
        <v>5.7316239316239432</v>
      </c>
      <c r="AA392" s="3">
        <f t="shared" si="124"/>
        <v>1.3076923076923777</v>
      </c>
      <c r="AB392" s="3">
        <f t="shared" si="119"/>
        <v>2867.8823556185598</v>
      </c>
      <c r="AC392" s="3">
        <f t="shared" si="120"/>
        <v>3.1577015929396879E-2</v>
      </c>
      <c r="AD392" s="3">
        <f t="shared" si="125"/>
        <v>18.054615384615424</v>
      </c>
      <c r="AE392" s="3">
        <f t="shared" si="125"/>
        <v>4.11923076923099</v>
      </c>
      <c r="AF392" s="3">
        <f t="shared" si="125"/>
        <v>9033.8294201984645</v>
      </c>
      <c r="AG392" s="3">
        <f t="shared" si="125"/>
        <v>9.9467600177600174E-2</v>
      </c>
      <c r="AH392" s="233">
        <f t="shared" si="123"/>
        <v>462.69730769230779</v>
      </c>
      <c r="AI392" s="233">
        <f t="shared" si="123"/>
        <v>16142.807692307693</v>
      </c>
      <c r="AJ392" s="233">
        <f t="shared" si="123"/>
        <v>461513.10285588139</v>
      </c>
      <c r="AK392" s="233">
        <f t="shared" si="123"/>
        <v>166677.25414975814</v>
      </c>
      <c r="AL392" s="233">
        <f t="shared" si="123"/>
        <v>6.4037689332071412</v>
      </c>
      <c r="AM392" s="233">
        <f t="shared" si="122"/>
        <v>444.64269230769236</v>
      </c>
      <c r="AN392" s="233">
        <f t="shared" si="122"/>
        <v>16138.688461538462</v>
      </c>
      <c r="AO392" s="233">
        <f t="shared" si="122"/>
        <v>459254.89081892901</v>
      </c>
      <c r="AP392" s="233">
        <f t="shared" si="122"/>
        <v>159901.63676651201</v>
      </c>
      <c r="AQ392" s="233">
        <f t="shared" si="122"/>
        <v>6.3043013330295414</v>
      </c>
      <c r="AR392">
        <v>58.290769230769229</v>
      </c>
      <c r="AS392" s="231">
        <f t="shared" si="121"/>
        <v>183.61592307692308</v>
      </c>
    </row>
    <row r="393" spans="2:45" ht="87.5" thickBot="1" x14ac:dyDescent="0.4">
      <c r="B393" s="56" t="s">
        <v>94</v>
      </c>
      <c r="C393" s="361" t="s">
        <v>221</v>
      </c>
      <c r="D393" s="56">
        <v>15</v>
      </c>
      <c r="E393" s="3">
        <v>2.05125</v>
      </c>
      <c r="F393" s="3">
        <v>10748.5</v>
      </c>
      <c r="G393" s="3">
        <v>730150</v>
      </c>
      <c r="H393" s="3">
        <v>163.92874174806499</v>
      </c>
      <c r="I393" s="3">
        <v>30.455281933407498</v>
      </c>
      <c r="J393" s="3">
        <f t="shared" si="115"/>
        <v>234.12285794112313</v>
      </c>
      <c r="K393" s="3">
        <v>10655</v>
      </c>
      <c r="L393" s="3">
        <v>725783</v>
      </c>
      <c r="M393" s="3">
        <v>162.34381092574199</v>
      </c>
      <c r="N393" s="3">
        <v>30.1732714242513</v>
      </c>
      <c r="O393" s="3">
        <f t="shared" si="116"/>
        <v>232.56323437222173</v>
      </c>
      <c r="P393" s="3">
        <f t="shared" si="117"/>
        <v>91.867521367521363</v>
      </c>
      <c r="Q393" s="3">
        <f t="shared" si="118"/>
        <v>6240.598290598291</v>
      </c>
      <c r="R393" s="3">
        <f t="shared" si="126"/>
        <v>175697.98474536196</v>
      </c>
      <c r="S393" s="3">
        <f t="shared" si="126"/>
        <v>32641.814995293164</v>
      </c>
      <c r="T393" s="3">
        <f t="shared" si="127"/>
        <v>2.0010500678728471</v>
      </c>
      <c r="U393" s="3">
        <f t="shared" si="127"/>
        <v>91.068376068376068</v>
      </c>
      <c r="V393" s="3">
        <f t="shared" si="127"/>
        <v>6203.2735042735039</v>
      </c>
      <c r="W393" s="3">
        <f t="shared" si="128"/>
        <v>173999.26401784655</v>
      </c>
      <c r="X393" s="3">
        <f t="shared" si="128"/>
        <v>32339.557577787291</v>
      </c>
      <c r="Y393" s="3">
        <f t="shared" si="114"/>
        <v>1.9877199518993309</v>
      </c>
      <c r="Z393" s="3">
        <f t="shared" si="124"/>
        <v>0.79914529914529453</v>
      </c>
      <c r="AA393" s="3">
        <f t="shared" si="124"/>
        <v>37.324786324787055</v>
      </c>
      <c r="AB393" s="3">
        <f t="shared" si="119"/>
        <v>2000.9781450212722</v>
      </c>
      <c r="AC393" s="3">
        <f t="shared" si="120"/>
        <v>1.3330115973516188E-2</v>
      </c>
      <c r="AD393" s="3">
        <f t="shared" si="125"/>
        <v>1.6392467948717855</v>
      </c>
      <c r="AE393" s="3">
        <f t="shared" si="125"/>
        <v>76.562467948719444</v>
      </c>
      <c r="AF393" s="3">
        <f t="shared" si="125"/>
        <v>4104.5064199748849</v>
      </c>
      <c r="AG393" s="3">
        <f t="shared" si="125"/>
        <v>2.7343400390675079E-2</v>
      </c>
      <c r="AH393" s="233">
        <f t="shared" si="123"/>
        <v>188.4432532051282</v>
      </c>
      <c r="AI393" s="233">
        <f t="shared" si="123"/>
        <v>12801.027243589744</v>
      </c>
      <c r="AJ393" s="233">
        <f t="shared" si="123"/>
        <v>360400.49120892375</v>
      </c>
      <c r="AK393" s="233">
        <f t="shared" si="123"/>
        <v>66956.523009095108</v>
      </c>
      <c r="AL393" s="233">
        <f t="shared" si="123"/>
        <v>4.1046539517241776</v>
      </c>
      <c r="AM393" s="233">
        <f t="shared" si="122"/>
        <v>186.80400641025642</v>
      </c>
      <c r="AN393" s="233">
        <f t="shared" si="122"/>
        <v>12724.464775641025</v>
      </c>
      <c r="AO393" s="233">
        <f t="shared" si="122"/>
        <v>356915.99031660776</v>
      </c>
      <c r="AP393" s="233">
        <f t="shared" si="122"/>
        <v>66336.517481436182</v>
      </c>
      <c r="AQ393" s="233">
        <f t="shared" si="122"/>
        <v>4.0773105513335022</v>
      </c>
      <c r="AR393">
        <v>58.290769230769229</v>
      </c>
      <c r="AS393" s="231">
        <f t="shared" si="121"/>
        <v>119.56894038461539</v>
      </c>
    </row>
    <row r="394" spans="2:45" ht="87" x14ac:dyDescent="0.35">
      <c r="B394" s="56" t="s">
        <v>94</v>
      </c>
      <c r="C394" s="361" t="s">
        <v>221</v>
      </c>
      <c r="D394" s="56">
        <v>16</v>
      </c>
      <c r="E394" s="3">
        <v>1.2712500000000002</v>
      </c>
      <c r="F394" s="3">
        <v>26749.200000000001</v>
      </c>
      <c r="G394" s="3">
        <v>525858</v>
      </c>
      <c r="H394" s="3">
        <v>114.36096864765</v>
      </c>
      <c r="I394" s="3">
        <v>76.888637075749799</v>
      </c>
      <c r="J394" s="3">
        <f t="shared" si="115"/>
        <v>272.29462868747163</v>
      </c>
      <c r="K394" s="3">
        <v>25005.1</v>
      </c>
      <c r="L394" s="3">
        <v>527164</v>
      </c>
      <c r="M394" s="3">
        <v>114.41683397496401</v>
      </c>
      <c r="N394" s="3">
        <v>71.781542422459907</v>
      </c>
      <c r="O394" s="3">
        <f t="shared" si="116"/>
        <v>263.09547373137985</v>
      </c>
      <c r="P394" s="3">
        <f t="shared" si="117"/>
        <v>228.62564102564104</v>
      </c>
      <c r="Q394" s="3">
        <f t="shared" si="118"/>
        <v>4494.5128205128203</v>
      </c>
      <c r="R394" s="3">
        <f t="shared" si="126"/>
        <v>122571.49973004538</v>
      </c>
      <c r="S394" s="3">
        <f t="shared" si="126"/>
        <v>82408.846917085684</v>
      </c>
      <c r="T394" s="3">
        <f t="shared" si="127"/>
        <v>2.3273045186963386</v>
      </c>
      <c r="U394" s="3">
        <f t="shared" si="127"/>
        <v>213.71880341880342</v>
      </c>
      <c r="V394" s="3">
        <f t="shared" si="127"/>
        <v>4505.6752136752139</v>
      </c>
      <c r="W394" s="3">
        <f t="shared" si="128"/>
        <v>122631.37590137168</v>
      </c>
      <c r="X394" s="3">
        <f t="shared" si="128"/>
        <v>76935.089057918565</v>
      </c>
      <c r="Y394" s="3">
        <f t="shared" si="114"/>
        <v>2.2486792626613661</v>
      </c>
      <c r="Z394" s="3">
        <f t="shared" si="124"/>
        <v>14.906837606837627</v>
      </c>
      <c r="AA394" s="3">
        <f t="shared" si="124"/>
        <v>-11.162393162393528</v>
      </c>
      <c r="AB394" s="3">
        <f t="shared" si="119"/>
        <v>5413.8816878408397</v>
      </c>
      <c r="AC394" s="3">
        <f t="shared" si="120"/>
        <v>7.8625256034972502E-2</v>
      </c>
      <c r="AD394" s="3">
        <f t="shared" si="125"/>
        <v>18.950317307692337</v>
      </c>
      <c r="AE394" s="3">
        <f t="shared" si="125"/>
        <v>-14.190192307692774</v>
      </c>
      <c r="AF394" s="3">
        <f t="shared" si="125"/>
        <v>6882.3970956676685</v>
      </c>
      <c r="AG394" s="3">
        <f t="shared" si="125"/>
        <v>9.9952356734458805E-2</v>
      </c>
      <c r="AH394" s="233">
        <f t="shared" si="123"/>
        <v>290.64034615384622</v>
      </c>
      <c r="AI394" s="233">
        <f t="shared" si="123"/>
        <v>5713.649423076924</v>
      </c>
      <c r="AJ394" s="233">
        <f t="shared" si="123"/>
        <v>155819.01903182021</v>
      </c>
      <c r="AK394" s="233">
        <f t="shared" si="123"/>
        <v>104762.24664334519</v>
      </c>
      <c r="AL394" s="233">
        <f t="shared" si="123"/>
        <v>2.9585858693927207</v>
      </c>
      <c r="AM394" s="233">
        <f t="shared" si="122"/>
        <v>271.69002884615389</v>
      </c>
      <c r="AN394" s="233">
        <f t="shared" si="122"/>
        <v>5727.839615384617</v>
      </c>
      <c r="AO394" s="233">
        <f t="shared" si="122"/>
        <v>155895.13661461876</v>
      </c>
      <c r="AP394" s="233">
        <f t="shared" si="122"/>
        <v>97803.731964878985</v>
      </c>
      <c r="AQ394" s="233">
        <f t="shared" si="122"/>
        <v>2.8586335126582623</v>
      </c>
      <c r="AR394" s="384">
        <v>58.290769230769229</v>
      </c>
      <c r="AS394" s="231">
        <f t="shared" si="121"/>
        <v>74.102140384615396</v>
      </c>
    </row>
    <row r="395" spans="2:45" ht="87" x14ac:dyDescent="0.35">
      <c r="B395" s="56" t="s">
        <v>91</v>
      </c>
      <c r="C395" s="361" t="s">
        <v>221</v>
      </c>
      <c r="D395" s="56">
        <v>6</v>
      </c>
      <c r="E395" s="3">
        <v>134.79999999999998</v>
      </c>
      <c r="F395" s="3">
        <v>1351.05</v>
      </c>
      <c r="G395" s="3">
        <v>2585.64</v>
      </c>
      <c r="H395" s="3">
        <v>15.37</v>
      </c>
      <c r="I395" s="3">
        <v>47.54</v>
      </c>
      <c r="J395" s="3">
        <f t="shared" si="115"/>
        <v>7.9906731185067583</v>
      </c>
      <c r="K395" s="3">
        <v>1357.58</v>
      </c>
      <c r="L395" s="3">
        <v>2554.69</v>
      </c>
      <c r="M395" s="3">
        <v>15.16</v>
      </c>
      <c r="N395" s="3">
        <v>47.86</v>
      </c>
      <c r="O395" s="3">
        <f t="shared" si="116"/>
        <v>8.0188514833393807</v>
      </c>
      <c r="P395" s="3">
        <f t="shared" si="117"/>
        <v>168.88124999999999</v>
      </c>
      <c r="Q395" s="3">
        <f t="shared" si="118"/>
        <v>323.20499999999998</v>
      </c>
      <c r="R395" s="3">
        <f t="shared" si="126"/>
        <v>14063.55</v>
      </c>
      <c r="S395" s="3">
        <f t="shared" si="126"/>
        <v>43499.1</v>
      </c>
      <c r="T395" s="3">
        <f t="shared" si="127"/>
        <v>0.99883413981334479</v>
      </c>
      <c r="U395" s="3">
        <f t="shared" si="127"/>
        <v>169.69749999999999</v>
      </c>
      <c r="V395" s="3">
        <f t="shared" si="127"/>
        <v>319.33625000000001</v>
      </c>
      <c r="W395" s="3">
        <f t="shared" si="128"/>
        <v>13871.4</v>
      </c>
      <c r="X395" s="3">
        <f t="shared" si="128"/>
        <v>43791.9</v>
      </c>
      <c r="Y395" s="3">
        <f t="shared" si="114"/>
        <v>1.0023564354174226</v>
      </c>
      <c r="Z395" s="3">
        <f t="shared" si="124"/>
        <v>-0.81624999999999659</v>
      </c>
      <c r="AA395" s="3">
        <f t="shared" si="124"/>
        <v>3.8687499999999773</v>
      </c>
      <c r="AB395" s="3">
        <f t="shared" si="119"/>
        <v>-100.65000000000873</v>
      </c>
      <c r="AC395" s="3">
        <f t="shared" si="120"/>
        <v>-3.5222956040777964E-3</v>
      </c>
      <c r="AD395" s="3">
        <f t="shared" si="125"/>
        <v>-110.03049999999952</v>
      </c>
      <c r="AE395" s="3">
        <f t="shared" si="125"/>
        <v>521.50749999999687</v>
      </c>
      <c r="AF395" s="3">
        <f t="shared" si="125"/>
        <v>-13567.620000001176</v>
      </c>
      <c r="AG395" s="3">
        <f t="shared" si="125"/>
        <v>-0.47480544742968689</v>
      </c>
      <c r="AH395" s="233">
        <f t="shared" si="123"/>
        <v>22765.192499999997</v>
      </c>
      <c r="AI395" s="233">
        <f t="shared" si="123"/>
        <v>43568.033999999992</v>
      </c>
      <c r="AJ395" s="233">
        <f t="shared" si="123"/>
        <v>1895766.5399999996</v>
      </c>
      <c r="AK395" s="233">
        <f t="shared" si="123"/>
        <v>5863678.6799999988</v>
      </c>
      <c r="AL395" s="233">
        <f t="shared" si="123"/>
        <v>134.64284204683887</v>
      </c>
      <c r="AM395" s="233">
        <f t="shared" si="122"/>
        <v>22875.222999999994</v>
      </c>
      <c r="AN395" s="233">
        <f t="shared" si="122"/>
        <v>43046.526499999993</v>
      </c>
      <c r="AO395" s="233">
        <f t="shared" si="122"/>
        <v>1869864.7199999997</v>
      </c>
      <c r="AP395" s="233">
        <f t="shared" si="122"/>
        <v>5903148.1199999992</v>
      </c>
      <c r="AQ395" s="233">
        <f t="shared" si="122"/>
        <v>135.11764749426854</v>
      </c>
      <c r="AS395" s="231">
        <f t="shared" si="121"/>
        <v>0</v>
      </c>
    </row>
    <row r="396" spans="2:45" ht="87" x14ac:dyDescent="0.35">
      <c r="B396" s="56" t="s">
        <v>91</v>
      </c>
      <c r="C396" s="361" t="s">
        <v>221</v>
      </c>
      <c r="D396" s="56">
        <v>7</v>
      </c>
      <c r="E396" s="3">
        <v>144.91999999999999</v>
      </c>
      <c r="F396" s="3">
        <v>1326.43</v>
      </c>
      <c r="G396" s="3">
        <v>2693.91</v>
      </c>
      <c r="H396" s="3">
        <v>13.51</v>
      </c>
      <c r="I396" s="3">
        <v>46.48</v>
      </c>
      <c r="J396" s="3">
        <f t="shared" si="115"/>
        <v>7.8824085645695359</v>
      </c>
      <c r="K396" s="3">
        <v>1330.01</v>
      </c>
      <c r="L396" s="3">
        <v>2655.23</v>
      </c>
      <c r="M396" s="3">
        <v>13.23</v>
      </c>
      <c r="N396" s="3">
        <v>46.65</v>
      </c>
      <c r="O396" s="3">
        <f t="shared" si="116"/>
        <v>7.8926384276920984</v>
      </c>
      <c r="P396" s="3">
        <f t="shared" si="117"/>
        <v>165.80375000000001</v>
      </c>
      <c r="Q396" s="3">
        <f t="shared" si="118"/>
        <v>336.73874999999998</v>
      </c>
      <c r="R396" s="3">
        <f t="shared" si="126"/>
        <v>12361.65</v>
      </c>
      <c r="S396" s="3">
        <f t="shared" si="126"/>
        <v>42529.2</v>
      </c>
      <c r="T396" s="3">
        <f t="shared" si="127"/>
        <v>0.98530107057119198</v>
      </c>
      <c r="U396" s="3">
        <f t="shared" si="127"/>
        <v>166.25125</v>
      </c>
      <c r="V396" s="3">
        <f t="shared" si="127"/>
        <v>331.90375</v>
      </c>
      <c r="W396" s="3">
        <f t="shared" si="128"/>
        <v>12105.45</v>
      </c>
      <c r="X396" s="3">
        <f t="shared" si="128"/>
        <v>42684.75</v>
      </c>
      <c r="Y396" s="3">
        <f t="shared" si="114"/>
        <v>0.98657980346151231</v>
      </c>
      <c r="Z396" s="3">
        <f t="shared" si="124"/>
        <v>-0.44749999999999091</v>
      </c>
      <c r="AA396" s="3">
        <f t="shared" si="124"/>
        <v>4.8349999999999795</v>
      </c>
      <c r="AB396" s="3">
        <f t="shared" si="119"/>
        <v>100.64999999999418</v>
      </c>
      <c r="AC396" s="3">
        <f t="shared" si="120"/>
        <v>-1.2787328903203221E-3</v>
      </c>
      <c r="AD396" s="3">
        <f t="shared" si="125"/>
        <v>-64.851699999998672</v>
      </c>
      <c r="AE396" s="3">
        <f t="shared" si="125"/>
        <v>700.68819999999698</v>
      </c>
      <c r="AF396" s="3">
        <f t="shared" si="125"/>
        <v>14586.197999999154</v>
      </c>
      <c r="AG396" s="3">
        <f t="shared" si="125"/>
        <v>-0.18531397046522108</v>
      </c>
      <c r="AH396" s="233">
        <f t="shared" si="123"/>
        <v>24028.279449999998</v>
      </c>
      <c r="AI396" s="233">
        <f t="shared" si="123"/>
        <v>48800.179649999991</v>
      </c>
      <c r="AJ396" s="233">
        <f t="shared" si="123"/>
        <v>1791450.3179999997</v>
      </c>
      <c r="AK396" s="233">
        <f t="shared" si="123"/>
        <v>6163331.6639999989</v>
      </c>
      <c r="AL396" s="233">
        <f t="shared" si="123"/>
        <v>142.78983114717713</v>
      </c>
      <c r="AM396" s="233">
        <f t="shared" si="122"/>
        <v>24093.131149999997</v>
      </c>
      <c r="AN396" s="233">
        <f t="shared" si="122"/>
        <v>48099.491449999994</v>
      </c>
      <c r="AO396" s="233">
        <f t="shared" si="122"/>
        <v>1754321.814</v>
      </c>
      <c r="AP396" s="233">
        <f t="shared" si="122"/>
        <v>6185873.9699999997</v>
      </c>
      <c r="AQ396" s="233">
        <f t="shared" si="122"/>
        <v>142.97514511764234</v>
      </c>
      <c r="AS396" s="231">
        <f t="shared" si="121"/>
        <v>0</v>
      </c>
    </row>
    <row r="397" spans="2:45" ht="87" x14ac:dyDescent="0.35">
      <c r="B397" s="56" t="s">
        <v>92</v>
      </c>
      <c r="C397" s="361" t="s">
        <v>221</v>
      </c>
      <c r="D397" s="56">
        <v>6</v>
      </c>
      <c r="E397" s="3">
        <v>1112.1000000000001</v>
      </c>
      <c r="F397" s="3">
        <v>5810.48</v>
      </c>
      <c r="G397" s="3">
        <v>30940.3</v>
      </c>
      <c r="H397" s="3">
        <v>28.76</v>
      </c>
      <c r="I397" s="3">
        <v>37.29</v>
      </c>
      <c r="J397" s="3">
        <f t="shared" si="115"/>
        <v>39.129507557497952</v>
      </c>
      <c r="K397" s="3">
        <v>5826.24</v>
      </c>
      <c r="L397" s="3">
        <v>30663.8</v>
      </c>
      <c r="M397" s="3">
        <v>28.54</v>
      </c>
      <c r="N397" s="3">
        <v>37.43</v>
      </c>
      <c r="O397" s="3">
        <f t="shared" si="116"/>
        <v>39.149010817145964</v>
      </c>
      <c r="P397" s="3">
        <f t="shared" si="117"/>
        <v>161.40222222222221</v>
      </c>
      <c r="Q397" s="3">
        <f t="shared" si="118"/>
        <v>859.45277777777778</v>
      </c>
      <c r="R397" s="3">
        <f t="shared" si="126"/>
        <v>31453.853333333336</v>
      </c>
      <c r="S397" s="3">
        <f t="shared" si="126"/>
        <v>40782.83</v>
      </c>
      <c r="T397" s="3">
        <f t="shared" si="127"/>
        <v>1.0869307654860543</v>
      </c>
      <c r="U397" s="3">
        <f t="shared" si="127"/>
        <v>161.84</v>
      </c>
      <c r="V397" s="3">
        <f t="shared" si="127"/>
        <v>851.77222222222224</v>
      </c>
      <c r="W397" s="3">
        <f t="shared" si="128"/>
        <v>31213.246666666666</v>
      </c>
      <c r="X397" s="3">
        <f t="shared" si="128"/>
        <v>40935.943333333336</v>
      </c>
      <c r="Y397" s="3">
        <f t="shared" si="114"/>
        <v>1.0874725226984989</v>
      </c>
      <c r="Z397" s="3">
        <f t="shared" si="124"/>
        <v>-0.43777777777779647</v>
      </c>
      <c r="AA397" s="3">
        <f t="shared" si="124"/>
        <v>7.6805555555555429</v>
      </c>
      <c r="AB397" s="3">
        <f t="shared" si="119"/>
        <v>87.493333333331975</v>
      </c>
      <c r="AC397" s="3">
        <f t="shared" si="120"/>
        <v>-5.4175721244464903E-4</v>
      </c>
      <c r="AD397" s="3">
        <f t="shared" si="125"/>
        <v>-486.85266666668753</v>
      </c>
      <c r="AE397" s="3">
        <f t="shared" si="125"/>
        <v>8541.5458333333208</v>
      </c>
      <c r="AF397" s="3">
        <f t="shared" si="125"/>
        <v>97301.335999998497</v>
      </c>
      <c r="AG397" s="3">
        <f t="shared" si="125"/>
        <v>-0.60248819595969427</v>
      </c>
      <c r="AH397" s="233">
        <f t="shared" si="123"/>
        <v>179495.41133333335</v>
      </c>
      <c r="AI397" s="233">
        <f t="shared" si="123"/>
        <v>955797.43416666682</v>
      </c>
      <c r="AJ397" s="233">
        <f t="shared" si="123"/>
        <v>34979830.292000011</v>
      </c>
      <c r="AK397" s="233">
        <f t="shared" si="123"/>
        <v>45354585.243000008</v>
      </c>
      <c r="AL397" s="233">
        <f t="shared" si="123"/>
        <v>1208.7757042970411</v>
      </c>
      <c r="AM397" s="233">
        <f t="shared" si="122"/>
        <v>179982.26400000002</v>
      </c>
      <c r="AN397" s="233">
        <f t="shared" si="122"/>
        <v>947255.88833333342</v>
      </c>
      <c r="AO397" s="233">
        <f t="shared" si="122"/>
        <v>34712251.618000001</v>
      </c>
      <c r="AP397" s="233">
        <f t="shared" si="122"/>
        <v>45524862.581000008</v>
      </c>
      <c r="AQ397" s="233">
        <f t="shared" si="122"/>
        <v>1209.3781924930008</v>
      </c>
      <c r="AS397" s="231">
        <f t="shared" si="121"/>
        <v>0</v>
      </c>
    </row>
    <row r="398" spans="2:45" ht="87" x14ac:dyDescent="0.35">
      <c r="B398" s="56" t="s">
        <v>92</v>
      </c>
      <c r="C398" s="361" t="s">
        <v>221</v>
      </c>
      <c r="D398" s="56">
        <v>7</v>
      </c>
      <c r="E398" s="3">
        <v>1195.5900000000001</v>
      </c>
      <c r="F398" s="3">
        <v>5760.5</v>
      </c>
      <c r="G398" s="3">
        <v>29084.6</v>
      </c>
      <c r="H398" s="3">
        <v>24.7</v>
      </c>
      <c r="I398" s="3">
        <v>36.94</v>
      </c>
      <c r="J398" s="3">
        <f t="shared" si="115"/>
        <v>38.410866706159851</v>
      </c>
      <c r="K398" s="3">
        <v>5766.57</v>
      </c>
      <c r="L398" s="3">
        <v>28802.9</v>
      </c>
      <c r="M398" s="3">
        <v>24.44</v>
      </c>
      <c r="N398" s="3">
        <v>36.99</v>
      </c>
      <c r="O398" s="3">
        <f t="shared" si="116"/>
        <v>38.376266750721221</v>
      </c>
      <c r="P398" s="3">
        <f t="shared" si="117"/>
        <v>160.01388888888889</v>
      </c>
      <c r="Q398" s="3">
        <f t="shared" si="118"/>
        <v>807.90555555555557</v>
      </c>
      <c r="R398" s="3">
        <f t="shared" si="126"/>
        <v>27013.566666666666</v>
      </c>
      <c r="S398" s="3">
        <f t="shared" si="126"/>
        <v>40400.046666666662</v>
      </c>
      <c r="T398" s="3">
        <f t="shared" si="127"/>
        <v>1.0669685196155514</v>
      </c>
      <c r="U398" s="3">
        <f t="shared" si="127"/>
        <v>160.1825</v>
      </c>
      <c r="V398" s="3">
        <f t="shared" si="127"/>
        <v>800.08055555555563</v>
      </c>
      <c r="W398" s="3">
        <f t="shared" si="128"/>
        <v>26729.213333333333</v>
      </c>
      <c r="X398" s="3">
        <f t="shared" si="128"/>
        <v>40454.730000000003</v>
      </c>
      <c r="Y398" s="3">
        <f t="shared" si="114"/>
        <v>1.0660074097422561</v>
      </c>
      <c r="Z398" s="3">
        <f t="shared" si="124"/>
        <v>-0.16861111111111882</v>
      </c>
      <c r="AA398" s="3">
        <f t="shared" si="124"/>
        <v>7.8249999999999318</v>
      </c>
      <c r="AB398" s="3">
        <f t="shared" si="119"/>
        <v>229.66999999999098</v>
      </c>
      <c r="AC398" s="3">
        <f t="shared" si="120"/>
        <v>9.6110987329534048E-4</v>
      </c>
      <c r="AD398" s="3">
        <f t="shared" si="125"/>
        <v>-201.58975833334256</v>
      </c>
      <c r="AE398" s="3">
        <f t="shared" si="125"/>
        <v>9355.4917499999192</v>
      </c>
      <c r="AF398" s="3">
        <f t="shared" si="125"/>
        <v>274591.15529998927</v>
      </c>
      <c r="AG398" s="3">
        <f t="shared" si="125"/>
        <v>1.1490933534131762</v>
      </c>
      <c r="AH398" s="233">
        <f t="shared" si="123"/>
        <v>191311.00541666668</v>
      </c>
      <c r="AI398" s="233">
        <f t="shared" si="123"/>
        <v>965923.80316666677</v>
      </c>
      <c r="AJ398" s="233">
        <f t="shared" si="123"/>
        <v>32297150.171000004</v>
      </c>
      <c r="AK398" s="233">
        <f t="shared" si="123"/>
        <v>48301891.794200003</v>
      </c>
      <c r="AL398" s="233">
        <f t="shared" si="123"/>
        <v>1275.6568923671573</v>
      </c>
      <c r="AM398" s="233">
        <f t="shared" si="122"/>
        <v>191512.59517500002</v>
      </c>
      <c r="AN398" s="233">
        <f t="shared" si="122"/>
        <v>956568.31141666684</v>
      </c>
      <c r="AO398" s="233">
        <f t="shared" si="122"/>
        <v>31957180.169200003</v>
      </c>
      <c r="AP398" s="233">
        <f t="shared" si="122"/>
        <v>48367270.640700012</v>
      </c>
      <c r="AQ398" s="233">
        <f t="shared" si="122"/>
        <v>1274.507799013744</v>
      </c>
      <c r="AS398" s="231">
        <f t="shared" si="121"/>
        <v>0</v>
      </c>
    </row>
    <row r="399" spans="2:45" ht="87" x14ac:dyDescent="0.35">
      <c r="B399" s="56" t="s">
        <v>93</v>
      </c>
      <c r="C399" s="361" t="s">
        <v>221</v>
      </c>
      <c r="D399" s="56">
        <v>6</v>
      </c>
      <c r="E399" s="3">
        <v>1636.0001999999999</v>
      </c>
      <c r="F399" s="3">
        <v>12949.3</v>
      </c>
      <c r="G399" s="3">
        <v>580315</v>
      </c>
      <c r="H399" s="3">
        <v>142.48868376068401</v>
      </c>
      <c r="I399" s="3">
        <v>40.548368851561499</v>
      </c>
      <c r="J399" s="3">
        <f t="shared" si="115"/>
        <v>210.11320083443707</v>
      </c>
      <c r="K399" s="3">
        <v>14392.5</v>
      </c>
      <c r="L399" s="3">
        <v>585956</v>
      </c>
      <c r="M399" s="3">
        <v>142.546203459319</v>
      </c>
      <c r="N399" s="3">
        <v>40.409475923534501</v>
      </c>
      <c r="O399" s="3">
        <f t="shared" si="116"/>
        <v>219.34087340968881</v>
      </c>
      <c r="P399" s="3">
        <f t="shared" si="117"/>
        <v>147.15113636363637</v>
      </c>
      <c r="Q399" s="3">
        <f t="shared" si="118"/>
        <v>6594.488636363636</v>
      </c>
      <c r="R399" s="3">
        <f t="shared" si="126"/>
        <v>183130.34242424276</v>
      </c>
      <c r="S399" s="3">
        <f t="shared" si="126"/>
        <v>52113.869512631878</v>
      </c>
      <c r="T399" s="3">
        <f t="shared" si="127"/>
        <v>2.3876500094822393</v>
      </c>
      <c r="U399" s="3">
        <f t="shared" si="127"/>
        <v>163.55113636363637</v>
      </c>
      <c r="V399" s="3">
        <f t="shared" si="127"/>
        <v>6658.590909090909</v>
      </c>
      <c r="W399" s="3">
        <f t="shared" si="128"/>
        <v>183204.26830964751</v>
      </c>
      <c r="X399" s="3">
        <f t="shared" si="128"/>
        <v>51935.360533542633</v>
      </c>
      <c r="Y399" s="3">
        <f t="shared" si="114"/>
        <v>2.4925099251101002</v>
      </c>
      <c r="Z399" s="3">
        <f t="shared" ref="Z399:AA414" si="129">P399-U399</f>
        <v>-16.400000000000006</v>
      </c>
      <c r="AA399" s="3">
        <f t="shared" si="129"/>
        <v>-64.102272727272975</v>
      </c>
      <c r="AB399" s="3">
        <f t="shared" si="119"/>
        <v>104.58309368449409</v>
      </c>
      <c r="AC399" s="3">
        <f t="shared" si="120"/>
        <v>-0.1048599156278609</v>
      </c>
      <c r="AD399" s="3">
        <f t="shared" ref="AD399:AG414" si="130">Z399*$E399</f>
        <v>-26830.40328000001</v>
      </c>
      <c r="AE399" s="3">
        <f t="shared" si="130"/>
        <v>-104871.33100227313</v>
      </c>
      <c r="AF399" s="3">
        <f t="shared" si="130"/>
        <v>171097.96218445105</v>
      </c>
      <c r="AG399" s="3">
        <f t="shared" si="130"/>
        <v>-171.55084293916354</v>
      </c>
      <c r="AH399" s="233">
        <f t="shared" si="123"/>
        <v>240739.28852113636</v>
      </c>
      <c r="AI399" s="233">
        <f t="shared" si="123"/>
        <v>10788584.727988636</v>
      </c>
      <c r="AJ399" s="233">
        <f t="shared" si="123"/>
        <v>299601276.8321296</v>
      </c>
      <c r="AK399" s="233">
        <f t="shared" si="123"/>
        <v>85258300.945439652</v>
      </c>
      <c r="AL399" s="233">
        <f t="shared" si="123"/>
        <v>3906.195893042945</v>
      </c>
      <c r="AM399" s="233">
        <f t="shared" si="122"/>
        <v>267569.69180113636</v>
      </c>
      <c r="AN399" s="233">
        <f t="shared" si="122"/>
        <v>10893456.058990909</v>
      </c>
      <c r="AO399" s="233">
        <f t="shared" si="122"/>
        <v>299722219.59543699</v>
      </c>
      <c r="AP399" s="233">
        <f t="shared" si="122"/>
        <v>84966260.219947845</v>
      </c>
      <c r="AQ399" s="233">
        <f t="shared" si="122"/>
        <v>4077.7467359821089</v>
      </c>
      <c r="AR399" s="383">
        <v>3.1738636363636363</v>
      </c>
      <c r="AS399" s="231">
        <f t="shared" si="121"/>
        <v>5192.4415438636361</v>
      </c>
    </row>
    <row r="400" spans="2:45" ht="87" x14ac:dyDescent="0.35">
      <c r="B400" s="56" t="s">
        <v>93</v>
      </c>
      <c r="C400" s="361" t="s">
        <v>221</v>
      </c>
      <c r="D400" s="56">
        <v>7</v>
      </c>
      <c r="E400" s="3">
        <v>1758.8215799999996</v>
      </c>
      <c r="F400" s="3">
        <v>12686.5</v>
      </c>
      <c r="G400" s="3">
        <v>568618</v>
      </c>
      <c r="H400" s="3">
        <v>138.33113169769601</v>
      </c>
      <c r="I400" s="3">
        <v>39.779523600998402</v>
      </c>
      <c r="J400" s="3">
        <f t="shared" si="115"/>
        <v>205.8683333507212</v>
      </c>
      <c r="K400" s="3">
        <v>13864.9</v>
      </c>
      <c r="L400" s="3">
        <v>573073</v>
      </c>
      <c r="M400" s="3">
        <v>138.46944026956299</v>
      </c>
      <c r="N400" s="3">
        <v>39.673967279482397</v>
      </c>
      <c r="O400" s="3">
        <f t="shared" si="116"/>
        <v>213.36661228558467</v>
      </c>
      <c r="P400" s="3">
        <f t="shared" si="117"/>
        <v>144.16477272727272</v>
      </c>
      <c r="Q400" s="3">
        <f t="shared" si="118"/>
        <v>6461.568181818182</v>
      </c>
      <c r="R400" s="3">
        <f t="shared" si="126"/>
        <v>177786.94312510703</v>
      </c>
      <c r="S400" s="3">
        <f t="shared" si="126"/>
        <v>51125.728628101351</v>
      </c>
      <c r="T400" s="3">
        <f t="shared" si="127"/>
        <v>2.3394128789854682</v>
      </c>
      <c r="U400" s="3">
        <f t="shared" si="127"/>
        <v>157.55568181818182</v>
      </c>
      <c r="V400" s="3">
        <f t="shared" si="127"/>
        <v>6512.193181818182</v>
      </c>
      <c r="W400" s="3">
        <f t="shared" si="128"/>
        <v>177964.70107372245</v>
      </c>
      <c r="X400" s="3">
        <f t="shared" si="128"/>
        <v>50990.064764880219</v>
      </c>
      <c r="Y400" s="3">
        <f t="shared" si="114"/>
        <v>2.424620594154371</v>
      </c>
      <c r="Z400" s="3">
        <f t="shared" si="129"/>
        <v>-13.390909090909105</v>
      </c>
      <c r="AA400" s="3">
        <f t="shared" si="129"/>
        <v>-50.625</v>
      </c>
      <c r="AB400" s="3">
        <f t="shared" si="119"/>
        <v>-42.094085394281137</v>
      </c>
      <c r="AC400" s="3">
        <f t="shared" si="120"/>
        <v>-8.5207715168902798E-2</v>
      </c>
      <c r="AD400" s="3">
        <f t="shared" si="130"/>
        <v>-23552.219884909111</v>
      </c>
      <c r="AE400" s="3">
        <f t="shared" si="130"/>
        <v>-89040.342487499976</v>
      </c>
      <c r="AF400" s="3">
        <f t="shared" si="130"/>
        <v>-74035.985781824449</v>
      </c>
      <c r="AG400" s="3">
        <f t="shared" si="130"/>
        <v>-149.86516822155954</v>
      </c>
      <c r="AH400" s="233">
        <f t="shared" si="123"/>
        <v>253560.11334852266</v>
      </c>
      <c r="AI400" s="233">
        <f t="shared" si="123"/>
        <v>11364745.558823179</v>
      </c>
      <c r="AJ400" s="233">
        <f t="shared" si="123"/>
        <v>312695512.21067083</v>
      </c>
      <c r="AK400" s="233">
        <f t="shared" si="123"/>
        <v>89921034.804328427</v>
      </c>
      <c r="AL400" s="233">
        <f t="shared" si="123"/>
        <v>4114.6098560895689</v>
      </c>
      <c r="AM400" s="233">
        <f t="shared" si="122"/>
        <v>277112.33323343174</v>
      </c>
      <c r="AN400" s="233">
        <f t="shared" si="122"/>
        <v>11453785.901310679</v>
      </c>
      <c r="AO400" s="233">
        <f t="shared" si="122"/>
        <v>313008156.72671217</v>
      </c>
      <c r="AP400" s="233">
        <f t="shared" si="122"/>
        <v>89682426.274068937</v>
      </c>
      <c r="AQ400" s="233">
        <f t="shared" si="122"/>
        <v>4264.4750243111284</v>
      </c>
      <c r="AR400">
        <v>3.1738636363636363</v>
      </c>
      <c r="AS400" s="231">
        <f t="shared" si="121"/>
        <v>5582.2598556136354</v>
      </c>
    </row>
    <row r="401" spans="2:45" ht="87" x14ac:dyDescent="0.35">
      <c r="B401" s="56" t="s">
        <v>94</v>
      </c>
      <c r="C401" s="361" t="s">
        <v>221</v>
      </c>
      <c r="D401" s="56">
        <v>6</v>
      </c>
      <c r="E401" s="3">
        <v>12.637500000000003</v>
      </c>
      <c r="F401" s="3">
        <v>13958</v>
      </c>
      <c r="G401" s="3">
        <v>557049</v>
      </c>
      <c r="H401" s="3">
        <v>124.451755132374</v>
      </c>
      <c r="I401" s="3">
        <v>39.404726967691197</v>
      </c>
      <c r="J401" s="3">
        <f t="shared" si="115"/>
        <v>210.02295338700898</v>
      </c>
      <c r="K401" s="3">
        <v>15529.3</v>
      </c>
      <c r="L401" s="3">
        <v>564340</v>
      </c>
      <c r="M401" s="3">
        <v>124.632768831254</v>
      </c>
      <c r="N401" s="3">
        <v>39.147082567761501</v>
      </c>
      <c r="O401" s="3">
        <f t="shared" si="116"/>
        <v>220.3459251313617</v>
      </c>
      <c r="P401" s="3">
        <f t="shared" si="117"/>
        <v>119.29914529914529</v>
      </c>
      <c r="Q401" s="3">
        <f t="shared" si="118"/>
        <v>4761.1025641025644</v>
      </c>
      <c r="R401" s="3">
        <f t="shared" si="126"/>
        <v>133386.75293674957</v>
      </c>
      <c r="S401" s="3">
        <f t="shared" si="126"/>
        <v>42233.784288448514</v>
      </c>
      <c r="T401" s="3">
        <f t="shared" si="127"/>
        <v>1.7950679776667435</v>
      </c>
      <c r="U401" s="3">
        <f t="shared" si="127"/>
        <v>132.72905982905982</v>
      </c>
      <c r="V401" s="3">
        <f t="shared" si="127"/>
        <v>4823.4188034188037</v>
      </c>
      <c r="W401" s="3">
        <f t="shared" si="128"/>
        <v>133580.76249093379</v>
      </c>
      <c r="X401" s="3">
        <f t="shared" si="128"/>
        <v>41957.642341857201</v>
      </c>
      <c r="Y401" s="3">
        <f t="shared" si="114"/>
        <v>1.8832985053962539</v>
      </c>
      <c r="Z401" s="3">
        <f t="shared" si="129"/>
        <v>-13.429914529914527</v>
      </c>
      <c r="AA401" s="3">
        <f t="shared" si="129"/>
        <v>-62.316239316239262</v>
      </c>
      <c r="AB401" s="3">
        <f t="shared" si="119"/>
        <v>82.132392407096631</v>
      </c>
      <c r="AC401" s="3">
        <f t="shared" si="120"/>
        <v>-8.8230527729510344E-2</v>
      </c>
      <c r="AD401" s="3">
        <f t="shared" si="130"/>
        <v>-169.72054487179486</v>
      </c>
      <c r="AE401" s="3">
        <f t="shared" si="130"/>
        <v>-787.52147435897382</v>
      </c>
      <c r="AF401" s="3">
        <f t="shared" si="130"/>
        <v>1037.9481090446839</v>
      </c>
      <c r="AG401" s="3">
        <f t="shared" si="130"/>
        <v>-1.1150132941816873</v>
      </c>
      <c r="AH401" s="233">
        <f t="shared" si="123"/>
        <v>1507.6429487179489</v>
      </c>
      <c r="AI401" s="233">
        <f t="shared" si="123"/>
        <v>60168.433653846172</v>
      </c>
      <c r="AJ401" s="233">
        <f t="shared" si="123"/>
        <v>1685675.090238173</v>
      </c>
      <c r="AK401" s="233">
        <f t="shared" si="123"/>
        <v>533729.44894526817</v>
      </c>
      <c r="AL401" s="233">
        <f t="shared" si="123"/>
        <v>22.685171567763476</v>
      </c>
      <c r="AM401" s="233">
        <f t="shared" si="122"/>
        <v>1677.3634935897439</v>
      </c>
      <c r="AN401" s="233">
        <f t="shared" si="122"/>
        <v>60955.955128205147</v>
      </c>
      <c r="AO401" s="233">
        <f t="shared" si="122"/>
        <v>1688126.8859791763</v>
      </c>
      <c r="AP401" s="233">
        <f t="shared" si="122"/>
        <v>530239.70509522047</v>
      </c>
      <c r="AQ401" s="233">
        <f t="shared" si="122"/>
        <v>23.800184861945162</v>
      </c>
      <c r="AR401">
        <v>6.8122153846153841</v>
      </c>
      <c r="AS401" s="231">
        <f t="shared" si="121"/>
        <v>86.089371923076939</v>
      </c>
    </row>
    <row r="402" spans="2:45" ht="87" x14ac:dyDescent="0.35">
      <c r="B402" s="56" t="s">
        <v>94</v>
      </c>
      <c r="C402" s="361" t="s">
        <v>221</v>
      </c>
      <c r="D402" s="56">
        <v>7</v>
      </c>
      <c r="E402" s="3">
        <v>13.58625</v>
      </c>
      <c r="F402" s="3">
        <v>13613.5</v>
      </c>
      <c r="G402" s="3">
        <v>548638</v>
      </c>
      <c r="H402" s="3">
        <v>121.54008395010599</v>
      </c>
      <c r="I402" s="3">
        <v>38.480972210141502</v>
      </c>
      <c r="J402" s="3">
        <f t="shared" si="115"/>
        <v>206.12226956318608</v>
      </c>
      <c r="K402" s="3">
        <v>13538.8</v>
      </c>
      <c r="L402" s="3">
        <v>550016</v>
      </c>
      <c r="M402" s="3">
        <v>121.840585625784</v>
      </c>
      <c r="N402" s="3">
        <v>38.256330597596602</v>
      </c>
      <c r="O402" s="3">
        <f t="shared" si="116"/>
        <v>206.04603479887507</v>
      </c>
      <c r="P402" s="3">
        <f t="shared" si="117"/>
        <v>116.35470085470085</v>
      </c>
      <c r="Q402" s="3">
        <f t="shared" si="118"/>
        <v>4689.2136752136748</v>
      </c>
      <c r="R402" s="3">
        <f t="shared" si="126"/>
        <v>130266.03869524182</v>
      </c>
      <c r="S402" s="3">
        <f t="shared" si="126"/>
        <v>41243.708676510636</v>
      </c>
      <c r="T402" s="3">
        <f t="shared" si="127"/>
        <v>1.761728799685351</v>
      </c>
      <c r="U402" s="3">
        <f t="shared" si="127"/>
        <v>115.71623931623931</v>
      </c>
      <c r="V402" s="3">
        <f t="shared" si="127"/>
        <v>4700.9914529914531</v>
      </c>
      <c r="W402" s="3">
        <f t="shared" si="128"/>
        <v>130588.11485019926</v>
      </c>
      <c r="X402" s="3">
        <f t="shared" si="128"/>
        <v>41002.938948193281</v>
      </c>
      <c r="Y402" s="3">
        <f t="shared" si="114"/>
        <v>1.7610772205032057</v>
      </c>
      <c r="Z402" s="3">
        <f t="shared" si="129"/>
        <v>0.63846153846154152</v>
      </c>
      <c r="AA402" s="3">
        <f t="shared" si="129"/>
        <v>-11.777777777778283</v>
      </c>
      <c r="AB402" s="3">
        <f t="shared" si="119"/>
        <v>-81.306426640083373</v>
      </c>
      <c r="AC402" s="3">
        <f t="shared" si="120"/>
        <v>6.5157918214531207E-4</v>
      </c>
      <c r="AD402" s="3">
        <f t="shared" si="130"/>
        <v>8.6742980769231188</v>
      </c>
      <c r="AE402" s="3">
        <f t="shared" si="130"/>
        <v>-160.0158333333402</v>
      </c>
      <c r="AF402" s="3">
        <f t="shared" si="130"/>
        <v>-1104.6494389388326</v>
      </c>
      <c r="AG402" s="3">
        <f t="shared" si="130"/>
        <v>8.8525176634217453E-3</v>
      </c>
      <c r="AH402" s="233">
        <f t="shared" si="123"/>
        <v>1580.8240544871794</v>
      </c>
      <c r="AI402" s="233">
        <f t="shared" si="123"/>
        <v>63708.829294871786</v>
      </c>
      <c r="AJ402" s="233">
        <f t="shared" si="123"/>
        <v>1769826.9682232291</v>
      </c>
      <c r="AK402" s="233">
        <f t="shared" si="123"/>
        <v>560347.3370062426</v>
      </c>
      <c r="AL402" s="233">
        <f t="shared" si="123"/>
        <v>23.935287904725101</v>
      </c>
      <c r="AM402" s="233">
        <f t="shared" si="122"/>
        <v>1572.1497564102563</v>
      </c>
      <c r="AN402" s="233">
        <f t="shared" si="122"/>
        <v>63868.845128205132</v>
      </c>
      <c r="AO402" s="233">
        <f t="shared" si="122"/>
        <v>1774202.7753835197</v>
      </c>
      <c r="AP402" s="233">
        <f t="shared" si="122"/>
        <v>557076.179284891</v>
      </c>
      <c r="AQ402" s="233">
        <f t="shared" si="122"/>
        <v>23.926435387061677</v>
      </c>
      <c r="AR402">
        <v>6.8122153846153841</v>
      </c>
      <c r="AS402" s="231">
        <f t="shared" si="121"/>
        <v>92.552461269230761</v>
      </c>
    </row>
    <row r="403" spans="2:45" ht="87" x14ac:dyDescent="0.35">
      <c r="B403" s="56" t="s">
        <v>93</v>
      </c>
      <c r="C403" s="361" t="s">
        <v>221</v>
      </c>
      <c r="D403" s="56">
        <v>1</v>
      </c>
      <c r="E403" s="3">
        <v>10.759000000000002</v>
      </c>
      <c r="F403" s="3">
        <v>21446</v>
      </c>
      <c r="G403" s="3">
        <v>493723</v>
      </c>
      <c r="H403" s="3">
        <v>118.722939633072</v>
      </c>
      <c r="I403" s="3">
        <v>55.346908471486202</v>
      </c>
      <c r="J403" s="3">
        <f t="shared" si="115"/>
        <v>235.64488767077927</v>
      </c>
      <c r="K403" s="3">
        <v>20930.5</v>
      </c>
      <c r="L403" s="3">
        <v>496023</v>
      </c>
      <c r="M403" s="3">
        <v>119.12803574017801</v>
      </c>
      <c r="N403" s="3">
        <v>53.977165194829198</v>
      </c>
      <c r="O403" s="3">
        <f t="shared" si="116"/>
        <v>233.38595133720403</v>
      </c>
      <c r="P403" s="3">
        <f t="shared" si="117"/>
        <v>243.70454545454547</v>
      </c>
      <c r="Q403" s="3">
        <f t="shared" si="118"/>
        <v>5610.488636363636</v>
      </c>
      <c r="R403" s="3">
        <f t="shared" si="126"/>
        <v>152585.95991477775</v>
      </c>
      <c r="S403" s="3">
        <f t="shared" si="126"/>
        <v>71133.356228694203</v>
      </c>
      <c r="T403" s="3">
        <f t="shared" si="127"/>
        <v>2.6777828144406737</v>
      </c>
      <c r="U403" s="3">
        <f t="shared" si="127"/>
        <v>237.84659090909091</v>
      </c>
      <c r="V403" s="3">
        <f t="shared" si="127"/>
        <v>5636.625</v>
      </c>
      <c r="W403" s="3">
        <f t="shared" si="128"/>
        <v>153106.60047970605</v>
      </c>
      <c r="X403" s="3">
        <f t="shared" si="128"/>
        <v>69372.924812899801</v>
      </c>
      <c r="Y403" s="3">
        <f t="shared" ref="Y403:Y466" si="131">O403/VLOOKUP($B403,$N$131:$P$134, 3, FALSE)</f>
        <v>2.6521130833773188</v>
      </c>
      <c r="Z403" s="3">
        <f t="shared" si="129"/>
        <v>5.857954545454561</v>
      </c>
      <c r="AA403" s="3">
        <f t="shared" si="129"/>
        <v>-26.136363636363967</v>
      </c>
      <c r="AB403" s="3">
        <f t="shared" si="119"/>
        <v>1239.7908508661058</v>
      </c>
      <c r="AC403" s="3">
        <f t="shared" si="120"/>
        <v>2.5669731063354906E-2</v>
      </c>
      <c r="AD403" s="3">
        <f t="shared" si="130"/>
        <v>63.025732954545632</v>
      </c>
      <c r="AE403" s="3">
        <f t="shared" si="130"/>
        <v>-281.20113636363999</v>
      </c>
      <c r="AF403" s="3">
        <f t="shared" si="130"/>
        <v>13338.909764468435</v>
      </c>
      <c r="AG403" s="3">
        <f t="shared" si="130"/>
        <v>0.27618063651063551</v>
      </c>
      <c r="AH403" s="233">
        <f t="shared" si="123"/>
        <v>2622.0172045454551</v>
      </c>
      <c r="AI403" s="233">
        <f t="shared" si="123"/>
        <v>60363.247238636373</v>
      </c>
      <c r="AJ403" s="233">
        <f t="shared" si="123"/>
        <v>1641672.3427230942</v>
      </c>
      <c r="AK403" s="233">
        <f t="shared" si="123"/>
        <v>765323.77966452111</v>
      </c>
      <c r="AL403" s="233">
        <f t="shared" si="123"/>
        <v>28.810265300567213</v>
      </c>
      <c r="AM403" s="233">
        <f t="shared" si="122"/>
        <v>2558.9914715909094</v>
      </c>
      <c r="AN403" s="233">
        <f t="shared" si="122"/>
        <v>60644.448375000014</v>
      </c>
      <c r="AO403" s="233">
        <f t="shared" si="122"/>
        <v>1647273.9145611576</v>
      </c>
      <c r="AP403" s="233">
        <f t="shared" si="122"/>
        <v>746383.29806198913</v>
      </c>
      <c r="AQ403" s="233">
        <f t="shared" si="122"/>
        <v>28.534084664056579</v>
      </c>
      <c r="AR403">
        <v>105.79545454545455</v>
      </c>
      <c r="AS403" s="231">
        <f t="shared" si="121"/>
        <v>1138.2532954545457</v>
      </c>
    </row>
    <row r="404" spans="2:45" ht="87" x14ac:dyDescent="0.35">
      <c r="B404" s="56" t="s">
        <v>93</v>
      </c>
      <c r="C404" s="361" t="s">
        <v>221</v>
      </c>
      <c r="D404" s="56">
        <v>16</v>
      </c>
      <c r="E404" s="3">
        <v>13.763400000000001</v>
      </c>
      <c r="F404" s="3">
        <v>22708.1</v>
      </c>
      <c r="G404" s="3">
        <v>552559</v>
      </c>
      <c r="H404" s="3">
        <v>131.710741676916</v>
      </c>
      <c r="I404" s="3">
        <v>59.847033938035104</v>
      </c>
      <c r="J404" s="3">
        <f t="shared" ref="J404:J467" si="132">G404*$G$141*10^-6 + F404*$G$142*10^-6</f>
        <v>256.67050549269709</v>
      </c>
      <c r="K404" s="3">
        <v>22425.1</v>
      </c>
      <c r="L404" s="3">
        <v>552891</v>
      </c>
      <c r="M404" s="3">
        <v>131.707819718303</v>
      </c>
      <c r="N404" s="3">
        <v>59.075893156032798</v>
      </c>
      <c r="O404" s="3">
        <f t="shared" ref="O404:O467" si="133">L404*$G$141*10^-6 + K404*$G$142*10^-6</f>
        <v>255.20670186482809</v>
      </c>
      <c r="P404" s="3">
        <f t="shared" ref="P404:P467" si="134">F404/VLOOKUP(B404,$N$131:$P$134, 3, FALSE)</f>
        <v>258.04659090909087</v>
      </c>
      <c r="Q404" s="3">
        <f t="shared" ref="Q404:Q467" si="135">G404/VLOOKUP($B404,$N$131:$P$134, 3, FALSE)</f>
        <v>6279.079545454545</v>
      </c>
      <c r="R404" s="3">
        <f t="shared" si="126"/>
        <v>169278.23731430911</v>
      </c>
      <c r="S404" s="3">
        <f t="shared" si="126"/>
        <v>76917.040208997394</v>
      </c>
      <c r="T404" s="3">
        <f t="shared" si="127"/>
        <v>2.9167102896897394</v>
      </c>
      <c r="U404" s="3">
        <f t="shared" si="127"/>
        <v>254.8306818181818</v>
      </c>
      <c r="V404" s="3">
        <f t="shared" si="127"/>
        <v>6282.852272727273</v>
      </c>
      <c r="W404" s="3">
        <f t="shared" si="128"/>
        <v>169274.48193340987</v>
      </c>
      <c r="X404" s="3">
        <f t="shared" si="128"/>
        <v>75925.949044855792</v>
      </c>
      <c r="Y404" s="3">
        <f t="shared" si="131"/>
        <v>2.9000761575548646</v>
      </c>
      <c r="Z404" s="3">
        <f t="shared" si="129"/>
        <v>3.2159090909090651</v>
      </c>
      <c r="AA404" s="3">
        <f t="shared" si="129"/>
        <v>-3.7727272727279342</v>
      </c>
      <c r="AB404" s="3">
        <f t="shared" ref="AB404:AB467" si="136">R404+S404-W404-X404</f>
        <v>994.84654504082573</v>
      </c>
      <c r="AC404" s="3">
        <f t="shared" ref="AC404:AC467" si="137">T404-Y404</f>
        <v>1.6634132134874857E-2</v>
      </c>
      <c r="AD404" s="3">
        <f t="shared" si="130"/>
        <v>44.261843181817831</v>
      </c>
      <c r="AE404" s="3">
        <f t="shared" si="130"/>
        <v>-51.925554545463655</v>
      </c>
      <c r="AF404" s="3">
        <f t="shared" si="130"/>
        <v>13692.470938014902</v>
      </c>
      <c r="AG404" s="3">
        <f t="shared" si="130"/>
        <v>0.22894221422513661</v>
      </c>
      <c r="AH404" s="233">
        <f t="shared" si="123"/>
        <v>3551.5984493181813</v>
      </c>
      <c r="AI404" s="233">
        <f t="shared" si="123"/>
        <v>86421.483415909097</v>
      </c>
      <c r="AJ404" s="233">
        <f t="shared" si="123"/>
        <v>2329844.0914517622</v>
      </c>
      <c r="AK404" s="233">
        <f t="shared" si="123"/>
        <v>1058639.9912125147</v>
      </c>
      <c r="AL404" s="233">
        <f t="shared" si="123"/>
        <v>40.143850401115763</v>
      </c>
      <c r="AM404" s="233">
        <f t="shared" si="122"/>
        <v>3507.3366061363636</v>
      </c>
      <c r="AN404" s="233">
        <f t="shared" si="122"/>
        <v>86473.408970454548</v>
      </c>
      <c r="AO404" s="233">
        <f t="shared" si="122"/>
        <v>2329792.4046422937</v>
      </c>
      <c r="AP404" s="233">
        <f t="shared" si="122"/>
        <v>1044999.2070839682</v>
      </c>
      <c r="AQ404" s="233">
        <f t="shared" si="122"/>
        <v>39.914908186890628</v>
      </c>
      <c r="AR404">
        <v>105.79545454545455</v>
      </c>
      <c r="AS404" s="231">
        <f t="shared" ref="AS404:AS467" si="138">AR404*E404</f>
        <v>1456.1051590909092</v>
      </c>
    </row>
    <row r="405" spans="2:45" ht="87" x14ac:dyDescent="0.35">
      <c r="B405" s="56" t="s">
        <v>94</v>
      </c>
      <c r="C405" s="361" t="s">
        <v>221</v>
      </c>
      <c r="D405" s="56">
        <v>1</v>
      </c>
      <c r="E405" s="3">
        <v>9.2750000000000004</v>
      </c>
      <c r="F405" s="3">
        <v>24154.3</v>
      </c>
      <c r="G405" s="3">
        <v>468117</v>
      </c>
      <c r="H405" s="3">
        <v>102.939762024872</v>
      </c>
      <c r="I405" s="3">
        <v>56.308336025939603</v>
      </c>
      <c r="J405" s="3">
        <f t="shared" si="132"/>
        <v>244.26254515449514</v>
      </c>
      <c r="K405" s="3">
        <v>23163.4</v>
      </c>
      <c r="L405" s="3">
        <v>475314</v>
      </c>
      <c r="M405" s="3">
        <v>104.148475760016</v>
      </c>
      <c r="N405" s="3">
        <v>53.942163673241197</v>
      </c>
      <c r="O405" s="3">
        <f t="shared" si="133"/>
        <v>240.58759959212557</v>
      </c>
      <c r="P405" s="3">
        <f t="shared" si="134"/>
        <v>206.44700854700855</v>
      </c>
      <c r="Q405" s="3">
        <f t="shared" si="135"/>
        <v>4001</v>
      </c>
      <c r="R405" s="3">
        <f t="shared" si="126"/>
        <v>110330.3090420423</v>
      </c>
      <c r="S405" s="3">
        <f t="shared" si="126"/>
        <v>60350.985791904495</v>
      </c>
      <c r="T405" s="3">
        <f t="shared" si="127"/>
        <v>2.0877140611495313</v>
      </c>
      <c r="U405" s="3">
        <f t="shared" si="127"/>
        <v>197.97777777777779</v>
      </c>
      <c r="V405" s="3">
        <f t="shared" si="127"/>
        <v>4062.5128205128203</v>
      </c>
      <c r="W405" s="3">
        <f t="shared" si="128"/>
        <v>111625.80222483765</v>
      </c>
      <c r="X405" s="3">
        <f t="shared" si="128"/>
        <v>57814.934398499543</v>
      </c>
      <c r="Y405" s="3">
        <f t="shared" si="131"/>
        <v>2.0563042700181673</v>
      </c>
      <c r="Z405" s="3">
        <f t="shared" si="129"/>
        <v>8.4692307692307622</v>
      </c>
      <c r="AA405" s="3">
        <f t="shared" si="129"/>
        <v>-61.512820512820326</v>
      </c>
      <c r="AB405" s="3">
        <f t="shared" si="136"/>
        <v>1240.5582106096044</v>
      </c>
      <c r="AC405" s="3">
        <f t="shared" si="137"/>
        <v>3.1409791131363995E-2</v>
      </c>
      <c r="AD405" s="3">
        <f t="shared" si="130"/>
        <v>78.55211538461532</v>
      </c>
      <c r="AE405" s="3">
        <f t="shared" si="130"/>
        <v>-570.53141025640855</v>
      </c>
      <c r="AF405" s="3">
        <f t="shared" si="130"/>
        <v>11506.177403404081</v>
      </c>
      <c r="AG405" s="3">
        <f t="shared" si="130"/>
        <v>0.29132581274340108</v>
      </c>
      <c r="AH405" s="233">
        <f t="shared" si="123"/>
        <v>1914.7960042735044</v>
      </c>
      <c r="AI405" s="233">
        <f t="shared" si="123"/>
        <v>37109.275000000001</v>
      </c>
      <c r="AJ405" s="233">
        <f t="shared" si="123"/>
        <v>1023313.6163649423</v>
      </c>
      <c r="AK405" s="233">
        <f t="shared" si="123"/>
        <v>559755.39321991417</v>
      </c>
      <c r="AL405" s="233">
        <f t="shared" si="123"/>
        <v>19.363547917161902</v>
      </c>
      <c r="AM405" s="233">
        <f t="shared" si="122"/>
        <v>1836.2438888888892</v>
      </c>
      <c r="AN405" s="233">
        <f t="shared" si="122"/>
        <v>37679.806410256409</v>
      </c>
      <c r="AO405" s="233">
        <f t="shared" si="122"/>
        <v>1035329.3156353693</v>
      </c>
      <c r="AP405" s="233">
        <f t="shared" si="122"/>
        <v>536233.51654608326</v>
      </c>
      <c r="AQ405" s="233">
        <f t="shared" si="122"/>
        <v>19.072222104418504</v>
      </c>
      <c r="AR405">
        <v>161.91880341880341</v>
      </c>
      <c r="AS405" s="231">
        <f t="shared" si="138"/>
        <v>1501.7969017094017</v>
      </c>
    </row>
    <row r="406" spans="2:45" ht="87" x14ac:dyDescent="0.35">
      <c r="B406" s="56" t="s">
        <v>94</v>
      </c>
      <c r="C406" s="361" t="s">
        <v>221</v>
      </c>
      <c r="D406" s="56">
        <v>16</v>
      </c>
      <c r="E406" s="3">
        <v>11.865</v>
      </c>
      <c r="F406" s="3">
        <v>26811.5</v>
      </c>
      <c r="G406" s="3">
        <v>527871</v>
      </c>
      <c r="H406" s="3">
        <v>115.08324104533401</v>
      </c>
      <c r="I406" s="3">
        <v>63.849824783110599</v>
      </c>
      <c r="J406" s="3">
        <f t="shared" si="132"/>
        <v>273.11827604644833</v>
      </c>
      <c r="K406" s="3">
        <v>26247.9</v>
      </c>
      <c r="L406" s="3">
        <v>529587</v>
      </c>
      <c r="M406" s="3">
        <v>115.297611827214</v>
      </c>
      <c r="N406" s="3">
        <v>62.474166146846002</v>
      </c>
      <c r="O406" s="3">
        <f t="shared" si="133"/>
        <v>270.45661399655268</v>
      </c>
      <c r="P406" s="3">
        <f t="shared" si="134"/>
        <v>229.15811965811966</v>
      </c>
      <c r="Q406" s="3">
        <f t="shared" si="135"/>
        <v>4511.7179487179483</v>
      </c>
      <c r="R406" s="3">
        <f t="shared" si="126"/>
        <v>123345.62758192209</v>
      </c>
      <c r="S406" s="3">
        <f t="shared" si="126"/>
        <v>68433.914767539056</v>
      </c>
      <c r="T406" s="3">
        <f t="shared" si="127"/>
        <v>2.3343442397132335</v>
      </c>
      <c r="U406" s="3">
        <f t="shared" si="127"/>
        <v>224.34102564102565</v>
      </c>
      <c r="V406" s="3">
        <f t="shared" si="127"/>
        <v>4526.3846153846152</v>
      </c>
      <c r="W406" s="3">
        <f t="shared" si="128"/>
        <v>123575.38908660373</v>
      </c>
      <c r="X406" s="3">
        <f t="shared" si="128"/>
        <v>66959.490895850337</v>
      </c>
      <c r="Y406" s="3">
        <f t="shared" si="131"/>
        <v>2.3115949914235272</v>
      </c>
      <c r="Z406" s="3">
        <f t="shared" si="129"/>
        <v>4.8170940170940071</v>
      </c>
      <c r="AA406" s="3">
        <f t="shared" si="129"/>
        <v>-14.66666666666697</v>
      </c>
      <c r="AB406" s="3">
        <f t="shared" si="136"/>
        <v>1244.662367007084</v>
      </c>
      <c r="AC406" s="3">
        <f t="shared" si="137"/>
        <v>2.2749248289706259E-2</v>
      </c>
      <c r="AD406" s="3">
        <f t="shared" si="130"/>
        <v>57.154820512820393</v>
      </c>
      <c r="AE406" s="3">
        <f t="shared" si="130"/>
        <v>-174.02000000000359</v>
      </c>
      <c r="AF406" s="3">
        <f t="shared" si="130"/>
        <v>14767.918984539052</v>
      </c>
      <c r="AG406" s="3">
        <f t="shared" si="130"/>
        <v>0.26991983095736477</v>
      </c>
      <c r="AH406" s="233">
        <f t="shared" si="123"/>
        <v>2718.9610897435896</v>
      </c>
      <c r="AI406" s="233">
        <f t="shared" si="123"/>
        <v>53531.533461538456</v>
      </c>
      <c r="AJ406" s="233">
        <f t="shared" si="123"/>
        <v>1463495.8712595056</v>
      </c>
      <c r="AK406" s="233">
        <f t="shared" si="123"/>
        <v>811968.3987168509</v>
      </c>
      <c r="AL406" s="233">
        <f t="shared" si="123"/>
        <v>27.696994404197515</v>
      </c>
      <c r="AM406" s="233">
        <f t="shared" si="122"/>
        <v>2661.8062692307694</v>
      </c>
      <c r="AN406" s="233">
        <f t="shared" si="122"/>
        <v>53705.55346153846</v>
      </c>
      <c r="AO406" s="233">
        <f t="shared" si="122"/>
        <v>1466221.9915125533</v>
      </c>
      <c r="AP406" s="233">
        <f t="shared" si="122"/>
        <v>794474.35947926424</v>
      </c>
      <c r="AQ406" s="233">
        <f t="shared" si="122"/>
        <v>27.427074573240152</v>
      </c>
      <c r="AR406">
        <v>161.91880341880341</v>
      </c>
      <c r="AS406" s="231">
        <f t="shared" si="138"/>
        <v>1921.1666025641025</v>
      </c>
    </row>
    <row r="407" spans="2:45" ht="87" x14ac:dyDescent="0.35">
      <c r="B407" s="56" t="s">
        <v>93</v>
      </c>
      <c r="C407" s="361" t="s">
        <v>221</v>
      </c>
      <c r="D407" s="56">
        <v>1</v>
      </c>
      <c r="E407" s="3">
        <v>14.294099999999998</v>
      </c>
      <c r="F407" s="3">
        <v>21598.799999999999</v>
      </c>
      <c r="G407" s="3">
        <v>493242</v>
      </c>
      <c r="H407" s="3">
        <v>118.69076854760699</v>
      </c>
      <c r="I407" s="3">
        <v>67.973701849023101</v>
      </c>
      <c r="J407" s="3">
        <f t="shared" si="132"/>
        <v>236.36271230681302</v>
      </c>
      <c r="K407" s="3">
        <v>21072.1</v>
      </c>
      <c r="L407" s="3">
        <v>495524</v>
      </c>
      <c r="M407" s="3">
        <v>119.109761169028</v>
      </c>
      <c r="N407" s="3">
        <v>66.289343013575802</v>
      </c>
      <c r="O407" s="3">
        <f t="shared" si="133"/>
        <v>234.03836002095619</v>
      </c>
      <c r="P407" s="3">
        <f t="shared" si="134"/>
        <v>245.44090909090909</v>
      </c>
      <c r="Q407" s="3">
        <f t="shared" si="135"/>
        <v>5605.022727272727</v>
      </c>
      <c r="R407" s="3">
        <f t="shared" si="126"/>
        <v>152544.61275834488</v>
      </c>
      <c r="S407" s="3">
        <f t="shared" si="126"/>
        <v>87361.655444596734</v>
      </c>
      <c r="T407" s="3">
        <f t="shared" si="127"/>
        <v>2.6859399125774206</v>
      </c>
      <c r="U407" s="3">
        <f t="shared" si="127"/>
        <v>239.4556818181818</v>
      </c>
      <c r="V407" s="3">
        <f t="shared" si="127"/>
        <v>5630.954545454545</v>
      </c>
      <c r="W407" s="3">
        <f t="shared" si="128"/>
        <v>153083.11350246667</v>
      </c>
      <c r="X407" s="3">
        <f t="shared" si="128"/>
        <v>85196.871532220714</v>
      </c>
      <c r="Y407" s="3">
        <f t="shared" si="131"/>
        <v>2.6595268184199568</v>
      </c>
      <c r="Z407" s="3">
        <f t="shared" si="129"/>
        <v>5.9852272727272862</v>
      </c>
      <c r="AA407" s="3">
        <f t="shared" si="129"/>
        <v>-25.931818181818016</v>
      </c>
      <c r="AB407" s="3">
        <f t="shared" si="136"/>
        <v>1626.2831682542455</v>
      </c>
      <c r="AC407" s="3">
        <f t="shared" si="137"/>
        <v>2.6413094157463846E-2</v>
      </c>
      <c r="AD407" s="3">
        <f t="shared" si="130"/>
        <v>85.553437159091089</v>
      </c>
      <c r="AE407" s="3">
        <f t="shared" si="130"/>
        <v>-370.67200227272485</v>
      </c>
      <c r="AF407" s="3">
        <f t="shared" si="130"/>
        <v>23246.254235343007</v>
      </c>
      <c r="AG407" s="3">
        <f t="shared" si="130"/>
        <v>0.37755140919620389</v>
      </c>
      <c r="AH407" s="233">
        <f t="shared" si="123"/>
        <v>3508.3568986363634</v>
      </c>
      <c r="AI407" s="233">
        <f t="shared" si="123"/>
        <v>80118.755365909077</v>
      </c>
      <c r="AJ407" s="233">
        <f t="shared" si="123"/>
        <v>2180487.9492290574</v>
      </c>
      <c r="AK407" s="233">
        <f t="shared" si="123"/>
        <v>1248756.2390906101</v>
      </c>
      <c r="AL407" s="233">
        <f t="shared" si="123"/>
        <v>38.393093704372902</v>
      </c>
      <c r="AM407" s="233">
        <f t="shared" si="122"/>
        <v>3422.8034614772723</v>
      </c>
      <c r="AN407" s="233">
        <f t="shared" si="122"/>
        <v>80489.427368181801</v>
      </c>
      <c r="AO407" s="233">
        <f t="shared" si="122"/>
        <v>2188185.3327156086</v>
      </c>
      <c r="AP407" s="233">
        <f t="shared" si="122"/>
        <v>1217812.601368716</v>
      </c>
      <c r="AQ407" s="233">
        <f t="shared" si="122"/>
        <v>38.015542295176701</v>
      </c>
      <c r="AR407">
        <v>115.31704545454546</v>
      </c>
      <c r="AS407" s="231">
        <f t="shared" si="138"/>
        <v>1648.3533794318182</v>
      </c>
    </row>
    <row r="408" spans="2:45" ht="87" x14ac:dyDescent="0.35">
      <c r="B408" s="56" t="s">
        <v>93</v>
      </c>
      <c r="C408" s="361" t="s">
        <v>221</v>
      </c>
      <c r="D408" s="56">
        <v>16</v>
      </c>
      <c r="E408" s="3">
        <v>18.28566</v>
      </c>
      <c r="F408" s="3">
        <v>22727.8</v>
      </c>
      <c r="G408" s="3">
        <v>550375</v>
      </c>
      <c r="H408" s="3">
        <v>130.99338967075599</v>
      </c>
      <c r="I408" s="3">
        <v>72.352711807835604</v>
      </c>
      <c r="J408" s="3">
        <f t="shared" si="132"/>
        <v>256.25301997033478</v>
      </c>
      <c r="K408" s="3">
        <v>22535.5</v>
      </c>
      <c r="L408" s="3">
        <v>550457</v>
      </c>
      <c r="M408" s="3">
        <v>130.970842354941</v>
      </c>
      <c r="N408" s="3">
        <v>71.726913348789196</v>
      </c>
      <c r="O408" s="3">
        <f t="shared" si="133"/>
        <v>255.22384353352084</v>
      </c>
      <c r="P408" s="3">
        <f t="shared" si="134"/>
        <v>258.27045454545453</v>
      </c>
      <c r="Q408" s="3">
        <f t="shared" si="135"/>
        <v>6254.261363636364</v>
      </c>
      <c r="R408" s="3">
        <f t="shared" si="126"/>
        <v>168356.27695184664</v>
      </c>
      <c r="S408" s="3">
        <f t="shared" si="126"/>
        <v>92989.678471206906</v>
      </c>
      <c r="T408" s="3">
        <f t="shared" si="127"/>
        <v>2.9119661360265314</v>
      </c>
      <c r="U408" s="3">
        <f t="shared" si="127"/>
        <v>256.08522727272725</v>
      </c>
      <c r="V408" s="3">
        <f t="shared" si="127"/>
        <v>6255.193181818182</v>
      </c>
      <c r="W408" s="3">
        <f t="shared" si="128"/>
        <v>168327.2985266344</v>
      </c>
      <c r="X408" s="3">
        <f t="shared" si="128"/>
        <v>92185.385224409751</v>
      </c>
      <c r="Y408" s="3">
        <f t="shared" si="131"/>
        <v>2.9002709492445549</v>
      </c>
      <c r="Z408" s="3">
        <f t="shared" si="129"/>
        <v>2.1852272727272748</v>
      </c>
      <c r="AA408" s="3">
        <f t="shared" si="129"/>
        <v>-0.93181818181801646</v>
      </c>
      <c r="AB408" s="3">
        <f t="shared" si="136"/>
        <v>833.27167200937402</v>
      </c>
      <c r="AC408" s="3">
        <f t="shared" si="137"/>
        <v>1.1695186781976563E-2</v>
      </c>
      <c r="AD408" s="3">
        <f t="shared" si="130"/>
        <v>39.958322931818216</v>
      </c>
      <c r="AE408" s="3">
        <f t="shared" si="130"/>
        <v>-17.038910454542432</v>
      </c>
      <c r="AF408" s="3">
        <f t="shared" si="130"/>
        <v>15236.92248199493</v>
      </c>
      <c r="AG408" s="3">
        <f t="shared" si="130"/>
        <v>0.21385420913171757</v>
      </c>
      <c r="AH408" s="233">
        <f t="shared" si="123"/>
        <v>4722.6457198636363</v>
      </c>
      <c r="AI408" s="233">
        <f t="shared" si="123"/>
        <v>114363.29684659092</v>
      </c>
      <c r="AJ408" s="233">
        <f t="shared" si="123"/>
        <v>3078505.639207304</v>
      </c>
      <c r="AK408" s="233">
        <f t="shared" si="123"/>
        <v>1700377.6440338092</v>
      </c>
      <c r="AL408" s="233">
        <f t="shared" si="123"/>
        <v>53.247222694894901</v>
      </c>
      <c r="AM408" s="233">
        <f t="shared" si="122"/>
        <v>4682.6873969318176</v>
      </c>
      <c r="AN408" s="233">
        <f t="shared" si="122"/>
        <v>114380.33575704545</v>
      </c>
      <c r="AO408" s="233">
        <f t="shared" si="122"/>
        <v>3077975.7495765379</v>
      </c>
      <c r="AP408" s="233">
        <f t="shared" si="122"/>
        <v>1685670.6111825805</v>
      </c>
      <c r="AQ408" s="233">
        <f t="shared" si="122"/>
        <v>53.033368485763184</v>
      </c>
      <c r="AR408">
        <v>115.31704545454546</v>
      </c>
      <c r="AS408" s="231">
        <f t="shared" si="138"/>
        <v>2108.648285386364</v>
      </c>
    </row>
    <row r="409" spans="2:45" ht="87" x14ac:dyDescent="0.35">
      <c r="B409" s="56" t="s">
        <v>94</v>
      </c>
      <c r="C409" s="361" t="s">
        <v>221</v>
      </c>
      <c r="D409" s="56">
        <v>1</v>
      </c>
      <c r="E409" s="3">
        <v>2.9812500000000002</v>
      </c>
      <c r="F409" s="3">
        <v>24205.5</v>
      </c>
      <c r="G409" s="3">
        <v>466699</v>
      </c>
      <c r="H409" s="3">
        <v>102.64452380820801</v>
      </c>
      <c r="I409" s="3">
        <v>68.761622231841798</v>
      </c>
      <c r="J409" s="3">
        <f t="shared" si="132"/>
        <v>244.20098672412229</v>
      </c>
      <c r="K409" s="3">
        <v>23245.200000000001</v>
      </c>
      <c r="L409" s="3">
        <v>474464</v>
      </c>
      <c r="M409" s="3">
        <v>103.98769808386599</v>
      </c>
      <c r="N409" s="3">
        <v>65.994640441763096</v>
      </c>
      <c r="O409" s="3">
        <f t="shared" si="133"/>
        <v>240.82946877002632</v>
      </c>
      <c r="P409" s="3">
        <f t="shared" si="134"/>
        <v>206.88461538461539</v>
      </c>
      <c r="Q409" s="3">
        <f t="shared" si="135"/>
        <v>3988.8803418803418</v>
      </c>
      <c r="R409" s="3">
        <f t="shared" si="126"/>
        <v>110013.87423546397</v>
      </c>
      <c r="S409" s="3">
        <f t="shared" si="126"/>
        <v>73698.354084384293</v>
      </c>
      <c r="T409" s="3">
        <f t="shared" si="127"/>
        <v>2.0871879207189941</v>
      </c>
      <c r="U409" s="3">
        <f t="shared" si="127"/>
        <v>198.67692307692309</v>
      </c>
      <c r="V409" s="3">
        <f t="shared" si="127"/>
        <v>4055.2478632478633</v>
      </c>
      <c r="W409" s="3">
        <f t="shared" si="128"/>
        <v>111453.48153604098</v>
      </c>
      <c r="X409" s="3">
        <f t="shared" si="128"/>
        <v>70732.71719142815</v>
      </c>
      <c r="Y409" s="3">
        <f t="shared" si="131"/>
        <v>2.058371527948943</v>
      </c>
      <c r="Z409" s="3">
        <f t="shared" si="129"/>
        <v>8.2076923076922981</v>
      </c>
      <c r="AA409" s="3">
        <f t="shared" si="129"/>
        <v>-66.367521367521476</v>
      </c>
      <c r="AB409" s="3">
        <f t="shared" si="136"/>
        <v>1526.0295923791127</v>
      </c>
      <c r="AC409" s="3">
        <f t="shared" si="137"/>
        <v>2.8816392770051102E-2</v>
      </c>
      <c r="AD409" s="3">
        <f t="shared" si="130"/>
        <v>24.469182692307665</v>
      </c>
      <c r="AE409" s="3">
        <f t="shared" si="130"/>
        <v>-197.85817307692341</v>
      </c>
      <c r="AF409" s="3">
        <f t="shared" si="130"/>
        <v>4549.47572228023</v>
      </c>
      <c r="AG409" s="3">
        <f t="shared" si="130"/>
        <v>8.5908870945714852E-2</v>
      </c>
      <c r="AH409" s="233">
        <f t="shared" si="123"/>
        <v>616.77475961538471</v>
      </c>
      <c r="AI409" s="233">
        <f t="shared" si="123"/>
        <v>11891.849519230769</v>
      </c>
      <c r="AJ409" s="233">
        <f t="shared" si="123"/>
        <v>327978.86256447696</v>
      </c>
      <c r="AK409" s="233">
        <f t="shared" si="123"/>
        <v>219713.21811407068</v>
      </c>
      <c r="AL409" s="233">
        <f t="shared" si="123"/>
        <v>6.2224289886435011</v>
      </c>
      <c r="AM409" s="233">
        <f t="shared" si="122"/>
        <v>592.30557692307696</v>
      </c>
      <c r="AN409" s="233">
        <f t="shared" si="122"/>
        <v>12089.707692307693</v>
      </c>
      <c r="AO409" s="233">
        <f t="shared" si="122"/>
        <v>332270.6918293222</v>
      </c>
      <c r="AP409" s="233">
        <f t="shared" si="122"/>
        <v>210871.91312694518</v>
      </c>
      <c r="AQ409" s="233">
        <f t="shared" si="122"/>
        <v>6.1365201176977866</v>
      </c>
      <c r="AR409">
        <v>176.49149572649574</v>
      </c>
      <c r="AS409" s="231">
        <f t="shared" si="138"/>
        <v>526.16527163461546</v>
      </c>
    </row>
    <row r="410" spans="2:45" ht="87" x14ac:dyDescent="0.35">
      <c r="B410" s="56" t="s">
        <v>94</v>
      </c>
      <c r="C410" s="361" t="s">
        <v>221</v>
      </c>
      <c r="D410" s="56">
        <v>16</v>
      </c>
      <c r="E410" s="3">
        <v>3.8137500000000006</v>
      </c>
      <c r="F410" s="3">
        <v>26749.200000000001</v>
      </c>
      <c r="G410" s="3">
        <v>525858</v>
      </c>
      <c r="H410" s="3">
        <v>114.36096864765</v>
      </c>
      <c r="I410" s="3">
        <v>76.888637075749799</v>
      </c>
      <c r="J410" s="3">
        <f t="shared" si="132"/>
        <v>272.29462868747163</v>
      </c>
      <c r="K410" s="3">
        <v>26376.1</v>
      </c>
      <c r="L410" s="3">
        <v>526499</v>
      </c>
      <c r="M410" s="3">
        <v>114.433810355815</v>
      </c>
      <c r="N410" s="3">
        <v>75.797684204613702</v>
      </c>
      <c r="O410" s="3">
        <f t="shared" si="133"/>
        <v>270.4136515309807</v>
      </c>
      <c r="P410" s="3">
        <f t="shared" si="134"/>
        <v>228.62564102564104</v>
      </c>
      <c r="Q410" s="3">
        <f t="shared" si="135"/>
        <v>4494.5128205128203</v>
      </c>
      <c r="R410" s="3">
        <f t="shared" si="126"/>
        <v>122571.49973004538</v>
      </c>
      <c r="S410" s="3">
        <f t="shared" si="126"/>
        <v>82408.846917085684</v>
      </c>
      <c r="T410" s="3">
        <f t="shared" si="127"/>
        <v>2.3273045186963386</v>
      </c>
      <c r="U410" s="3">
        <f t="shared" si="127"/>
        <v>225.43675213675212</v>
      </c>
      <c r="V410" s="3">
        <f t="shared" si="127"/>
        <v>4499.9914529914531</v>
      </c>
      <c r="W410" s="3">
        <f t="shared" si="128"/>
        <v>122649.57109930941</v>
      </c>
      <c r="X410" s="3">
        <f t="shared" si="128"/>
        <v>81239.569224432125</v>
      </c>
      <c r="Y410" s="3">
        <f t="shared" si="131"/>
        <v>2.3112277908630827</v>
      </c>
      <c r="Z410" s="3">
        <f t="shared" si="129"/>
        <v>3.1888888888889255</v>
      </c>
      <c r="AA410" s="3">
        <f t="shared" si="129"/>
        <v>-5.4786324786327896</v>
      </c>
      <c r="AB410" s="3">
        <f t="shared" si="136"/>
        <v>1091.206323389546</v>
      </c>
      <c r="AC410" s="3">
        <f t="shared" si="137"/>
        <v>1.6076727833255866E-2</v>
      </c>
      <c r="AD410" s="3">
        <f t="shared" si="130"/>
        <v>12.161625000000141</v>
      </c>
      <c r="AE410" s="3">
        <f t="shared" si="130"/>
        <v>-20.894134615385806</v>
      </c>
      <c r="AF410" s="3">
        <f t="shared" si="130"/>
        <v>4161.5881158268821</v>
      </c>
      <c r="AG410" s="3">
        <f t="shared" si="130"/>
        <v>6.131262077407957E-2</v>
      </c>
      <c r="AH410" s="233">
        <f t="shared" si="123"/>
        <v>871.92103846153873</v>
      </c>
      <c r="AI410" s="233">
        <f t="shared" si="123"/>
        <v>17140.948269230772</v>
      </c>
      <c r="AJ410" s="233">
        <f t="shared" si="123"/>
        <v>467457.05709546065</v>
      </c>
      <c r="AK410" s="233">
        <f t="shared" si="123"/>
        <v>314286.7399300356</v>
      </c>
      <c r="AL410" s="233">
        <f t="shared" si="123"/>
        <v>8.8757576081781622</v>
      </c>
      <c r="AM410" s="233">
        <f t="shared" si="122"/>
        <v>859.75941346153854</v>
      </c>
      <c r="AN410" s="233">
        <f t="shared" si="122"/>
        <v>17161.842403846156</v>
      </c>
      <c r="AO410" s="233">
        <f t="shared" si="122"/>
        <v>467754.80177999137</v>
      </c>
      <c r="AP410" s="233">
        <f t="shared" si="122"/>
        <v>309827.40712967806</v>
      </c>
      <c r="AQ410" s="233">
        <f t="shared" si="122"/>
        <v>8.8144449874040838</v>
      </c>
      <c r="AR410">
        <v>176.49149572649574</v>
      </c>
      <c r="AS410" s="231">
        <f t="shared" si="138"/>
        <v>673.09444182692323</v>
      </c>
    </row>
    <row r="411" spans="2:45" ht="87" x14ac:dyDescent="0.35">
      <c r="B411" s="56" t="s">
        <v>93</v>
      </c>
      <c r="C411" s="361" t="s">
        <v>226</v>
      </c>
      <c r="D411" s="56">
        <v>2</v>
      </c>
      <c r="E411" s="3">
        <v>350.08862919488894</v>
      </c>
      <c r="F411" s="3">
        <v>17636.099999999999</v>
      </c>
      <c r="G411" s="3">
        <v>568248.27529999998</v>
      </c>
      <c r="H411" s="3">
        <v>146.242079421006</v>
      </c>
      <c r="I411" s="3">
        <v>55.696626712930701</v>
      </c>
      <c r="J411" s="3">
        <f t="shared" si="132"/>
        <v>232.77668222110208</v>
      </c>
      <c r="K411" s="3">
        <v>17602.900000000001</v>
      </c>
      <c r="L411" s="3">
        <v>566222.97530000005</v>
      </c>
      <c r="M411" s="3">
        <v>145.53812551057001</v>
      </c>
      <c r="N411" s="3">
        <v>55.586760939236498</v>
      </c>
      <c r="O411" s="3">
        <f t="shared" si="133"/>
        <v>232.10880220563445</v>
      </c>
      <c r="P411" s="3">
        <f t="shared" si="134"/>
        <v>200.41022727272727</v>
      </c>
      <c r="Q411" s="3">
        <f t="shared" si="135"/>
        <v>6457.366764772727</v>
      </c>
      <c r="R411" s="3">
        <f t="shared" si="126"/>
        <v>187954.30889222474</v>
      </c>
      <c r="S411" s="3">
        <f t="shared" si="126"/>
        <v>71582.823650368882</v>
      </c>
      <c r="T411" s="3">
        <f t="shared" si="127"/>
        <v>2.6451895706943418</v>
      </c>
      <c r="U411" s="3">
        <f t="shared" si="127"/>
        <v>200.03295454545457</v>
      </c>
      <c r="V411" s="3">
        <f t="shared" si="127"/>
        <v>6434.3519920454555</v>
      </c>
      <c r="W411" s="3">
        <f t="shared" si="128"/>
        <v>187049.56812778942</v>
      </c>
      <c r="X411" s="3">
        <f t="shared" si="128"/>
        <v>71441.621161677816</v>
      </c>
      <c r="Y411" s="3">
        <f t="shared" si="131"/>
        <v>2.6376000250640277</v>
      </c>
      <c r="Z411" s="3">
        <f t="shared" si="129"/>
        <v>0.37727272727269678</v>
      </c>
      <c r="AA411" s="3">
        <f t="shared" si="129"/>
        <v>23.01477272727152</v>
      </c>
      <c r="AB411" s="3">
        <f t="shared" si="136"/>
        <v>1045.9432531264029</v>
      </c>
      <c r="AC411" s="3">
        <f t="shared" si="137"/>
        <v>7.5895456303141096E-3</v>
      </c>
      <c r="AD411" s="3">
        <f t="shared" si="130"/>
        <v>132.07889192351561</v>
      </c>
      <c r="AE411" s="3">
        <f t="shared" si="130"/>
        <v>8057.2102353224018</v>
      </c>
      <c r="AF411" s="3">
        <f t="shared" si="130"/>
        <v>366172.83970266511</v>
      </c>
      <c r="AG411" s="3">
        <f t="shared" si="130"/>
        <v>2.6570136259287258</v>
      </c>
      <c r="AH411" s="233">
        <f t="shared" si="123"/>
        <v>70161.341742545235</v>
      </c>
      <c r="AI411" s="233">
        <f t="shared" si="123"/>
        <v>2260650.6788879191</v>
      </c>
      <c r="AJ411" s="233">
        <f t="shared" si="123"/>
        <v>65800666.351351686</v>
      </c>
      <c r="AK411" s="233">
        <f t="shared" si="123"/>
        <v>25060332.605657119</v>
      </c>
      <c r="AL411" s="233">
        <f t="shared" si="123"/>
        <v>926.05079076499885</v>
      </c>
      <c r="AM411" s="233">
        <f t="shared" si="122"/>
        <v>70029.262850621715</v>
      </c>
      <c r="AN411" s="233">
        <f t="shared" si="122"/>
        <v>2252593.4686525962</v>
      </c>
      <c r="AO411" s="233">
        <f t="shared" si="122"/>
        <v>65483926.897353783</v>
      </c>
      <c r="AP411" s="233">
        <f t="shared" si="122"/>
        <v>25010899.219952356</v>
      </c>
      <c r="AQ411" s="233">
        <f t="shared" si="122"/>
        <v>923.39377713907015</v>
      </c>
      <c r="AR411">
        <v>147</v>
      </c>
      <c r="AS411" s="231">
        <f t="shared" si="138"/>
        <v>51463.028491648671</v>
      </c>
    </row>
    <row r="412" spans="2:45" ht="87" x14ac:dyDescent="0.35">
      <c r="B412" s="56" t="s">
        <v>93</v>
      </c>
      <c r="C412" s="361" t="s">
        <v>226</v>
      </c>
      <c r="D412" s="56">
        <v>4</v>
      </c>
      <c r="E412">
        <v>884.68042024773274</v>
      </c>
      <c r="F412" s="3">
        <v>15091.1</v>
      </c>
      <c r="G412" s="3">
        <v>590475.91392000008</v>
      </c>
      <c r="H412" s="3">
        <v>150.74090544696799</v>
      </c>
      <c r="I412" s="3">
        <v>47.503362752229698</v>
      </c>
      <c r="J412" s="3">
        <f t="shared" si="132"/>
        <v>224.23772241465798</v>
      </c>
      <c r="K412" s="3">
        <v>15075.6</v>
      </c>
      <c r="L412" s="3">
        <v>587834.91392000008</v>
      </c>
      <c r="M412" s="3">
        <v>149.896942871947</v>
      </c>
      <c r="N412" s="3">
        <v>47.452060560830297</v>
      </c>
      <c r="O412" s="3">
        <f t="shared" si="133"/>
        <v>223.51839846019911</v>
      </c>
      <c r="P412" s="3">
        <f t="shared" si="134"/>
        <v>171.48977272727274</v>
      </c>
      <c r="Q412" s="3">
        <f t="shared" si="135"/>
        <v>6709.9535672727279</v>
      </c>
      <c r="R412" s="3">
        <f t="shared" si="126"/>
        <v>193736.32279604636</v>
      </c>
      <c r="S412" s="3">
        <f t="shared" si="126"/>
        <v>61052.617355422488</v>
      </c>
      <c r="T412" s="3">
        <f t="shared" si="127"/>
        <v>2.5481559365302044</v>
      </c>
      <c r="U412" s="3">
        <f t="shared" si="127"/>
        <v>171.31363636363636</v>
      </c>
      <c r="V412" s="3">
        <f t="shared" si="127"/>
        <v>6679.9422036363649</v>
      </c>
      <c r="W412" s="3">
        <f t="shared" si="128"/>
        <v>192651.63907746825</v>
      </c>
      <c r="X412" s="3">
        <f t="shared" si="128"/>
        <v>60986.6823798853</v>
      </c>
      <c r="Y412" s="3">
        <f t="shared" si="131"/>
        <v>2.5399818006840809</v>
      </c>
      <c r="Z412" s="3">
        <f t="shared" si="129"/>
        <v>0.17613636363637397</v>
      </c>
      <c r="AA412" s="3">
        <f t="shared" si="129"/>
        <v>30.011363636363058</v>
      </c>
      <c r="AB412" s="3">
        <f t="shared" si="136"/>
        <v>1150.6186941152991</v>
      </c>
      <c r="AC412" s="3">
        <f t="shared" si="137"/>
        <v>8.1741358461235869E-3</v>
      </c>
      <c r="AD412" s="3">
        <f t="shared" si="130"/>
        <v>155.8243922027348</v>
      </c>
      <c r="AE412" s="3">
        <f t="shared" si="130"/>
        <v>26550.465794025193</v>
      </c>
      <c r="AF412" s="3">
        <f t="shared" si="130"/>
        <v>1017929.8298548203</v>
      </c>
      <c r="AG412" s="3">
        <f t="shared" si="130"/>
        <v>7.2314979355106717</v>
      </c>
      <c r="AH412" s="233">
        <f t="shared" si="123"/>
        <v>151713.64420455182</v>
      </c>
      <c r="AI412" s="233">
        <f t="shared" si="123"/>
        <v>5936164.5417376105</v>
      </c>
      <c r="AJ412" s="233">
        <f t="shared" si="123"/>
        <v>171394731.46845669</v>
      </c>
      <c r="AK412" s="233">
        <f t="shared" si="123"/>
        <v>54012055.179219186</v>
      </c>
      <c r="AL412" s="233">
        <f t="shared" si="123"/>
        <v>2254.3036647862964</v>
      </c>
      <c r="AM412" s="233">
        <f t="shared" si="122"/>
        <v>151557.81981234907</v>
      </c>
      <c r="AN412" s="233">
        <f t="shared" si="122"/>
        <v>5909614.0759435855</v>
      </c>
      <c r="AO412" s="233">
        <f t="shared" si="122"/>
        <v>170435133.02046913</v>
      </c>
      <c r="AP412" s="233">
        <f t="shared" si="122"/>
        <v>53953723.797351927</v>
      </c>
      <c r="AQ412" s="233">
        <f t="shared" si="122"/>
        <v>2247.0721668507854</v>
      </c>
      <c r="AR412">
        <v>147</v>
      </c>
      <c r="AS412" s="231">
        <f t="shared" si="138"/>
        <v>130048.02177641672</v>
      </c>
    </row>
    <row r="413" spans="2:45" ht="87" x14ac:dyDescent="0.35">
      <c r="B413" s="56" t="s">
        <v>93</v>
      </c>
      <c r="C413" s="361" t="s">
        <v>226</v>
      </c>
      <c r="D413" s="56">
        <v>6</v>
      </c>
      <c r="E413">
        <v>750.03094748046772</v>
      </c>
      <c r="F413" s="3">
        <v>13039.9</v>
      </c>
      <c r="G413" s="3">
        <v>605381.05392000009</v>
      </c>
      <c r="H413" s="3">
        <v>147.42629658409101</v>
      </c>
      <c r="I413" s="3">
        <v>40.848096854196399</v>
      </c>
      <c r="J413" s="3">
        <f t="shared" si="132"/>
        <v>216.63214990402565</v>
      </c>
      <c r="K413" s="3">
        <v>13035.4</v>
      </c>
      <c r="L413" s="3">
        <v>602470.75392000005</v>
      </c>
      <c r="M413" s="3">
        <v>146.70770853573899</v>
      </c>
      <c r="N413" s="3">
        <v>40.833044164458201</v>
      </c>
      <c r="O413" s="3">
        <f t="shared" si="133"/>
        <v>215.90809671718898</v>
      </c>
      <c r="P413" s="3">
        <f t="shared" si="134"/>
        <v>148.18068181818182</v>
      </c>
      <c r="Q413" s="3">
        <f t="shared" si="135"/>
        <v>6879.3301581818196</v>
      </c>
      <c r="R413" s="3">
        <f t="shared" si="126"/>
        <v>189476.29708705333</v>
      </c>
      <c r="S413" s="3">
        <f t="shared" si="126"/>
        <v>52499.088116018327</v>
      </c>
      <c r="T413" s="3">
        <f t="shared" si="127"/>
        <v>2.4617289761821097</v>
      </c>
      <c r="U413" s="3">
        <f t="shared" si="127"/>
        <v>148.12954545454545</v>
      </c>
      <c r="V413" s="3">
        <f t="shared" si="127"/>
        <v>6846.2585672727282</v>
      </c>
      <c r="W413" s="3">
        <f t="shared" si="128"/>
        <v>188552.74812945546</v>
      </c>
      <c r="X413" s="3">
        <f t="shared" si="128"/>
        <v>52479.741988638896</v>
      </c>
      <c r="Y413" s="3">
        <f t="shared" si="131"/>
        <v>2.4535010990589656</v>
      </c>
      <c r="Z413" s="3">
        <f t="shared" si="129"/>
        <v>5.1136363636373972E-2</v>
      </c>
      <c r="AA413" s="3">
        <f t="shared" si="129"/>
        <v>33.071590909091356</v>
      </c>
      <c r="AB413" s="3">
        <f t="shared" si="136"/>
        <v>942.89508497731003</v>
      </c>
      <c r="AC413" s="3">
        <f t="shared" si="137"/>
        <v>8.2278771231441006E-3</v>
      </c>
      <c r="AD413" s="3">
        <f t="shared" si="130"/>
        <v>38.353855268895302</v>
      </c>
      <c r="AE413" s="3">
        <f t="shared" si="130"/>
        <v>24804.716664232212</v>
      </c>
      <c r="AF413" s="3">
        <f t="shared" si="130"/>
        <v>707200.49396020791</v>
      </c>
      <c r="AG413" s="3">
        <f t="shared" si="130"/>
        <v>6.1711624744246345</v>
      </c>
      <c r="AH413" s="233">
        <f t="shared" si="123"/>
        <v>111140.09718239262</v>
      </c>
      <c r="AI413" s="233">
        <f t="shared" si="123"/>
        <v>5159710.5165720657</v>
      </c>
      <c r="AJ413" s="233">
        <f t="shared" si="123"/>
        <v>142113086.6292932</v>
      </c>
      <c r="AK413" s="233">
        <f t="shared" si="123"/>
        <v>39375940.801517792</v>
      </c>
      <c r="AL413" s="233">
        <f t="shared" si="123"/>
        <v>1846.3729164459894</v>
      </c>
      <c r="AM413" s="233">
        <f t="shared" si="122"/>
        <v>111101.74332712374</v>
      </c>
      <c r="AN413" s="233">
        <f t="shared" si="122"/>
        <v>5134905.7999078333</v>
      </c>
      <c r="AO413" s="233">
        <f t="shared" si="122"/>
        <v>141420396.32958147</v>
      </c>
      <c r="AP413" s="233">
        <f t="shared" si="122"/>
        <v>39361430.607269317</v>
      </c>
      <c r="AQ413" s="233">
        <f t="shared" si="122"/>
        <v>1840.2017539715648</v>
      </c>
      <c r="AR413">
        <v>147</v>
      </c>
      <c r="AS413" s="231">
        <f t="shared" si="138"/>
        <v>110254.54927962876</v>
      </c>
    </row>
    <row r="414" spans="2:45" ht="87" x14ac:dyDescent="0.35">
      <c r="B414" s="56" t="s">
        <v>93</v>
      </c>
      <c r="C414" s="361" t="s">
        <v>226</v>
      </c>
      <c r="D414" s="56">
        <v>8</v>
      </c>
      <c r="E414" s="3">
        <v>1054.494548712895</v>
      </c>
      <c r="F414" s="3">
        <v>12635</v>
      </c>
      <c r="G414" s="3">
        <v>633344.94824000017</v>
      </c>
      <c r="H414" s="3">
        <v>155.638087124317</v>
      </c>
      <c r="I414" s="3">
        <v>39.602071039913497</v>
      </c>
      <c r="J414" s="3">
        <f t="shared" si="132"/>
        <v>221.14494568082438</v>
      </c>
      <c r="K414" s="3">
        <v>12630.6</v>
      </c>
      <c r="L414" s="3">
        <v>629657.84824000008</v>
      </c>
      <c r="M414" s="3">
        <v>154.67166610623801</v>
      </c>
      <c r="N414" s="3">
        <v>39.587107056622202</v>
      </c>
      <c r="O414" s="3">
        <f t="shared" si="133"/>
        <v>220.23472933831323</v>
      </c>
      <c r="P414" s="3">
        <f t="shared" si="134"/>
        <v>143.57954545454547</v>
      </c>
      <c r="Q414" s="3">
        <f t="shared" si="135"/>
        <v>7197.1016845454569</v>
      </c>
      <c r="R414" s="3">
        <f t="shared" si="126"/>
        <v>200030.31424727559</v>
      </c>
      <c r="S414" s="3">
        <f t="shared" si="126"/>
        <v>50897.661756979738</v>
      </c>
      <c r="T414" s="3">
        <f t="shared" si="127"/>
        <v>2.5130107463730043</v>
      </c>
      <c r="U414" s="3">
        <f t="shared" si="127"/>
        <v>143.52954545454546</v>
      </c>
      <c r="V414" s="3">
        <f t="shared" si="127"/>
        <v>7155.2028209090922</v>
      </c>
      <c r="W414" s="3">
        <f t="shared" si="128"/>
        <v>198788.24359790361</v>
      </c>
      <c r="X414" s="3">
        <f t="shared" si="128"/>
        <v>50878.429637545123</v>
      </c>
      <c r="Y414" s="3">
        <f t="shared" si="131"/>
        <v>2.5026673788444684</v>
      </c>
      <c r="Z414" s="3">
        <f t="shared" si="129"/>
        <v>5.0000000000011369E-2</v>
      </c>
      <c r="AA414" s="3">
        <f t="shared" si="129"/>
        <v>41.898863636364695</v>
      </c>
      <c r="AB414" s="3">
        <f t="shared" si="136"/>
        <v>1261.3027688065922</v>
      </c>
      <c r="AC414" s="3">
        <f t="shared" si="137"/>
        <v>1.0343367528535818E-2</v>
      </c>
      <c r="AD414" s="3">
        <f t="shared" si="130"/>
        <v>52.724727435656739</v>
      </c>
      <c r="AE414" s="3">
        <f t="shared" si="130"/>
        <v>44182.123301811516</v>
      </c>
      <c r="AF414" s="3">
        <f t="shared" si="130"/>
        <v>1330036.8939830326</v>
      </c>
      <c r="AG414" s="3">
        <f t="shared" si="130"/>
        <v>10.907024674174991</v>
      </c>
      <c r="AH414" s="233">
        <f t="shared" si="123"/>
        <v>151403.84798849354</v>
      </c>
      <c r="AI414" s="233">
        <f t="shared" si="123"/>
        <v>7589304.4928855784</v>
      </c>
      <c r="AJ414" s="233">
        <f t="shared" si="123"/>
        <v>210930875.95107946</v>
      </c>
      <c r="AK414" s="233">
        <f t="shared" si="123"/>
        <v>53671306.864967927</v>
      </c>
      <c r="AL414" s="233">
        <f t="shared" si="123"/>
        <v>2649.9561329072567</v>
      </c>
      <c r="AM414" s="233">
        <f t="shared" si="122"/>
        <v>151351.12326105786</v>
      </c>
      <c r="AN414" s="233">
        <f t="shared" si="122"/>
        <v>7545122.3695837669</v>
      </c>
      <c r="AO414" s="233">
        <f t="shared" si="122"/>
        <v>209621119.22220042</v>
      </c>
      <c r="AP414" s="233">
        <f t="shared" si="122"/>
        <v>53651026.699863926</v>
      </c>
      <c r="AQ414" s="233">
        <f t="shared" si="122"/>
        <v>2639.0491082330818</v>
      </c>
      <c r="AR414">
        <v>147</v>
      </c>
      <c r="AS414" s="231">
        <f t="shared" si="138"/>
        <v>155010.69866079558</v>
      </c>
    </row>
    <row r="415" spans="2:45" ht="87" x14ac:dyDescent="0.35">
      <c r="B415" s="56" t="s">
        <v>93</v>
      </c>
      <c r="C415" s="361" t="s">
        <v>226</v>
      </c>
      <c r="D415" s="56">
        <v>9</v>
      </c>
      <c r="E415" s="3">
        <v>2475.7698100215798</v>
      </c>
      <c r="F415" s="3">
        <v>13172.7</v>
      </c>
      <c r="G415" s="3">
        <v>629075.52282000019</v>
      </c>
      <c r="H415" s="3">
        <v>156.68906463086901</v>
      </c>
      <c r="I415" s="3">
        <v>41.371432038402098</v>
      </c>
      <c r="J415" s="3">
        <f t="shared" si="132"/>
        <v>223.05160685428973</v>
      </c>
      <c r="K415" s="3">
        <v>13165.4</v>
      </c>
      <c r="L415" s="3">
        <v>625438.32282000012</v>
      </c>
      <c r="M415" s="3">
        <v>155.700374836789</v>
      </c>
      <c r="N415" s="3">
        <v>41.346973600240297</v>
      </c>
      <c r="O415" s="3">
        <f t="shared" si="133"/>
        <v>222.13756645176767</v>
      </c>
      <c r="P415" s="3">
        <f t="shared" si="134"/>
        <v>149.68977272727273</v>
      </c>
      <c r="Q415" s="3">
        <f t="shared" si="135"/>
        <v>7148.5854865909114</v>
      </c>
      <c r="R415" s="3">
        <f t="shared" si="126"/>
        <v>201381.05920171915</v>
      </c>
      <c r="S415" s="3">
        <f t="shared" si="126"/>
        <v>53171.692767537243</v>
      </c>
      <c r="T415" s="3">
        <f t="shared" si="127"/>
        <v>2.5346773506169287</v>
      </c>
      <c r="U415" s="3">
        <f t="shared" si="127"/>
        <v>149.60681818181817</v>
      </c>
      <c r="V415" s="3">
        <f t="shared" si="127"/>
        <v>7107.2536684090919</v>
      </c>
      <c r="W415" s="3">
        <f t="shared" si="128"/>
        <v>200110.36811410042</v>
      </c>
      <c r="X415" s="3">
        <f t="shared" si="128"/>
        <v>53140.258115763383</v>
      </c>
      <c r="Y415" s="3">
        <f t="shared" si="131"/>
        <v>2.5242905278609964</v>
      </c>
      <c r="Z415" s="3">
        <f t="shared" ref="Z415:AA442" si="139">P415-U415</f>
        <v>8.2954545454555273E-2</v>
      </c>
      <c r="AA415" s="3">
        <f t="shared" si="139"/>
        <v>41.331818181819472</v>
      </c>
      <c r="AB415" s="3">
        <f t="shared" si="136"/>
        <v>1302.1257393925771</v>
      </c>
      <c r="AC415" s="3">
        <f t="shared" si="137"/>
        <v>1.0386822755932279E-2</v>
      </c>
      <c r="AD415" s="3">
        <f t="shared" ref="AD415:AG442" si="140">Z415*$E415</f>
        <v>205.37635924045082</v>
      </c>
      <c r="AE415" s="3">
        <f t="shared" si="140"/>
        <v>102328.06764784968</v>
      </c>
      <c r="AF415" s="3">
        <f t="shared" si="140"/>
        <v>3223763.5944401696</v>
      </c>
      <c r="AG415" s="3">
        <f t="shared" si="140"/>
        <v>25.71538220118228</v>
      </c>
      <c r="AH415" s="233">
        <f t="shared" si="123"/>
        <v>370597.42018717347</v>
      </c>
      <c r="AI415" s="233">
        <f t="shared" si="123"/>
        <v>17698252.132060204</v>
      </c>
      <c r="AJ415" s="233">
        <f t="shared" si="123"/>
        <v>498573146.68178475</v>
      </c>
      <c r="AK415" s="233">
        <f t="shared" si="123"/>
        <v>131640871.70161149</v>
      </c>
      <c r="AL415" s="233">
        <f t="shared" si="123"/>
        <v>6275.2776628028751</v>
      </c>
      <c r="AM415" s="233">
        <f t="shared" si="122"/>
        <v>370392.04382793303</v>
      </c>
      <c r="AN415" s="233">
        <f t="shared" si="122"/>
        <v>17595924.064412355</v>
      </c>
      <c r="AO415" s="233">
        <f t="shared" si="122"/>
        <v>495427208.04919481</v>
      </c>
      <c r="AP415" s="233">
        <f t="shared" si="122"/>
        <v>131563046.73976123</v>
      </c>
      <c r="AQ415" s="233">
        <f t="shared" si="122"/>
        <v>6249.5622806016927</v>
      </c>
      <c r="AR415">
        <v>147</v>
      </c>
      <c r="AS415" s="231">
        <f t="shared" si="138"/>
        <v>363938.16207317222</v>
      </c>
    </row>
    <row r="416" spans="2:45" ht="87" x14ac:dyDescent="0.35">
      <c r="B416" s="56" t="s">
        <v>93</v>
      </c>
      <c r="C416" s="361" t="s">
        <v>226</v>
      </c>
      <c r="D416" s="56">
        <v>10</v>
      </c>
      <c r="E416" s="3">
        <v>874.66517020719243</v>
      </c>
      <c r="F416" s="3">
        <v>12739.5</v>
      </c>
      <c r="G416" s="3">
        <v>646836.1137300001</v>
      </c>
      <c r="H416" s="3">
        <v>158.04442574492001</v>
      </c>
      <c r="I416" s="3">
        <v>40.161724224181697</v>
      </c>
      <c r="J416" s="3">
        <f t="shared" si="132"/>
        <v>224.95761650062417</v>
      </c>
      <c r="K416" s="3">
        <v>12727.9</v>
      </c>
      <c r="L416" s="3">
        <v>642789.01373000012</v>
      </c>
      <c r="M416" s="3">
        <v>157.00371881622999</v>
      </c>
      <c r="N416" s="3">
        <v>40.123014624438497</v>
      </c>
      <c r="O416" s="3">
        <f t="shared" si="133"/>
        <v>223.92160012255101</v>
      </c>
      <c r="P416" s="3">
        <f t="shared" si="134"/>
        <v>144.76704545454547</v>
      </c>
      <c r="Q416" s="3">
        <f t="shared" si="135"/>
        <v>7350.4103832954561</v>
      </c>
      <c r="R416" s="3">
        <f t="shared" si="126"/>
        <v>203123.00626989151</v>
      </c>
      <c r="S416" s="3">
        <f t="shared" si="126"/>
        <v>51616.943292669886</v>
      </c>
      <c r="T416" s="3">
        <f t="shared" si="127"/>
        <v>2.5563365511434566</v>
      </c>
      <c r="U416" s="3">
        <f t="shared" si="127"/>
        <v>144.63522727272726</v>
      </c>
      <c r="V416" s="3">
        <f t="shared" si="127"/>
        <v>7304.4206105681833</v>
      </c>
      <c r="W416" s="3">
        <f t="shared" si="128"/>
        <v>201785.46134222284</v>
      </c>
      <c r="X416" s="3">
        <f t="shared" si="128"/>
        <v>51567.192659363573</v>
      </c>
      <c r="Y416" s="3">
        <f t="shared" si="131"/>
        <v>2.5445636377562617</v>
      </c>
      <c r="Z416" s="3">
        <f t="shared" si="139"/>
        <v>0.13181818181820404</v>
      </c>
      <c r="AA416" s="3">
        <f t="shared" si="139"/>
        <v>45.989772727272793</v>
      </c>
      <c r="AB416" s="3">
        <f t="shared" si="136"/>
        <v>1387.2955609749915</v>
      </c>
      <c r="AC416" s="3">
        <f t="shared" si="137"/>
        <v>1.1772913387194883E-2</v>
      </c>
      <c r="AD416" s="3">
        <f t="shared" si="140"/>
        <v>115.29677243642207</v>
      </c>
      <c r="AE416" s="3">
        <f t="shared" si="140"/>
        <v>40225.652390290154</v>
      </c>
      <c r="AF416" s="3">
        <f t="shared" si="140"/>
        <v>1213419.1079678736</v>
      </c>
      <c r="AG416" s="3">
        <f t="shared" si="140"/>
        <v>10.297357291645348</v>
      </c>
      <c r="AH416" s="233">
        <f t="shared" si="123"/>
        <v>126622.69245289237</v>
      </c>
      <c r="AI416" s="233">
        <f t="shared" si="123"/>
        <v>6429147.9489978347</v>
      </c>
      <c r="AJ416" s="233">
        <f t="shared" si="123"/>
        <v>177664618.85205129</v>
      </c>
      <c r="AK416" s="233">
        <f t="shared" si="123"/>
        <v>45147542.490658104</v>
      </c>
      <c r="AL416" s="233">
        <f t="shared" si="123"/>
        <v>2235.938544612759</v>
      </c>
      <c r="AM416" s="233">
        <f t="shared" ref="AM416:AQ466" si="141">U416*$E416</f>
        <v>126507.39568045596</v>
      </c>
      <c r="AN416" s="233">
        <f t="shared" si="141"/>
        <v>6388922.2966075446</v>
      </c>
      <c r="AO416" s="233">
        <f t="shared" si="141"/>
        <v>176494714.89023221</v>
      </c>
      <c r="AP416" s="233">
        <f t="shared" si="141"/>
        <v>45104027.344509326</v>
      </c>
      <c r="AQ416" s="233">
        <f t="shared" si="141"/>
        <v>2225.6411873211132</v>
      </c>
      <c r="AR416">
        <v>147</v>
      </c>
      <c r="AS416" s="231">
        <f t="shared" si="138"/>
        <v>128575.78002045728</v>
      </c>
    </row>
    <row r="417" spans="2:45" ht="87" x14ac:dyDescent="0.35">
      <c r="B417" s="56" t="s">
        <v>93</v>
      </c>
      <c r="C417" s="361" t="s">
        <v>226</v>
      </c>
      <c r="D417" s="56">
        <v>11</v>
      </c>
      <c r="E417" s="3">
        <v>249.71356767747315</v>
      </c>
      <c r="F417" s="3">
        <v>15815.5</v>
      </c>
      <c r="G417" s="3">
        <v>647614.02990000008</v>
      </c>
      <c r="H417" s="3">
        <v>165.87951466339399</v>
      </c>
      <c r="I417" s="3">
        <v>50.288294176806197</v>
      </c>
      <c r="J417" s="3">
        <f t="shared" si="132"/>
        <v>241.92239999577302</v>
      </c>
      <c r="K417" s="3">
        <v>15777.5</v>
      </c>
      <c r="L417" s="3">
        <v>643491.52990000008</v>
      </c>
      <c r="M417" s="3">
        <v>164.624257036378</v>
      </c>
      <c r="N417" s="3">
        <v>50.161936227396197</v>
      </c>
      <c r="O417" s="3">
        <f t="shared" si="133"/>
        <v>240.72426398992161</v>
      </c>
      <c r="P417" s="3">
        <f t="shared" si="134"/>
        <v>179.72159090909091</v>
      </c>
      <c r="Q417" s="3">
        <f t="shared" si="135"/>
        <v>7359.2503397727278</v>
      </c>
      <c r="R417" s="3">
        <f t="shared" si="126"/>
        <v>213192.87623215752</v>
      </c>
      <c r="S417" s="3">
        <f t="shared" si="126"/>
        <v>64631.887174963413</v>
      </c>
      <c r="T417" s="3">
        <f t="shared" si="127"/>
        <v>2.749118181770148</v>
      </c>
      <c r="U417" s="3">
        <f t="shared" si="127"/>
        <v>179.28977272727272</v>
      </c>
      <c r="V417" s="3">
        <f t="shared" si="127"/>
        <v>7312.4037488636377</v>
      </c>
      <c r="W417" s="3">
        <f t="shared" si="128"/>
        <v>211579.58489561762</v>
      </c>
      <c r="X417" s="3">
        <f t="shared" si="128"/>
        <v>64469.48849225579</v>
      </c>
      <c r="Y417" s="3">
        <f t="shared" si="131"/>
        <v>2.735502999885473</v>
      </c>
      <c r="Z417" s="3">
        <f t="shared" si="139"/>
        <v>0.43181818181818699</v>
      </c>
      <c r="AA417" s="3">
        <f t="shared" si="139"/>
        <v>46.846590909090082</v>
      </c>
      <c r="AB417" s="3">
        <f t="shared" si="136"/>
        <v>1775.6900192475368</v>
      </c>
      <c r="AC417" s="3">
        <f t="shared" si="137"/>
        <v>1.3615181884675032E-2</v>
      </c>
      <c r="AD417" s="3">
        <f t="shared" si="140"/>
        <v>107.83085876981924</v>
      </c>
      <c r="AE417" s="3">
        <f t="shared" si="140"/>
        <v>11698.229349435966</v>
      </c>
      <c r="AF417" s="3">
        <f t="shared" si="140"/>
        <v>443413.88979558338</v>
      </c>
      <c r="AG417" s="3">
        <f t="shared" si="140"/>
        <v>3.3998956429999048</v>
      </c>
      <c r="AH417" s="233">
        <f t="shared" ref="AH417:AL467" si="142">P417*$E417</f>
        <v>44878.919654580415</v>
      </c>
      <c r="AI417" s="233">
        <f t="shared" si="142"/>
        <v>1837704.6577763043</v>
      </c>
      <c r="AJ417" s="233">
        <f t="shared" si="142"/>
        <v>53237153.727354027</v>
      </c>
      <c r="AK417" s="233">
        <f t="shared" si="142"/>
        <v>16139459.132188035</v>
      </c>
      <c r="AL417" s="233">
        <f t="shared" si="142"/>
        <v>686.4921091368318</v>
      </c>
      <c r="AM417" s="233">
        <f t="shared" si="141"/>
        <v>44771.088795810596</v>
      </c>
      <c r="AN417" s="233">
        <f t="shared" si="141"/>
        <v>1826006.4284268683</v>
      </c>
      <c r="AO417" s="233">
        <f t="shared" si="141"/>
        <v>52834292.992003486</v>
      </c>
      <c r="AP417" s="233">
        <f t="shared" si="141"/>
        <v>16098905.977742992</v>
      </c>
      <c r="AQ417" s="233">
        <f t="shared" si="141"/>
        <v>683.09221349383188</v>
      </c>
      <c r="AR417">
        <v>147</v>
      </c>
      <c r="AS417" s="231">
        <f t="shared" si="138"/>
        <v>36707.894448588551</v>
      </c>
    </row>
    <row r="418" spans="2:45" ht="87" x14ac:dyDescent="0.35">
      <c r="B418" s="56" t="s">
        <v>93</v>
      </c>
      <c r="C418" s="361" t="s">
        <v>226</v>
      </c>
      <c r="D418" s="56">
        <v>12</v>
      </c>
      <c r="E418" s="3">
        <v>1409.9246445960723</v>
      </c>
      <c r="F418" s="3">
        <v>16004.1</v>
      </c>
      <c r="G418" s="3">
        <v>611993.51860000018</v>
      </c>
      <c r="H418" s="3">
        <v>156.29098189501599</v>
      </c>
      <c r="I418" s="3">
        <v>50.7773459910591</v>
      </c>
      <c r="J418" s="3">
        <f t="shared" si="132"/>
        <v>234.38949802578043</v>
      </c>
      <c r="K418" s="3">
        <v>15971.3</v>
      </c>
      <c r="L418" s="3">
        <v>608810.71860000014</v>
      </c>
      <c r="M418" s="3">
        <v>155.29079992454399</v>
      </c>
      <c r="N418" s="3">
        <v>50.6684014836597</v>
      </c>
      <c r="O418" s="3">
        <f t="shared" si="133"/>
        <v>233.44558762443774</v>
      </c>
      <c r="P418" s="3">
        <f t="shared" si="134"/>
        <v>181.86477272727274</v>
      </c>
      <c r="Q418" s="3">
        <f t="shared" si="135"/>
        <v>6954.4718022727293</v>
      </c>
      <c r="R418" s="3">
        <f t="shared" si="126"/>
        <v>200869.43241279895</v>
      </c>
      <c r="S418" s="3">
        <f t="shared" si="126"/>
        <v>65260.429904417993</v>
      </c>
      <c r="T418" s="3">
        <f t="shared" si="127"/>
        <v>2.6635170230202321</v>
      </c>
      <c r="U418" s="3">
        <f t="shared" si="127"/>
        <v>181.49204545454543</v>
      </c>
      <c r="V418" s="3">
        <f t="shared" si="127"/>
        <v>6918.3036204545469</v>
      </c>
      <c r="W418" s="3">
        <f t="shared" si="128"/>
        <v>199583.97126665825</v>
      </c>
      <c r="X418" s="3">
        <f t="shared" si="128"/>
        <v>65120.411452294451</v>
      </c>
      <c r="Y418" s="3">
        <f t="shared" si="131"/>
        <v>2.6527907684595196</v>
      </c>
      <c r="Z418" s="3">
        <f t="shared" si="139"/>
        <v>0.37272727272730322</v>
      </c>
      <c r="AA418" s="3">
        <f t="shared" si="139"/>
        <v>36.168181818182347</v>
      </c>
      <c r="AB418" s="3">
        <f t="shared" si="136"/>
        <v>1425.4795982642318</v>
      </c>
      <c r="AC418" s="3">
        <f t="shared" si="137"/>
        <v>1.0726254560712523E-2</v>
      </c>
      <c r="AD418" s="3">
        <f t="shared" si="140"/>
        <v>525.51736753130626</v>
      </c>
      <c r="AE418" s="3">
        <f t="shared" si="140"/>
        <v>50994.410895686873</v>
      </c>
      <c r="AF418" s="3">
        <f t="shared" si="140"/>
        <v>2009818.8159616489</v>
      </c>
      <c r="AG418" s="3">
        <f t="shared" si="140"/>
        <v>15.123210649359603</v>
      </c>
      <c r="AH418" s="233">
        <f t="shared" si="142"/>
        <v>256415.62505204548</v>
      </c>
      <c r="AI418" s="233">
        <f t="shared" si="142"/>
        <v>9805281.1841727849</v>
      </c>
      <c r="AJ418" s="233">
        <f t="shared" si="142"/>
        <v>283210763.10483032</v>
      </c>
      <c r="AK418" s="233">
        <f t="shared" si="142"/>
        <v>92012288.43917343</v>
      </c>
      <c r="AL418" s="233">
        <f t="shared" si="142"/>
        <v>3755.3582920573895</v>
      </c>
      <c r="AM418" s="233">
        <f t="shared" si="141"/>
        <v>255890.10768451417</v>
      </c>
      <c r="AN418" s="233">
        <f t="shared" si="141"/>
        <v>9754286.7732770983</v>
      </c>
      <c r="AO418" s="233">
        <f t="shared" si="141"/>
        <v>281398359.75521582</v>
      </c>
      <c r="AP418" s="233">
        <f t="shared" si="141"/>
        <v>91814872.972826257</v>
      </c>
      <c r="AQ418" s="233">
        <f t="shared" si="141"/>
        <v>3740.2350814080296</v>
      </c>
      <c r="AR418">
        <v>147</v>
      </c>
      <c r="AS418" s="231">
        <f t="shared" si="138"/>
        <v>207258.92275562263</v>
      </c>
    </row>
    <row r="419" spans="2:45" ht="87" x14ac:dyDescent="0.35">
      <c r="B419" s="56" t="s">
        <v>93</v>
      </c>
      <c r="C419" s="361" t="s">
        <v>226</v>
      </c>
      <c r="D419" s="56">
        <v>13</v>
      </c>
      <c r="E419" s="3">
        <v>411.51549611020317</v>
      </c>
      <c r="F419" s="3">
        <v>14820</v>
      </c>
      <c r="G419" s="3">
        <v>670688.40560000006</v>
      </c>
      <c r="H419" s="3">
        <v>172.117699865948</v>
      </c>
      <c r="I419" s="3">
        <v>47.0644666575595</v>
      </c>
      <c r="J419" s="3">
        <f t="shared" si="132"/>
        <v>242.03858776874642</v>
      </c>
      <c r="K419" s="3">
        <v>14792.6</v>
      </c>
      <c r="L419" s="3">
        <v>665886.40560000006</v>
      </c>
      <c r="M419" s="3">
        <v>170.70809915178199</v>
      </c>
      <c r="N419" s="3">
        <v>46.973098321116801</v>
      </c>
      <c r="O419" s="3">
        <f t="shared" si="133"/>
        <v>240.73494669970898</v>
      </c>
      <c r="P419" s="3">
        <f t="shared" si="134"/>
        <v>168.40909090909091</v>
      </c>
      <c r="Q419" s="3">
        <f t="shared" si="135"/>
        <v>7621.459154545455</v>
      </c>
      <c r="R419" s="3">
        <f t="shared" si="126"/>
        <v>221210.36198680362</v>
      </c>
      <c r="S419" s="3">
        <f t="shared" si="126"/>
        <v>60488.536124658858</v>
      </c>
      <c r="T419" s="3">
        <f t="shared" si="127"/>
        <v>2.7504384973721185</v>
      </c>
      <c r="U419" s="3">
        <f t="shared" si="127"/>
        <v>168.09772727272727</v>
      </c>
      <c r="V419" s="3">
        <f t="shared" si="127"/>
        <v>7566.890972727273</v>
      </c>
      <c r="W419" s="3">
        <f t="shared" si="128"/>
        <v>219398.70470530164</v>
      </c>
      <c r="X419" s="3">
        <f t="shared" si="128"/>
        <v>60371.107046798985</v>
      </c>
      <c r="Y419" s="3">
        <f t="shared" si="131"/>
        <v>2.735624394314875</v>
      </c>
      <c r="Z419" s="3">
        <f t="shared" si="139"/>
        <v>0.3113636363636374</v>
      </c>
      <c r="AA419" s="3">
        <f t="shared" si="139"/>
        <v>54.568181818181984</v>
      </c>
      <c r="AB419" s="3">
        <f t="shared" si="136"/>
        <v>1929.0863593618487</v>
      </c>
      <c r="AC419" s="3">
        <f t="shared" si="137"/>
        <v>1.4814103057243511E-2</v>
      </c>
      <c r="AD419" s="3">
        <f t="shared" si="140"/>
        <v>128.13096128885914</v>
      </c>
      <c r="AE419" s="3">
        <f t="shared" si="140"/>
        <v>22455.652412740928</v>
      </c>
      <c r="AF419" s="3">
        <f t="shared" si="140"/>
        <v>793848.93021221692</v>
      </c>
      <c r="AG419" s="3">
        <f t="shared" si="140"/>
        <v>6.0962329690292405</v>
      </c>
      <c r="AH419" s="233">
        <f t="shared" si="142"/>
        <v>69302.950594922848</v>
      </c>
      <c r="AI419" s="233">
        <f t="shared" si="142"/>
        <v>3136348.5450664228</v>
      </c>
      <c r="AJ419" s="233">
        <f t="shared" si="142"/>
        <v>91031491.857717127</v>
      </c>
      <c r="AK419" s="233">
        <f t="shared" si="142"/>
        <v>24891969.952318937</v>
      </c>
      <c r="AL419" s="233">
        <f t="shared" si="142"/>
        <v>1131.8480627666891</v>
      </c>
      <c r="AM419" s="233">
        <f t="shared" si="141"/>
        <v>69174.81963363399</v>
      </c>
      <c r="AN419" s="233">
        <f t="shared" si="141"/>
        <v>3113892.8926536818</v>
      </c>
      <c r="AO419" s="233">
        <f t="shared" si="141"/>
        <v>90285966.81273818</v>
      </c>
      <c r="AP419" s="233">
        <f t="shared" si="141"/>
        <v>24843646.067085668</v>
      </c>
      <c r="AQ419" s="233">
        <f t="shared" si="141"/>
        <v>1125.7518297976599</v>
      </c>
      <c r="AR419">
        <v>147</v>
      </c>
      <c r="AS419" s="231">
        <f t="shared" si="138"/>
        <v>60492.777928199866</v>
      </c>
    </row>
    <row r="420" spans="2:45" ht="87" x14ac:dyDescent="0.35">
      <c r="B420" s="56" t="s">
        <v>93</v>
      </c>
      <c r="C420" s="361" t="s">
        <v>226</v>
      </c>
      <c r="D420" s="56">
        <v>14</v>
      </c>
      <c r="E420" s="3">
        <v>186.9513340900869</v>
      </c>
      <c r="F420" s="3">
        <v>14946.6</v>
      </c>
      <c r="G420" s="3">
        <v>648464.17283000017</v>
      </c>
      <c r="H420" s="3">
        <v>162.519853438843</v>
      </c>
      <c r="I420" s="3">
        <v>47.497047525463799</v>
      </c>
      <c r="J420" s="3">
        <f t="shared" si="132"/>
        <v>237.3873884522888</v>
      </c>
      <c r="K420" s="3">
        <v>14917.1</v>
      </c>
      <c r="L420" s="3">
        <v>644376.67283000017</v>
      </c>
      <c r="M420" s="3">
        <v>161.34917876524801</v>
      </c>
      <c r="N420" s="3">
        <v>47.398731040126201</v>
      </c>
      <c r="O420" s="3">
        <f t="shared" si="133"/>
        <v>236.24402750858022</v>
      </c>
      <c r="P420" s="3">
        <f t="shared" si="134"/>
        <v>169.84772727272727</v>
      </c>
      <c r="Q420" s="3">
        <f t="shared" si="135"/>
        <v>7368.9110548863655</v>
      </c>
      <c r="R420" s="3">
        <f t="shared" si="126"/>
        <v>208874.94799924025</v>
      </c>
      <c r="S420" s="3">
        <f t="shared" si="126"/>
        <v>61044.500853749494</v>
      </c>
      <c r="T420" s="3">
        <f t="shared" si="127"/>
        <v>2.6975839596851001</v>
      </c>
      <c r="U420" s="3">
        <f t="shared" si="127"/>
        <v>169.51250000000002</v>
      </c>
      <c r="V420" s="3">
        <f t="shared" si="127"/>
        <v>7322.4621912500015</v>
      </c>
      <c r="W420" s="3">
        <f t="shared" si="128"/>
        <v>207370.3649812449</v>
      </c>
      <c r="X420" s="3">
        <f t="shared" si="128"/>
        <v>60918.141825434919</v>
      </c>
      <c r="Y420" s="3">
        <f t="shared" si="131"/>
        <v>2.6845912216884114</v>
      </c>
      <c r="Z420" s="3">
        <f t="shared" si="139"/>
        <v>0.33522727272725206</v>
      </c>
      <c r="AA420" s="3">
        <f t="shared" si="139"/>
        <v>46.448863636363967</v>
      </c>
      <c r="AB420" s="3">
        <f t="shared" si="136"/>
        <v>1630.942046309945</v>
      </c>
      <c r="AC420" s="3">
        <f t="shared" si="137"/>
        <v>1.2992737996688764E-2</v>
      </c>
      <c r="AD420" s="3">
        <f t="shared" si="140"/>
        <v>62.671185859741179</v>
      </c>
      <c r="AE420" s="3">
        <f t="shared" si="140"/>
        <v>8683.6770237867695</v>
      </c>
      <c r="AF420" s="3">
        <f t="shared" si="140"/>
        <v>304906.7913812605</v>
      </c>
      <c r="AG420" s="3">
        <f t="shared" si="140"/>
        <v>2.4290097019639276</v>
      </c>
      <c r="AH420" s="233">
        <f t="shared" si="142"/>
        <v>31753.2592058056</v>
      </c>
      <c r="AI420" s="233">
        <f t="shared" si="142"/>
        <v>1377627.7525021955</v>
      </c>
      <c r="AJ420" s="233">
        <f t="shared" si="142"/>
        <v>39049450.186455496</v>
      </c>
      <c r="AK420" s="233">
        <f t="shared" si="142"/>
        <v>11412350.873471918</v>
      </c>
      <c r="AL420" s="233">
        <f t="shared" si="142"/>
        <v>504.31692008314866</v>
      </c>
      <c r="AM420" s="233">
        <f t="shared" si="141"/>
        <v>31690.588019945859</v>
      </c>
      <c r="AN420" s="233">
        <f t="shared" si="141"/>
        <v>1368944.075478409</v>
      </c>
      <c r="AO420" s="233">
        <f t="shared" si="141"/>
        <v>38768166.383991972</v>
      </c>
      <c r="AP420" s="233">
        <f t="shared" si="141"/>
        <v>11388727.884554179</v>
      </c>
      <c r="AQ420" s="233">
        <f t="shared" si="141"/>
        <v>501.88791038118472</v>
      </c>
      <c r="AR420">
        <v>147</v>
      </c>
      <c r="AS420" s="231">
        <f t="shared" si="138"/>
        <v>27481.846111242776</v>
      </c>
    </row>
    <row r="421" spans="2:45" ht="87" x14ac:dyDescent="0.35">
      <c r="B421" s="56" t="s">
        <v>93</v>
      </c>
      <c r="C421" s="361" t="s">
        <v>226</v>
      </c>
      <c r="D421" s="56">
        <v>15</v>
      </c>
      <c r="E421" s="3">
        <v>121.7409282705685</v>
      </c>
      <c r="F421" s="3">
        <v>9903</v>
      </c>
      <c r="G421" s="3">
        <v>779576.68293000013</v>
      </c>
      <c r="H421" s="3">
        <v>191.08440994926499</v>
      </c>
      <c r="I421" s="3">
        <v>31.104794241596</v>
      </c>
      <c r="J421" s="3">
        <f t="shared" si="132"/>
        <v>241.39114633361828</v>
      </c>
      <c r="K421" s="3">
        <v>9900.2900000000009</v>
      </c>
      <c r="L421" s="3">
        <v>771942.2829300001</v>
      </c>
      <c r="M421" s="3">
        <v>189.13869514130801</v>
      </c>
      <c r="N421" s="3">
        <v>31.0957317387888</v>
      </c>
      <c r="O421" s="3">
        <f t="shared" si="133"/>
        <v>239.54139043721077</v>
      </c>
      <c r="P421" s="3">
        <f t="shared" si="134"/>
        <v>112.53409090909091</v>
      </c>
      <c r="Q421" s="3">
        <f t="shared" si="135"/>
        <v>8858.8259423863656</v>
      </c>
      <c r="R421" s="3">
        <f t="shared" si="126"/>
        <v>245586.89505979398</v>
      </c>
      <c r="S421" s="3">
        <f t="shared" si="126"/>
        <v>39976.729871869407</v>
      </c>
      <c r="T421" s="3">
        <f t="shared" si="127"/>
        <v>2.7430812083365712</v>
      </c>
      <c r="U421" s="3">
        <f t="shared" si="127"/>
        <v>112.50329545454547</v>
      </c>
      <c r="V421" s="3">
        <f t="shared" si="127"/>
        <v>8772.0713969318185</v>
      </c>
      <c r="W421" s="3">
        <f t="shared" si="128"/>
        <v>243086.20932365835</v>
      </c>
      <c r="X421" s="3">
        <f t="shared" si="128"/>
        <v>39965.082496102419</v>
      </c>
      <c r="Y421" s="3">
        <f t="shared" si="131"/>
        <v>2.7220612549683043</v>
      </c>
      <c r="Z421" s="3">
        <f t="shared" si="139"/>
        <v>3.0795454545440748E-2</v>
      </c>
      <c r="AA421" s="3">
        <f t="shared" si="139"/>
        <v>86.754545454547042</v>
      </c>
      <c r="AB421" s="3">
        <f t="shared" si="136"/>
        <v>2512.3331119026261</v>
      </c>
      <c r="AC421" s="3">
        <f t="shared" si="137"/>
        <v>2.1019953368266897E-2</v>
      </c>
      <c r="AD421" s="3">
        <f t="shared" si="140"/>
        <v>3.7490672228760547</v>
      </c>
      <c r="AE421" s="3">
        <f t="shared" si="140"/>
        <v>10561.578895327786</v>
      </c>
      <c r="AF421" s="3">
        <f t="shared" si="140"/>
        <v>305853.76516791177</v>
      </c>
      <c r="AG421" s="3">
        <f t="shared" si="140"/>
        <v>2.5589886352568749</v>
      </c>
      <c r="AH421" s="233">
        <f t="shared" si="142"/>
        <v>13700.004689357271</v>
      </c>
      <c r="AI421" s="233">
        <f t="shared" si="142"/>
        <v>1078481.6936135099</v>
      </c>
      <c r="AJ421" s="233">
        <f t="shared" si="142"/>
        <v>29897976.575666014</v>
      </c>
      <c r="AK421" s="233">
        <f t="shared" si="142"/>
        <v>4866804.2038231464</v>
      </c>
      <c r="AL421" s="233">
        <f t="shared" si="142"/>
        <v>333.94525262444688</v>
      </c>
      <c r="AM421" s="233">
        <f t="shared" si="141"/>
        <v>13696.255622134395</v>
      </c>
      <c r="AN421" s="233">
        <f t="shared" si="141"/>
        <v>1067920.1147181822</v>
      </c>
      <c r="AO421" s="233">
        <f t="shared" si="141"/>
        <v>29593540.772835892</v>
      </c>
      <c r="AP421" s="233">
        <f t="shared" si="141"/>
        <v>4865386.2414853573</v>
      </c>
      <c r="AQ421" s="233">
        <f t="shared" si="141"/>
        <v>331.38626398919001</v>
      </c>
      <c r="AR421">
        <v>147</v>
      </c>
      <c r="AS421" s="231">
        <f t="shared" si="138"/>
        <v>17895.916455773571</v>
      </c>
    </row>
    <row r="422" spans="2:45" ht="87" x14ac:dyDescent="0.35">
      <c r="B422" s="56" t="s">
        <v>93</v>
      </c>
      <c r="C422" s="361" t="s">
        <v>226</v>
      </c>
      <c r="D422" s="56">
        <v>16</v>
      </c>
      <c r="E422" s="3">
        <v>75.448216972070796</v>
      </c>
      <c r="F422" s="3">
        <v>22711.7</v>
      </c>
      <c r="G422" s="3">
        <v>567785.93700000003</v>
      </c>
      <c r="H422" s="3">
        <v>134.271371704389</v>
      </c>
      <c r="I422" s="3">
        <v>72.290459340974493</v>
      </c>
      <c r="J422" s="3">
        <f t="shared" si="132"/>
        <v>260.35002820847001</v>
      </c>
      <c r="K422" s="3">
        <v>22621.599999999999</v>
      </c>
      <c r="L422" s="3">
        <v>565557.93700000003</v>
      </c>
      <c r="M422" s="3">
        <v>133.78557238408399</v>
      </c>
      <c r="N422" s="3">
        <v>71.995629832685495</v>
      </c>
      <c r="O422" s="3">
        <f t="shared" si="133"/>
        <v>259.32307132096207</v>
      </c>
      <c r="P422" s="3">
        <f t="shared" si="134"/>
        <v>258.08750000000003</v>
      </c>
      <c r="Q422" s="3">
        <f t="shared" si="135"/>
        <v>6452.1129204545459</v>
      </c>
      <c r="R422" s="3">
        <f t="shared" si="126"/>
        <v>172569.22886098176</v>
      </c>
      <c r="S422" s="3">
        <f t="shared" si="126"/>
        <v>92909.669903002447</v>
      </c>
      <c r="T422" s="3">
        <f t="shared" si="127"/>
        <v>2.9585230478235229</v>
      </c>
      <c r="U422" s="3">
        <f t="shared" si="127"/>
        <v>257.06363636363636</v>
      </c>
      <c r="V422" s="3">
        <f t="shared" si="127"/>
        <v>6426.7947386363639</v>
      </c>
      <c r="W422" s="3">
        <f t="shared" si="128"/>
        <v>171944.86632545342</v>
      </c>
      <c r="X422" s="3">
        <f t="shared" si="128"/>
        <v>92530.746978144642</v>
      </c>
      <c r="Y422" s="3">
        <f t="shared" si="131"/>
        <v>2.9468530831927509</v>
      </c>
      <c r="Z422" s="3">
        <f t="shared" si="139"/>
        <v>1.0238636363636715</v>
      </c>
      <c r="AA422" s="3">
        <f t="shared" si="139"/>
        <v>25.318181818181984</v>
      </c>
      <c r="AB422" s="3">
        <f t="shared" si="136"/>
        <v>1003.2854603861488</v>
      </c>
      <c r="AC422" s="3">
        <f t="shared" si="137"/>
        <v>1.1669964630772078E-2</v>
      </c>
      <c r="AD422" s="3">
        <f t="shared" si="140"/>
        <v>77.248685786179678</v>
      </c>
      <c r="AE422" s="3">
        <f t="shared" si="140"/>
        <v>1910.2116751565322</v>
      </c>
      <c r="AF422" s="3">
        <f t="shared" si="140"/>
        <v>75696.09910013809</v>
      </c>
      <c r="AG422" s="3">
        <f t="shared" si="140"/>
        <v>0.88047802351888382</v>
      </c>
      <c r="AH422" s="233">
        <f t="shared" si="142"/>
        <v>19472.241697779325</v>
      </c>
      <c r="AI422" s="233">
        <f t="shared" si="142"/>
        <v>486800.41555075592</v>
      </c>
      <c r="AJ422" s="233">
        <f t="shared" si="142"/>
        <v>13020040.621806294</v>
      </c>
      <c r="AK422" s="233">
        <f t="shared" si="142"/>
        <v>7009868.9336452046</v>
      </c>
      <c r="AL422" s="233">
        <f t="shared" si="142"/>
        <v>223.21528882906134</v>
      </c>
      <c r="AM422" s="233">
        <f t="shared" si="141"/>
        <v>19394.993011993145</v>
      </c>
      <c r="AN422" s="233">
        <f t="shared" si="141"/>
        <v>484890.20387559943</v>
      </c>
      <c r="AO422" s="233">
        <f t="shared" si="141"/>
        <v>12972933.581756519</v>
      </c>
      <c r="AP422" s="233">
        <f t="shared" si="141"/>
        <v>6981279.8745948412</v>
      </c>
      <c r="AQ422" s="233">
        <f t="shared" si="141"/>
        <v>222.33481080554245</v>
      </c>
      <c r="AR422">
        <v>147</v>
      </c>
      <c r="AS422" s="231">
        <f t="shared" si="138"/>
        <v>11090.887894894408</v>
      </c>
    </row>
    <row r="423" spans="2:45" ht="87" x14ac:dyDescent="0.35">
      <c r="B423" s="56" t="s">
        <v>94</v>
      </c>
      <c r="C423" s="361" t="s">
        <v>226</v>
      </c>
      <c r="D423" s="56">
        <v>2</v>
      </c>
      <c r="E423" s="3">
        <v>18.12434024505184</v>
      </c>
      <c r="F423" s="3">
        <v>18319.599999999999</v>
      </c>
      <c r="G423" s="3">
        <v>534422.28268999991</v>
      </c>
      <c r="H423" s="3">
        <v>125.42628877116</v>
      </c>
      <c r="I423" s="3">
        <v>52.1386676529605</v>
      </c>
      <c r="J423" s="3">
        <f t="shared" si="132"/>
        <v>228.37449789690709</v>
      </c>
      <c r="K423" s="3">
        <v>18271.900000000001</v>
      </c>
      <c r="L423" s="3">
        <v>531691.18268999993</v>
      </c>
      <c r="M423" s="3">
        <v>124.569307204778</v>
      </c>
      <c r="N423" s="3">
        <v>51.995820510294799</v>
      </c>
      <c r="O423" s="3">
        <f t="shared" si="133"/>
        <v>227.45788542421363</v>
      </c>
      <c r="P423" s="3">
        <f t="shared" si="134"/>
        <v>156.57777777777775</v>
      </c>
      <c r="Q423" s="3">
        <f t="shared" si="135"/>
        <v>4567.7118178632472</v>
      </c>
      <c r="R423" s="3">
        <f t="shared" si="126"/>
        <v>134431.253093192</v>
      </c>
      <c r="S423" s="3">
        <f t="shared" si="126"/>
        <v>55881.956612660229</v>
      </c>
      <c r="T423" s="3">
        <f t="shared" si="127"/>
        <v>1.9519187854436504</v>
      </c>
      <c r="U423" s="3">
        <f t="shared" si="127"/>
        <v>156.1700854700855</v>
      </c>
      <c r="V423" s="3">
        <f t="shared" si="127"/>
        <v>4544.3690828205126</v>
      </c>
      <c r="W423" s="3">
        <f t="shared" si="128"/>
        <v>133512.74464512104</v>
      </c>
      <c r="X423" s="3">
        <f t="shared" si="128"/>
        <v>55728.853777700577</v>
      </c>
      <c r="Y423" s="3">
        <f t="shared" si="131"/>
        <v>1.9440844908052446</v>
      </c>
      <c r="Z423" s="3">
        <f t="shared" si="139"/>
        <v>0.40769230769225828</v>
      </c>
      <c r="AA423" s="3">
        <f t="shared" si="139"/>
        <v>23.342735042734603</v>
      </c>
      <c r="AB423" s="3">
        <f t="shared" si="136"/>
        <v>1071.6112830306156</v>
      </c>
      <c r="AC423" s="3">
        <f t="shared" si="137"/>
        <v>7.8342946384057921E-3</v>
      </c>
      <c r="AD423" s="3">
        <f t="shared" si="140"/>
        <v>7.3891540999048546</v>
      </c>
      <c r="AE423" s="3">
        <f t="shared" si="140"/>
        <v>423.07167216461664</v>
      </c>
      <c r="AF423" s="3">
        <f t="shared" si="140"/>
        <v>19422.247504083425</v>
      </c>
      <c r="AG423" s="3">
        <f t="shared" si="140"/>
        <v>0.14199142160645195</v>
      </c>
      <c r="AH423" s="233">
        <f t="shared" si="142"/>
        <v>2837.8689192585612</v>
      </c>
      <c r="AI423" s="233">
        <f t="shared" si="142"/>
        <v>82786.763128297753</v>
      </c>
      <c r="AJ423" s="233">
        <f t="shared" si="142"/>
        <v>2436477.7706296896</v>
      </c>
      <c r="AK423" s="233">
        <f t="shared" si="142"/>
        <v>1012823.5952070786</v>
      </c>
      <c r="AL423" s="233">
        <f t="shared" si="142"/>
        <v>35.377240198089062</v>
      </c>
      <c r="AM423" s="233">
        <f t="shared" si="141"/>
        <v>2830.4797651586564</v>
      </c>
      <c r="AN423" s="233">
        <f t="shared" si="141"/>
        <v>82363.691456133136</v>
      </c>
      <c r="AO423" s="233">
        <f t="shared" si="141"/>
        <v>2419830.4109988967</v>
      </c>
      <c r="AP423" s="233">
        <f t="shared" si="141"/>
        <v>1010048.7073337878</v>
      </c>
      <c r="AQ423" s="233">
        <f t="shared" si="141"/>
        <v>35.235248776482607</v>
      </c>
      <c r="AR423">
        <v>147</v>
      </c>
      <c r="AS423" s="231">
        <f t="shared" si="138"/>
        <v>2664.2780160226207</v>
      </c>
    </row>
    <row r="424" spans="2:45" ht="87" x14ac:dyDescent="0.35">
      <c r="B424" s="56" t="s">
        <v>94</v>
      </c>
      <c r="C424" s="361" t="s">
        <v>226</v>
      </c>
      <c r="D424" s="56">
        <v>4</v>
      </c>
      <c r="E424" s="3">
        <v>45.800541941564568</v>
      </c>
      <c r="F424" s="3">
        <v>15461.2</v>
      </c>
      <c r="G424" s="3">
        <v>559687.07131999987</v>
      </c>
      <c r="H424" s="3">
        <v>129.961052064559</v>
      </c>
      <c r="I424" s="3">
        <v>43.7826853163902</v>
      </c>
      <c r="J424" s="3">
        <f t="shared" si="132"/>
        <v>218.85611922393332</v>
      </c>
      <c r="K424" s="3">
        <v>15439.9</v>
      </c>
      <c r="L424" s="3">
        <v>556072.57131999987</v>
      </c>
      <c r="M424" s="3">
        <v>128.92160230325999</v>
      </c>
      <c r="N424" s="3">
        <v>43.718941746057801</v>
      </c>
      <c r="O424" s="3">
        <f t="shared" si="133"/>
        <v>217.87117297558896</v>
      </c>
      <c r="P424" s="3">
        <f t="shared" si="134"/>
        <v>132.14700854700854</v>
      </c>
      <c r="Q424" s="3">
        <f t="shared" si="135"/>
        <v>4783.6501822222208</v>
      </c>
      <c r="R424" s="3">
        <f t="shared" si="126"/>
        <v>139291.58913586068</v>
      </c>
      <c r="S424" s="3">
        <f t="shared" si="126"/>
        <v>46926.057595515646</v>
      </c>
      <c r="T424" s="3">
        <f t="shared" si="127"/>
        <v>1.8705651215720795</v>
      </c>
      <c r="U424" s="3">
        <f t="shared" si="127"/>
        <v>131.96495726495726</v>
      </c>
      <c r="V424" s="3">
        <f t="shared" si="127"/>
        <v>4752.7570198290587</v>
      </c>
      <c r="W424" s="3">
        <f t="shared" si="128"/>
        <v>138177.51221221199</v>
      </c>
      <c r="X424" s="3">
        <f t="shared" si="128"/>
        <v>46857.737563723487</v>
      </c>
      <c r="Y424" s="3">
        <f t="shared" si="131"/>
        <v>1.8621467775691365</v>
      </c>
      <c r="Z424" s="3">
        <f t="shared" si="139"/>
        <v>0.18205128205127608</v>
      </c>
      <c r="AA424" s="3">
        <f t="shared" si="139"/>
        <v>30.893162393162129</v>
      </c>
      <c r="AB424" s="3">
        <f t="shared" si="136"/>
        <v>1182.3969554408468</v>
      </c>
      <c r="AC424" s="3">
        <f t="shared" si="137"/>
        <v>8.4183440029430567E-3</v>
      </c>
      <c r="AD424" s="3">
        <f t="shared" si="140"/>
        <v>8.3380473791050704</v>
      </c>
      <c r="AE424" s="3">
        <f t="shared" si="140"/>
        <v>1414.9235798955872</v>
      </c>
      <c r="AF424" s="3">
        <f t="shared" si="140"/>
        <v>54154.421349246753</v>
      </c>
      <c r="AG424" s="3">
        <f t="shared" si="140"/>
        <v>0.38556471758531202</v>
      </c>
      <c r="AH424" s="233">
        <f t="shared" si="142"/>
        <v>6052.4046074095559</v>
      </c>
      <c r="AI424" s="233">
        <f t="shared" si="142"/>
        <v>219093.7708046418</v>
      </c>
      <c r="AJ424" s="233">
        <f t="shared" si="142"/>
        <v>6379630.2703241659</v>
      </c>
      <c r="AK424" s="233">
        <f t="shared" si="142"/>
        <v>2149238.8690556888</v>
      </c>
      <c r="AL424" s="233">
        <f t="shared" si="142"/>
        <v>85.672896304989848</v>
      </c>
      <c r="AM424" s="233">
        <f t="shared" si="141"/>
        <v>6044.066560030451</v>
      </c>
      <c r="AN424" s="233">
        <f t="shared" si="141"/>
        <v>217678.84722474622</v>
      </c>
      <c r="AO424" s="233">
        <f t="shared" si="141"/>
        <v>6328604.9434564654</v>
      </c>
      <c r="AP424" s="233">
        <f t="shared" si="141"/>
        <v>2146109.7745741429</v>
      </c>
      <c r="AQ424" s="233">
        <f t="shared" si="141"/>
        <v>85.287331587404537</v>
      </c>
      <c r="AR424">
        <v>147</v>
      </c>
      <c r="AS424" s="231">
        <f t="shared" si="138"/>
        <v>6732.6796654099917</v>
      </c>
    </row>
    <row r="425" spans="2:45" ht="87" x14ac:dyDescent="0.35">
      <c r="B425" s="56" t="s">
        <v>94</v>
      </c>
      <c r="C425" s="361" t="s">
        <v>226</v>
      </c>
      <c r="D425" s="56">
        <v>6</v>
      </c>
      <c r="E425" s="3">
        <v>38.829641847313866</v>
      </c>
      <c r="F425" s="3">
        <v>13606.9</v>
      </c>
      <c r="G425" s="3">
        <v>574757.63770999992</v>
      </c>
      <c r="H425" s="3">
        <v>127.014558976416</v>
      </c>
      <c r="I425" s="3">
        <v>38.359057153781102</v>
      </c>
      <c r="J425" s="3">
        <f t="shared" si="132"/>
        <v>212.36428393373586</v>
      </c>
      <c r="K425" s="3">
        <v>13601.7</v>
      </c>
      <c r="L425" s="3">
        <v>570704.93770999997</v>
      </c>
      <c r="M425" s="3">
        <v>126.106810541427</v>
      </c>
      <c r="N425" s="3">
        <v>38.3434541643731</v>
      </c>
      <c r="O425" s="3">
        <f t="shared" si="133"/>
        <v>211.36182987191063</v>
      </c>
      <c r="P425" s="3">
        <f t="shared" si="134"/>
        <v>116.29829059829059</v>
      </c>
      <c r="Q425" s="3">
        <f t="shared" si="135"/>
        <v>4912.4584419658113</v>
      </c>
      <c r="R425" s="3">
        <f t="shared" si="126"/>
        <v>136133.55295420997</v>
      </c>
      <c r="S425" s="3">
        <f t="shared" si="126"/>
        <v>41113.040744308972</v>
      </c>
      <c r="T425" s="3">
        <f t="shared" si="127"/>
        <v>1.8150793498609903</v>
      </c>
      <c r="U425" s="3">
        <f t="shared" si="127"/>
        <v>116.25384615384615</v>
      </c>
      <c r="V425" s="3">
        <f t="shared" si="127"/>
        <v>4877.8199804273499</v>
      </c>
      <c r="W425" s="3">
        <f t="shared" si="128"/>
        <v>135160.63283670894</v>
      </c>
      <c r="X425" s="3">
        <f t="shared" si="128"/>
        <v>41096.31754027681</v>
      </c>
      <c r="Y425" s="3">
        <f t="shared" si="131"/>
        <v>1.8065113664265866</v>
      </c>
      <c r="Z425" s="3">
        <f t="shared" si="139"/>
        <v>4.4444444444437181E-2</v>
      </c>
      <c r="AA425" s="3">
        <f t="shared" si="139"/>
        <v>34.638461538461343</v>
      </c>
      <c r="AB425" s="3">
        <f t="shared" si="136"/>
        <v>989.6433215331781</v>
      </c>
      <c r="AC425" s="3">
        <f t="shared" si="137"/>
        <v>8.5679834344036809E-3</v>
      </c>
      <c r="AD425" s="3">
        <f t="shared" si="140"/>
        <v>1.7257618598803341</v>
      </c>
      <c r="AE425" s="3">
        <f t="shared" si="140"/>
        <v>1344.9990556804103</v>
      </c>
      <c r="AF425" s="3">
        <f t="shared" si="140"/>
        <v>38427.495731719384</v>
      </c>
      <c r="AG425" s="3">
        <f t="shared" si="140"/>
        <v>0.33269172811161313</v>
      </c>
      <c r="AH425" s="233">
        <f t="shared" si="142"/>
        <v>4515.8209713864535</v>
      </c>
      <c r="AI425" s="233">
        <f t="shared" si="142"/>
        <v>190749.00189134595</v>
      </c>
      <c r="AJ425" s="233">
        <f t="shared" si="142"/>
        <v>5286017.10461431</v>
      </c>
      <c r="AK425" s="233">
        <f t="shared" si="142"/>
        <v>1596404.6473555397</v>
      </c>
      <c r="AL425" s="233">
        <f t="shared" si="142"/>
        <v>70.478881079557553</v>
      </c>
      <c r="AM425" s="233">
        <f t="shared" si="141"/>
        <v>4514.0952095265729</v>
      </c>
      <c r="AN425" s="233">
        <f t="shared" si="141"/>
        <v>189404.00283566554</v>
      </c>
      <c r="AO425" s="233">
        <f t="shared" si="141"/>
        <v>5248238.9649056979</v>
      </c>
      <c r="AP425" s="233">
        <f t="shared" si="141"/>
        <v>1595755.2913324314</v>
      </c>
      <c r="AQ425" s="233">
        <f t="shared" si="141"/>
        <v>70.14618935144594</v>
      </c>
      <c r="AR425">
        <v>147</v>
      </c>
      <c r="AS425" s="231">
        <f t="shared" si="138"/>
        <v>5707.9573515551383</v>
      </c>
    </row>
    <row r="426" spans="2:45" ht="87" x14ac:dyDescent="0.35">
      <c r="B426" s="56" t="s">
        <v>94</v>
      </c>
      <c r="C426" s="361" t="s">
        <v>226</v>
      </c>
      <c r="D426" s="56">
        <v>8</v>
      </c>
      <c r="E426" s="3">
        <v>54.591941564561736</v>
      </c>
      <c r="F426" s="3">
        <v>13241.3</v>
      </c>
      <c r="G426" s="3">
        <v>604394.23545000004</v>
      </c>
      <c r="H426" s="3">
        <v>134.17928562200001</v>
      </c>
      <c r="I426" s="3">
        <v>37.353427776204299</v>
      </c>
      <c r="J426" s="3">
        <f t="shared" si="132"/>
        <v>217.49348297966299</v>
      </c>
      <c r="K426" s="3">
        <v>13236</v>
      </c>
      <c r="L426" s="3">
        <v>599326.33545000001</v>
      </c>
      <c r="M426" s="3">
        <v>132.985490776755</v>
      </c>
      <c r="N426" s="3">
        <v>37.337203377616099</v>
      </c>
      <c r="O426" s="3">
        <f t="shared" si="133"/>
        <v>216.24647398950606</v>
      </c>
      <c r="P426" s="3">
        <f t="shared" si="134"/>
        <v>113.17350427350426</v>
      </c>
      <c r="Q426" s="3">
        <f t="shared" si="135"/>
        <v>5165.7626961538463</v>
      </c>
      <c r="R426" s="3">
        <f t="shared" si="126"/>
        <v>143812.67023075896</v>
      </c>
      <c r="S426" s="3">
        <f t="shared" si="126"/>
        <v>40035.212334495889</v>
      </c>
      <c r="T426" s="3">
        <f t="shared" si="127"/>
        <v>1.8589186579458374</v>
      </c>
      <c r="U426" s="3">
        <f t="shared" si="127"/>
        <v>113.12820512820512</v>
      </c>
      <c r="V426" s="3">
        <f t="shared" si="127"/>
        <v>5122.4473115384617</v>
      </c>
      <c r="W426" s="3">
        <f t="shared" si="128"/>
        <v>142533.16703765022</v>
      </c>
      <c r="X426" s="3">
        <f t="shared" si="128"/>
        <v>40017.8231072911</v>
      </c>
      <c r="Y426" s="3">
        <f t="shared" si="131"/>
        <v>1.8482604614487697</v>
      </c>
      <c r="Z426" s="3">
        <f t="shared" si="139"/>
        <v>4.5299145299139809E-2</v>
      </c>
      <c r="AA426" s="3">
        <f t="shared" si="139"/>
        <v>43.315384615384573</v>
      </c>
      <c r="AB426" s="3">
        <f t="shared" si="136"/>
        <v>1296.8924203135248</v>
      </c>
      <c r="AC426" s="3">
        <f t="shared" si="137"/>
        <v>1.0658196497067784E-2</v>
      </c>
      <c r="AD426" s="3">
        <f t="shared" si="140"/>
        <v>2.4729682930952319</v>
      </c>
      <c r="AE426" s="3">
        <f t="shared" si="140"/>
        <v>2364.6709457695911</v>
      </c>
      <c r="AF426" s="3">
        <f t="shared" si="140"/>
        <v>70799.875225278985</v>
      </c>
      <c r="AG426" s="3">
        <f t="shared" si="140"/>
        <v>0.58185164035154113</v>
      </c>
      <c r="AH426" s="233">
        <f t="shared" si="142"/>
        <v>6178.3613319558226</v>
      </c>
      <c r="AI426" s="233">
        <f t="shared" si="142"/>
        <v>282009.01524482365</v>
      </c>
      <c r="AJ426" s="233">
        <f t="shared" si="142"/>
        <v>7851012.8894811803</v>
      </c>
      <c r="AK426" s="233">
        <f t="shared" si="142"/>
        <v>2185599.9722896209</v>
      </c>
      <c r="AL426" s="233">
        <f t="shared" si="142"/>
        <v>101.48197874785268</v>
      </c>
      <c r="AM426" s="233">
        <f t="shared" si="141"/>
        <v>6175.8883636627279</v>
      </c>
      <c r="AN426" s="233">
        <f t="shared" si="141"/>
        <v>279644.34429905406</v>
      </c>
      <c r="AO426" s="233">
        <f t="shared" si="141"/>
        <v>7781162.3259313172</v>
      </c>
      <c r="AP426" s="233">
        <f t="shared" si="141"/>
        <v>2184650.6606142041</v>
      </c>
      <c r="AQ426" s="233">
        <f t="shared" si="141"/>
        <v>100.90012710750115</v>
      </c>
      <c r="AR426">
        <v>147</v>
      </c>
      <c r="AS426" s="231">
        <f t="shared" si="138"/>
        <v>8025.0154099905749</v>
      </c>
    </row>
    <row r="427" spans="2:45" ht="87" x14ac:dyDescent="0.35">
      <c r="B427" s="56" t="s">
        <v>94</v>
      </c>
      <c r="C427" s="361" t="s">
        <v>226</v>
      </c>
      <c r="D427" s="56">
        <v>9</v>
      </c>
      <c r="E427" s="3">
        <v>128.17238454288409</v>
      </c>
      <c r="F427" s="3">
        <v>13740</v>
      </c>
      <c r="G427" s="3">
        <v>602718.39608000009</v>
      </c>
      <c r="H427" s="3">
        <v>135.53145137541699</v>
      </c>
      <c r="I427" s="3">
        <v>38.834743298968803</v>
      </c>
      <c r="J427" s="3">
        <f t="shared" si="132"/>
        <v>219.8108057971674</v>
      </c>
      <c r="K427" s="3">
        <v>13730.1</v>
      </c>
      <c r="L427" s="3">
        <v>597684.89608000009</v>
      </c>
      <c r="M427" s="3">
        <v>134.298621943027</v>
      </c>
      <c r="N427" s="3">
        <v>38.805112659181802</v>
      </c>
      <c r="O427" s="3">
        <f t="shared" si="133"/>
        <v>218.54697470794483</v>
      </c>
      <c r="P427" s="3">
        <f t="shared" si="134"/>
        <v>117.43589743589743</v>
      </c>
      <c r="Q427" s="3">
        <f t="shared" si="135"/>
        <v>5151.4392827350439</v>
      </c>
      <c r="R427" s="3">
        <f t="shared" si="126"/>
        <v>145261.91455108795</v>
      </c>
      <c r="S427" s="3">
        <f t="shared" si="126"/>
        <v>41622.878715305022</v>
      </c>
      <c r="T427" s="3">
        <f t="shared" si="127"/>
        <v>1.8787248358732256</v>
      </c>
      <c r="U427" s="3">
        <f t="shared" si="127"/>
        <v>117.35128205128206</v>
      </c>
      <c r="V427" s="3">
        <f t="shared" si="127"/>
        <v>5108.4179152136758</v>
      </c>
      <c r="W427" s="3">
        <f t="shared" si="128"/>
        <v>143940.57428765457</v>
      </c>
      <c r="X427" s="3">
        <f t="shared" si="128"/>
        <v>41591.120747533314</v>
      </c>
      <c r="Y427" s="3">
        <f t="shared" si="131"/>
        <v>1.8679228607516651</v>
      </c>
      <c r="Z427" s="3">
        <f t="shared" si="139"/>
        <v>8.4615384615375433E-2</v>
      </c>
      <c r="AA427" s="3">
        <f t="shared" si="139"/>
        <v>43.02136752136812</v>
      </c>
      <c r="AB427" s="3">
        <f t="shared" si="136"/>
        <v>1353.0982312050692</v>
      </c>
      <c r="AC427" s="3">
        <f t="shared" si="137"/>
        <v>1.0801975121560448E-2</v>
      </c>
      <c r="AD427" s="3">
        <f t="shared" si="140"/>
        <v>10.845355615165939</v>
      </c>
      <c r="AE427" s="3">
        <f t="shared" si="140"/>
        <v>5514.1512615095389</v>
      </c>
      <c r="AF427" s="3">
        <f t="shared" si="140"/>
        <v>173429.8268143124</v>
      </c>
      <c r="AG427" s="3">
        <f t="shared" si="140"/>
        <v>1.3845149091033129</v>
      </c>
      <c r="AH427" s="233">
        <f t="shared" si="142"/>
        <v>15052.039005292541</v>
      </c>
      <c r="AI427" s="233">
        <f t="shared" si="142"/>
        <v>660272.25669603504</v>
      </c>
      <c r="AJ427" s="233">
        <f t="shared" si="142"/>
        <v>18618565.971277613</v>
      </c>
      <c r="AK427" s="233">
        <f t="shared" si="142"/>
        <v>5334903.6164799007</v>
      </c>
      <c r="AL427" s="233">
        <f t="shared" si="142"/>
        <v>240.80064211380986</v>
      </c>
      <c r="AM427" s="233">
        <f t="shared" si="141"/>
        <v>15041.193649677376</v>
      </c>
      <c r="AN427" s="233">
        <f t="shared" si="141"/>
        <v>654758.10543452553</v>
      </c>
      <c r="AO427" s="233">
        <f t="shared" si="141"/>
        <v>18449206.638920836</v>
      </c>
      <c r="AP427" s="233">
        <f t="shared" si="141"/>
        <v>5330833.1220223643</v>
      </c>
      <c r="AQ427" s="233">
        <f t="shared" si="141"/>
        <v>239.41612720470656</v>
      </c>
      <c r="AR427">
        <v>147</v>
      </c>
      <c r="AS427" s="231">
        <f t="shared" si="138"/>
        <v>18841.340527803961</v>
      </c>
    </row>
    <row r="428" spans="2:45" ht="87" x14ac:dyDescent="0.35">
      <c r="B428" s="56" t="s">
        <v>94</v>
      </c>
      <c r="C428" s="361" t="s">
        <v>226</v>
      </c>
      <c r="D428" s="56">
        <v>10</v>
      </c>
      <c r="E428" s="3">
        <v>45.282045240339308</v>
      </c>
      <c r="F428" s="3">
        <v>13046.4</v>
      </c>
      <c r="G428" s="3">
        <v>619864.13274999999</v>
      </c>
      <c r="H428" s="3">
        <v>137.29627668229799</v>
      </c>
      <c r="I428" s="3">
        <v>37.006417130916603</v>
      </c>
      <c r="J428" s="3">
        <f t="shared" si="132"/>
        <v>220.14869961878105</v>
      </c>
      <c r="K428" s="3">
        <v>13030.4</v>
      </c>
      <c r="L428" s="3">
        <v>614275.03275000001</v>
      </c>
      <c r="M428" s="3">
        <v>135.99589462973501</v>
      </c>
      <c r="N428" s="3">
        <v>36.958427154460402</v>
      </c>
      <c r="O428" s="3">
        <f t="shared" si="133"/>
        <v>218.71805471181381</v>
      </c>
      <c r="P428" s="3">
        <f t="shared" si="134"/>
        <v>111.50769230769231</v>
      </c>
      <c r="Q428" s="3">
        <f t="shared" si="135"/>
        <v>5297.9840405982904</v>
      </c>
      <c r="R428" s="3">
        <f t="shared" si="126"/>
        <v>147153.44526461681</v>
      </c>
      <c r="S428" s="3">
        <f t="shared" si="126"/>
        <v>39663.288104418309</v>
      </c>
      <c r="T428" s="3">
        <f t="shared" si="127"/>
        <v>1.881612817254539</v>
      </c>
      <c r="U428" s="3">
        <f t="shared" si="127"/>
        <v>111.37094017094017</v>
      </c>
      <c r="V428" s="3">
        <f t="shared" si="127"/>
        <v>5250.2139551282053</v>
      </c>
      <c r="W428" s="3">
        <f t="shared" si="128"/>
        <v>145759.70244930574</v>
      </c>
      <c r="X428" s="3">
        <f t="shared" si="128"/>
        <v>39611.85269375499</v>
      </c>
      <c r="Y428" s="3">
        <f t="shared" si="131"/>
        <v>1.8693850830069556</v>
      </c>
      <c r="Z428" s="3">
        <f t="shared" si="139"/>
        <v>0.13675213675213627</v>
      </c>
      <c r="AA428" s="3">
        <f t="shared" si="139"/>
        <v>47.770085470085178</v>
      </c>
      <c r="AB428" s="3">
        <f t="shared" si="136"/>
        <v>1445.1782259743923</v>
      </c>
      <c r="AC428" s="3">
        <f t="shared" si="137"/>
        <v>1.2227734247583388E-2</v>
      </c>
      <c r="AD428" s="3">
        <f t="shared" si="140"/>
        <v>6.1924164431233022</v>
      </c>
      <c r="AE428" s="3">
        <f t="shared" si="140"/>
        <v>2163.1271713912724</v>
      </c>
      <c r="AF428" s="3">
        <f t="shared" si="140"/>
        <v>65440.625808925732</v>
      </c>
      <c r="AG428" s="3">
        <f t="shared" si="140"/>
        <v>0.55369681538591731</v>
      </c>
      <c r="AH428" s="233">
        <f t="shared" si="142"/>
        <v>5049.296367722759</v>
      </c>
      <c r="AI428" s="233">
        <f t="shared" si="142"/>
        <v>239903.55300896743</v>
      </c>
      <c r="AJ428" s="233">
        <f t="shared" si="142"/>
        <v>6663408.9657441722</v>
      </c>
      <c r="AK428" s="233">
        <f t="shared" si="142"/>
        <v>1796034.8063248817</v>
      </c>
      <c r="AL428" s="233">
        <f t="shared" si="142"/>
        <v>85.203276715722339</v>
      </c>
      <c r="AM428" s="233">
        <f t="shared" si="141"/>
        <v>5043.1039512796351</v>
      </c>
      <c r="AN428" s="233">
        <f t="shared" si="141"/>
        <v>237740.42583757616</v>
      </c>
      <c r="AO428" s="233">
        <f t="shared" si="141"/>
        <v>6600297.4405278591</v>
      </c>
      <c r="AP428" s="233">
        <f t="shared" si="141"/>
        <v>1793705.7057322699</v>
      </c>
      <c r="AQ428" s="233">
        <f t="shared" si="141"/>
        <v>84.64957990033642</v>
      </c>
      <c r="AR428">
        <v>147</v>
      </c>
      <c r="AS428" s="231">
        <f t="shared" si="138"/>
        <v>6656.4606503298783</v>
      </c>
    </row>
    <row r="429" spans="2:45" ht="87" x14ac:dyDescent="0.35">
      <c r="B429" s="56" t="s">
        <v>94</v>
      </c>
      <c r="C429" s="361" t="s">
        <v>226</v>
      </c>
      <c r="D429" s="56">
        <v>11</v>
      </c>
      <c r="E429" s="3">
        <v>12.92785108388313</v>
      </c>
      <c r="F429" s="3">
        <v>16790.8</v>
      </c>
      <c r="G429" s="3">
        <v>624522.50485000003</v>
      </c>
      <c r="H429" s="3">
        <v>145.504891386515</v>
      </c>
      <c r="I429" s="3">
        <v>48.153524126005102</v>
      </c>
      <c r="J429" s="3">
        <f t="shared" si="132"/>
        <v>241.69191091810836</v>
      </c>
      <c r="K429" s="3">
        <v>16728</v>
      </c>
      <c r="L429" s="3">
        <v>618670.10485000012</v>
      </c>
      <c r="M429" s="3">
        <v>143.907978165911</v>
      </c>
      <c r="N429" s="3">
        <v>47.965013322032902</v>
      </c>
      <c r="O429" s="3">
        <f t="shared" si="133"/>
        <v>239.94271323816645</v>
      </c>
      <c r="P429" s="3">
        <f t="shared" si="134"/>
        <v>143.51111111111109</v>
      </c>
      <c r="Q429" s="3">
        <f t="shared" si="135"/>
        <v>5337.7991867521368</v>
      </c>
      <c r="R429" s="3">
        <f t="shared" si="126"/>
        <v>155951.39640913659</v>
      </c>
      <c r="S429" s="3">
        <f t="shared" si="126"/>
        <v>51610.700217102902</v>
      </c>
      <c r="T429" s="3">
        <f t="shared" si="127"/>
        <v>2.0657428283599004</v>
      </c>
      <c r="U429" s="3">
        <f t="shared" si="127"/>
        <v>142.97435897435898</v>
      </c>
      <c r="V429" s="3">
        <f t="shared" si="127"/>
        <v>5287.7786739316252</v>
      </c>
      <c r="W429" s="3">
        <f t="shared" si="128"/>
        <v>154239.83300859178</v>
      </c>
      <c r="X429" s="3">
        <f t="shared" si="128"/>
        <v>51408.655304127569</v>
      </c>
      <c r="Y429" s="3">
        <f t="shared" si="131"/>
        <v>2.0507924208390294</v>
      </c>
      <c r="Z429" s="3">
        <f t="shared" si="139"/>
        <v>0.53675213675211353</v>
      </c>
      <c r="AA429" s="3">
        <f t="shared" si="139"/>
        <v>50.020512820511613</v>
      </c>
      <c r="AB429" s="3">
        <f t="shared" si="136"/>
        <v>1913.6083135201261</v>
      </c>
      <c r="AC429" s="3">
        <f t="shared" si="137"/>
        <v>1.4950407520871067E-2</v>
      </c>
      <c r="AD429" s="3">
        <f t="shared" si="140"/>
        <v>6.9390516928873973</v>
      </c>
      <c r="AE429" s="3">
        <f t="shared" si="140"/>
        <v>646.65774088304101</v>
      </c>
      <c r="AF429" s="3">
        <f t="shared" si="140"/>
        <v>24738.843310068933</v>
      </c>
      <c r="AG429" s="3">
        <f t="shared" si="140"/>
        <v>0.19327664207318754</v>
      </c>
      <c r="AH429" s="233">
        <f t="shared" si="142"/>
        <v>1855.2902733270498</v>
      </c>
      <c r="AI429" s="233">
        <f t="shared" si="142"/>
        <v>69006.273002004105</v>
      </c>
      <c r="AJ429" s="233">
        <f t="shared" si="142"/>
        <v>2016116.4291009442</v>
      </c>
      <c r="AK429" s="233">
        <f t="shared" si="142"/>
        <v>667215.44674164103</v>
      </c>
      <c r="AL429" s="233">
        <f t="shared" si="142"/>
        <v>26.70561566263634</v>
      </c>
      <c r="AM429" s="233">
        <f t="shared" si="141"/>
        <v>1848.3512216341624</v>
      </c>
      <c r="AN429" s="233">
        <f t="shared" si="141"/>
        <v>68359.615261121056</v>
      </c>
      <c r="AO429" s="233">
        <f t="shared" si="141"/>
        <v>1993989.5923380763</v>
      </c>
      <c r="AP429" s="233">
        <f t="shared" si="141"/>
        <v>664603.44019443984</v>
      </c>
      <c r="AQ429" s="233">
        <f t="shared" si="141"/>
        <v>26.512339020563154</v>
      </c>
      <c r="AR429">
        <v>147</v>
      </c>
      <c r="AS429" s="231">
        <f t="shared" si="138"/>
        <v>1900.3941093308201</v>
      </c>
    </row>
    <row r="430" spans="2:45" ht="87" x14ac:dyDescent="0.35">
      <c r="B430" s="56" t="s">
        <v>94</v>
      </c>
      <c r="C430" s="361" t="s">
        <v>226</v>
      </c>
      <c r="D430" s="56">
        <v>12</v>
      </c>
      <c r="E430" s="3">
        <v>72.992813383600392</v>
      </c>
      <c r="F430" s="3">
        <v>16218.8</v>
      </c>
      <c r="G430" s="3">
        <v>580784.37782000005</v>
      </c>
      <c r="H430" s="3">
        <v>135.203176612595</v>
      </c>
      <c r="I430" s="3">
        <v>46.328301868478597</v>
      </c>
      <c r="J430" s="3">
        <f t="shared" si="132"/>
        <v>228.05925620623333</v>
      </c>
      <c r="K430" s="3">
        <v>16170.6</v>
      </c>
      <c r="L430" s="3">
        <v>576487.47781999991</v>
      </c>
      <c r="M430" s="3">
        <v>133.985864053238</v>
      </c>
      <c r="N430" s="3">
        <v>46.1836931542339</v>
      </c>
      <c r="O430" s="3">
        <f t="shared" si="133"/>
        <v>226.76356698165745</v>
      </c>
      <c r="P430" s="3">
        <f t="shared" si="134"/>
        <v>138.62222222222221</v>
      </c>
      <c r="Q430" s="3">
        <f t="shared" si="135"/>
        <v>4963.9690411965812</v>
      </c>
      <c r="R430" s="3">
        <f t="shared" si="126"/>
        <v>144910.07134375567</v>
      </c>
      <c r="S430" s="3">
        <f t="shared" si="126"/>
        <v>49654.436361600136</v>
      </c>
      <c r="T430" s="3">
        <f t="shared" si="127"/>
        <v>1.9492244120190882</v>
      </c>
      <c r="U430" s="3">
        <f t="shared" si="127"/>
        <v>138.21025641025642</v>
      </c>
      <c r="V430" s="3">
        <f t="shared" si="127"/>
        <v>4927.2434001709398</v>
      </c>
      <c r="W430" s="3">
        <f t="shared" si="128"/>
        <v>143605.36198526536</v>
      </c>
      <c r="X430" s="3">
        <f t="shared" si="128"/>
        <v>49499.445483255819</v>
      </c>
      <c r="Y430" s="3">
        <f t="shared" si="131"/>
        <v>1.9381501451423713</v>
      </c>
      <c r="Z430" s="3">
        <f t="shared" si="139"/>
        <v>0.41196581196578563</v>
      </c>
      <c r="AA430" s="3">
        <f t="shared" si="139"/>
        <v>36.72564102564138</v>
      </c>
      <c r="AB430" s="3">
        <f t="shared" si="136"/>
        <v>1459.7002368346366</v>
      </c>
      <c r="AC430" s="3">
        <f t="shared" si="137"/>
        <v>1.1074266876716976E-2</v>
      </c>
      <c r="AD430" s="3">
        <f t="shared" si="140"/>
        <v>30.070543633242</v>
      </c>
      <c r="AE430" s="3">
        <f t="shared" si="140"/>
        <v>2680.7078617777397</v>
      </c>
      <c r="AF430" s="3">
        <f t="shared" si="140"/>
        <v>106547.62698326792</v>
      </c>
      <c r="AG430" s="3">
        <f t="shared" si="140"/>
        <v>0.80834189549238944</v>
      </c>
      <c r="AH430" s="233">
        <f t="shared" si="142"/>
        <v>10118.425997486649</v>
      </c>
      <c r="AI430" s="233">
        <f t="shared" si="142"/>
        <v>362334.0658660318</v>
      </c>
      <c r="AJ430" s="233">
        <f t="shared" si="142"/>
        <v>10577393.794998977</v>
      </c>
      <c r="AK430" s="233">
        <f t="shared" si="142"/>
        <v>3624417.0070101405</v>
      </c>
      <c r="AL430" s="233">
        <f t="shared" si="142"/>
        <v>142.27937374926751</v>
      </c>
      <c r="AM430" s="233">
        <f t="shared" si="141"/>
        <v>10088.355453853406</v>
      </c>
      <c r="AN430" s="233">
        <f t="shared" si="141"/>
        <v>359653.35800425406</v>
      </c>
      <c r="AO430" s="233">
        <f t="shared" si="141"/>
        <v>10482159.388274856</v>
      </c>
      <c r="AP430" s="233">
        <f t="shared" si="141"/>
        <v>3613103.7867509932</v>
      </c>
      <c r="AQ430" s="233">
        <f t="shared" si="141"/>
        <v>141.47103185377512</v>
      </c>
      <c r="AR430">
        <v>147</v>
      </c>
      <c r="AS430" s="231">
        <f t="shared" si="138"/>
        <v>10729.943567389259</v>
      </c>
    </row>
    <row r="431" spans="2:45" ht="87" x14ac:dyDescent="0.35">
      <c r="B431" s="56" t="s">
        <v>94</v>
      </c>
      <c r="C431" s="361" t="s">
        <v>226</v>
      </c>
      <c r="D431" s="56">
        <v>13</v>
      </c>
      <c r="E431" s="3">
        <v>21.304453345900097</v>
      </c>
      <c r="F431" s="3">
        <v>15033.1</v>
      </c>
      <c r="G431" s="3">
        <v>644430.50216000003</v>
      </c>
      <c r="H431" s="3">
        <v>149.934482610842</v>
      </c>
      <c r="I431" s="3">
        <v>42.9576854696666</v>
      </c>
      <c r="J431" s="3">
        <f t="shared" si="132"/>
        <v>236.88967883845606</v>
      </c>
      <c r="K431" s="3">
        <v>14992.8</v>
      </c>
      <c r="L431" s="3">
        <v>637879.00216000003</v>
      </c>
      <c r="M431" s="3">
        <v>148.197434917279</v>
      </c>
      <c r="N431" s="3">
        <v>42.836617500616697</v>
      </c>
      <c r="O431" s="3">
        <f t="shared" si="133"/>
        <v>235.09517275567464</v>
      </c>
      <c r="P431" s="3">
        <f t="shared" si="134"/>
        <v>128.48803418803419</v>
      </c>
      <c r="Q431" s="3">
        <f t="shared" si="135"/>
        <v>5507.9530099145304</v>
      </c>
      <c r="R431" s="3">
        <f t="shared" si="126"/>
        <v>160699.00956751782</v>
      </c>
      <c r="S431" s="3">
        <f t="shared" si="126"/>
        <v>46041.826990565736</v>
      </c>
      <c r="T431" s="3">
        <f t="shared" si="127"/>
        <v>2.0246981097303935</v>
      </c>
      <c r="U431" s="3">
        <f t="shared" si="127"/>
        <v>128.14358974358973</v>
      </c>
      <c r="V431" s="3">
        <f t="shared" si="127"/>
        <v>5451.9572834188039</v>
      </c>
      <c r="W431" s="3">
        <f t="shared" si="128"/>
        <v>158837.25075749392</v>
      </c>
      <c r="X431" s="3">
        <f t="shared" si="128"/>
        <v>45912.066962199438</v>
      </c>
      <c r="Y431" s="3">
        <f t="shared" si="131"/>
        <v>2.0093604509032019</v>
      </c>
      <c r="Z431" s="3">
        <f t="shared" si="139"/>
        <v>0.34444444444446276</v>
      </c>
      <c r="AA431" s="3">
        <f t="shared" si="139"/>
        <v>55.995726495726558</v>
      </c>
      <c r="AB431" s="3">
        <f t="shared" si="136"/>
        <v>1991.5188383901768</v>
      </c>
      <c r="AC431" s="3">
        <f t="shared" si="137"/>
        <v>1.5337658827191625E-2</v>
      </c>
      <c r="AD431" s="3">
        <f t="shared" si="140"/>
        <v>7.3382005969215349</v>
      </c>
      <c r="AE431" s="3">
        <f t="shared" si="140"/>
        <v>1192.9583426979884</v>
      </c>
      <c r="AF431" s="3">
        <f t="shared" si="140"/>
        <v>42428.220179964679</v>
      </c>
      <c r="AG431" s="3">
        <f t="shared" si="140"/>
        <v>0.32676043691923679</v>
      </c>
      <c r="AH431" s="233">
        <f t="shared" si="142"/>
        <v>2737.3673298653912</v>
      </c>
      <c r="AI431" s="233">
        <f t="shared" si="142"/>
        <v>117343.92793113412</v>
      </c>
      <c r="AJ431" s="233">
        <f t="shared" si="142"/>
        <v>3423604.5520635364</v>
      </c>
      <c r="AK431" s="233">
        <f t="shared" si="142"/>
        <v>980895.95508051163</v>
      </c>
      <c r="AL431" s="233">
        <f t="shared" si="142"/>
        <v>43.135086418283286</v>
      </c>
      <c r="AM431" s="233">
        <f t="shared" si="141"/>
        <v>2730.0291292684697</v>
      </c>
      <c r="AN431" s="233">
        <f t="shared" si="141"/>
        <v>116150.96958843614</v>
      </c>
      <c r="AO431" s="233">
        <f t="shared" si="141"/>
        <v>3383940.7983540641</v>
      </c>
      <c r="AP431" s="233">
        <f t="shared" si="141"/>
        <v>978131.48861001909</v>
      </c>
      <c r="AQ431" s="233">
        <f t="shared" si="141"/>
        <v>42.80832598136405</v>
      </c>
      <c r="AR431">
        <v>147</v>
      </c>
      <c r="AS431" s="231">
        <f t="shared" si="138"/>
        <v>3131.7546418473144</v>
      </c>
    </row>
    <row r="432" spans="2:45" ht="87" x14ac:dyDescent="0.35">
      <c r="B432" s="56" t="s">
        <v>94</v>
      </c>
      <c r="C432" s="361" t="s">
        <v>226</v>
      </c>
      <c r="D432" s="56">
        <v>14</v>
      </c>
      <c r="E432" s="3">
        <v>9.6786050895381734</v>
      </c>
      <c r="F432" s="3">
        <v>15726.7</v>
      </c>
      <c r="G432" s="3">
        <v>624286.90234999999</v>
      </c>
      <c r="H432" s="3">
        <v>141.61020187240501</v>
      </c>
      <c r="I432" s="3">
        <v>45.040010683871998</v>
      </c>
      <c r="J432" s="3">
        <f t="shared" si="132"/>
        <v>235.83123040312944</v>
      </c>
      <c r="K432" s="3">
        <v>15679.3</v>
      </c>
      <c r="L432" s="3">
        <v>618484.50235000008</v>
      </c>
      <c r="M432" s="3">
        <v>140.11474017943999</v>
      </c>
      <c r="N432" s="3">
        <v>44.897445184223798</v>
      </c>
      <c r="O432" s="3">
        <f t="shared" si="133"/>
        <v>234.17804864843475</v>
      </c>
      <c r="P432" s="3">
        <f t="shared" si="134"/>
        <v>134.41623931623931</v>
      </c>
      <c r="Q432" s="3">
        <f t="shared" si="135"/>
        <v>5335.7854901709397</v>
      </c>
      <c r="R432" s="3">
        <f t="shared" si="126"/>
        <v>151777.08816068023</v>
      </c>
      <c r="S432" s="3">
        <f t="shared" si="126"/>
        <v>48273.652476560244</v>
      </c>
      <c r="T432" s="3">
        <f t="shared" si="127"/>
        <v>2.0156515419070891</v>
      </c>
      <c r="U432" s="3">
        <f t="shared" si="127"/>
        <v>134.01111111111109</v>
      </c>
      <c r="V432" s="3">
        <f t="shared" si="127"/>
        <v>5286.1923277777787</v>
      </c>
      <c r="W432" s="3">
        <f t="shared" si="128"/>
        <v>150174.25998719467</v>
      </c>
      <c r="X432" s="3">
        <f t="shared" si="128"/>
        <v>48120.851505142433</v>
      </c>
      <c r="Y432" s="3">
        <f t="shared" si="131"/>
        <v>2.001521783319955</v>
      </c>
      <c r="Z432" s="3">
        <f t="shared" si="139"/>
        <v>0.40512820512822145</v>
      </c>
      <c r="AA432" s="3">
        <f t="shared" si="139"/>
        <v>49.593162393161037</v>
      </c>
      <c r="AB432" s="3">
        <f t="shared" si="136"/>
        <v>1755.6291449033597</v>
      </c>
      <c r="AC432" s="3">
        <f t="shared" si="137"/>
        <v>1.4129758587134056E-2</v>
      </c>
      <c r="AD432" s="3">
        <f t="shared" si="140"/>
        <v>3.9210759080694695</v>
      </c>
      <c r="AE432" s="3">
        <f t="shared" si="140"/>
        <v>479.99263394474156</v>
      </c>
      <c r="AF432" s="3">
        <f t="shared" si="140"/>
        <v>16992.041177203209</v>
      </c>
      <c r="AG432" s="3">
        <f t="shared" si="140"/>
        <v>0.13675635337538139</v>
      </c>
      <c r="AH432" s="233">
        <f t="shared" si="142"/>
        <v>1300.9616979627349</v>
      </c>
      <c r="AI432" s="233">
        <f t="shared" si="142"/>
        <v>51642.960601852392</v>
      </c>
      <c r="AJ432" s="233">
        <f t="shared" si="142"/>
        <v>1468990.4979472437</v>
      </c>
      <c r="AK432" s="233">
        <f t="shared" si="142"/>
        <v>467221.61855023302</v>
      </c>
      <c r="AL432" s="233">
        <f t="shared" si="142"/>
        <v>19.508695272237418</v>
      </c>
      <c r="AM432" s="233">
        <f t="shared" si="141"/>
        <v>1297.0406220546654</v>
      </c>
      <c r="AN432" s="233">
        <f t="shared" si="141"/>
        <v>51162.967967907651</v>
      </c>
      <c r="AO432" s="233">
        <f t="shared" si="141"/>
        <v>1453477.3570296913</v>
      </c>
      <c r="AP432" s="233">
        <f t="shared" si="141"/>
        <v>465742.71829058224</v>
      </c>
      <c r="AQ432" s="233">
        <f t="shared" si="141"/>
        <v>19.371938918862039</v>
      </c>
      <c r="AR432">
        <v>147</v>
      </c>
      <c r="AS432" s="231">
        <f t="shared" si="138"/>
        <v>1422.7549481621115</v>
      </c>
    </row>
    <row r="433" spans="2:45" ht="87" x14ac:dyDescent="0.35">
      <c r="B433" s="56" t="s">
        <v>94</v>
      </c>
      <c r="C433" s="361" t="s">
        <v>226</v>
      </c>
      <c r="D433" s="56">
        <v>15</v>
      </c>
      <c r="E433" s="3">
        <v>6.3026154571159285</v>
      </c>
      <c r="F433" s="3">
        <v>10450.799999999999</v>
      </c>
      <c r="G433" s="3">
        <v>765644.61771000002</v>
      </c>
      <c r="H433" s="3">
        <v>168.81727477387699</v>
      </c>
      <c r="I433" s="3">
        <v>29.560403852751701</v>
      </c>
      <c r="J433" s="3">
        <f t="shared" si="132"/>
        <v>241.03042302065421</v>
      </c>
      <c r="K433" s="3">
        <v>10447.299999999999</v>
      </c>
      <c r="L433" s="3">
        <v>754884.21771000011</v>
      </c>
      <c r="M433" s="3">
        <v>166.36155498591</v>
      </c>
      <c r="N433" s="3">
        <v>29.549863119737999</v>
      </c>
      <c r="O433" s="3">
        <f t="shared" si="133"/>
        <v>238.42500504342476</v>
      </c>
      <c r="P433" s="3">
        <f t="shared" si="134"/>
        <v>89.323076923076911</v>
      </c>
      <c r="Q433" s="3">
        <f t="shared" si="135"/>
        <v>6543.9710915384621</v>
      </c>
      <c r="R433" s="3">
        <f t="shared" si="126"/>
        <v>180937.48937302711</v>
      </c>
      <c r="S433" s="3">
        <f t="shared" si="126"/>
        <v>31682.689257564642</v>
      </c>
      <c r="T433" s="3">
        <f t="shared" si="127"/>
        <v>2.0600890856466174</v>
      </c>
      <c r="U433" s="3">
        <f t="shared" si="127"/>
        <v>89.29316239316239</v>
      </c>
      <c r="V433" s="3">
        <f t="shared" si="127"/>
        <v>6452.0018607692318</v>
      </c>
      <c r="W433" s="3">
        <f t="shared" si="128"/>
        <v>178305.46149771893</v>
      </c>
      <c r="X433" s="3">
        <f t="shared" si="128"/>
        <v>31671.391753975597</v>
      </c>
      <c r="Y433" s="3">
        <f t="shared" si="131"/>
        <v>2.0378205559267073</v>
      </c>
      <c r="Z433" s="3">
        <f t="shared" si="139"/>
        <v>2.9914529914520926E-2</v>
      </c>
      <c r="AA433" s="3">
        <f t="shared" si="139"/>
        <v>91.969230769230307</v>
      </c>
      <c r="AB433" s="3">
        <f t="shared" si="136"/>
        <v>2643.3253788972179</v>
      </c>
      <c r="AC433" s="3">
        <f t="shared" si="137"/>
        <v>2.2268529719910113E-2</v>
      </c>
      <c r="AD433" s="3">
        <f t="shared" si="140"/>
        <v>0.18853977863161642</v>
      </c>
      <c r="AE433" s="3">
        <f t="shared" si="140"/>
        <v>579.64669542521278</v>
      </c>
      <c r="AF433" s="3">
        <f t="shared" si="140"/>
        <v>16659.863391224422</v>
      </c>
      <c r="AG433" s="3">
        <f t="shared" si="140"/>
        <v>0.14034997961995091</v>
      </c>
      <c r="AH433" s="233">
        <f t="shared" si="142"/>
        <v>562.96900529253958</v>
      </c>
      <c r="AI433" s="233">
        <f t="shared" si="142"/>
        <v>41244.13335245011</v>
      </c>
      <c r="AJ433" s="233">
        <f t="shared" si="142"/>
        <v>1140379.4172941898</v>
      </c>
      <c r="AK433" s="233">
        <f t="shared" si="142"/>
        <v>199683.8070377277</v>
      </c>
      <c r="AL433" s="233">
        <f t="shared" si="142"/>
        <v>12.983949314232191</v>
      </c>
      <c r="AM433" s="233">
        <f t="shared" si="141"/>
        <v>562.78046551390798</v>
      </c>
      <c r="AN433" s="233">
        <f t="shared" si="141"/>
        <v>40664.486657024892</v>
      </c>
      <c r="AO433" s="233">
        <f t="shared" si="141"/>
        <v>1123790.7577237124</v>
      </c>
      <c r="AP433" s="233">
        <f t="shared" si="141"/>
        <v>199612.60321698055</v>
      </c>
      <c r="AQ433" s="233">
        <f t="shared" si="141"/>
        <v>12.843599334612239</v>
      </c>
      <c r="AR433">
        <v>147</v>
      </c>
      <c r="AS433" s="231">
        <f t="shared" si="138"/>
        <v>926.48447219604145</v>
      </c>
    </row>
    <row r="434" spans="2:45" ht="87.5" thickBot="1" x14ac:dyDescent="0.4">
      <c r="B434" s="56" t="s">
        <v>94</v>
      </c>
      <c r="C434" s="361" t="s">
        <v>226</v>
      </c>
      <c r="D434" s="56">
        <v>16</v>
      </c>
      <c r="E434" s="3">
        <v>3.9060084825636205</v>
      </c>
      <c r="F434" s="3">
        <v>24894.1</v>
      </c>
      <c r="G434" s="3">
        <v>541069.12089999998</v>
      </c>
      <c r="H434" s="3">
        <v>117.08398057457499</v>
      </c>
      <c r="I434" s="3">
        <v>71.480835233064496</v>
      </c>
      <c r="J434" s="3">
        <f t="shared" si="132"/>
        <v>265.83221298865101</v>
      </c>
      <c r="K434" s="3">
        <v>24742</v>
      </c>
      <c r="L434" s="3">
        <v>538061.12089999998</v>
      </c>
      <c r="M434" s="3">
        <v>116.50214191283401</v>
      </c>
      <c r="N434" s="3">
        <v>71.0328345414392</v>
      </c>
      <c r="O434" s="3">
        <f t="shared" si="133"/>
        <v>264.2796041080378</v>
      </c>
      <c r="P434" s="3">
        <f t="shared" si="134"/>
        <v>212.77008547008546</v>
      </c>
      <c r="Q434" s="3">
        <f t="shared" si="135"/>
        <v>4624.5224008547011</v>
      </c>
      <c r="R434" s="3">
        <f t="shared" si="126"/>
        <v>125490.00994915985</v>
      </c>
      <c r="S434" s="3">
        <f t="shared" si="126"/>
        <v>76612.792634412719</v>
      </c>
      <c r="T434" s="3">
        <f t="shared" si="127"/>
        <v>2.2720701964841967</v>
      </c>
      <c r="U434" s="3">
        <f t="shared" si="127"/>
        <v>211.47008547008548</v>
      </c>
      <c r="V434" s="3">
        <f t="shared" si="127"/>
        <v>4598.8129991452988</v>
      </c>
      <c r="W434" s="3">
        <f t="shared" si="128"/>
        <v>124866.39825529388</v>
      </c>
      <c r="X434" s="3">
        <f t="shared" si="128"/>
        <v>76132.627790568164</v>
      </c>
      <c r="Y434" s="3">
        <f t="shared" si="131"/>
        <v>2.2588000351114341</v>
      </c>
      <c r="Z434" s="3">
        <f t="shared" si="139"/>
        <v>1.2999999999999829</v>
      </c>
      <c r="AA434" s="3">
        <f t="shared" si="139"/>
        <v>25.7094017094023</v>
      </c>
      <c r="AB434" s="3">
        <f t="shared" si="136"/>
        <v>1103.7765377105243</v>
      </c>
      <c r="AC434" s="3">
        <f t="shared" si="137"/>
        <v>1.3270161372762601E-2</v>
      </c>
      <c r="AD434" s="3">
        <f t="shared" si="140"/>
        <v>5.0778110273326398</v>
      </c>
      <c r="AE434" s="3">
        <f t="shared" si="140"/>
        <v>100.42114115856103</v>
      </c>
      <c r="AF434" s="3">
        <f t="shared" si="140"/>
        <v>4311.3605191520119</v>
      </c>
      <c r="AG434" s="3">
        <f t="shared" si="140"/>
        <v>5.1833362886998822E-2</v>
      </c>
      <c r="AH434" s="233">
        <f t="shared" si="142"/>
        <v>831.08175868194041</v>
      </c>
      <c r="AI434" s="233">
        <f t="shared" si="142"/>
        <v>18063.423725543944</v>
      </c>
      <c r="AJ434" s="233">
        <f t="shared" si="142"/>
        <v>490165.04333841155</v>
      </c>
      <c r="AK434" s="233">
        <f t="shared" si="142"/>
        <v>299250.21790290374</v>
      </c>
      <c r="AL434" s="233">
        <f t="shared" si="142"/>
        <v>8.8747254604472641</v>
      </c>
      <c r="AM434" s="233">
        <f t="shared" si="141"/>
        <v>826.00394765460771</v>
      </c>
      <c r="AN434" s="233">
        <f t="shared" si="141"/>
        <v>17963.00258438538</v>
      </c>
      <c r="AO434" s="233">
        <f t="shared" si="141"/>
        <v>487729.21077234519</v>
      </c>
      <c r="AP434" s="233">
        <f t="shared" si="141"/>
        <v>297374.68994981807</v>
      </c>
      <c r="AQ434" s="233">
        <f t="shared" si="141"/>
        <v>8.8228920975602652</v>
      </c>
      <c r="AR434">
        <v>147</v>
      </c>
      <c r="AS434" s="231">
        <f t="shared" si="138"/>
        <v>574.18324693685224</v>
      </c>
    </row>
    <row r="435" spans="2:45" ht="87" x14ac:dyDescent="0.35">
      <c r="B435" s="56" t="s">
        <v>93</v>
      </c>
      <c r="C435" s="361" t="s">
        <v>230</v>
      </c>
      <c r="D435" s="56">
        <v>1</v>
      </c>
      <c r="E435" s="385">
        <v>52.009298312883431</v>
      </c>
      <c r="F435" s="3">
        <v>19358.099999999999</v>
      </c>
      <c r="G435" s="3">
        <v>566948</v>
      </c>
      <c r="H435" s="3">
        <v>140.815166195637</v>
      </c>
      <c r="I435" s="3">
        <v>60.755606955165497</v>
      </c>
      <c r="J435" s="3">
        <f t="shared" si="132"/>
        <v>241.85667038474099</v>
      </c>
      <c r="K435" s="3">
        <v>19415.599999999999</v>
      </c>
      <c r="L435" s="3">
        <v>564181</v>
      </c>
      <c r="M435" s="3">
        <v>140.135257239499</v>
      </c>
      <c r="N435" s="3">
        <v>60.944272161955602</v>
      </c>
      <c r="O435" s="3">
        <f t="shared" si="133"/>
        <v>241.50523447890777</v>
      </c>
      <c r="P435" s="3">
        <f t="shared" si="134"/>
        <v>219.97840909090908</v>
      </c>
      <c r="Q435" s="3">
        <f t="shared" si="135"/>
        <v>6442.590909090909</v>
      </c>
      <c r="R435" s="3">
        <f t="shared" si="126"/>
        <v>180979.4920082562</v>
      </c>
      <c r="S435" s="3">
        <f t="shared" si="126"/>
        <v>78084.763029877475</v>
      </c>
      <c r="T435" s="3">
        <f t="shared" si="127"/>
        <v>2.7483712543720569</v>
      </c>
      <c r="U435" s="3">
        <f t="shared" si="127"/>
        <v>220.63181818181818</v>
      </c>
      <c r="V435" s="3">
        <f t="shared" si="127"/>
        <v>6411.147727272727</v>
      </c>
      <c r="W435" s="3">
        <f t="shared" si="128"/>
        <v>180105.6544748561</v>
      </c>
      <c r="X435" s="3">
        <f t="shared" si="128"/>
        <v>78327.24069905885</v>
      </c>
      <c r="Y435" s="3">
        <f t="shared" si="131"/>
        <v>2.7443776645330429</v>
      </c>
      <c r="Z435" s="3">
        <f t="shared" si="139"/>
        <v>-0.65340909090909349</v>
      </c>
      <c r="AA435" s="3">
        <f t="shared" si="139"/>
        <v>31.443181818181984</v>
      </c>
      <c r="AB435" s="3">
        <f t="shared" si="136"/>
        <v>631.35986421872803</v>
      </c>
      <c r="AC435" s="3">
        <f t="shared" si="137"/>
        <v>3.993589839013989E-3</v>
      </c>
      <c r="AD435" s="3">
        <f t="shared" si="140"/>
        <v>-33.983348329441014</v>
      </c>
      <c r="AE435" s="3">
        <f t="shared" si="140"/>
        <v>1635.3378230880592</v>
      </c>
      <c r="AF435" s="3">
        <f t="shared" si="140"/>
        <v>32836.583520933404</v>
      </c>
      <c r="AG435" s="3">
        <f t="shared" si="140"/>
        <v>0.20770380527657867</v>
      </c>
      <c r="AH435" s="233">
        <f t="shared" si="142"/>
        <v>11440.922700802599</v>
      </c>
      <c r="AI435" s="233">
        <f t="shared" si="142"/>
        <v>335074.63249877992</v>
      </c>
      <c r="AJ435" s="233">
        <f t="shared" si="142"/>
        <v>9412616.3883714993</v>
      </c>
      <c r="AK435" s="233">
        <f t="shared" si="142"/>
        <v>4061133.7341117091</v>
      </c>
      <c r="AL435" s="233">
        <f t="shared" si="142"/>
        <v>142.94086044318993</v>
      </c>
      <c r="AM435" s="233">
        <f t="shared" si="141"/>
        <v>11474.90604913204</v>
      </c>
      <c r="AN435" s="233">
        <f t="shared" si="141"/>
        <v>333439.29467569187</v>
      </c>
      <c r="AO435" s="233">
        <f t="shared" si="141"/>
        <v>9367168.711419899</v>
      </c>
      <c r="AP435" s="233">
        <f t="shared" si="141"/>
        <v>4073744.8275423758</v>
      </c>
      <c r="AQ435" s="233">
        <f t="shared" si="141"/>
        <v>142.73315663791337</v>
      </c>
      <c r="AR435">
        <v>138.47436397251619</v>
      </c>
      <c r="AS435" s="231">
        <f t="shared" si="138"/>
        <v>7201.9545045333925</v>
      </c>
    </row>
    <row r="436" spans="2:45" ht="87" x14ac:dyDescent="0.35">
      <c r="B436" s="56" t="s">
        <v>93</v>
      </c>
      <c r="C436" s="361" t="s">
        <v>230</v>
      </c>
      <c r="D436" s="56">
        <v>2</v>
      </c>
      <c r="E436" s="386">
        <v>308.71934432515332</v>
      </c>
      <c r="F436" s="3">
        <v>16064</v>
      </c>
      <c r="G436" s="3">
        <v>641103</v>
      </c>
      <c r="H436" s="3">
        <v>165.08521340447501</v>
      </c>
      <c r="I436" s="3">
        <v>50.540055184727301</v>
      </c>
      <c r="J436" s="3">
        <f t="shared" si="132"/>
        <v>241.71285864782726</v>
      </c>
      <c r="K436" s="3">
        <v>16114.4</v>
      </c>
      <c r="L436" s="3">
        <v>631780</v>
      </c>
      <c r="M436" s="3">
        <v>161.99951647227701</v>
      </c>
      <c r="N436" s="3">
        <v>50.707232469930901</v>
      </c>
      <c r="O436" s="3">
        <f t="shared" si="133"/>
        <v>239.74692191635671</v>
      </c>
      <c r="P436" s="3">
        <f t="shared" si="134"/>
        <v>182.54545454545453</v>
      </c>
      <c r="Q436" s="3">
        <f t="shared" si="135"/>
        <v>7285.261363636364</v>
      </c>
      <c r="R436" s="3">
        <f t="shared" si="126"/>
        <v>212172.01859143321</v>
      </c>
      <c r="S436" s="3">
        <f t="shared" si="126"/>
        <v>64955.457288552927</v>
      </c>
      <c r="T436" s="3">
        <f t="shared" si="127"/>
        <v>2.746737030088946</v>
      </c>
      <c r="U436" s="3">
        <f t="shared" si="127"/>
        <v>183.11818181818182</v>
      </c>
      <c r="V436" s="3">
        <f t="shared" si="127"/>
        <v>7179.318181818182</v>
      </c>
      <c r="W436" s="3">
        <f t="shared" si="128"/>
        <v>208206.19673880146</v>
      </c>
      <c r="X436" s="3">
        <f t="shared" si="128"/>
        <v>65170.318094877104</v>
      </c>
      <c r="Y436" s="3">
        <f t="shared" si="131"/>
        <v>2.7243968399585992</v>
      </c>
      <c r="Z436" s="3">
        <f t="shared" si="139"/>
        <v>-0.57272727272729185</v>
      </c>
      <c r="AA436" s="3">
        <f t="shared" si="139"/>
        <v>105.94318181818198</v>
      </c>
      <c r="AB436" s="3">
        <f t="shared" si="136"/>
        <v>3750.961046307566</v>
      </c>
      <c r="AC436" s="3">
        <f t="shared" si="137"/>
        <v>2.2340190130346826E-2</v>
      </c>
      <c r="AD436" s="3">
        <f t="shared" si="140"/>
        <v>-176.81198811350279</v>
      </c>
      <c r="AE436" s="3">
        <f t="shared" si="140"/>
        <v>32706.709626629647</v>
      </c>
      <c r="AF436" s="3">
        <f t="shared" si="140"/>
        <v>1157994.2348052629</v>
      </c>
      <c r="AG436" s="3">
        <f t="shared" si="140"/>
        <v>6.8968488491399338</v>
      </c>
      <c r="AH436" s="233">
        <f t="shared" si="142"/>
        <v>56355.313036809799</v>
      </c>
      <c r="AI436" s="233">
        <f t="shared" si="142"/>
        <v>2249101.1114191907</v>
      </c>
      <c r="AJ436" s="233">
        <f t="shared" si="142"/>
        <v>65501606.463691503</v>
      </c>
      <c r="AK436" s="233">
        <f t="shared" si="142"/>
        <v>20053006.184462562</v>
      </c>
      <c r="AL436" s="233">
        <f t="shared" si="142"/>
        <v>847.97085496267835</v>
      </c>
      <c r="AM436" s="233">
        <f t="shared" si="141"/>
        <v>56532.125024923305</v>
      </c>
      <c r="AN436" s="233">
        <f t="shared" si="141"/>
        <v>2216394.4017925612</v>
      </c>
      <c r="AO436" s="233">
        <f t="shared" si="141"/>
        <v>64277280.541636661</v>
      </c>
      <c r="AP436" s="233">
        <f t="shared" si="141"/>
        <v>20119337.871712133</v>
      </c>
      <c r="AQ436" s="233">
        <f t="shared" si="141"/>
        <v>841.07400611353842</v>
      </c>
      <c r="AR436">
        <v>138.47436397251619</v>
      </c>
      <c r="AS436" s="231">
        <f t="shared" si="138"/>
        <v>42749.714851437828</v>
      </c>
    </row>
    <row r="437" spans="2:45" ht="87" x14ac:dyDescent="0.35">
      <c r="B437" s="56" t="s">
        <v>93</v>
      </c>
      <c r="C437" s="361" t="s">
        <v>230</v>
      </c>
      <c r="D437" s="56">
        <v>3</v>
      </c>
      <c r="E437" s="386">
        <v>1497.4752684049076</v>
      </c>
      <c r="F437" s="3">
        <v>15251.5</v>
      </c>
      <c r="G437" s="3">
        <v>613326</v>
      </c>
      <c r="H437" s="3">
        <v>156.29174183419599</v>
      </c>
      <c r="I437" s="3">
        <v>47.807925492673803</v>
      </c>
      <c r="J437" s="3">
        <f t="shared" si="132"/>
        <v>230.60476891363516</v>
      </c>
      <c r="K437" s="3">
        <v>15274.5</v>
      </c>
      <c r="L437" s="3">
        <v>606274</v>
      </c>
      <c r="M437" s="3">
        <v>154.01833361539499</v>
      </c>
      <c r="N437" s="3">
        <v>47.884120784261803</v>
      </c>
      <c r="O437" s="3">
        <f t="shared" si="133"/>
        <v>229.03522962215368</v>
      </c>
      <c r="P437" s="3">
        <f t="shared" si="134"/>
        <v>173.3125</v>
      </c>
      <c r="Q437" s="3">
        <f t="shared" si="135"/>
        <v>6969.613636363636</v>
      </c>
      <c r="R437" s="3">
        <f t="shared" si="126"/>
        <v>200870.40910735872</v>
      </c>
      <c r="S437" s="3">
        <f t="shared" si="126"/>
        <v>61444.049695697802</v>
      </c>
      <c r="T437" s="3">
        <f t="shared" si="127"/>
        <v>2.6205087376549447</v>
      </c>
      <c r="U437" s="3">
        <f t="shared" si="127"/>
        <v>173.57386363636363</v>
      </c>
      <c r="V437" s="3">
        <f t="shared" si="127"/>
        <v>6889.477272727273</v>
      </c>
      <c r="W437" s="3">
        <f t="shared" si="128"/>
        <v>197948.56286251332</v>
      </c>
      <c r="X437" s="3">
        <f t="shared" si="128"/>
        <v>61541.97796250011</v>
      </c>
      <c r="Y437" s="3">
        <f t="shared" si="131"/>
        <v>2.6026730638881101</v>
      </c>
      <c r="Z437" s="3">
        <f t="shared" si="139"/>
        <v>-0.26136363636362603</v>
      </c>
      <c r="AA437" s="3">
        <f t="shared" si="139"/>
        <v>80.136363636363058</v>
      </c>
      <c r="AB437" s="3">
        <f t="shared" si="136"/>
        <v>2823.9179780430713</v>
      </c>
      <c r="AC437" s="3">
        <f t="shared" si="137"/>
        <v>1.7835673766834592E-2</v>
      </c>
      <c r="AD437" s="3">
        <f t="shared" si="140"/>
        <v>-391.38558151490355</v>
      </c>
      <c r="AE437" s="3">
        <f t="shared" si="140"/>
        <v>120002.22264535604</v>
      </c>
      <c r="AF437" s="3">
        <f t="shared" si="140"/>
        <v>4228747.3321234919</v>
      </c>
      <c r="AG437" s="3">
        <f t="shared" si="140"/>
        <v>26.708480361173002</v>
      </c>
      <c r="AH437" s="233">
        <f t="shared" si="142"/>
        <v>259531.18245542556</v>
      </c>
      <c r="AI437" s="233">
        <f t="shared" si="142"/>
        <v>10436824.050792141</v>
      </c>
      <c r="AJ437" s="233">
        <f t="shared" si="142"/>
        <v>300798469.79264557</v>
      </c>
      <c r="AK437" s="233">
        <f t="shared" si="142"/>
        <v>92010944.809949547</v>
      </c>
      <c r="AL437" s="233">
        <f t="shared" si="142"/>
        <v>3924.1470252772442</v>
      </c>
      <c r="AM437" s="233">
        <f t="shared" si="141"/>
        <v>259922.56803694047</v>
      </c>
      <c r="AN437" s="233">
        <f t="shared" si="141"/>
        <v>10316821.828146784</v>
      </c>
      <c r="AO437" s="233">
        <f t="shared" si="141"/>
        <v>296423077.30290788</v>
      </c>
      <c r="AP437" s="233">
        <f t="shared" si="141"/>
        <v>92157589.967563763</v>
      </c>
      <c r="AQ437" s="233">
        <f t="shared" si="141"/>
        <v>3897.4385449160709</v>
      </c>
      <c r="AR437">
        <v>138.47436397251619</v>
      </c>
      <c r="AS437" s="231">
        <f t="shared" si="138"/>
        <v>207361.93535694256</v>
      </c>
    </row>
    <row r="438" spans="2:45" ht="87" x14ac:dyDescent="0.35">
      <c r="B438" s="56" t="s">
        <v>93</v>
      </c>
      <c r="C438" s="361" t="s">
        <v>230</v>
      </c>
      <c r="D438" s="56">
        <v>4</v>
      </c>
      <c r="E438" s="386">
        <v>780.13947469325149</v>
      </c>
      <c r="F438" s="3">
        <v>14125.2</v>
      </c>
      <c r="G438" s="3">
        <v>665934</v>
      </c>
      <c r="H438" s="3">
        <v>170.30892710451701</v>
      </c>
      <c r="I438" s="3">
        <v>44.322456993061998</v>
      </c>
      <c r="J438" s="3">
        <f t="shared" si="132"/>
        <v>237.1061040734827</v>
      </c>
      <c r="K438" s="3">
        <v>14145.8</v>
      </c>
      <c r="L438" s="3">
        <v>654197</v>
      </c>
      <c r="M438" s="3">
        <v>166.61555502844999</v>
      </c>
      <c r="N438" s="3">
        <v>44.390704545233</v>
      </c>
      <c r="O438" s="3">
        <f t="shared" si="133"/>
        <v>234.39740596053707</v>
      </c>
      <c r="P438" s="3">
        <f t="shared" si="134"/>
        <v>160.51363636363638</v>
      </c>
      <c r="Q438" s="3">
        <f t="shared" si="135"/>
        <v>7567.431818181818</v>
      </c>
      <c r="R438" s="3">
        <f t="shared" si="126"/>
        <v>218885.67790364628</v>
      </c>
      <c r="S438" s="3">
        <f t="shared" si="126"/>
        <v>56964.430521764916</v>
      </c>
      <c r="T438" s="3">
        <f t="shared" si="127"/>
        <v>2.6943875462895761</v>
      </c>
      <c r="U438" s="3">
        <f t="shared" si="127"/>
        <v>160.74772727272727</v>
      </c>
      <c r="V438" s="3">
        <f t="shared" si="127"/>
        <v>7434.056818181818</v>
      </c>
      <c r="W438" s="3">
        <f t="shared" si="128"/>
        <v>214138.85538315561</v>
      </c>
      <c r="X438" s="3">
        <f t="shared" si="128"/>
        <v>57052.144137111951</v>
      </c>
      <c r="Y438" s="3">
        <f t="shared" si="131"/>
        <v>2.6636068859151938</v>
      </c>
      <c r="Z438" s="3">
        <f t="shared" si="139"/>
        <v>-0.23409090909089514</v>
      </c>
      <c r="AA438" s="3">
        <f t="shared" si="139"/>
        <v>133.375</v>
      </c>
      <c r="AB438" s="3">
        <f t="shared" si="136"/>
        <v>4659.1089051436647</v>
      </c>
      <c r="AC438" s="3">
        <f t="shared" si="137"/>
        <v>3.0780660374382318E-2</v>
      </c>
      <c r="AD438" s="3">
        <f t="shared" si="140"/>
        <v>-182.62355884863663</v>
      </c>
      <c r="AE438" s="3">
        <f t="shared" si="140"/>
        <v>104051.10243721242</v>
      </c>
      <c r="AF438" s="3">
        <f t="shared" si="140"/>
        <v>3634754.7737974287</v>
      </c>
      <c r="AG438" s="3">
        <f t="shared" si="140"/>
        <v>24.013208215182004</v>
      </c>
      <c r="AH438" s="233">
        <f t="shared" si="142"/>
        <v>125223.02395383088</v>
      </c>
      <c r="AI438" s="233">
        <f t="shared" si="142"/>
        <v>5903652.2834133608</v>
      </c>
      <c r="AJ438" s="233">
        <f t="shared" si="142"/>
        <v>170761357.77762684</v>
      </c>
      <c r="AK438" s="233">
        <f t="shared" si="142"/>
        <v>44440200.9034499</v>
      </c>
      <c r="AL438" s="233">
        <f t="shared" si="142"/>
        <v>2101.9980849823887</v>
      </c>
      <c r="AM438" s="233">
        <f t="shared" si="141"/>
        <v>125405.64751267951</v>
      </c>
      <c r="AN438" s="233">
        <f t="shared" si="141"/>
        <v>5799601.1809761478</v>
      </c>
      <c r="AO438" s="233">
        <f t="shared" si="141"/>
        <v>167058174.15002915</v>
      </c>
      <c r="AP438" s="233">
        <f t="shared" si="141"/>
        <v>44508629.757250182</v>
      </c>
      <c r="AQ438" s="233">
        <f t="shared" si="141"/>
        <v>2077.9848767672065</v>
      </c>
      <c r="AR438">
        <v>138.47436397251619</v>
      </c>
      <c r="AS438" s="231">
        <f t="shared" si="138"/>
        <v>108029.31756800089</v>
      </c>
    </row>
    <row r="439" spans="2:45" ht="87" x14ac:dyDescent="0.35">
      <c r="B439" s="56" t="s">
        <v>93</v>
      </c>
      <c r="C439" s="361" t="s">
        <v>230</v>
      </c>
      <c r="D439" s="56">
        <v>5</v>
      </c>
      <c r="E439" s="386">
        <v>138.56062116564414</v>
      </c>
      <c r="F439" s="3">
        <v>15028.8</v>
      </c>
      <c r="G439" s="3">
        <v>620309</v>
      </c>
      <c r="H439" s="3">
        <v>153.48131696962901</v>
      </c>
      <c r="I439" s="3">
        <v>47.0304950445122</v>
      </c>
      <c r="J439" s="3">
        <f t="shared" si="132"/>
        <v>231.06847526744082</v>
      </c>
      <c r="K439" s="3">
        <v>15048.2</v>
      </c>
      <c r="L439" s="3">
        <v>612877</v>
      </c>
      <c r="M439" s="3">
        <v>151.57287713554001</v>
      </c>
      <c r="N439" s="3">
        <v>47.094510774655703</v>
      </c>
      <c r="O439" s="3">
        <f t="shared" si="133"/>
        <v>229.38796474344551</v>
      </c>
      <c r="P439" s="3">
        <f t="shared" si="134"/>
        <v>170.78181818181818</v>
      </c>
      <c r="Q439" s="3">
        <f t="shared" si="135"/>
        <v>7048.965909090909</v>
      </c>
      <c r="R439" s="3">
        <f t="shared" si="126"/>
        <v>197258.37442346636</v>
      </c>
      <c r="S439" s="3">
        <f t="shared" si="126"/>
        <v>60444.874881071933</v>
      </c>
      <c r="T439" s="3">
        <f t="shared" si="127"/>
        <v>2.6257781280391002</v>
      </c>
      <c r="U439" s="3">
        <f t="shared" si="127"/>
        <v>171.00227272727273</v>
      </c>
      <c r="V439" s="3">
        <f t="shared" si="127"/>
        <v>6964.511363636364</v>
      </c>
      <c r="W439" s="3">
        <f t="shared" si="128"/>
        <v>194805.59550033609</v>
      </c>
      <c r="X439" s="3">
        <f t="shared" si="128"/>
        <v>60527.149643335913</v>
      </c>
      <c r="Y439" s="3">
        <f t="shared" si="131"/>
        <v>2.6066814175391535</v>
      </c>
      <c r="Z439" s="3">
        <f t="shared" si="139"/>
        <v>-0.2204545454545439</v>
      </c>
      <c r="AA439" s="3">
        <f t="shared" si="139"/>
        <v>84.454545454545041</v>
      </c>
      <c r="AB439" s="3">
        <f t="shared" si="136"/>
        <v>2370.5041608663014</v>
      </c>
      <c r="AC439" s="3">
        <f t="shared" si="137"/>
        <v>1.9096710499946656E-2</v>
      </c>
      <c r="AD439" s="3">
        <f t="shared" si="140"/>
        <v>-30.546318756971335</v>
      </c>
      <c r="AE439" s="3">
        <f t="shared" si="140"/>
        <v>11702.074278443888</v>
      </c>
      <c r="AF439" s="3">
        <f t="shared" si="140"/>
        <v>328458.52900537872</v>
      </c>
      <c r="AG439" s="3">
        <f t="shared" si="140"/>
        <v>2.6460520690930873</v>
      </c>
      <c r="AH439" s="233">
        <f t="shared" si="142"/>
        <v>23663.634811070824</v>
      </c>
      <c r="AI439" s="233">
        <f t="shared" si="142"/>
        <v>976709.09493908577</v>
      </c>
      <c r="AJ439" s="233">
        <f t="shared" si="142"/>
        <v>27332242.89024071</v>
      </c>
      <c r="AK439" s="233">
        <f t="shared" si="142"/>
        <v>8375279.4098009672</v>
      </c>
      <c r="AL439" s="233">
        <f t="shared" si="142"/>
        <v>363.82944846426</v>
      </c>
      <c r="AM439" s="233">
        <f t="shared" si="141"/>
        <v>23694.181129827797</v>
      </c>
      <c r="AN439" s="233">
        <f t="shared" si="141"/>
        <v>965007.02066064184</v>
      </c>
      <c r="AO439" s="233">
        <f t="shared" si="141"/>
        <v>26992384.319069777</v>
      </c>
      <c r="AP439" s="233">
        <f t="shared" si="141"/>
        <v>8386679.4519665204</v>
      </c>
      <c r="AQ439" s="233">
        <f t="shared" si="141"/>
        <v>361.18339639516688</v>
      </c>
      <c r="AR439">
        <v>138.47436397251619</v>
      </c>
      <c r="AS439" s="231">
        <f t="shared" si="138"/>
        <v>19187.093887549338</v>
      </c>
    </row>
    <row r="440" spans="2:45" ht="87" x14ac:dyDescent="0.35">
      <c r="B440" s="56" t="s">
        <v>93</v>
      </c>
      <c r="C440" s="361" t="s">
        <v>230</v>
      </c>
      <c r="D440" s="56">
        <v>6</v>
      </c>
      <c r="E440" s="386">
        <v>661.40126533742318</v>
      </c>
      <c r="F440" s="3">
        <v>12631.8</v>
      </c>
      <c r="G440" s="3">
        <v>685400</v>
      </c>
      <c r="H440" s="3">
        <v>169.145526947159</v>
      </c>
      <c r="I440" s="3">
        <v>39.5060608766671</v>
      </c>
      <c r="J440" s="3">
        <f t="shared" si="132"/>
        <v>233.63923938111222</v>
      </c>
      <c r="K440" s="3">
        <v>12637.8</v>
      </c>
      <c r="L440" s="3">
        <v>672295</v>
      </c>
      <c r="M440" s="3">
        <v>165.71655186009599</v>
      </c>
      <c r="N440" s="3">
        <v>39.525998988204499</v>
      </c>
      <c r="O440" s="3">
        <f t="shared" si="133"/>
        <v>230.52209957661256</v>
      </c>
      <c r="P440" s="3">
        <f t="shared" si="134"/>
        <v>143.54318181818181</v>
      </c>
      <c r="Q440" s="3">
        <f t="shared" si="135"/>
        <v>7788.636363636364</v>
      </c>
      <c r="R440" s="3">
        <f t="shared" si="126"/>
        <v>217390.44429231458</v>
      </c>
      <c r="S440" s="3">
        <f t="shared" si="126"/>
        <v>50774.266876716465</v>
      </c>
      <c r="T440" s="3">
        <f t="shared" si="127"/>
        <v>2.6549913566035479</v>
      </c>
      <c r="U440" s="3">
        <f t="shared" si="127"/>
        <v>143.61136363636362</v>
      </c>
      <c r="V440" s="3">
        <f t="shared" si="127"/>
        <v>7639.715909090909</v>
      </c>
      <c r="W440" s="3">
        <f t="shared" si="128"/>
        <v>212983.43199291884</v>
      </c>
      <c r="X440" s="3">
        <f t="shared" si="128"/>
        <v>50799.891881431009</v>
      </c>
      <c r="Y440" s="3">
        <f t="shared" si="131"/>
        <v>2.6195693133705973</v>
      </c>
      <c r="Z440" s="3">
        <f t="shared" si="139"/>
        <v>-6.8181818181813014E-2</v>
      </c>
      <c r="AA440" s="3">
        <f t="shared" si="139"/>
        <v>148.92045454545496</v>
      </c>
      <c r="AB440" s="3">
        <f t="shared" si="136"/>
        <v>4381.3872946811971</v>
      </c>
      <c r="AC440" s="3">
        <f t="shared" si="137"/>
        <v>3.5422043232950617E-2</v>
      </c>
      <c r="AD440" s="3">
        <f t="shared" si="140"/>
        <v>-45.095540818457252</v>
      </c>
      <c r="AE440" s="3">
        <f t="shared" si="140"/>
        <v>98496.177070988124</v>
      </c>
      <c r="AF440" s="3">
        <f t="shared" si="140"/>
        <v>2897855.1006354531</v>
      </c>
      <c r="AG440" s="3">
        <f t="shared" si="140"/>
        <v>23.428184215110445</v>
      </c>
      <c r="AH440" s="233">
        <f t="shared" si="142"/>
        <v>94939.642085105239</v>
      </c>
      <c r="AI440" s="233">
        <f t="shared" si="142"/>
        <v>5151413.9461621577</v>
      </c>
      <c r="AJ440" s="233">
        <f t="shared" si="142"/>
        <v>143782314.92720148</v>
      </c>
      <c r="AK440" s="233">
        <f t="shared" si="142"/>
        <v>33582164.358840287</v>
      </c>
      <c r="AL440" s="233">
        <f t="shared" si="142"/>
        <v>1756.0146427175084</v>
      </c>
      <c r="AM440" s="233">
        <f t="shared" si="141"/>
        <v>94984.737625923706</v>
      </c>
      <c r="AN440" s="233">
        <f t="shared" si="141"/>
        <v>5052917.7690911693</v>
      </c>
      <c r="AO440" s="233">
        <f t="shared" si="141"/>
        <v>140867511.41602352</v>
      </c>
      <c r="AP440" s="233">
        <f t="shared" si="141"/>
        <v>33599112.76938276</v>
      </c>
      <c r="AQ440" s="233">
        <f t="shared" si="141"/>
        <v>1732.5864585023978</v>
      </c>
      <c r="AR440">
        <v>138.47436397251619</v>
      </c>
      <c r="AS440" s="231">
        <f t="shared" si="138"/>
        <v>91587.119548217088</v>
      </c>
    </row>
    <row r="441" spans="2:45" ht="87" x14ac:dyDescent="0.35">
      <c r="B441" s="56" t="s">
        <v>93</v>
      </c>
      <c r="C441" s="361" t="s">
        <v>230</v>
      </c>
      <c r="D441" s="56">
        <v>7</v>
      </c>
      <c r="E441" s="386">
        <v>711.05542561349682</v>
      </c>
      <c r="F441" s="3">
        <v>12453.5</v>
      </c>
      <c r="G441" s="3">
        <v>673077</v>
      </c>
      <c r="H441" s="3">
        <v>166.55676188162701</v>
      </c>
      <c r="I441" s="3">
        <v>39.015838121626501</v>
      </c>
      <c r="J441" s="3">
        <f t="shared" si="132"/>
        <v>229.70480777918897</v>
      </c>
      <c r="K441" s="3">
        <v>12457.1</v>
      </c>
      <c r="L441" s="3">
        <v>660665</v>
      </c>
      <c r="M441" s="3">
        <v>163.38924028327901</v>
      </c>
      <c r="N441" s="3">
        <v>39.027736795992901</v>
      </c>
      <c r="O441" s="3">
        <f t="shared" si="133"/>
        <v>226.74114411739089</v>
      </c>
      <c r="P441" s="3">
        <f t="shared" si="134"/>
        <v>141.51704545454547</v>
      </c>
      <c r="Q441" s="3">
        <f t="shared" si="135"/>
        <v>7648.602272727273</v>
      </c>
      <c r="R441" s="3">
        <f t="shared" si="126"/>
        <v>214063.29282740928</v>
      </c>
      <c r="S441" s="3">
        <f t="shared" si="126"/>
        <v>50144.219222226784</v>
      </c>
      <c r="T441" s="3">
        <f t="shared" si="127"/>
        <v>2.6102819065816929</v>
      </c>
      <c r="U441" s="3">
        <f t="shared" si="127"/>
        <v>141.55795454545455</v>
      </c>
      <c r="V441" s="3">
        <f t="shared" si="127"/>
        <v>7507.556818181818</v>
      </c>
      <c r="W441" s="3">
        <f t="shared" si="128"/>
        <v>209992.30768225971</v>
      </c>
      <c r="X441" s="3">
        <f t="shared" si="128"/>
        <v>50159.511723031785</v>
      </c>
      <c r="Y441" s="3">
        <f t="shared" si="131"/>
        <v>2.5766039104248963</v>
      </c>
      <c r="Z441" s="3">
        <f t="shared" si="139"/>
        <v>-4.0909090909082124E-2</v>
      </c>
      <c r="AA441" s="3">
        <f t="shared" si="139"/>
        <v>141.04545454545496</v>
      </c>
      <c r="AB441" s="3">
        <f t="shared" si="136"/>
        <v>4055.6926443445554</v>
      </c>
      <c r="AC441" s="3">
        <f t="shared" si="137"/>
        <v>3.3677996156796564E-2</v>
      </c>
      <c r="AD441" s="3">
        <f t="shared" si="140"/>
        <v>-29.088631047818623</v>
      </c>
      <c r="AE441" s="3">
        <f t="shared" si="140"/>
        <v>100291.1357126676</v>
      </c>
      <c r="AF441" s="3">
        <f t="shared" si="140"/>
        <v>2883822.2593819462</v>
      </c>
      <c r="AG441" s="3">
        <f t="shared" si="140"/>
        <v>23.946921891080692</v>
      </c>
      <c r="AH441" s="233">
        <f t="shared" si="142"/>
        <v>100626.4629872464</v>
      </c>
      <c r="AI441" s="233">
        <f t="shared" si="142"/>
        <v>5438580.1443824498</v>
      </c>
      <c r="AJ441" s="233">
        <f t="shared" si="142"/>
        <v>152210865.7896201</v>
      </c>
      <c r="AK441" s="233">
        <f t="shared" si="142"/>
        <v>35655319.141116954</v>
      </c>
      <c r="AL441" s="233">
        <f t="shared" si="142"/>
        <v>1856.0551120556556</v>
      </c>
      <c r="AM441" s="233">
        <f t="shared" si="141"/>
        <v>100655.55161829422</v>
      </c>
      <c r="AN441" s="233">
        <f t="shared" si="141"/>
        <v>5338289.0086697824</v>
      </c>
      <c r="AO441" s="233">
        <f t="shared" si="141"/>
        <v>149316169.71456957</v>
      </c>
      <c r="AP441" s="233">
        <f t="shared" si="141"/>
        <v>35666192.956785552</v>
      </c>
      <c r="AQ441" s="233">
        <f t="shared" si="141"/>
        <v>1832.1081901645748</v>
      </c>
      <c r="AR441">
        <v>138.47436397251619</v>
      </c>
      <c r="AS441" s="231">
        <f t="shared" si="138"/>
        <v>98462.947811035774</v>
      </c>
    </row>
    <row r="442" spans="2:45" ht="87" x14ac:dyDescent="0.35">
      <c r="B442" s="56" t="s">
        <v>93</v>
      </c>
      <c r="C442" s="361" t="s">
        <v>230</v>
      </c>
      <c r="D442" s="56">
        <v>8</v>
      </c>
      <c r="E442" s="386">
        <v>929.88700153374225</v>
      </c>
      <c r="F442" s="3">
        <v>12261.9</v>
      </c>
      <c r="G442" s="3">
        <v>709649</v>
      </c>
      <c r="H442" s="3">
        <v>174.21978915976601</v>
      </c>
      <c r="I442" s="3">
        <v>38.374190999561797</v>
      </c>
      <c r="J442" s="3">
        <f t="shared" si="132"/>
        <v>237.45004256681483</v>
      </c>
      <c r="K442" s="3">
        <v>12268.1</v>
      </c>
      <c r="L442" s="3">
        <v>694361</v>
      </c>
      <c r="M442" s="3">
        <v>170.05994106822499</v>
      </c>
      <c r="N442" s="3">
        <v>38.394928305522903</v>
      </c>
      <c r="O442" s="3">
        <f t="shared" si="133"/>
        <v>233.80929633820196</v>
      </c>
      <c r="P442" s="3">
        <f t="shared" si="134"/>
        <v>139.33977272727273</v>
      </c>
      <c r="Q442" s="3">
        <f t="shared" si="135"/>
        <v>8064.193181818182</v>
      </c>
      <c r="R442" s="3">
        <f t="shared" si="126"/>
        <v>223912.02447692654</v>
      </c>
      <c r="S442" s="3">
        <f t="shared" si="126"/>
        <v>49319.556841482263</v>
      </c>
      <c r="T442" s="3">
        <f t="shared" si="127"/>
        <v>2.6982959382592595</v>
      </c>
      <c r="U442" s="3">
        <f t="shared" si="127"/>
        <v>139.41022727272727</v>
      </c>
      <c r="V442" s="3">
        <f t="shared" si="127"/>
        <v>7890.465909090909</v>
      </c>
      <c r="W442" s="3">
        <f t="shared" si="128"/>
        <v>218565.67425927552</v>
      </c>
      <c r="X442" s="3">
        <f t="shared" si="128"/>
        <v>49346.208992666368</v>
      </c>
      <c r="Y442" s="3">
        <f t="shared" si="131"/>
        <v>2.6569238220250222</v>
      </c>
      <c r="Z442" s="3">
        <f t="shared" si="139"/>
        <v>-7.045454545453822E-2</v>
      </c>
      <c r="AA442" s="3">
        <f t="shared" si="139"/>
        <v>173.72727272727298</v>
      </c>
      <c r="AB442" s="3">
        <f t="shared" si="136"/>
        <v>5319.6980664669463</v>
      </c>
      <c r="AC442" s="3">
        <f t="shared" si="137"/>
        <v>4.1372116234237311E-2</v>
      </c>
      <c r="AD442" s="3">
        <f t="shared" si="140"/>
        <v>-65.514766017143302</v>
      </c>
      <c r="AE442" s="3">
        <f t="shared" si="140"/>
        <v>161546.73272099855</v>
      </c>
      <c r="AF442" s="3">
        <f t="shared" si="140"/>
        <v>4946718.0840917947</v>
      </c>
      <c r="AG442" s="3">
        <f t="shared" si="140"/>
        <v>38.471393112160392</v>
      </c>
      <c r="AH442" s="233">
        <f t="shared" si="142"/>
        <v>129570.24345575676</v>
      </c>
      <c r="AI442" s="233">
        <f t="shared" si="142"/>
        <v>7498788.4176297579</v>
      </c>
      <c r="AJ442" s="233">
        <f t="shared" si="142"/>
        <v>208212881.04819912</v>
      </c>
      <c r="AK442" s="233">
        <f t="shared" si="142"/>
        <v>45861614.828298904</v>
      </c>
      <c r="AL442" s="233">
        <f t="shared" si="142"/>
        <v>2509.1103192785786</v>
      </c>
      <c r="AM442" s="233">
        <f t="shared" si="141"/>
        <v>129635.7582217739</v>
      </c>
      <c r="AN442" s="233">
        <f t="shared" si="141"/>
        <v>7337241.6849087588</v>
      </c>
      <c r="AO442" s="233">
        <f t="shared" si="141"/>
        <v>203241379.47515833</v>
      </c>
      <c r="AP442" s="233">
        <f t="shared" si="141"/>
        <v>45886398.31724792</v>
      </c>
      <c r="AQ442" s="233">
        <f t="shared" si="141"/>
        <v>2470.6389261664181</v>
      </c>
      <c r="AR442">
        <v>138.47436397251619</v>
      </c>
      <c r="AS442" s="231">
        <f t="shared" si="138"/>
        <v>128765.51110369514</v>
      </c>
    </row>
    <row r="443" spans="2:45" ht="87" x14ac:dyDescent="0.35">
      <c r="B443" s="56" t="s">
        <v>93</v>
      </c>
      <c r="C443" s="361" t="s">
        <v>230</v>
      </c>
      <c r="D443" s="56">
        <v>9</v>
      </c>
      <c r="E443" s="386">
        <v>2183.2129601226993</v>
      </c>
      <c r="F443" s="3">
        <v>12636.8</v>
      </c>
      <c r="G443" s="3">
        <v>705080</v>
      </c>
      <c r="H443" s="3">
        <v>174.81658725264899</v>
      </c>
      <c r="I443" s="3">
        <v>39.6049335955083</v>
      </c>
      <c r="J443" s="3">
        <f t="shared" si="132"/>
        <v>238.39671902821371</v>
      </c>
      <c r="K443" s="3">
        <v>12646.3</v>
      </c>
      <c r="L443" s="3">
        <v>690290</v>
      </c>
      <c r="M443" s="3">
        <v>170.69961210093101</v>
      </c>
      <c r="N443" s="3">
        <v>39.636619749845799</v>
      </c>
      <c r="O443" s="3">
        <f t="shared" si="133"/>
        <v>234.89366972176359</v>
      </c>
      <c r="P443" s="3">
        <f t="shared" si="134"/>
        <v>143.6</v>
      </c>
      <c r="Q443" s="3">
        <f t="shared" si="135"/>
        <v>8012.272727272727</v>
      </c>
      <c r="R443" s="3">
        <f t="shared" si="126"/>
        <v>224679.04566221137</v>
      </c>
      <c r="S443" s="3">
        <f t="shared" si="126"/>
        <v>50901.340791499868</v>
      </c>
      <c r="T443" s="3">
        <f t="shared" si="127"/>
        <v>2.7090536253206103</v>
      </c>
      <c r="U443" s="3">
        <f t="shared" si="127"/>
        <v>143.70795454545453</v>
      </c>
      <c r="V443" s="3">
        <f t="shared" si="127"/>
        <v>7844.204545454545</v>
      </c>
      <c r="W443" s="3">
        <f t="shared" si="128"/>
        <v>219387.79691608291</v>
      </c>
      <c r="X443" s="3">
        <f t="shared" si="128"/>
        <v>50942.064701222269</v>
      </c>
      <c r="Y443" s="3">
        <f t="shared" si="131"/>
        <v>2.6692462468382225</v>
      </c>
      <c r="Z443" s="3">
        <f t="shared" ref="Z443:AA484" si="143">P443-U443</f>
        <v>-0.10795454545453254</v>
      </c>
      <c r="AA443" s="3">
        <f t="shared" si="143"/>
        <v>168.06818181818198</v>
      </c>
      <c r="AB443" s="3">
        <f t="shared" si="136"/>
        <v>5250.5248364060753</v>
      </c>
      <c r="AC443" s="3">
        <f t="shared" si="137"/>
        <v>3.9807378482387801E-2</v>
      </c>
      <c r="AD443" s="3">
        <f t="shared" ref="AD443:AG484" si="144">Z443*$E443</f>
        <v>-235.68776274049048</v>
      </c>
      <c r="AE443" s="3">
        <f t="shared" si="144"/>
        <v>366928.63272971311</v>
      </c>
      <c r="AF443" s="3">
        <f t="shared" si="144"/>
        <v>11463013.87028786</v>
      </c>
      <c r="AG443" s="3">
        <f t="shared" si="144"/>
        <v>86.907984611258513</v>
      </c>
      <c r="AH443" s="233">
        <f t="shared" si="142"/>
        <v>313509.38107361959</v>
      </c>
      <c r="AI443" s="233">
        <f t="shared" si="142"/>
        <v>17492497.658219464</v>
      </c>
      <c r="AJ443" s="233">
        <f t="shared" si="142"/>
        <v>490522204.35773963</v>
      </c>
      <c r="AK443" s="233">
        <f t="shared" si="142"/>
        <v>111128466.90362473</v>
      </c>
      <c r="AL443" s="233">
        <f t="shared" si="142"/>
        <v>5914.4409844673401</v>
      </c>
      <c r="AM443" s="233">
        <f t="shared" si="141"/>
        <v>313745.06883636012</v>
      </c>
      <c r="AN443" s="233">
        <f t="shared" si="141"/>
        <v>17125569.025489751</v>
      </c>
      <c r="AO443" s="233">
        <f t="shared" si="141"/>
        <v>478970281.51995897</v>
      </c>
      <c r="AP443" s="233">
        <f t="shared" si="141"/>
        <v>111217375.87111755</v>
      </c>
      <c r="AQ443" s="233">
        <f t="shared" si="141"/>
        <v>5827.532999856081</v>
      </c>
      <c r="AR443">
        <v>138.47436397251619</v>
      </c>
      <c r="AS443" s="231">
        <f t="shared" si="138"/>
        <v>302319.02606954513</v>
      </c>
    </row>
    <row r="444" spans="2:45" ht="87" x14ac:dyDescent="0.35">
      <c r="B444" s="56" t="s">
        <v>93</v>
      </c>
      <c r="C444" s="361" t="s">
        <v>230</v>
      </c>
      <c r="D444" s="56">
        <v>10</v>
      </c>
      <c r="E444" s="386">
        <v>771.30770705521468</v>
      </c>
      <c r="F444" s="3">
        <v>12025.3</v>
      </c>
      <c r="G444" s="3">
        <v>719872</v>
      </c>
      <c r="H444" s="3">
        <v>177.570012819531</v>
      </c>
      <c r="I444" s="3">
        <v>37.800860587142303</v>
      </c>
      <c r="J444" s="3">
        <f t="shared" si="132"/>
        <v>238.61668611294567</v>
      </c>
      <c r="K444" s="3">
        <v>12041.2</v>
      </c>
      <c r="L444" s="3">
        <v>703847</v>
      </c>
      <c r="M444" s="3">
        <v>173.202357851291</v>
      </c>
      <c r="N444" s="3">
        <v>37.8538757517153</v>
      </c>
      <c r="O444" s="3">
        <f t="shared" si="133"/>
        <v>234.85170536578065</v>
      </c>
      <c r="P444" s="3">
        <f t="shared" si="134"/>
        <v>136.65113636363637</v>
      </c>
      <c r="Q444" s="3">
        <f t="shared" si="135"/>
        <v>8180.363636363636</v>
      </c>
      <c r="R444" s="3">
        <f t="shared" si="126"/>
        <v>228217.8232941927</v>
      </c>
      <c r="S444" s="3">
        <f t="shared" si="126"/>
        <v>48582.696959156754</v>
      </c>
      <c r="T444" s="3">
        <f t="shared" si="127"/>
        <v>2.7115532512834735</v>
      </c>
      <c r="U444" s="3">
        <f t="shared" si="127"/>
        <v>136.83181818181819</v>
      </c>
      <c r="V444" s="3">
        <f t="shared" si="127"/>
        <v>7998.261363636364</v>
      </c>
      <c r="W444" s="3">
        <f t="shared" si="128"/>
        <v>222604.39401114784</v>
      </c>
      <c r="X444" s="3">
        <f t="shared" si="128"/>
        <v>48650.833494534098</v>
      </c>
      <c r="Y444" s="3">
        <f t="shared" si="131"/>
        <v>2.6687693791565983</v>
      </c>
      <c r="Z444" s="3">
        <f t="shared" si="143"/>
        <v>-0.18068181818182438</v>
      </c>
      <c r="AA444" s="3">
        <f t="shared" si="143"/>
        <v>182.10227272727207</v>
      </c>
      <c r="AB444" s="3">
        <f t="shared" si="136"/>
        <v>5545.2927476675031</v>
      </c>
      <c r="AC444" s="3">
        <f t="shared" si="137"/>
        <v>4.2783872126875178E-2</v>
      </c>
      <c r="AD444" s="3">
        <f t="shared" si="144"/>
        <v>-139.36127888839016</v>
      </c>
      <c r="AE444" s="3">
        <f t="shared" si="144"/>
        <v>140456.88642681556</v>
      </c>
      <c r="AF444" s="3">
        <f t="shared" si="144"/>
        <v>4277127.0341533329</v>
      </c>
      <c r="AG444" s="3">
        <f t="shared" si="144"/>
        <v>32.999530309123607</v>
      </c>
      <c r="AH444" s="233">
        <f t="shared" si="142"/>
        <v>105400.07465512583</v>
      </c>
      <c r="AI444" s="233">
        <f t="shared" si="142"/>
        <v>6309577.5192414941</v>
      </c>
      <c r="AJ444" s="233">
        <f t="shared" si="142"/>
        <v>176026165.99417594</v>
      </c>
      <c r="AK444" s="233">
        <f t="shared" si="142"/>
        <v>37472208.594125547</v>
      </c>
      <c r="AL444" s="233">
        <f t="shared" si="142"/>
        <v>2091.4419208055683</v>
      </c>
      <c r="AM444" s="233">
        <f t="shared" si="141"/>
        <v>105539.43593401423</v>
      </c>
      <c r="AN444" s="233">
        <f t="shared" si="141"/>
        <v>6169120.6328146784</v>
      </c>
      <c r="AO444" s="233">
        <f t="shared" si="141"/>
        <v>171696484.72515401</v>
      </c>
      <c r="AP444" s="233">
        <f t="shared" si="141"/>
        <v>37524762.828994133</v>
      </c>
      <c r="AQ444" s="233">
        <f t="shared" si="141"/>
        <v>2058.4423904964447</v>
      </c>
      <c r="AR444">
        <v>138.47436397251619</v>
      </c>
      <c r="AS444" s="231">
        <f t="shared" si="138"/>
        <v>106806.34416157068</v>
      </c>
    </row>
    <row r="445" spans="2:45" ht="87" x14ac:dyDescent="0.35">
      <c r="B445" s="56" t="s">
        <v>93</v>
      </c>
      <c r="C445" s="361" t="s">
        <v>230</v>
      </c>
      <c r="D445" s="56">
        <v>11</v>
      </c>
      <c r="E445" s="386">
        <v>220.20540644171774</v>
      </c>
      <c r="F445" s="3">
        <v>14172.6</v>
      </c>
      <c r="G445" s="3">
        <v>716741</v>
      </c>
      <c r="H445" s="3">
        <v>185.06101709976801</v>
      </c>
      <c r="I445" s="3">
        <v>44.858710613181799</v>
      </c>
      <c r="J445" s="3">
        <f t="shared" si="132"/>
        <v>249.57641478100336</v>
      </c>
      <c r="K445" s="3">
        <v>14233.6</v>
      </c>
      <c r="L445" s="3">
        <v>701197</v>
      </c>
      <c r="M445" s="3">
        <v>180.46847259255901</v>
      </c>
      <c r="N445" s="3">
        <v>45.061521562469302</v>
      </c>
      <c r="O445" s="3">
        <f t="shared" si="133"/>
        <v>246.17303980413681</v>
      </c>
      <c r="P445" s="3">
        <f t="shared" si="134"/>
        <v>161.05227272727274</v>
      </c>
      <c r="Q445" s="3">
        <f t="shared" si="135"/>
        <v>8144.784090909091</v>
      </c>
      <c r="R445" s="3">
        <f t="shared" si="126"/>
        <v>237845.46629527005</v>
      </c>
      <c r="S445" s="3">
        <f t="shared" si="126"/>
        <v>57653.638299441613</v>
      </c>
      <c r="T445" s="3">
        <f t="shared" si="127"/>
        <v>2.8360956225114018</v>
      </c>
      <c r="U445" s="3">
        <f t="shared" si="127"/>
        <v>161.74545454545455</v>
      </c>
      <c r="V445" s="3">
        <f t="shared" si="127"/>
        <v>7968.147727272727</v>
      </c>
      <c r="W445" s="3">
        <f t="shared" si="128"/>
        <v>231943.00284339118</v>
      </c>
      <c r="X445" s="3">
        <f t="shared" si="128"/>
        <v>57914.296462673614</v>
      </c>
      <c r="Y445" s="3">
        <f t="shared" si="131"/>
        <v>2.7974209068651912</v>
      </c>
      <c r="Z445" s="3">
        <f t="shared" si="143"/>
        <v>-0.69318181818181301</v>
      </c>
      <c r="AA445" s="3">
        <f t="shared" si="143"/>
        <v>176.63636363636397</v>
      </c>
      <c r="AB445" s="3">
        <f t="shared" si="136"/>
        <v>5641.8052886468868</v>
      </c>
      <c r="AC445" s="3">
        <f t="shared" si="137"/>
        <v>3.8674715646210611E-2</v>
      </c>
      <c r="AD445" s="3">
        <f t="shared" si="144"/>
        <v>-152.64238401073501</v>
      </c>
      <c r="AE445" s="3">
        <f t="shared" si="144"/>
        <v>38896.282246932577</v>
      </c>
      <c r="AF445" s="3">
        <f t="shared" si="144"/>
        <v>1242356.0266515203</v>
      </c>
      <c r="AG445" s="3">
        <f t="shared" si="144"/>
        <v>8.5163814778916684</v>
      </c>
      <c r="AH445" s="233">
        <f t="shared" si="142"/>
        <v>35464.581174271465</v>
      </c>
      <c r="AI445" s="233">
        <f t="shared" si="142"/>
        <v>1793525.491118673</v>
      </c>
      <c r="AJ445" s="233">
        <f t="shared" si="142"/>
        <v>52374857.575869821</v>
      </c>
      <c r="AK445" s="233">
        <f t="shared" si="142"/>
        <v>12695642.854572324</v>
      </c>
      <c r="AL445" s="233">
        <f t="shared" si="142"/>
        <v>624.52358926269972</v>
      </c>
      <c r="AM445" s="233">
        <f t="shared" si="141"/>
        <v>35617.223558282203</v>
      </c>
      <c r="AN445" s="233">
        <f t="shared" si="141"/>
        <v>1754629.2088717404</v>
      </c>
      <c r="AO445" s="233">
        <f t="shared" si="141"/>
        <v>51075103.212441452</v>
      </c>
      <c r="AP445" s="233">
        <f t="shared" si="141"/>
        <v>12753041.191349179</v>
      </c>
      <c r="AQ445" s="233">
        <f t="shared" si="141"/>
        <v>616.00720778480809</v>
      </c>
      <c r="AR445">
        <v>138.47436397251619</v>
      </c>
      <c r="AS445" s="231">
        <f t="shared" si="138"/>
        <v>30492.803600326282</v>
      </c>
    </row>
    <row r="446" spans="2:45" ht="87" x14ac:dyDescent="0.35">
      <c r="B446" s="56" t="s">
        <v>93</v>
      </c>
      <c r="C446" s="361" t="s">
        <v>230</v>
      </c>
      <c r="D446" s="56">
        <v>12</v>
      </c>
      <c r="E446" s="386">
        <v>1243.3166219325153</v>
      </c>
      <c r="F446" s="3">
        <v>14549.3</v>
      </c>
      <c r="G446" s="3">
        <v>684552</v>
      </c>
      <c r="H446" s="3">
        <v>176.390385867605</v>
      </c>
      <c r="I446" s="3">
        <v>45.974311091332901</v>
      </c>
      <c r="J446" s="3">
        <f t="shared" si="132"/>
        <v>243.89427445005899</v>
      </c>
      <c r="K446" s="3">
        <v>14604</v>
      </c>
      <c r="L446" s="3">
        <v>671052</v>
      </c>
      <c r="M446" s="3">
        <v>172.16742577248201</v>
      </c>
      <c r="N446" s="3">
        <v>46.156331933506003</v>
      </c>
      <c r="O446" s="3">
        <f t="shared" si="133"/>
        <v>240.94782441984941</v>
      </c>
      <c r="P446" s="3">
        <f t="shared" si="134"/>
        <v>165.33295454545453</v>
      </c>
      <c r="Q446" s="3">
        <f t="shared" si="135"/>
        <v>7779</v>
      </c>
      <c r="R446" s="3">
        <f t="shared" si="126"/>
        <v>226701.73456393325</v>
      </c>
      <c r="S446" s="3">
        <f t="shared" si="126"/>
        <v>59087.43845942898</v>
      </c>
      <c r="T446" s="3">
        <f t="shared" si="127"/>
        <v>2.7715258460233976</v>
      </c>
      <c r="U446" s="3">
        <f t="shared" si="127"/>
        <v>165.95454545454547</v>
      </c>
      <c r="V446" s="3">
        <f t="shared" si="127"/>
        <v>7625.590909090909</v>
      </c>
      <c r="W446" s="3">
        <f t="shared" si="128"/>
        <v>221274.27107804222</v>
      </c>
      <c r="X446" s="3">
        <f t="shared" si="128"/>
        <v>59321.376609994644</v>
      </c>
      <c r="Y446" s="3">
        <f t="shared" si="131"/>
        <v>2.7380434593164704</v>
      </c>
      <c r="Z446" s="3">
        <f t="shared" si="143"/>
        <v>-0.62159090909094061</v>
      </c>
      <c r="AA446" s="3">
        <f t="shared" si="143"/>
        <v>153.40909090909099</v>
      </c>
      <c r="AB446" s="3">
        <f t="shared" si="136"/>
        <v>5193.525335325372</v>
      </c>
      <c r="AC446" s="3">
        <f t="shared" si="137"/>
        <v>3.3482386706927159E-2</v>
      </c>
      <c r="AD446" s="3">
        <f t="shared" si="144"/>
        <v>-772.83430931490955</v>
      </c>
      <c r="AE446" s="3">
        <f t="shared" si="144"/>
        <v>190736.07268282917</v>
      </c>
      <c r="AF446" s="3">
        <f t="shared" si="144"/>
        <v>6457196.3758376753</v>
      </c>
      <c r="AG446" s="3">
        <f t="shared" si="144"/>
        <v>41.629207934694833</v>
      </c>
      <c r="AH446" s="233">
        <f t="shared" si="142"/>
        <v>205561.21053957663</v>
      </c>
      <c r="AI446" s="233">
        <f t="shared" si="142"/>
        <v>9671760.002013037</v>
      </c>
      <c r="AJ446" s="233">
        <f t="shared" si="142"/>
        <v>281862034.80427122</v>
      </c>
      <c r="AK446" s="233">
        <f t="shared" si="142"/>
        <v>73464394.384022623</v>
      </c>
      <c r="AL446" s="233">
        <f t="shared" si="142"/>
        <v>3445.8841524764671</v>
      </c>
      <c r="AM446" s="233">
        <f t="shared" si="141"/>
        <v>206334.04484889153</v>
      </c>
      <c r="AN446" s="233">
        <f t="shared" si="141"/>
        <v>9481023.9293302074</v>
      </c>
      <c r="AO446" s="233">
        <f t="shared" si="141"/>
        <v>275113979.23733115</v>
      </c>
      <c r="AP446" s="233">
        <f t="shared" si="141"/>
        <v>73755253.575125068</v>
      </c>
      <c r="AQ446" s="233">
        <f t="shared" si="141"/>
        <v>3404.2549445417726</v>
      </c>
      <c r="AR446">
        <v>138.47436397251619</v>
      </c>
      <c r="AS446" s="231">
        <f t="shared" si="138"/>
        <v>172167.47843856242</v>
      </c>
    </row>
    <row r="447" spans="2:45" ht="87" x14ac:dyDescent="0.35">
      <c r="B447" s="56" t="s">
        <v>93</v>
      </c>
      <c r="C447" s="361" t="s">
        <v>230</v>
      </c>
      <c r="D447" s="56">
        <v>13</v>
      </c>
      <c r="E447" s="386">
        <v>362.88751917177905</v>
      </c>
      <c r="F447" s="3">
        <v>13539.4</v>
      </c>
      <c r="G447" s="3">
        <v>740637</v>
      </c>
      <c r="H447" s="3">
        <v>190.800950971123</v>
      </c>
      <c r="I447" s="3">
        <v>42.830285472765098</v>
      </c>
      <c r="J447" s="3">
        <f t="shared" si="132"/>
        <v>251.86622257089721</v>
      </c>
      <c r="K447" s="3">
        <v>13585.6</v>
      </c>
      <c r="L447" s="3">
        <v>722062</v>
      </c>
      <c r="M447" s="3">
        <v>185.360916593583</v>
      </c>
      <c r="N447" s="3">
        <v>42.9838932900157</v>
      </c>
      <c r="O447" s="3">
        <f t="shared" si="133"/>
        <v>247.65360286727753</v>
      </c>
      <c r="P447" s="3">
        <f t="shared" si="134"/>
        <v>153.85681818181817</v>
      </c>
      <c r="Q447" s="3">
        <f t="shared" si="135"/>
        <v>8416.329545454546</v>
      </c>
      <c r="R447" s="3">
        <f t="shared" si="126"/>
        <v>245222.5858503865</v>
      </c>
      <c r="S447" s="3">
        <f t="shared" si="126"/>
        <v>55046.650988292415</v>
      </c>
      <c r="T447" s="3">
        <f t="shared" si="127"/>
        <v>2.8621161655783776</v>
      </c>
      <c r="U447" s="3">
        <f t="shared" si="127"/>
        <v>154.38181818181818</v>
      </c>
      <c r="V447" s="3">
        <f t="shared" si="127"/>
        <v>8205.25</v>
      </c>
      <c r="W447" s="3">
        <f t="shared" si="128"/>
        <v>238230.90530379815</v>
      </c>
      <c r="X447" s="3">
        <f t="shared" si="128"/>
        <v>55244.071944326999</v>
      </c>
      <c r="Y447" s="3">
        <f t="shared" si="131"/>
        <v>2.8142454871281539</v>
      </c>
      <c r="Z447" s="3">
        <f t="shared" si="143"/>
        <v>-0.52500000000000568</v>
      </c>
      <c r="AA447" s="3">
        <f t="shared" si="143"/>
        <v>211.07954545454595</v>
      </c>
      <c r="AB447" s="3">
        <f t="shared" si="136"/>
        <v>6794.2595905537964</v>
      </c>
      <c r="AC447" s="3">
        <f t="shared" si="137"/>
        <v>4.7870678450223636E-2</v>
      </c>
      <c r="AD447" s="3">
        <f t="shared" si="144"/>
        <v>-190.51594756518605</v>
      </c>
      <c r="AE447" s="3">
        <f t="shared" si="144"/>
        <v>76598.132597906952</v>
      </c>
      <c r="AF447" s="3">
        <f t="shared" si="144"/>
        <v>2465552.0074251345</v>
      </c>
      <c r="AG447" s="3">
        <f t="shared" si="144"/>
        <v>17.371671743871598</v>
      </c>
      <c r="AH447" s="233">
        <f t="shared" si="142"/>
        <v>55832.719057663468</v>
      </c>
      <c r="AI447" s="233">
        <f t="shared" si="142"/>
        <v>3054180.949282147</v>
      </c>
      <c r="AJ447" s="233">
        <f t="shared" si="142"/>
        <v>88988215.824135363</v>
      </c>
      <c r="AK447" s="233">
        <f t="shared" si="142"/>
        <v>19975742.615856193</v>
      </c>
      <c r="AL447" s="233">
        <f t="shared" si="142"/>
        <v>1038.6262349081821</v>
      </c>
      <c r="AM447" s="233">
        <f t="shared" si="141"/>
        <v>56023.235005228649</v>
      </c>
      <c r="AN447" s="233">
        <f t="shared" si="141"/>
        <v>2977582.81668424</v>
      </c>
      <c r="AO447" s="233">
        <f t="shared" si="141"/>
        <v>86451022.215742335</v>
      </c>
      <c r="AP447" s="233">
        <f t="shared" si="141"/>
        <v>20047384.216824103</v>
      </c>
      <c r="AQ447" s="233">
        <f t="shared" si="141"/>
        <v>1021.2545631643106</v>
      </c>
      <c r="AR447">
        <v>138.47436397251619</v>
      </c>
      <c r="AS447" s="231">
        <f t="shared" si="138"/>
        <v>50250.618410876377</v>
      </c>
    </row>
    <row r="448" spans="2:45" ht="87" x14ac:dyDescent="0.35">
      <c r="B448" s="56" t="s">
        <v>93</v>
      </c>
      <c r="C448" s="361" t="s">
        <v>230</v>
      </c>
      <c r="D448" s="56">
        <v>14</v>
      </c>
      <c r="E448" s="386">
        <v>164.8596625766871</v>
      </c>
      <c r="F448" s="3">
        <v>13524.9</v>
      </c>
      <c r="G448" s="3">
        <v>719048</v>
      </c>
      <c r="H448" s="3">
        <v>179.668712802187</v>
      </c>
      <c r="I448" s="3">
        <v>42.792045980200797</v>
      </c>
      <c r="J448" s="3">
        <f t="shared" si="132"/>
        <v>246.59808615612809</v>
      </c>
      <c r="K448" s="3">
        <v>13565.7</v>
      </c>
      <c r="L448" s="3">
        <v>704098</v>
      </c>
      <c r="M448" s="3">
        <v>175.467595751419</v>
      </c>
      <c r="N448" s="3">
        <v>42.928151776476597</v>
      </c>
      <c r="O448" s="3">
        <f t="shared" si="133"/>
        <v>243.22730333275877</v>
      </c>
      <c r="P448" s="3">
        <f t="shared" si="134"/>
        <v>153.69204545454545</v>
      </c>
      <c r="Q448" s="3">
        <f t="shared" si="135"/>
        <v>8171</v>
      </c>
      <c r="R448" s="3">
        <f t="shared" si="126"/>
        <v>230915.12974917443</v>
      </c>
      <c r="S448" s="3">
        <f t="shared" si="126"/>
        <v>54997.504549553523</v>
      </c>
      <c r="T448" s="3">
        <f t="shared" si="127"/>
        <v>2.8022509790469101</v>
      </c>
      <c r="U448" s="3">
        <f t="shared" si="127"/>
        <v>154.15568181818182</v>
      </c>
      <c r="V448" s="3">
        <f t="shared" si="127"/>
        <v>8001.113636363636</v>
      </c>
      <c r="W448" s="3">
        <f t="shared" si="128"/>
        <v>225515.73953960784</v>
      </c>
      <c r="X448" s="3">
        <f t="shared" si="128"/>
        <v>55172.431430903445</v>
      </c>
      <c r="Y448" s="3">
        <f t="shared" si="131"/>
        <v>2.7639466287813494</v>
      </c>
      <c r="Z448" s="3">
        <f t="shared" si="143"/>
        <v>-0.46363636363636829</v>
      </c>
      <c r="AA448" s="3">
        <f t="shared" si="143"/>
        <v>169.88636363636397</v>
      </c>
      <c r="AB448" s="3">
        <f t="shared" si="136"/>
        <v>5224.4633282166833</v>
      </c>
      <c r="AC448" s="3">
        <f t="shared" si="137"/>
        <v>3.8304350265560672E-2</v>
      </c>
      <c r="AD448" s="3">
        <f t="shared" si="144"/>
        <v>-76.434934467373878</v>
      </c>
      <c r="AE448" s="3">
        <f t="shared" si="144"/>
        <v>28007.40858547133</v>
      </c>
      <c r="AF448" s="3">
        <f t="shared" si="144"/>
        <v>861303.2614340781</v>
      </c>
      <c r="AG448" s="3">
        <f t="shared" si="144"/>
        <v>6.3148422599995673</v>
      </c>
      <c r="AH448" s="233">
        <f t="shared" si="142"/>
        <v>25337.61875435722</v>
      </c>
      <c r="AI448" s="233">
        <f t="shared" si="142"/>
        <v>1347068.3029141102</v>
      </c>
      <c r="AJ448" s="233">
        <f t="shared" si="142"/>
        <v>38068590.374300815</v>
      </c>
      <c r="AK448" s="233">
        <f t="shared" si="142"/>
        <v>9066870.0425992068</v>
      </c>
      <c r="AL448" s="233">
        <f t="shared" si="142"/>
        <v>461.97815086086467</v>
      </c>
      <c r="AM448" s="233">
        <f t="shared" si="141"/>
        <v>25414.053688824592</v>
      </c>
      <c r="AN448" s="233">
        <f t="shared" si="141"/>
        <v>1319060.8943286389</v>
      </c>
      <c r="AO448" s="233">
        <f t="shared" si="141"/>
        <v>37178448.726231799</v>
      </c>
      <c r="AP448" s="233">
        <f t="shared" si="141"/>
        <v>9095708.4292341471</v>
      </c>
      <c r="AQ448" s="233">
        <f t="shared" si="141"/>
        <v>455.66330860086509</v>
      </c>
      <c r="AR448">
        <v>138.47436397251619</v>
      </c>
      <c r="AS448" s="231">
        <f t="shared" si="138"/>
        <v>22828.836920030375</v>
      </c>
    </row>
    <row r="449" spans="2:45" ht="87" x14ac:dyDescent="0.35">
      <c r="B449" s="56" t="s">
        <v>93</v>
      </c>
      <c r="C449" s="361" t="s">
        <v>230</v>
      </c>
      <c r="D449" s="56">
        <v>15</v>
      </c>
      <c r="E449" s="1144">
        <v>107.3550421779141</v>
      </c>
      <c r="F449" s="1145">
        <v>9629.81</v>
      </c>
      <c r="G449" s="3">
        <v>846835</v>
      </c>
      <c r="H449" s="3">
        <v>209.52883715021099</v>
      </c>
      <c r="I449" s="3">
        <v>30.208384357083698</v>
      </c>
      <c r="J449" s="3">
        <f t="shared" si="132"/>
        <v>256.06699739581785</v>
      </c>
      <c r="K449" s="3">
        <v>9633.57</v>
      </c>
      <c r="L449" s="3">
        <v>821919</v>
      </c>
      <c r="M449" s="3">
        <v>203.08031827127601</v>
      </c>
      <c r="N449" s="3">
        <v>30.220971593993401</v>
      </c>
      <c r="O449" s="3">
        <f t="shared" si="133"/>
        <v>250.09879409667968</v>
      </c>
      <c r="P449" s="3">
        <f t="shared" si="134"/>
        <v>109.42965909090908</v>
      </c>
      <c r="Q449" s="3">
        <f t="shared" si="135"/>
        <v>9623.125</v>
      </c>
      <c r="R449" s="3">
        <f t="shared" si="126"/>
        <v>269292.17592828255</v>
      </c>
      <c r="S449" s="3">
        <f t="shared" si="126"/>
        <v>38824.639440751889</v>
      </c>
      <c r="T449" s="3">
        <f t="shared" si="127"/>
        <v>2.9098522431342939</v>
      </c>
      <c r="U449" s="3">
        <f t="shared" si="127"/>
        <v>109.47238636363636</v>
      </c>
      <c r="V449" s="3">
        <f t="shared" si="127"/>
        <v>9339.988636363636</v>
      </c>
      <c r="W449" s="3">
        <f t="shared" si="128"/>
        <v>261004.36359637859</v>
      </c>
      <c r="X449" s="3">
        <f t="shared" si="128"/>
        <v>38840.816900916521</v>
      </c>
      <c r="Y449" s="3">
        <f t="shared" si="131"/>
        <v>2.8420317510986326</v>
      </c>
      <c r="Z449" s="3">
        <f t="shared" si="143"/>
        <v>-4.27272727272765E-2</v>
      </c>
      <c r="AA449" s="3">
        <f t="shared" si="143"/>
        <v>283.13636363636397</v>
      </c>
      <c r="AB449" s="3">
        <f t="shared" si="136"/>
        <v>8271.6348717393048</v>
      </c>
      <c r="AC449" s="3">
        <f t="shared" si="137"/>
        <v>6.7820492035661317E-2</v>
      </c>
      <c r="AD449" s="3">
        <f t="shared" si="144"/>
        <v>-4.5869881657840077</v>
      </c>
      <c r="AE449" s="3">
        <f t="shared" si="144"/>
        <v>30396.116260283077</v>
      </c>
      <c r="AF449" s="3">
        <f t="shared" si="144"/>
        <v>888001.7105358782</v>
      </c>
      <c r="AG449" s="3">
        <f t="shared" si="144"/>
        <v>7.280871783015308</v>
      </c>
      <c r="AH449" s="233">
        <f t="shared" si="142"/>
        <v>11747.825667219306</v>
      </c>
      <c r="AI449" s="233">
        <f t="shared" si="142"/>
        <v>1033090.9902583397</v>
      </c>
      <c r="AJ449" s="233">
        <f t="shared" si="142"/>
        <v>28909872.904963039</v>
      </c>
      <c r="AK449" s="233">
        <f t="shared" si="142"/>
        <v>4168020.8047042266</v>
      </c>
      <c r="AL449" s="233">
        <f t="shared" si="142"/>
        <v>312.38731029318006</v>
      </c>
      <c r="AM449" s="233">
        <f t="shared" si="141"/>
        <v>11752.412655385089</v>
      </c>
      <c r="AN449" s="233">
        <f t="shared" si="141"/>
        <v>1002694.8739980565</v>
      </c>
      <c r="AO449" s="233">
        <f t="shared" si="141"/>
        <v>28020134.46250885</v>
      </c>
      <c r="AP449" s="233">
        <f t="shared" si="141"/>
        <v>4169757.5366225322</v>
      </c>
      <c r="AQ449" s="233">
        <f t="shared" si="141"/>
        <v>305.10643851016476</v>
      </c>
      <c r="AR449">
        <v>138.47436397251619</v>
      </c>
      <c r="AS449" s="231">
        <f t="shared" si="138"/>
        <v>14865.921184829303</v>
      </c>
    </row>
    <row r="450" spans="2:45" ht="87" x14ac:dyDescent="0.35">
      <c r="B450" s="56" t="s">
        <v>93</v>
      </c>
      <c r="C450" s="361" t="s">
        <v>230</v>
      </c>
      <c r="D450" s="56">
        <v>16</v>
      </c>
      <c r="E450" s="1146">
        <v>66.532649539877298</v>
      </c>
      <c r="F450" s="3">
        <v>19940.400000000001</v>
      </c>
      <c r="G450" s="3">
        <v>639966</v>
      </c>
      <c r="H450" s="3">
        <v>156.61374306507099</v>
      </c>
      <c r="I450" s="3">
        <v>63.298437940822303</v>
      </c>
      <c r="J450" s="3">
        <f t="shared" si="132"/>
        <v>262.58310096289574</v>
      </c>
      <c r="K450" s="3">
        <v>20103</v>
      </c>
      <c r="L450" s="3">
        <v>629182</v>
      </c>
      <c r="M450" s="3">
        <v>153.957031204815</v>
      </c>
      <c r="N450" s="3">
        <v>63.831389164712398</v>
      </c>
      <c r="O450" s="3">
        <f t="shared" si="133"/>
        <v>260.8779903220539</v>
      </c>
      <c r="P450" s="3">
        <f t="shared" si="134"/>
        <v>226.59545454545457</v>
      </c>
      <c r="Q450" s="3">
        <f t="shared" si="135"/>
        <v>7272.340909090909</v>
      </c>
      <c r="R450" s="3">
        <f t="shared" si="126"/>
        <v>201284.25387113102</v>
      </c>
      <c r="S450" s="3">
        <f t="shared" si="126"/>
        <v>81352.878762579567</v>
      </c>
      <c r="T450" s="3">
        <f t="shared" si="127"/>
        <v>2.9838988745783608</v>
      </c>
      <c r="U450" s="3">
        <f t="shared" si="127"/>
        <v>228.44318181818181</v>
      </c>
      <c r="V450" s="3">
        <f t="shared" si="127"/>
        <v>7149.795454545455</v>
      </c>
      <c r="W450" s="3">
        <f t="shared" si="128"/>
        <v>197869.775332552</v>
      </c>
      <c r="X450" s="3">
        <f t="shared" si="128"/>
        <v>82037.842210556497</v>
      </c>
      <c r="Y450" s="3">
        <f t="shared" si="131"/>
        <v>2.9645226172960673</v>
      </c>
      <c r="Z450" s="3">
        <f t="shared" si="143"/>
        <v>-1.8477272727272407</v>
      </c>
      <c r="AA450" s="3">
        <f t="shared" si="143"/>
        <v>122.54545454545405</v>
      </c>
      <c r="AB450" s="3">
        <f t="shared" si="136"/>
        <v>2729.5150906020717</v>
      </c>
      <c r="AC450" s="3">
        <f t="shared" si="137"/>
        <v>1.937625728229353E-2</v>
      </c>
      <c r="AD450" s="3">
        <f t="shared" si="144"/>
        <v>-122.93419108163478</v>
      </c>
      <c r="AE450" s="3">
        <f t="shared" si="144"/>
        <v>8153.2737799776578</v>
      </c>
      <c r="AF450" s="3">
        <f t="shared" si="144"/>
        <v>181601.87093683408</v>
      </c>
      <c r="AG450" s="3">
        <f t="shared" si="144"/>
        <v>1.2891537351573308</v>
      </c>
      <c r="AH450" s="233">
        <f t="shared" si="142"/>
        <v>15075.995964601925</v>
      </c>
      <c r="AI450" s="233">
        <f t="shared" si="142"/>
        <v>483848.10903905809</v>
      </c>
      <c r="AJ450" s="233">
        <f t="shared" si="142"/>
        <v>13391974.72070365</v>
      </c>
      <c r="AK450" s="233">
        <f t="shared" si="142"/>
        <v>5412622.5717708329</v>
      </c>
      <c r="AL450" s="233">
        <f t="shared" si="142"/>
        <v>198.52669808475636</v>
      </c>
      <c r="AM450" s="233">
        <f t="shared" si="141"/>
        <v>15198.93015568356</v>
      </c>
      <c r="AN450" s="233">
        <f t="shared" si="141"/>
        <v>475694.83525908046</v>
      </c>
      <c r="AO450" s="233">
        <f t="shared" si="141"/>
        <v>13164800.416734939</v>
      </c>
      <c r="AP450" s="233">
        <f t="shared" si="141"/>
        <v>5458195.0048027085</v>
      </c>
      <c r="AQ450" s="233">
        <f t="shared" si="141"/>
        <v>197.23754434959903</v>
      </c>
      <c r="AR450">
        <v>138.47436397251619</v>
      </c>
      <c r="AS450" s="231">
        <f t="shared" si="138"/>
        <v>9213.0663284408311</v>
      </c>
    </row>
    <row r="451" spans="2:45" ht="87" x14ac:dyDescent="0.35">
      <c r="B451" s="56" t="s">
        <v>94</v>
      </c>
      <c r="C451" s="361" t="s">
        <v>230</v>
      </c>
      <c r="D451" s="56">
        <v>1</v>
      </c>
      <c r="E451" s="1146">
        <v>3.0533694627709709</v>
      </c>
      <c r="F451" s="3">
        <v>19538</v>
      </c>
      <c r="G451" s="3">
        <v>563031</v>
      </c>
      <c r="H451" s="3">
        <v>128.58641581623601</v>
      </c>
      <c r="I451" s="3">
        <v>55.332557615332703</v>
      </c>
      <c r="J451" s="3">
        <f t="shared" si="132"/>
        <v>241.89644642792342</v>
      </c>
      <c r="K451" s="3">
        <v>19601.599999999999</v>
      </c>
      <c r="L451" s="3">
        <v>559475</v>
      </c>
      <c r="M451" s="3">
        <v>127.81348606175899</v>
      </c>
      <c r="N451" s="3">
        <v>55.521326523608501</v>
      </c>
      <c r="O451" s="3">
        <f t="shared" si="133"/>
        <v>241.38864156318607</v>
      </c>
      <c r="P451" s="3">
        <f t="shared" si="134"/>
        <v>166.991452991453</v>
      </c>
      <c r="Q451" s="3">
        <f t="shared" si="135"/>
        <v>4812.2307692307695</v>
      </c>
      <c r="R451" s="3">
        <f t="shared" ref="R451:S484" si="145">H451/VLOOKUP($B451,$N$131:$P$134, 3, FALSE)*VLOOKUP($B451,$N$131:$P$134, 2, FALSE)</f>
        <v>137818.26105432474</v>
      </c>
      <c r="S451" s="3">
        <f t="shared" si="145"/>
        <v>59305.151495407867</v>
      </c>
      <c r="T451" s="3">
        <f t="shared" ref="T451:V484" si="146">J451/VLOOKUP($B451,$N$131:$P$134, 3, FALSE)</f>
        <v>2.0674909951104565</v>
      </c>
      <c r="U451" s="3">
        <f t="shared" si="146"/>
        <v>167.53504273504274</v>
      </c>
      <c r="V451" s="3">
        <f t="shared" si="146"/>
        <v>4781.8376068376065</v>
      </c>
      <c r="W451" s="3">
        <f t="shared" ref="W451:X484" si="147">M451/VLOOKUP($B451,$N$131:$P$134, 3, FALSE)*VLOOKUP($B451,$N$131:$P$134, 2, FALSE)</f>
        <v>136989.83890721863</v>
      </c>
      <c r="X451" s="3">
        <f t="shared" si="147"/>
        <v>59507.473043252183</v>
      </c>
      <c r="Y451" s="3">
        <f t="shared" si="131"/>
        <v>2.0631507825913338</v>
      </c>
      <c r="Z451" s="3">
        <f t="shared" si="143"/>
        <v>-0.54358974358973455</v>
      </c>
      <c r="AA451" s="3">
        <f t="shared" si="143"/>
        <v>30.393162393163038</v>
      </c>
      <c r="AB451" s="3">
        <f t="shared" si="136"/>
        <v>626.10059926179383</v>
      </c>
      <c r="AC451" s="3">
        <f t="shared" si="137"/>
        <v>4.3402125191227547E-3</v>
      </c>
      <c r="AD451" s="3">
        <f t="shared" si="144"/>
        <v>-1.6597803233523976</v>
      </c>
      <c r="AE451" s="3">
        <f t="shared" si="144"/>
        <v>92.801553928323102</v>
      </c>
      <c r="AF451" s="3">
        <f t="shared" si="144"/>
        <v>1911.7164504085663</v>
      </c>
      <c r="AG451" s="3">
        <f t="shared" si="144"/>
        <v>1.3252272367825687E-2</v>
      </c>
      <c r="AH451" s="233">
        <f t="shared" si="142"/>
        <v>509.88660310785667</v>
      </c>
      <c r="AI451" s="233">
        <f t="shared" si="142"/>
        <v>14693.51847857609</v>
      </c>
      <c r="AJ451" s="233">
        <f t="shared" si="142"/>
        <v>420810.06971547299</v>
      </c>
      <c r="AK451" s="233">
        <f t="shared" si="142"/>
        <v>181080.53856108457</v>
      </c>
      <c r="AL451" s="233">
        <f t="shared" si="142"/>
        <v>6.312813869024235</v>
      </c>
      <c r="AM451" s="233">
        <f t="shared" si="141"/>
        <v>511.54638343120911</v>
      </c>
      <c r="AN451" s="233">
        <f t="shared" si="141"/>
        <v>14600.716924647768</v>
      </c>
      <c r="AO451" s="233">
        <f t="shared" si="141"/>
        <v>418280.590829216</v>
      </c>
      <c r="AP451" s="233">
        <f t="shared" si="141"/>
        <v>181698.30099693296</v>
      </c>
      <c r="AQ451" s="233">
        <f t="shared" si="141"/>
        <v>6.2995615966564094</v>
      </c>
      <c r="AR451">
        <v>138.47436397251619</v>
      </c>
      <c r="AS451" s="231">
        <f t="shared" si="138"/>
        <v>422.81339433031366</v>
      </c>
    </row>
    <row r="452" spans="2:45" ht="87" x14ac:dyDescent="0.35">
      <c r="B452" s="56" t="s">
        <v>94</v>
      </c>
      <c r="C452" s="361" t="s">
        <v>230</v>
      </c>
      <c r="D452" s="56">
        <v>2</v>
      </c>
      <c r="E452" s="1146">
        <v>18.12434024505184</v>
      </c>
      <c r="F452" s="3">
        <v>16584.3</v>
      </c>
      <c r="G452" s="3">
        <v>638148</v>
      </c>
      <c r="H452" s="3">
        <v>149.394568723177</v>
      </c>
      <c r="I452" s="3">
        <v>47.033915862449703</v>
      </c>
      <c r="J452" s="3">
        <f t="shared" si="132"/>
        <v>243.84054298584778</v>
      </c>
      <c r="K452" s="3">
        <v>16636.900000000001</v>
      </c>
      <c r="L452" s="3">
        <v>626888</v>
      </c>
      <c r="M452" s="3">
        <v>146.15819057431099</v>
      </c>
      <c r="N452" s="3">
        <v>47.191841990177601</v>
      </c>
      <c r="O452" s="3">
        <f t="shared" si="133"/>
        <v>241.42103627134176</v>
      </c>
      <c r="P452" s="3">
        <f t="shared" si="134"/>
        <v>141.74615384615385</v>
      </c>
      <c r="Q452" s="3">
        <f t="shared" si="135"/>
        <v>5454.2564102564102</v>
      </c>
      <c r="R452" s="3">
        <f t="shared" si="145"/>
        <v>160120.33263150766</v>
      </c>
      <c r="S452" s="3">
        <f t="shared" si="145"/>
        <v>50410.709821805067</v>
      </c>
      <c r="T452" s="3">
        <f t="shared" si="146"/>
        <v>2.0841072050072458</v>
      </c>
      <c r="U452" s="3">
        <f t="shared" si="146"/>
        <v>142.19572649572652</v>
      </c>
      <c r="V452" s="3">
        <f t="shared" si="146"/>
        <v>5358.0170940170938</v>
      </c>
      <c r="W452" s="3">
        <f t="shared" si="147"/>
        <v>156651.59912836409</v>
      </c>
      <c r="X452" s="3">
        <f t="shared" si="147"/>
        <v>50579.97423562625</v>
      </c>
      <c r="Y452" s="3">
        <f t="shared" si="131"/>
        <v>2.0634276604388186</v>
      </c>
      <c r="Z452" s="3">
        <f t="shared" si="143"/>
        <v>-0.44957264957267284</v>
      </c>
      <c r="AA452" s="3">
        <f t="shared" si="143"/>
        <v>96.239316239316395</v>
      </c>
      <c r="AB452" s="3">
        <f t="shared" si="136"/>
        <v>3299.4690893223815</v>
      </c>
      <c r="AC452" s="3">
        <f t="shared" si="137"/>
        <v>2.0679544568427133E-2</v>
      </c>
      <c r="AD452" s="3">
        <f t="shared" si="144"/>
        <v>-8.1482076657245823</v>
      </c>
      <c r="AE452" s="3">
        <f t="shared" si="144"/>
        <v>1744.2741124725133</v>
      </c>
      <c r="AF452" s="3">
        <f t="shared" si="144"/>
        <v>59800.700402910181</v>
      </c>
      <c r="AG452" s="3">
        <f t="shared" si="144"/>
        <v>0.37480310187088706</v>
      </c>
      <c r="AH452" s="233">
        <f t="shared" si="142"/>
        <v>2569.0555207351558</v>
      </c>
      <c r="AI452" s="233">
        <f t="shared" si="142"/>
        <v>98854.79896324224</v>
      </c>
      <c r="AJ452" s="233">
        <f t="shared" si="142"/>
        <v>2902075.3887643218</v>
      </c>
      <c r="AK452" s="233">
        <f t="shared" si="142"/>
        <v>913660.8568049717</v>
      </c>
      <c r="AL452" s="233">
        <f t="shared" si="142"/>
        <v>37.773068090715334</v>
      </c>
      <c r="AM452" s="233">
        <f t="shared" si="141"/>
        <v>2577.2037284008802</v>
      </c>
      <c r="AN452" s="233">
        <f t="shared" si="141"/>
        <v>97110.524850769725</v>
      </c>
      <c r="AO452" s="233">
        <f t="shared" si="141"/>
        <v>2839206.8825339372</v>
      </c>
      <c r="AP452" s="233">
        <f t="shared" si="141"/>
        <v>916728.66263244604</v>
      </c>
      <c r="AQ452" s="233">
        <f t="shared" si="141"/>
        <v>37.398264988844446</v>
      </c>
      <c r="AR452">
        <v>138.47436397251619</v>
      </c>
      <c r="AS452" s="231">
        <f t="shared" si="138"/>
        <v>2509.7564878550315</v>
      </c>
    </row>
    <row r="453" spans="2:45" ht="87" x14ac:dyDescent="0.35">
      <c r="B453" s="56" t="s">
        <v>94</v>
      </c>
      <c r="C453" s="361" t="s">
        <v>230</v>
      </c>
      <c r="D453" s="56">
        <v>3</v>
      </c>
      <c r="E453" s="1146">
        <v>87.91399622997173</v>
      </c>
      <c r="F453" s="3">
        <v>15225.6</v>
      </c>
      <c r="G453" s="3">
        <v>615503</v>
      </c>
      <c r="H453" s="3">
        <v>143.274520250991</v>
      </c>
      <c r="I453" s="3">
        <v>42.966995060536703</v>
      </c>
      <c r="J453" s="3">
        <f t="shared" si="132"/>
        <v>230.98675451791712</v>
      </c>
      <c r="K453" s="3">
        <v>15248.2</v>
      </c>
      <c r="L453" s="3">
        <v>606298</v>
      </c>
      <c r="M453" s="3">
        <v>140.681168876474</v>
      </c>
      <c r="N453" s="3">
        <v>43.034912886385897</v>
      </c>
      <c r="O453" s="3">
        <f t="shared" si="133"/>
        <v>228.89754683044544</v>
      </c>
      <c r="P453" s="3">
        <f t="shared" si="134"/>
        <v>130.13333333333333</v>
      </c>
      <c r="Q453" s="3">
        <f t="shared" si="135"/>
        <v>5260.7094017094014</v>
      </c>
      <c r="R453" s="3">
        <f t="shared" si="145"/>
        <v>153560.89606388265</v>
      </c>
      <c r="S453" s="3">
        <f t="shared" si="145"/>
        <v>46051.804962318827</v>
      </c>
      <c r="T453" s="3">
        <f t="shared" si="146"/>
        <v>1.9742457651104028</v>
      </c>
      <c r="U453" s="3">
        <f t="shared" si="146"/>
        <v>130.32649572649572</v>
      </c>
      <c r="V453" s="3">
        <f t="shared" si="146"/>
        <v>5182.0341880341884</v>
      </c>
      <c r="W453" s="3">
        <f t="shared" si="147"/>
        <v>150781.35535991314</v>
      </c>
      <c r="X453" s="3">
        <f t="shared" si="147"/>
        <v>46124.598939767449</v>
      </c>
      <c r="Y453" s="3">
        <f t="shared" si="131"/>
        <v>1.9563892891491064</v>
      </c>
      <c r="Z453" s="3">
        <f t="shared" si="143"/>
        <v>-0.19316239316239603</v>
      </c>
      <c r="AA453" s="3">
        <f t="shared" si="143"/>
        <v>78.675213675212945</v>
      </c>
      <c r="AB453" s="3">
        <f t="shared" si="136"/>
        <v>2706.7467265208907</v>
      </c>
      <c r="AC453" s="3">
        <f t="shared" si="137"/>
        <v>1.785647596129647E-2</v>
      </c>
      <c r="AD453" s="3">
        <f t="shared" si="144"/>
        <v>-16.981677904251203</v>
      </c>
      <c r="AE453" s="3">
        <f t="shared" si="144"/>
        <v>6916.6524384348913</v>
      </c>
      <c r="AF453" s="3">
        <f t="shared" si="144"/>
        <v>237960.92151084589</v>
      </c>
      <c r="AG453" s="3">
        <f t="shared" si="144"/>
        <v>1.5698341603419987</v>
      </c>
      <c r="AH453" s="233">
        <f t="shared" si="142"/>
        <v>11440.541376060321</v>
      </c>
      <c r="AI453" s="233">
        <f t="shared" si="142"/>
        <v>462489.98650885717</v>
      </c>
      <c r="AJ453" s="233">
        <f t="shared" si="142"/>
        <v>13500152.03763126</v>
      </c>
      <c r="AK453" s="233">
        <f t="shared" si="142"/>
        <v>4048598.2078406909</v>
      </c>
      <c r="AL453" s="233">
        <f t="shared" si="142"/>
        <v>173.56383475095362</v>
      </c>
      <c r="AM453" s="233">
        <f t="shared" si="141"/>
        <v>11457.523053964571</v>
      </c>
      <c r="AN453" s="233">
        <f t="shared" si="141"/>
        <v>455573.33407042228</v>
      </c>
      <c r="AO453" s="233">
        <f t="shared" si="141"/>
        <v>13255791.506661432</v>
      </c>
      <c r="AP453" s="233">
        <f t="shared" si="141"/>
        <v>4054997.8172996738</v>
      </c>
      <c r="AQ453" s="233">
        <f t="shared" si="141"/>
        <v>171.99400059061162</v>
      </c>
      <c r="AR453">
        <v>138.47436397251619</v>
      </c>
      <c r="AS453" s="231">
        <f t="shared" si="138"/>
        <v>12173.834712227521</v>
      </c>
    </row>
    <row r="454" spans="2:45" ht="87" x14ac:dyDescent="0.35">
      <c r="B454" s="56" t="s">
        <v>94</v>
      </c>
      <c r="C454" s="361" t="s">
        <v>230</v>
      </c>
      <c r="D454" s="56">
        <v>4</v>
      </c>
      <c r="E454" s="1146">
        <v>45.800541941564568</v>
      </c>
      <c r="F454" s="3">
        <v>14305.8</v>
      </c>
      <c r="G454" s="3">
        <v>667753</v>
      </c>
      <c r="H454" s="3">
        <v>154.78120671659801</v>
      </c>
      <c r="I454" s="3">
        <v>40.409488044036301</v>
      </c>
      <c r="J454" s="3">
        <f t="shared" si="132"/>
        <v>238.52838065163752</v>
      </c>
      <c r="K454" s="3">
        <v>14325.5</v>
      </c>
      <c r="L454" s="3">
        <v>653274</v>
      </c>
      <c r="M454" s="3">
        <v>150.84263009480799</v>
      </c>
      <c r="N454" s="3">
        <v>40.468440432522101</v>
      </c>
      <c r="O454" s="3">
        <f t="shared" si="133"/>
        <v>235.15571720357434</v>
      </c>
      <c r="P454" s="3">
        <f t="shared" si="134"/>
        <v>122.27179487179487</v>
      </c>
      <c r="Q454" s="3">
        <f t="shared" si="135"/>
        <v>5707.2905982905986</v>
      </c>
      <c r="R454" s="3">
        <f t="shared" si="145"/>
        <v>165893.7036090717</v>
      </c>
      <c r="S454" s="3">
        <f t="shared" si="145"/>
        <v>43310.682057454287</v>
      </c>
      <c r="T454" s="3">
        <f t="shared" si="146"/>
        <v>2.0387041081336541</v>
      </c>
      <c r="U454" s="3">
        <f t="shared" si="146"/>
        <v>122.44017094017094</v>
      </c>
      <c r="V454" s="3">
        <f t="shared" si="146"/>
        <v>5583.5384615384619</v>
      </c>
      <c r="W454" s="3">
        <f t="shared" si="147"/>
        <v>161672.35738366601</v>
      </c>
      <c r="X454" s="3">
        <f t="shared" si="147"/>
        <v>43373.866925113434</v>
      </c>
      <c r="Y454" s="3">
        <f t="shared" si="131"/>
        <v>2.0098779248168746</v>
      </c>
      <c r="Z454" s="3">
        <f t="shared" si="143"/>
        <v>-0.16837606837607666</v>
      </c>
      <c r="AA454" s="3">
        <f t="shared" si="143"/>
        <v>123.75213675213672</v>
      </c>
      <c r="AB454" s="3">
        <f t="shared" si="136"/>
        <v>4158.1613577465396</v>
      </c>
      <c r="AC454" s="3">
        <f t="shared" si="137"/>
        <v>2.8826183316779552E-2</v>
      </c>
      <c r="AD454" s="3">
        <f t="shared" si="144"/>
        <v>-7.7117151816142426</v>
      </c>
      <c r="AE454" s="3">
        <f t="shared" si="144"/>
        <v>5667.9149296744718</v>
      </c>
      <c r="AF454" s="3">
        <f t="shared" si="144"/>
        <v>190446.04366526345</v>
      </c>
      <c r="AG454" s="3">
        <f t="shared" si="144"/>
        <v>1.3202548180153908</v>
      </c>
      <c r="AH454" s="233">
        <f t="shared" si="142"/>
        <v>5600.1144692960206</v>
      </c>
      <c r="AI454" s="233">
        <f t="shared" si="142"/>
        <v>261397.00241970571</v>
      </c>
      <c r="AJ454" s="233">
        <f t="shared" si="142"/>
        <v>7598021.5299887694</v>
      </c>
      <c r="AK454" s="233">
        <f t="shared" si="142"/>
        <v>1983652.710090203</v>
      </c>
      <c r="AL454" s="233">
        <f t="shared" si="142"/>
        <v>93.37375301101541</v>
      </c>
      <c r="AM454" s="233">
        <f t="shared" si="141"/>
        <v>5607.8261844776343</v>
      </c>
      <c r="AN454" s="233">
        <f t="shared" si="141"/>
        <v>255729.08749003123</v>
      </c>
      <c r="AO454" s="233">
        <f t="shared" si="141"/>
        <v>7404681.5851422111</v>
      </c>
      <c r="AP454" s="233">
        <f t="shared" si="141"/>
        <v>1986546.611271498</v>
      </c>
      <c r="AQ454" s="233">
        <f t="shared" si="141"/>
        <v>92.053498193000024</v>
      </c>
      <c r="AR454">
        <v>138.47436397251619</v>
      </c>
      <c r="AS454" s="231">
        <f t="shared" si="138"/>
        <v>6342.2009149547048</v>
      </c>
    </row>
    <row r="455" spans="2:45" ht="87" x14ac:dyDescent="0.35">
      <c r="B455" s="56" t="s">
        <v>94</v>
      </c>
      <c r="C455" s="361" t="s">
        <v>230</v>
      </c>
      <c r="D455" s="56">
        <v>5</v>
      </c>
      <c r="E455" s="1146">
        <v>8.1346371347785116</v>
      </c>
      <c r="F455" s="3">
        <v>15127.2</v>
      </c>
      <c r="G455" s="3">
        <v>621725</v>
      </c>
      <c r="H455" s="3">
        <v>141.491824085041</v>
      </c>
      <c r="I455" s="3">
        <v>42.632639168328197</v>
      </c>
      <c r="J455" s="3">
        <f t="shared" si="132"/>
        <v>231.94553473800238</v>
      </c>
      <c r="K455" s="3">
        <v>15144.8</v>
      </c>
      <c r="L455" s="3">
        <v>612121</v>
      </c>
      <c r="M455" s="3">
        <v>139.23215296213201</v>
      </c>
      <c r="N455" s="3">
        <v>42.685112066524297</v>
      </c>
      <c r="O455" s="3">
        <f t="shared" si="133"/>
        <v>229.7331528597478</v>
      </c>
      <c r="P455" s="3">
        <f t="shared" si="134"/>
        <v>129.2923076923077</v>
      </c>
      <c r="Q455" s="3">
        <f t="shared" si="135"/>
        <v>5313.8888888888887</v>
      </c>
      <c r="R455" s="3">
        <f t="shared" si="145"/>
        <v>151650.21145524908</v>
      </c>
      <c r="S455" s="3">
        <f t="shared" si="145"/>
        <v>45693.444031695355</v>
      </c>
      <c r="T455" s="3">
        <f t="shared" si="146"/>
        <v>1.9824404678461742</v>
      </c>
      <c r="U455" s="3">
        <f t="shared" si="146"/>
        <v>129.44273504273502</v>
      </c>
      <c r="V455" s="3">
        <f t="shared" si="146"/>
        <v>5231.8034188034189</v>
      </c>
      <c r="W455" s="3">
        <f t="shared" si="147"/>
        <v>149228.30753377225</v>
      </c>
      <c r="X455" s="3">
        <f t="shared" si="147"/>
        <v>45749.684214890141</v>
      </c>
      <c r="Y455" s="3">
        <f t="shared" si="131"/>
        <v>1.9635312210234854</v>
      </c>
      <c r="Z455" s="3">
        <f t="shared" si="143"/>
        <v>-0.15042735042732147</v>
      </c>
      <c r="AA455" s="3">
        <f t="shared" si="143"/>
        <v>82.085470085469751</v>
      </c>
      <c r="AB455" s="3">
        <f t="shared" si="136"/>
        <v>2365.6637382820263</v>
      </c>
      <c r="AC455" s="3">
        <f t="shared" si="137"/>
        <v>1.8909246822688797E-2</v>
      </c>
      <c r="AD455" s="3">
        <f t="shared" si="144"/>
        <v>-1.2236719108724294</v>
      </c>
      <c r="AE455" s="3">
        <f t="shared" si="144"/>
        <v>667.73551318301293</v>
      </c>
      <c r="AF455" s="3">
        <f t="shared" si="144"/>
        <v>19243.816093827925</v>
      </c>
      <c r="AG455" s="3">
        <f t="shared" si="144"/>
        <v>0.15381986139453688</v>
      </c>
      <c r="AH455" s="233">
        <f t="shared" si="142"/>
        <v>1051.7460073950556</v>
      </c>
      <c r="AI455" s="233">
        <f t="shared" si="142"/>
        <v>43226.557885642476</v>
      </c>
      <c r="AJ455" s="233">
        <f t="shared" si="142"/>
        <v>1233619.4416008829</v>
      </c>
      <c r="AK455" s="233">
        <f t="shared" si="142"/>
        <v>371699.58663615258</v>
      </c>
      <c r="AL455" s="233">
        <f t="shared" si="142"/>
        <v>16.126433847229176</v>
      </c>
      <c r="AM455" s="233">
        <f t="shared" si="141"/>
        <v>1052.9696793059281</v>
      </c>
      <c r="AN455" s="233">
        <f t="shared" si="141"/>
        <v>42558.822372459465</v>
      </c>
      <c r="AO455" s="233">
        <f t="shared" si="141"/>
        <v>1213918.1320243718</v>
      </c>
      <c r="AP455" s="233">
        <f t="shared" si="141"/>
        <v>372157.08011883561</v>
      </c>
      <c r="AQ455" s="233">
        <f t="shared" si="141"/>
        <v>15.972613985834638</v>
      </c>
      <c r="AR455">
        <v>138.47436397251619</v>
      </c>
      <c r="AS455" s="231">
        <f t="shared" si="138"/>
        <v>1126.4387033856658</v>
      </c>
    </row>
    <row r="456" spans="2:45" ht="87" x14ac:dyDescent="0.35">
      <c r="B456" s="56" t="s">
        <v>94</v>
      </c>
      <c r="C456" s="361" t="s">
        <v>230</v>
      </c>
      <c r="D456" s="56">
        <v>6</v>
      </c>
      <c r="E456" s="1146">
        <v>38.829641847313866</v>
      </c>
      <c r="F456" s="3">
        <v>12954.7</v>
      </c>
      <c r="G456" s="3">
        <v>691683</v>
      </c>
      <c r="H456" s="3">
        <v>155.05018552027099</v>
      </c>
      <c r="I456" s="3">
        <v>36.484890070456402</v>
      </c>
      <c r="J456" s="3">
        <f t="shared" si="132"/>
        <v>236.91062993304911</v>
      </c>
      <c r="K456" s="3">
        <v>12958.3</v>
      </c>
      <c r="L456" s="3">
        <v>674749</v>
      </c>
      <c r="M456" s="3">
        <v>151.13333186429401</v>
      </c>
      <c r="N456" s="3">
        <v>36.495903828151498</v>
      </c>
      <c r="O456" s="3">
        <f t="shared" si="133"/>
        <v>232.86007610614172</v>
      </c>
      <c r="P456" s="3">
        <f t="shared" si="134"/>
        <v>110.72393162393163</v>
      </c>
      <c r="Q456" s="3">
        <f t="shared" si="135"/>
        <v>5911.8205128205127</v>
      </c>
      <c r="R456" s="3">
        <f t="shared" si="145"/>
        <v>166181.99371146993</v>
      </c>
      <c r="S456" s="3">
        <f t="shared" si="145"/>
        <v>39104.318075514806</v>
      </c>
      <c r="T456" s="3">
        <f t="shared" si="146"/>
        <v>2.0248771789149496</v>
      </c>
      <c r="U456" s="3">
        <f t="shared" si="146"/>
        <v>110.75470085470084</v>
      </c>
      <c r="V456" s="3">
        <f t="shared" si="146"/>
        <v>5767.0854700854698</v>
      </c>
      <c r="W456" s="3">
        <f t="shared" si="147"/>
        <v>161983.93004942281</v>
      </c>
      <c r="X456" s="3">
        <f t="shared" si="147"/>
        <v>39116.122564531608</v>
      </c>
      <c r="Y456" s="3">
        <f t="shared" si="131"/>
        <v>1.990257060736254</v>
      </c>
      <c r="Z456" s="3">
        <f t="shared" si="143"/>
        <v>-3.0769230769209344E-2</v>
      </c>
      <c r="AA456" s="3">
        <f t="shared" si="143"/>
        <v>144.73504273504295</v>
      </c>
      <c r="AB456" s="3">
        <f t="shared" si="136"/>
        <v>4186.2591730303175</v>
      </c>
      <c r="AC456" s="3">
        <f t="shared" si="137"/>
        <v>3.4620118178695591E-2</v>
      </c>
      <c r="AD456" s="3">
        <f t="shared" si="144"/>
        <v>-1.1947582106857486</v>
      </c>
      <c r="AE456" s="3">
        <f t="shared" si="144"/>
        <v>5620.009872157385</v>
      </c>
      <c r="AF456" s="3">
        <f t="shared" si="144"/>
        <v>162550.94436879957</v>
      </c>
      <c r="AG456" s="3">
        <f t="shared" si="144"/>
        <v>1.3442867895904298</v>
      </c>
      <c r="AH456" s="233">
        <f t="shared" si="142"/>
        <v>4299.3706088837353</v>
      </c>
      <c r="AI456" s="233">
        <f t="shared" si="142"/>
        <v>229553.87317842391</v>
      </c>
      <c r="AJ456" s="233">
        <f t="shared" si="142"/>
        <v>6452787.2972889422</v>
      </c>
      <c r="AK456" s="233">
        <f t="shared" si="142"/>
        <v>1518406.6655556818</v>
      </c>
      <c r="AL456" s="233">
        <f t="shared" si="142"/>
        <v>78.625255642066776</v>
      </c>
      <c r="AM456" s="233">
        <f t="shared" si="141"/>
        <v>4300.5653670944203</v>
      </c>
      <c r="AN456" s="233">
        <f t="shared" si="141"/>
        <v>223933.86330626652</v>
      </c>
      <c r="AO456" s="233">
        <f t="shared" si="141"/>
        <v>6289777.9888394298</v>
      </c>
      <c r="AP456" s="233">
        <f t="shared" si="141"/>
        <v>1518865.0296363947</v>
      </c>
      <c r="AQ456" s="233">
        <f t="shared" si="141"/>
        <v>77.280968852476335</v>
      </c>
      <c r="AR456">
        <v>138.47436397251619</v>
      </c>
      <c r="AS456" s="231">
        <f t="shared" si="138"/>
        <v>5376.9099580873863</v>
      </c>
    </row>
    <row r="457" spans="2:45" ht="87" x14ac:dyDescent="0.35">
      <c r="B457" s="56" t="s">
        <v>94</v>
      </c>
      <c r="C457" s="361" t="s">
        <v>230</v>
      </c>
      <c r="D457" s="56">
        <v>7</v>
      </c>
      <c r="E457" s="1146">
        <v>41.744745523091424</v>
      </c>
      <c r="F457" s="3">
        <v>12806.7</v>
      </c>
      <c r="G457" s="3">
        <v>680910</v>
      </c>
      <c r="H457" s="3">
        <v>153.668059803023</v>
      </c>
      <c r="I457" s="3">
        <v>36.1381789486408</v>
      </c>
      <c r="J457" s="3">
        <f t="shared" si="132"/>
        <v>233.51401927669417</v>
      </c>
      <c r="K457" s="3">
        <v>12810.2</v>
      </c>
      <c r="L457" s="3">
        <v>664810</v>
      </c>
      <c r="M457" s="3">
        <v>149.96592959982399</v>
      </c>
      <c r="N457" s="3">
        <v>36.1488455150091</v>
      </c>
      <c r="O457" s="3">
        <f t="shared" si="133"/>
        <v>229.66337697287491</v>
      </c>
      <c r="P457" s="3">
        <f t="shared" si="134"/>
        <v>109.45897435897436</v>
      </c>
      <c r="Q457" s="3">
        <f t="shared" si="135"/>
        <v>5819.7435897435898</v>
      </c>
      <c r="R457" s="3">
        <f t="shared" si="145"/>
        <v>164700.63845554774</v>
      </c>
      <c r="S457" s="3">
        <f t="shared" si="145"/>
        <v>38732.714873158598</v>
      </c>
      <c r="T457" s="3">
        <f t="shared" si="146"/>
        <v>1.9958463186042237</v>
      </c>
      <c r="U457" s="3">
        <f t="shared" si="146"/>
        <v>109.48888888888889</v>
      </c>
      <c r="V457" s="3">
        <f t="shared" si="146"/>
        <v>5682.136752136752</v>
      </c>
      <c r="W457" s="3">
        <f t="shared" si="147"/>
        <v>160732.71428904211</v>
      </c>
      <c r="X457" s="3">
        <f t="shared" si="147"/>
        <v>38744.147244291809</v>
      </c>
      <c r="Y457" s="3">
        <f t="shared" si="131"/>
        <v>1.9629348459220077</v>
      </c>
      <c r="Z457" s="3">
        <f t="shared" si="143"/>
        <v>-2.9914529914535137E-2</v>
      </c>
      <c r="AA457" s="3">
        <f t="shared" si="143"/>
        <v>137.60683760683787</v>
      </c>
      <c r="AB457" s="3">
        <f t="shared" si="136"/>
        <v>3956.4917953724289</v>
      </c>
      <c r="AC457" s="3">
        <f t="shared" si="137"/>
        <v>3.2911472682215948E-2</v>
      </c>
      <c r="AD457" s="3">
        <f t="shared" si="144"/>
        <v>-1.2487744387251751</v>
      </c>
      <c r="AE457" s="3">
        <f t="shared" si="144"/>
        <v>5744.3624181348141</v>
      </c>
      <c r="AF457" s="3">
        <f t="shared" si="144"/>
        <v>165162.74316202116</v>
      </c>
      <c r="AG457" s="3">
        <f t="shared" si="144"/>
        <v>1.3738810519092799</v>
      </c>
      <c r="AH457" s="233">
        <f t="shared" si="142"/>
        <v>4569.3370298339742</v>
      </c>
      <c r="AI457" s="233">
        <f t="shared" si="142"/>
        <v>242943.71516348873</v>
      </c>
      <c r="AJ457" s="233">
        <f t="shared" si="142"/>
        <v>6875386.2398175262</v>
      </c>
      <c r="AK457" s="233">
        <f t="shared" si="142"/>
        <v>1616887.325798464</v>
      </c>
      <c r="AL457" s="233">
        <f t="shared" si="142"/>
        <v>83.316096673332169</v>
      </c>
      <c r="AM457" s="233">
        <f t="shared" si="141"/>
        <v>4570.5858042726986</v>
      </c>
      <c r="AN457" s="233">
        <f t="shared" si="141"/>
        <v>237199.35274535391</v>
      </c>
      <c r="AO457" s="233">
        <f t="shared" si="141"/>
        <v>6709746.2552318238</v>
      </c>
      <c r="AP457" s="233">
        <f t="shared" si="141"/>
        <v>1617364.5672221454</v>
      </c>
      <c r="AQ457" s="233">
        <f t="shared" si="141"/>
        <v>81.942215621422889</v>
      </c>
      <c r="AR457">
        <v>138.47436397251619</v>
      </c>
      <c r="AS457" s="231">
        <f t="shared" si="138"/>
        <v>5780.5770855046276</v>
      </c>
    </row>
    <row r="458" spans="2:45" ht="87" x14ac:dyDescent="0.35">
      <c r="B458" s="56" t="s">
        <v>94</v>
      </c>
      <c r="C458" s="361" t="s">
        <v>230</v>
      </c>
      <c r="D458" s="56">
        <v>8</v>
      </c>
      <c r="E458" s="1146">
        <v>54.591941564561736</v>
      </c>
      <c r="F458" s="3">
        <v>12600.3</v>
      </c>
      <c r="G458" s="3">
        <v>715850</v>
      </c>
      <c r="H458" s="3">
        <v>158.54673091859999</v>
      </c>
      <c r="I458" s="3">
        <v>35.512632929380402</v>
      </c>
      <c r="J458" s="3">
        <f t="shared" si="132"/>
        <v>240.78626748462307</v>
      </c>
      <c r="K458" s="3">
        <v>12605</v>
      </c>
      <c r="L458" s="3">
        <v>696919</v>
      </c>
      <c r="M458" s="3">
        <v>154.04059216838201</v>
      </c>
      <c r="N458" s="3">
        <v>35.526880577529496</v>
      </c>
      <c r="O458" s="3">
        <f t="shared" si="133"/>
        <v>236.26172244443438</v>
      </c>
      <c r="P458" s="3">
        <f t="shared" si="134"/>
        <v>107.69487179487179</v>
      </c>
      <c r="Q458" s="3">
        <f t="shared" si="135"/>
        <v>6118.3760683760684</v>
      </c>
      <c r="R458" s="3">
        <f t="shared" si="145"/>
        <v>169929.57313839693</v>
      </c>
      <c r="S458" s="3">
        <f t="shared" si="145"/>
        <v>38062.257857643606</v>
      </c>
      <c r="T458" s="3">
        <f t="shared" si="146"/>
        <v>2.0580022861933593</v>
      </c>
      <c r="U458" s="3">
        <f t="shared" si="146"/>
        <v>107.73504273504274</v>
      </c>
      <c r="V458" s="3">
        <f t="shared" si="146"/>
        <v>5956.5726495726494</v>
      </c>
      <c r="W458" s="3">
        <f t="shared" si="147"/>
        <v>165099.91673431711</v>
      </c>
      <c r="X458" s="3">
        <f t="shared" si="147"/>
        <v>38077.528413864944</v>
      </c>
      <c r="Y458" s="3">
        <f t="shared" si="131"/>
        <v>2.0193309610635417</v>
      </c>
      <c r="Z458" s="3">
        <f t="shared" si="143"/>
        <v>-4.0170940170952463E-2</v>
      </c>
      <c r="AA458" s="3">
        <f t="shared" si="143"/>
        <v>161.80341880341894</v>
      </c>
      <c r="AB458" s="3">
        <f t="shared" si="136"/>
        <v>4814.385847858488</v>
      </c>
      <c r="AC458" s="3">
        <f t="shared" si="137"/>
        <v>3.8671325129817635E-2</v>
      </c>
      <c r="AD458" s="3">
        <f t="shared" si="144"/>
        <v>-2.1930096184061423</v>
      </c>
      <c r="AE458" s="3">
        <f t="shared" si="144"/>
        <v>8833.1627842625567</v>
      </c>
      <c r="AF458" s="3">
        <f t="shared" si="144"/>
        <v>262826.67087554361</v>
      </c>
      <c r="AG458" s="3">
        <f t="shared" si="144"/>
        <v>2.1111427217111722</v>
      </c>
      <c r="AH458" s="233">
        <f t="shared" si="142"/>
        <v>5879.2721478286085</v>
      </c>
      <c r="AI458" s="233">
        <f t="shared" si="142"/>
        <v>334014.02879479929</v>
      </c>
      <c r="AJ458" s="233">
        <f t="shared" si="142"/>
        <v>9276785.3268622849</v>
      </c>
      <c r="AK458" s="233">
        <f t="shared" si="142"/>
        <v>2077892.5567797606</v>
      </c>
      <c r="AL458" s="233">
        <f t="shared" si="142"/>
        <v>112.35034054760233</v>
      </c>
      <c r="AM458" s="233">
        <f t="shared" si="141"/>
        <v>5881.4651574470145</v>
      </c>
      <c r="AN458" s="233">
        <f t="shared" si="141"/>
        <v>325180.86601053673</v>
      </c>
      <c r="AO458" s="233">
        <f t="shared" si="141"/>
        <v>9013125.0066738483</v>
      </c>
      <c r="AP458" s="233">
        <f t="shared" si="141"/>
        <v>2078726.2060926543</v>
      </c>
      <c r="AQ458" s="233">
        <f t="shared" si="141"/>
        <v>110.23919782589115</v>
      </c>
      <c r="AR458">
        <v>138.47436397251619</v>
      </c>
      <c r="AS458" s="231">
        <f t="shared" si="138"/>
        <v>7559.5843861774565</v>
      </c>
    </row>
    <row r="459" spans="2:45" ht="87" x14ac:dyDescent="0.35">
      <c r="B459" s="56" t="s">
        <v>94</v>
      </c>
      <c r="C459" s="361" t="s">
        <v>230</v>
      </c>
      <c r="D459" s="56">
        <v>9</v>
      </c>
      <c r="E459" s="1146">
        <v>128.17238454288409</v>
      </c>
      <c r="F459" s="3">
        <v>12926.5</v>
      </c>
      <c r="G459" s="3">
        <v>714197</v>
      </c>
      <c r="H459" s="3">
        <v>159.640256196255</v>
      </c>
      <c r="I459" s="3">
        <v>36.477888707341101</v>
      </c>
      <c r="J459" s="3">
        <f t="shared" si="132"/>
        <v>242.16819183343915</v>
      </c>
      <c r="K459" s="3">
        <v>12934.8</v>
      </c>
      <c r="L459" s="3">
        <v>696089</v>
      </c>
      <c r="M459" s="3">
        <v>155.25241535765699</v>
      </c>
      <c r="N459" s="3">
        <v>36.503042921319199</v>
      </c>
      <c r="O459" s="3">
        <f t="shared" si="133"/>
        <v>237.86109576639757</v>
      </c>
      <c r="P459" s="3">
        <f t="shared" si="134"/>
        <v>110.48290598290598</v>
      </c>
      <c r="Q459" s="3">
        <f t="shared" si="135"/>
        <v>6104.2478632478633</v>
      </c>
      <c r="R459" s="3">
        <f t="shared" si="145"/>
        <v>171101.6079231656</v>
      </c>
      <c r="S459" s="3">
        <f t="shared" si="145"/>
        <v>39096.814050432258</v>
      </c>
      <c r="T459" s="3">
        <f t="shared" si="146"/>
        <v>2.0698136054140099</v>
      </c>
      <c r="U459" s="3">
        <f t="shared" si="146"/>
        <v>110.55384615384615</v>
      </c>
      <c r="V459" s="3">
        <f t="shared" si="146"/>
        <v>5949.4786324786328</v>
      </c>
      <c r="W459" s="3">
        <f t="shared" si="147"/>
        <v>166398.74261410415</v>
      </c>
      <c r="X459" s="3">
        <f t="shared" si="147"/>
        <v>39123.774207978015</v>
      </c>
      <c r="Y459" s="3">
        <f t="shared" si="131"/>
        <v>2.0330008185162187</v>
      </c>
      <c r="Z459" s="3">
        <f t="shared" si="143"/>
        <v>-7.0940170940176017E-2</v>
      </c>
      <c r="AA459" s="3">
        <f t="shared" si="143"/>
        <v>154.76923076923049</v>
      </c>
      <c r="AB459" s="3">
        <f t="shared" si="136"/>
        <v>4675.9051515157043</v>
      </c>
      <c r="AC459" s="3">
        <f t="shared" si="137"/>
        <v>3.6812786897791216E-2</v>
      </c>
      <c r="AD459" s="3">
        <f t="shared" si="144"/>
        <v>-9.0925708692821718</v>
      </c>
      <c r="AE459" s="3">
        <f t="shared" si="144"/>
        <v>19837.141361560178</v>
      </c>
      <c r="AF459" s="3">
        <f t="shared" si="144"/>
        <v>599321.91316612356</v>
      </c>
      <c r="AG459" s="3">
        <f t="shared" si="144"/>
        <v>4.7183826783589407</v>
      </c>
      <c r="AH459" s="233">
        <f t="shared" si="142"/>
        <v>14160.857511056334</v>
      </c>
      <c r="AI459" s="233">
        <f t="shared" si="142"/>
        <v>782396.00447328365</v>
      </c>
      <c r="AJ459" s="233">
        <f t="shared" si="142"/>
        <v>21930501.086633764</v>
      </c>
      <c r="AK459" s="233">
        <f t="shared" si="142"/>
        <v>5011131.884873637</v>
      </c>
      <c r="AL459" s="233">
        <f t="shared" si="142"/>
        <v>265.29294536521786</v>
      </c>
      <c r="AM459" s="233">
        <f t="shared" si="141"/>
        <v>14169.950081925615</v>
      </c>
      <c r="AN459" s="233">
        <f t="shared" si="141"/>
        <v>762558.86311172345</v>
      </c>
      <c r="AO459" s="233">
        <f t="shared" si="141"/>
        <v>21327723.625787351</v>
      </c>
      <c r="AP459" s="233">
        <f t="shared" si="141"/>
        <v>5014587.4325539283</v>
      </c>
      <c r="AQ459" s="233">
        <f t="shared" si="141"/>
        <v>260.57456268685888</v>
      </c>
      <c r="AR459">
        <v>138.47436397251619</v>
      </c>
      <c r="AS459" s="231">
        <f t="shared" si="138"/>
        <v>17748.589428416639</v>
      </c>
    </row>
    <row r="460" spans="2:45" ht="87" x14ac:dyDescent="0.35">
      <c r="B460" s="56" t="s">
        <v>94</v>
      </c>
      <c r="C460" s="361" t="s">
        <v>230</v>
      </c>
      <c r="D460" s="56">
        <v>10</v>
      </c>
      <c r="E460" s="1146">
        <v>45.282045240339308</v>
      </c>
      <c r="F460" s="3">
        <v>12106.3</v>
      </c>
      <c r="G460" s="3">
        <v>725847</v>
      </c>
      <c r="H460" s="3">
        <v>162.35658902588401</v>
      </c>
      <c r="I460" s="3">
        <v>34.268532767762203</v>
      </c>
      <c r="J460" s="3">
        <f t="shared" si="132"/>
        <v>240.49462195482175</v>
      </c>
      <c r="K460" s="3">
        <v>12123</v>
      </c>
      <c r="L460" s="3">
        <v>706578</v>
      </c>
      <c r="M460" s="3">
        <v>157.718036742354</v>
      </c>
      <c r="N460" s="3">
        <v>34.318884045976603</v>
      </c>
      <c r="O460" s="3">
        <f t="shared" si="133"/>
        <v>235.95428964347275</v>
      </c>
      <c r="P460" s="3">
        <f t="shared" si="134"/>
        <v>103.47264957264957</v>
      </c>
      <c r="Q460" s="3">
        <f t="shared" si="135"/>
        <v>6203.8205128205127</v>
      </c>
      <c r="R460" s="3">
        <f t="shared" si="145"/>
        <v>174012.95952005003</v>
      </c>
      <c r="S460" s="3">
        <f t="shared" si="145"/>
        <v>36728.837684422055</v>
      </c>
      <c r="T460" s="3">
        <f t="shared" si="146"/>
        <v>2.0555095893574511</v>
      </c>
      <c r="U460" s="3">
        <f t="shared" si="146"/>
        <v>103.61538461538461</v>
      </c>
      <c r="V460" s="3">
        <f t="shared" si="146"/>
        <v>6039.1282051282051</v>
      </c>
      <c r="W460" s="3">
        <f t="shared" si="147"/>
        <v>169041.38297001019</v>
      </c>
      <c r="X460" s="3">
        <f t="shared" si="147"/>
        <v>36782.803926200562</v>
      </c>
      <c r="Y460" s="3">
        <f t="shared" si="131"/>
        <v>2.0167033302860919</v>
      </c>
      <c r="Z460" s="3">
        <f t="shared" si="143"/>
        <v>-0.14273504273504045</v>
      </c>
      <c r="AA460" s="3">
        <f t="shared" si="143"/>
        <v>164.69230769230762</v>
      </c>
      <c r="AB460" s="3">
        <f t="shared" si="136"/>
        <v>4917.6103082613408</v>
      </c>
      <c r="AC460" s="3">
        <f t="shared" si="137"/>
        <v>3.880625907135915E-2</v>
      </c>
      <c r="AD460" s="3">
        <f t="shared" si="144"/>
        <v>-6.4633346625098662</v>
      </c>
      <c r="AE460" s="3">
        <f t="shared" si="144"/>
        <v>7457.6045276589548</v>
      </c>
      <c r="AF460" s="3">
        <f t="shared" si="144"/>
        <v>222679.45245304896</v>
      </c>
      <c r="AG460" s="3">
        <f t="shared" si="144"/>
        <v>1.7572267788776128</v>
      </c>
      <c r="AH460" s="233">
        <f t="shared" si="142"/>
        <v>4685.4531990864934</v>
      </c>
      <c r="AI460" s="233">
        <f t="shared" si="142"/>
        <v>280921.68112448347</v>
      </c>
      <c r="AJ460" s="233">
        <f t="shared" si="142"/>
        <v>7879662.7053922387</v>
      </c>
      <c r="AK460" s="233">
        <f t="shared" si="142"/>
        <v>1663156.8896510787</v>
      </c>
      <c r="AL460" s="233">
        <f t="shared" si="142"/>
        <v>93.077678217235373</v>
      </c>
      <c r="AM460" s="233">
        <f t="shared" si="141"/>
        <v>4691.916533749004</v>
      </c>
      <c r="AN460" s="233">
        <f t="shared" si="141"/>
        <v>273464.07659682451</v>
      </c>
      <c r="AO460" s="233">
        <f t="shared" si="141"/>
        <v>7654539.5511375237</v>
      </c>
      <c r="AP460" s="233">
        <f t="shared" si="141"/>
        <v>1665600.5914527441</v>
      </c>
      <c r="AQ460" s="233">
        <f t="shared" si="141"/>
        <v>91.320451438357765</v>
      </c>
      <c r="AR460">
        <v>138.47436397251619</v>
      </c>
      <c r="AS460" s="231">
        <f t="shared" si="138"/>
        <v>6270.4024140306892</v>
      </c>
    </row>
    <row r="461" spans="2:45" ht="87" x14ac:dyDescent="0.35">
      <c r="B461" s="56" t="s">
        <v>94</v>
      </c>
      <c r="C461" s="361" t="s">
        <v>230</v>
      </c>
      <c r="D461" s="56">
        <v>11</v>
      </c>
      <c r="E461" s="1146">
        <v>12.92785108388313</v>
      </c>
      <c r="F461" s="3">
        <v>14706.6</v>
      </c>
      <c r="G461" s="3">
        <v>722153</v>
      </c>
      <c r="H461" s="3">
        <v>169.059657113306</v>
      </c>
      <c r="I461" s="3">
        <v>42.000338149993901</v>
      </c>
      <c r="J461" s="3">
        <f t="shared" si="132"/>
        <v>253.789883989023</v>
      </c>
      <c r="K461" s="3">
        <v>14782.3</v>
      </c>
      <c r="L461" s="3">
        <v>703591</v>
      </c>
      <c r="M461" s="3">
        <v>164.29063944092499</v>
      </c>
      <c r="N461" s="3">
        <v>42.227585039076601</v>
      </c>
      <c r="O461" s="3">
        <f t="shared" si="133"/>
        <v>249.74129440696726</v>
      </c>
      <c r="P461" s="3">
        <f t="shared" si="134"/>
        <v>125.69743589743589</v>
      </c>
      <c r="Q461" s="3">
        <f t="shared" si="135"/>
        <v>6172.2478632478633</v>
      </c>
      <c r="R461" s="3">
        <f t="shared" si="145"/>
        <v>181197.2735214408</v>
      </c>
      <c r="S461" s="3">
        <f t="shared" si="145"/>
        <v>45015.747042813979</v>
      </c>
      <c r="T461" s="3">
        <f t="shared" si="146"/>
        <v>2.1691443075984873</v>
      </c>
      <c r="U461" s="3">
        <f t="shared" si="146"/>
        <v>126.34444444444443</v>
      </c>
      <c r="V461" s="3">
        <f t="shared" si="146"/>
        <v>6013.598290598291</v>
      </c>
      <c r="W461" s="3">
        <f t="shared" si="147"/>
        <v>176085.8648366837</v>
      </c>
      <c r="X461" s="3">
        <f t="shared" si="147"/>
        <v>45259.309093164156</v>
      </c>
      <c r="Y461" s="3">
        <f t="shared" si="131"/>
        <v>2.134540977837327</v>
      </c>
      <c r="Z461" s="3">
        <f t="shared" si="143"/>
        <v>-0.64700854700853938</v>
      </c>
      <c r="AA461" s="3">
        <f t="shared" si="143"/>
        <v>158.64957264957229</v>
      </c>
      <c r="AB461" s="3">
        <f t="shared" si="136"/>
        <v>4867.8466344069238</v>
      </c>
      <c r="AC461" s="3">
        <f t="shared" si="137"/>
        <v>3.4603329761160317E-2</v>
      </c>
      <c r="AD461" s="3">
        <f t="shared" si="144"/>
        <v>-8.3644301457259953</v>
      </c>
      <c r="AE461" s="3">
        <f t="shared" si="144"/>
        <v>2050.9980497353686</v>
      </c>
      <c r="AF461" s="3">
        <f t="shared" si="144"/>
        <v>62930.796388794399</v>
      </c>
      <c r="AG461" s="3">
        <f t="shared" si="144"/>
        <v>0.44734669415878181</v>
      </c>
      <c r="AH461" s="233">
        <f t="shared" si="142"/>
        <v>1624.9977329079968</v>
      </c>
      <c r="AI461" s="233">
        <f t="shared" si="142"/>
        <v>79793.90122888422</v>
      </c>
      <c r="AJ461" s="233">
        <f t="shared" si="142"/>
        <v>2342491.3688908266</v>
      </c>
      <c r="AK461" s="233">
        <f t="shared" si="142"/>
        <v>581956.87419925153</v>
      </c>
      <c r="AL461" s="233">
        <f t="shared" si="142"/>
        <v>28.042374588086027</v>
      </c>
      <c r="AM461" s="233">
        <f t="shared" si="141"/>
        <v>1633.362163053723</v>
      </c>
      <c r="AN461" s="233">
        <f t="shared" si="141"/>
        <v>77742.903179148852</v>
      </c>
      <c r="AO461" s="233">
        <f t="shared" si="141"/>
        <v>2276411.8385854196</v>
      </c>
      <c r="AP461" s="233">
        <f t="shared" si="141"/>
        <v>585105.60811586387</v>
      </c>
      <c r="AQ461" s="233">
        <f t="shared" si="141"/>
        <v>27.595027893927245</v>
      </c>
      <c r="AR461">
        <v>138.47436397251619</v>
      </c>
      <c r="AS461" s="231">
        <f t="shared" si="138"/>
        <v>1790.1759563721205</v>
      </c>
    </row>
    <row r="462" spans="2:45" ht="87" x14ac:dyDescent="0.35">
      <c r="B462" s="56" t="s">
        <v>94</v>
      </c>
      <c r="C462" s="361" t="s">
        <v>230</v>
      </c>
      <c r="D462" s="56">
        <v>12</v>
      </c>
      <c r="E462" s="1146">
        <v>72.992813383600392</v>
      </c>
      <c r="F462" s="3">
        <v>14496</v>
      </c>
      <c r="G462" s="3">
        <v>685769</v>
      </c>
      <c r="H462" s="3">
        <v>160.912243514403</v>
      </c>
      <c r="I462" s="3">
        <v>41.252623214340502</v>
      </c>
      <c r="J462" s="3">
        <f t="shared" si="132"/>
        <v>243.89606702032114</v>
      </c>
      <c r="K462" s="3">
        <v>14555</v>
      </c>
      <c r="L462" s="3">
        <v>669835</v>
      </c>
      <c r="M462" s="3">
        <v>156.571856933167</v>
      </c>
      <c r="N462" s="3">
        <v>41.429899481861902</v>
      </c>
      <c r="O462" s="3">
        <f t="shared" si="133"/>
        <v>240.38804432776919</v>
      </c>
      <c r="P462" s="3">
        <f t="shared" si="134"/>
        <v>123.8974358974359</v>
      </c>
      <c r="Q462" s="3">
        <f t="shared" si="135"/>
        <v>5861.2735042735039</v>
      </c>
      <c r="R462" s="3">
        <f t="shared" si="145"/>
        <v>172464.91740774477</v>
      </c>
      <c r="S462" s="3">
        <f t="shared" si="145"/>
        <v>44214.350009216229</v>
      </c>
      <c r="T462" s="3">
        <f t="shared" si="146"/>
        <v>2.0845817694044544</v>
      </c>
      <c r="U462" s="3">
        <f t="shared" si="146"/>
        <v>124.4017094017094</v>
      </c>
      <c r="V462" s="3">
        <f t="shared" si="146"/>
        <v>5725.0854700854698</v>
      </c>
      <c r="W462" s="3">
        <f t="shared" si="147"/>
        <v>167812.91332836871</v>
      </c>
      <c r="X462" s="3">
        <f t="shared" si="147"/>
        <v>44404.353803636608</v>
      </c>
      <c r="Y462" s="3">
        <f t="shared" si="131"/>
        <v>2.0545986694681129</v>
      </c>
      <c r="Z462" s="3">
        <f t="shared" si="143"/>
        <v>-0.50427350427349893</v>
      </c>
      <c r="AA462" s="3">
        <f t="shared" si="143"/>
        <v>136.18803418803418</v>
      </c>
      <c r="AB462" s="3">
        <f t="shared" si="136"/>
        <v>4462.0002849556768</v>
      </c>
      <c r="AC462" s="3">
        <f t="shared" si="137"/>
        <v>2.9983099936341517E-2</v>
      </c>
      <c r="AD462" s="3">
        <f t="shared" si="144"/>
        <v>-36.808341791729724</v>
      </c>
      <c r="AE462" s="3">
        <f t="shared" si="144"/>
        <v>9940.7477645665695</v>
      </c>
      <c r="AF462" s="3">
        <f t="shared" si="144"/>
        <v>325693.95411734149</v>
      </c>
      <c r="AG462" s="3">
        <f t="shared" si="144"/>
        <v>2.1885508183152171</v>
      </c>
      <c r="AH462" s="233">
        <f t="shared" si="142"/>
        <v>9043.6224171681315</v>
      </c>
      <c r="AI462" s="233">
        <f t="shared" si="142"/>
        <v>427830.84308767738</v>
      </c>
      <c r="AJ462" s="233">
        <f t="shared" si="142"/>
        <v>12588699.531561568</v>
      </c>
      <c r="AK462" s="233">
        <f t="shared" si="142"/>
        <v>3227329.7990999105</v>
      </c>
      <c r="AL462" s="233">
        <f t="shared" si="142"/>
        <v>152.15948807699485</v>
      </c>
      <c r="AM462" s="233">
        <f t="shared" si="141"/>
        <v>9080.4307589598611</v>
      </c>
      <c r="AN462" s="233">
        <f t="shared" si="141"/>
        <v>417890.09532311081</v>
      </c>
      <c r="AO462" s="233">
        <f t="shared" si="141"/>
        <v>12249136.665935924</v>
      </c>
      <c r="AP462" s="233">
        <f t="shared" si="141"/>
        <v>3241198.7106082132</v>
      </c>
      <c r="AQ462" s="233">
        <f t="shared" si="141"/>
        <v>149.97093725867964</v>
      </c>
      <c r="AR462">
        <v>138.47436397251619</v>
      </c>
      <c r="AS462" s="231">
        <f t="shared" si="138"/>
        <v>10107.633407858631</v>
      </c>
    </row>
    <row r="463" spans="2:45" ht="87" x14ac:dyDescent="0.35">
      <c r="B463" s="56" t="s">
        <v>94</v>
      </c>
      <c r="C463" s="361" t="s">
        <v>230</v>
      </c>
      <c r="D463" s="56">
        <v>13</v>
      </c>
      <c r="E463" s="1146">
        <v>21.304453345900097</v>
      </c>
      <c r="F463" s="3">
        <v>13470.4</v>
      </c>
      <c r="G463" s="3">
        <v>747377</v>
      </c>
      <c r="H463" s="3">
        <v>174.28463328861599</v>
      </c>
      <c r="I463" s="3">
        <v>38.358787757259002</v>
      </c>
      <c r="J463" s="3">
        <f t="shared" si="132"/>
        <v>253.10986728739908</v>
      </c>
      <c r="K463" s="3">
        <v>13518.6</v>
      </c>
      <c r="L463" s="3">
        <v>725838</v>
      </c>
      <c r="M463" s="3">
        <v>168.75768289897701</v>
      </c>
      <c r="N463" s="3">
        <v>38.503458581965397</v>
      </c>
      <c r="O463" s="3">
        <f t="shared" si="133"/>
        <v>248.19574102839519</v>
      </c>
      <c r="P463" s="3">
        <f t="shared" si="134"/>
        <v>115.13162393162393</v>
      </c>
      <c r="Q463" s="3">
        <f t="shared" si="135"/>
        <v>6387.8376068376065</v>
      </c>
      <c r="R463" s="3">
        <f t="shared" si="145"/>
        <v>186797.37619138844</v>
      </c>
      <c r="S463" s="3">
        <f t="shared" si="145"/>
        <v>41112.752006498107</v>
      </c>
      <c r="T463" s="3">
        <f t="shared" si="146"/>
        <v>2.1633321990375989</v>
      </c>
      <c r="U463" s="3">
        <f t="shared" si="146"/>
        <v>115.54358974358975</v>
      </c>
      <c r="V463" s="3">
        <f t="shared" si="146"/>
        <v>6203.7435897435898</v>
      </c>
      <c r="W463" s="3">
        <f t="shared" si="147"/>
        <v>180873.61910710868</v>
      </c>
      <c r="X463" s="3">
        <f t="shared" si="147"/>
        <v>41267.809454516755</v>
      </c>
      <c r="Y463" s="3">
        <f t="shared" si="131"/>
        <v>2.1213311199008138</v>
      </c>
      <c r="Z463" s="3">
        <f t="shared" si="143"/>
        <v>-0.41196581196581405</v>
      </c>
      <c r="AA463" s="3">
        <f t="shared" si="143"/>
        <v>184.09401709401664</v>
      </c>
      <c r="AB463" s="3">
        <f t="shared" si="136"/>
        <v>5768.6996362611098</v>
      </c>
      <c r="AC463" s="3">
        <f t="shared" si="137"/>
        <v>4.200107913678508E-2</v>
      </c>
      <c r="AD463" s="3">
        <f t="shared" si="144"/>
        <v>-8.7767064211315375</v>
      </c>
      <c r="AE463" s="3">
        <f t="shared" si="144"/>
        <v>3922.0223984388122</v>
      </c>
      <c r="AF463" s="3">
        <f t="shared" si="144"/>
        <v>122898.99226723568</v>
      </c>
      <c r="AG463" s="3">
        <f t="shared" si="144"/>
        <v>0.89481003094709566</v>
      </c>
      <c r="AH463" s="233">
        <f t="shared" si="142"/>
        <v>2452.816310688997</v>
      </c>
      <c r="AI463" s="233">
        <f t="shared" si="142"/>
        <v>136089.3882760579</v>
      </c>
      <c r="AJ463" s="233">
        <f t="shared" si="142"/>
        <v>3979615.9862059844</v>
      </c>
      <c r="AK463" s="233">
        <f t="shared" si="142"/>
        <v>875884.70704399946</v>
      </c>
      <c r="AL463" s="233">
        <f t="shared" si="142"/>
        <v>46.088609906079988</v>
      </c>
      <c r="AM463" s="233">
        <f t="shared" si="141"/>
        <v>2461.5930171101286</v>
      </c>
      <c r="AN463" s="233">
        <f t="shared" si="141"/>
        <v>132167.3658776191</v>
      </c>
      <c r="AO463" s="233">
        <f t="shared" si="141"/>
        <v>3853413.579771501</v>
      </c>
      <c r="AP463" s="233">
        <f t="shared" si="141"/>
        <v>879188.12121124717</v>
      </c>
      <c r="AQ463" s="233">
        <f t="shared" si="141"/>
        <v>45.193799875132889</v>
      </c>
      <c r="AR463">
        <v>138.47436397251619</v>
      </c>
      <c r="AS463" s="231">
        <f t="shared" si="138"/>
        <v>2950.1206268556602</v>
      </c>
    </row>
    <row r="464" spans="2:45" ht="87" x14ac:dyDescent="0.35">
      <c r="B464" s="56" t="s">
        <v>94</v>
      </c>
      <c r="C464" s="361" t="s">
        <v>230</v>
      </c>
      <c r="D464" s="56">
        <v>14</v>
      </c>
      <c r="E464" s="1146">
        <v>9.6786050895381734</v>
      </c>
      <c r="F464" s="3">
        <v>13986.9</v>
      </c>
      <c r="G464" s="3">
        <v>724701</v>
      </c>
      <c r="H464" s="3">
        <v>163.26326704134499</v>
      </c>
      <c r="I464" s="3">
        <v>39.910035033711701</v>
      </c>
      <c r="J464" s="3">
        <f t="shared" si="132"/>
        <v>250.47676268747165</v>
      </c>
      <c r="K464" s="3">
        <v>14034.4</v>
      </c>
      <c r="L464" s="3">
        <v>706903</v>
      </c>
      <c r="M464" s="3">
        <v>158.879878295667</v>
      </c>
      <c r="N464" s="3">
        <v>40.052896798536302</v>
      </c>
      <c r="O464" s="3">
        <f t="shared" si="133"/>
        <v>246.45799040361064</v>
      </c>
      <c r="P464" s="3">
        <f t="shared" si="134"/>
        <v>119.54615384615384</v>
      </c>
      <c r="Q464" s="3">
        <f t="shared" si="135"/>
        <v>6194.0256410256407</v>
      </c>
      <c r="R464" s="3">
        <f t="shared" si="145"/>
        <v>174984.73236739027</v>
      </c>
      <c r="S464" s="3">
        <f t="shared" si="145"/>
        <v>42775.370882285875</v>
      </c>
      <c r="T464" s="3">
        <f t="shared" si="146"/>
        <v>2.1408270315168516</v>
      </c>
      <c r="U464" s="3">
        <f t="shared" si="146"/>
        <v>119.95213675213675</v>
      </c>
      <c r="V464" s="3">
        <f t="shared" si="146"/>
        <v>6041.9059829059825</v>
      </c>
      <c r="W464" s="3">
        <f t="shared" si="147"/>
        <v>170286.63878868925</v>
      </c>
      <c r="X464" s="3">
        <f t="shared" si="147"/>
        <v>42928.489389200447</v>
      </c>
      <c r="Y464" s="3">
        <f t="shared" si="131"/>
        <v>2.1064785504582106</v>
      </c>
      <c r="Z464" s="3">
        <f t="shared" si="143"/>
        <v>-0.40598290598290987</v>
      </c>
      <c r="AA464" s="3">
        <f t="shared" si="143"/>
        <v>152.1196581196582</v>
      </c>
      <c r="AB464" s="3">
        <f t="shared" si="136"/>
        <v>4544.9750717864517</v>
      </c>
      <c r="AC464" s="3">
        <f t="shared" si="137"/>
        <v>3.4348481058640967E-2</v>
      </c>
      <c r="AD464" s="3">
        <f t="shared" si="144"/>
        <v>-3.9293482201116894</v>
      </c>
      <c r="AE464" s="3">
        <f t="shared" si="144"/>
        <v>1472.3060972957308</v>
      </c>
      <c r="AF464" s="3">
        <f t="shared" si="144"/>
        <v>43989.018861616474</v>
      </c>
      <c r="AG464" s="3">
        <f t="shared" si="144"/>
        <v>0.33244538359206799</v>
      </c>
      <c r="AH464" s="233">
        <f t="shared" si="142"/>
        <v>1157.040013050098</v>
      </c>
      <c r="AI464" s="233">
        <f t="shared" si="142"/>
        <v>59949.528093960711</v>
      </c>
      <c r="AJ464" s="233">
        <f t="shared" si="142"/>
        <v>1693608.1212824986</v>
      </c>
      <c r="AK464" s="233">
        <f t="shared" si="142"/>
        <v>414005.92232817505</v>
      </c>
      <c r="AL464" s="233">
        <f t="shared" si="142"/>
        <v>20.7202194030599</v>
      </c>
      <c r="AM464" s="233">
        <f t="shared" si="141"/>
        <v>1160.9693612702097</v>
      </c>
      <c r="AN464" s="233">
        <f t="shared" si="141"/>
        <v>58477.221996664979</v>
      </c>
      <c r="AO464" s="233">
        <f t="shared" si="141"/>
        <v>1648137.1288605563</v>
      </c>
      <c r="AP464" s="233">
        <f t="shared" si="141"/>
        <v>415487.89588850091</v>
      </c>
      <c r="AQ464" s="233">
        <f t="shared" si="141"/>
        <v>20.38777401946783</v>
      </c>
      <c r="AR464">
        <v>138.47436397251619</v>
      </c>
      <c r="AS464" s="231">
        <f t="shared" si="138"/>
        <v>1340.2386839149567</v>
      </c>
    </row>
    <row r="465" spans="2:45" ht="87" x14ac:dyDescent="0.35">
      <c r="B465" s="56" t="s">
        <v>94</v>
      </c>
      <c r="C465" s="361" t="s">
        <v>230</v>
      </c>
      <c r="D465" s="56">
        <v>15</v>
      </c>
      <c r="E465" s="1146">
        <v>6.3026154571159285</v>
      </c>
      <c r="F465" s="3">
        <v>9869.5300000000007</v>
      </c>
      <c r="G465" s="3">
        <v>869437</v>
      </c>
      <c r="H465" s="3">
        <v>193.82100944734</v>
      </c>
      <c r="I465" s="3">
        <v>27.899630308875999</v>
      </c>
      <c r="J465" s="3">
        <f t="shared" si="132"/>
        <v>262.8070597689649</v>
      </c>
      <c r="K465" s="3">
        <v>9872.35</v>
      </c>
      <c r="L465" s="3">
        <v>841484</v>
      </c>
      <c r="M465" s="3">
        <v>187.48156724972199</v>
      </c>
      <c r="N465" s="3">
        <v>27.908145768499999</v>
      </c>
      <c r="O465" s="3">
        <f t="shared" si="133"/>
        <v>256.1037679160392</v>
      </c>
      <c r="P465" s="3">
        <f t="shared" si="134"/>
        <v>84.354957264957264</v>
      </c>
      <c r="Q465" s="3">
        <f t="shared" si="135"/>
        <v>7431.0854700854698</v>
      </c>
      <c r="R465" s="3">
        <f t="shared" si="145"/>
        <v>207736.36397176443</v>
      </c>
      <c r="S465" s="3">
        <f t="shared" si="145"/>
        <v>29902.680690026067</v>
      </c>
      <c r="T465" s="3">
        <f t="shared" si="146"/>
        <v>2.2462141860595293</v>
      </c>
      <c r="U465" s="3">
        <f t="shared" si="146"/>
        <v>84.379059829059827</v>
      </c>
      <c r="V465" s="3">
        <f t="shared" si="146"/>
        <v>7192.1709401709404</v>
      </c>
      <c r="W465" s="3">
        <f t="shared" si="147"/>
        <v>200941.78233431742</v>
      </c>
      <c r="X465" s="3">
        <f t="shared" si="147"/>
        <v>29911.807515982051</v>
      </c>
      <c r="Y465" s="3">
        <f t="shared" si="131"/>
        <v>2.1889210932994803</v>
      </c>
      <c r="Z465" s="3">
        <f t="shared" si="143"/>
        <v>-2.4102564102562951E-2</v>
      </c>
      <c r="AA465" s="3">
        <f t="shared" si="143"/>
        <v>238.91452991452934</v>
      </c>
      <c r="AB465" s="3">
        <f t="shared" si="136"/>
        <v>6785.4548114910067</v>
      </c>
      <c r="AC465" s="3">
        <f t="shared" si="137"/>
        <v>5.7293092760049014E-2</v>
      </c>
      <c r="AD465" s="3">
        <f t="shared" si="144"/>
        <v>-0.15190919306894077</v>
      </c>
      <c r="AE465" s="3">
        <f t="shared" si="144"/>
        <v>1505.7864091688984</v>
      </c>
      <c r="AF465" s="3">
        <f t="shared" si="144"/>
        <v>42766.112378464866</v>
      </c>
      <c r="AG465" s="3">
        <f t="shared" si="144"/>
        <v>0.3610963320154616</v>
      </c>
      <c r="AH465" s="233">
        <f t="shared" si="142"/>
        <v>531.65685754247329</v>
      </c>
      <c r="AI465" s="233">
        <f t="shared" si="142"/>
        <v>46835.274146910269</v>
      </c>
      <c r="AJ465" s="233">
        <f t="shared" si="142"/>
        <v>1309282.4185735029</v>
      </c>
      <c r="AK465" s="233">
        <f t="shared" si="142"/>
        <v>188465.0975261603</v>
      </c>
      <c r="AL465" s="233">
        <f t="shared" si="142"/>
        <v>14.157024249051863</v>
      </c>
      <c r="AM465" s="233">
        <f t="shared" si="141"/>
        <v>531.80876673554224</v>
      </c>
      <c r="AN465" s="233">
        <f t="shared" si="141"/>
        <v>45329.487737741372</v>
      </c>
      <c r="AO465" s="233">
        <f t="shared" si="141"/>
        <v>1266458.7833206935</v>
      </c>
      <c r="AP465" s="233">
        <f t="shared" si="141"/>
        <v>188522.62040050488</v>
      </c>
      <c r="AQ465" s="233">
        <f t="shared" si="141"/>
        <v>13.795927917036401</v>
      </c>
      <c r="AR465">
        <v>138.47436397251619</v>
      </c>
      <c r="AS465" s="231">
        <f t="shared" si="138"/>
        <v>872.7506667874776</v>
      </c>
    </row>
    <row r="466" spans="2:45" ht="87" x14ac:dyDescent="0.35">
      <c r="B466" s="56" t="s">
        <v>94</v>
      </c>
      <c r="C466" s="361" t="s">
        <v>230</v>
      </c>
      <c r="D466" s="56">
        <v>16</v>
      </c>
      <c r="E466" s="1146">
        <v>3.9060084825636201</v>
      </c>
      <c r="F466" s="3">
        <v>21349</v>
      </c>
      <c r="G466" s="3">
        <v>642227</v>
      </c>
      <c r="H466" s="3">
        <v>144.422112978277</v>
      </c>
      <c r="I466" s="3">
        <v>61.159644655752203</v>
      </c>
      <c r="J466" s="3">
        <f t="shared" si="132"/>
        <v>270.80964695681757</v>
      </c>
      <c r="K466" s="3">
        <v>21525.4</v>
      </c>
      <c r="L466" s="3">
        <v>629210</v>
      </c>
      <c r="M466" s="3">
        <v>141.617686415186</v>
      </c>
      <c r="N466" s="3">
        <v>61.680229799886803</v>
      </c>
      <c r="O466" s="3">
        <f t="shared" si="133"/>
        <v>268.64309224748257</v>
      </c>
      <c r="P466" s="3">
        <f t="shared" si="134"/>
        <v>182.47008547008548</v>
      </c>
      <c r="Q466" s="3">
        <f t="shared" si="135"/>
        <v>5489.1196581196582</v>
      </c>
      <c r="R466" s="3">
        <f t="shared" si="145"/>
        <v>154790.88006389688</v>
      </c>
      <c r="S466" s="3">
        <f t="shared" si="145"/>
        <v>65550.593502831849</v>
      </c>
      <c r="T466" s="3">
        <f t="shared" si="146"/>
        <v>2.3146123671522871</v>
      </c>
      <c r="U466" s="3">
        <f t="shared" si="146"/>
        <v>183.97777777777779</v>
      </c>
      <c r="V466" s="3">
        <f t="shared" si="146"/>
        <v>5377.863247863248</v>
      </c>
      <c r="W466" s="3">
        <f t="shared" si="147"/>
        <v>151785.11005525064</v>
      </c>
      <c r="X466" s="3">
        <f t="shared" si="147"/>
        <v>66108.553990647895</v>
      </c>
      <c r="Y466" s="3">
        <f t="shared" si="131"/>
        <v>2.2960948055340391</v>
      </c>
      <c r="Z466" s="3">
        <f t="shared" si="143"/>
        <v>-1.5076923076923094</v>
      </c>
      <c r="AA466" s="3">
        <f t="shared" si="143"/>
        <v>111.25641025641016</v>
      </c>
      <c r="AB466" s="3">
        <f t="shared" si="136"/>
        <v>2447.8095208301966</v>
      </c>
      <c r="AC466" s="3">
        <f t="shared" si="137"/>
        <v>1.8517561618248024E-2</v>
      </c>
      <c r="AD466" s="3">
        <f t="shared" si="144"/>
        <v>-5.8890589429420803</v>
      </c>
      <c r="AE466" s="3">
        <f t="shared" si="144"/>
        <v>434.56848220111624</v>
      </c>
      <c r="AF466" s="3">
        <f t="shared" si="144"/>
        <v>9561.1647520627375</v>
      </c>
      <c r="AG466" s="3">
        <f t="shared" si="144"/>
        <v>7.2329752757271298E-2</v>
      </c>
      <c r="AH466" s="233">
        <f t="shared" si="142"/>
        <v>712.72970166026266</v>
      </c>
      <c r="AI466" s="233">
        <f t="shared" si="142"/>
        <v>21440.547946422103</v>
      </c>
      <c r="AJ466" s="233">
        <f t="shared" si="142"/>
        <v>604614.49055306916</v>
      </c>
      <c r="AK466" s="233">
        <f t="shared" si="142"/>
        <v>256041.17425914091</v>
      </c>
      <c r="AL466" s="233">
        <f t="shared" si="142"/>
        <v>9.0408955399434934</v>
      </c>
      <c r="AM466" s="233">
        <f t="shared" si="141"/>
        <v>718.61876060320469</v>
      </c>
      <c r="AN466" s="233">
        <f t="shared" si="141"/>
        <v>21005.979464220985</v>
      </c>
      <c r="AO466" s="233">
        <f t="shared" si="141"/>
        <v>592873.92740266165</v>
      </c>
      <c r="AP466" s="233">
        <f t="shared" si="141"/>
        <v>258220.57265748573</v>
      </c>
      <c r="AQ466" s="233">
        <f t="shared" si="141"/>
        <v>8.9685657871862219</v>
      </c>
      <c r="AR466">
        <v>138.47436397251619</v>
      </c>
      <c r="AS466" s="231">
        <f t="shared" si="138"/>
        <v>540.88204029425037</v>
      </c>
    </row>
    <row r="467" spans="2:45" ht="87" x14ac:dyDescent="0.35">
      <c r="B467" s="56" t="s">
        <v>93</v>
      </c>
      <c r="C467" s="361" t="s">
        <v>233</v>
      </c>
      <c r="D467" s="56">
        <v>2</v>
      </c>
      <c r="E467" s="387">
        <v>803.22817185986423</v>
      </c>
      <c r="F467" s="3">
        <v>16365.1</v>
      </c>
      <c r="G467" s="3">
        <v>633723</v>
      </c>
      <c r="H467" s="3">
        <v>162.803095383743</v>
      </c>
      <c r="I467" s="3">
        <v>51.525672133140397</v>
      </c>
      <c r="J467" s="3">
        <f t="shared" si="132"/>
        <v>241.5813577334664</v>
      </c>
      <c r="K467" s="3">
        <v>16365.1</v>
      </c>
      <c r="L467" s="3">
        <v>631078</v>
      </c>
      <c r="M467" s="3">
        <v>161.85740078181101</v>
      </c>
      <c r="N467" s="3">
        <v>51.525672133140397</v>
      </c>
      <c r="O467" s="3">
        <f t="shared" si="133"/>
        <v>240.9456159186247</v>
      </c>
      <c r="P467" s="3">
        <f t="shared" si="134"/>
        <v>185.96704545454546</v>
      </c>
      <c r="Q467" s="3">
        <f t="shared" si="135"/>
        <v>7201.397727272727</v>
      </c>
      <c r="R467" s="3">
        <f t="shared" si="145"/>
        <v>209238.97827160606</v>
      </c>
      <c r="S467" s="3">
        <f t="shared" si="145"/>
        <v>66222.199071115669</v>
      </c>
      <c r="T467" s="3">
        <f t="shared" si="146"/>
        <v>2.7452427015166636</v>
      </c>
      <c r="U467" s="3">
        <f t="shared" si="146"/>
        <v>185.96704545454546</v>
      </c>
      <c r="V467" s="3">
        <f t="shared" si="146"/>
        <v>7171.340909090909</v>
      </c>
      <c r="W467" s="3">
        <f t="shared" si="147"/>
        <v>208023.5457775321</v>
      </c>
      <c r="X467" s="3">
        <f t="shared" si="147"/>
        <v>66222.199071115669</v>
      </c>
      <c r="Y467" s="3">
        <f t="shared" ref="Y467:Y484" si="148">O467/VLOOKUP($B467,$N$131:$P$134, 3, FALSE)</f>
        <v>2.7380183627116441</v>
      </c>
      <c r="Z467" s="3">
        <f t="shared" si="143"/>
        <v>0</v>
      </c>
      <c r="AA467" s="3">
        <f t="shared" si="143"/>
        <v>30.056818181818016</v>
      </c>
      <c r="AB467" s="3">
        <f t="shared" si="136"/>
        <v>1215.4324940739607</v>
      </c>
      <c r="AC467" s="3">
        <f t="shared" si="137"/>
        <v>7.2243388050194923E-3</v>
      </c>
      <c r="AD467" s="3">
        <f t="shared" si="144"/>
        <v>0</v>
      </c>
      <c r="AE467" s="3">
        <f t="shared" si="144"/>
        <v>24142.483120106015</v>
      </c>
      <c r="AF467" s="3">
        <f t="shared" si="144"/>
        <v>976269.62023410271</v>
      </c>
      <c r="AG467" s="3">
        <f t="shared" si="144"/>
        <v>5.802792451252083</v>
      </c>
      <c r="AH467" s="233">
        <f t="shared" si="142"/>
        <v>149373.96994663481</v>
      </c>
      <c r="AI467" s="233">
        <f t="shared" si="142"/>
        <v>5784365.5313130533</v>
      </c>
      <c r="AJ467" s="233">
        <f t="shared" si="142"/>
        <v>168066641.99892798</v>
      </c>
      <c r="AK467" s="233">
        <f t="shared" si="142"/>
        <v>53191535.896432236</v>
      </c>
      <c r="AL467" s="233">
        <f t="shared" si="142"/>
        <v>2205.0562764508645</v>
      </c>
      <c r="AM467" s="233">
        <f t="shared" ref="AM467:AQ484" si="149">U467*$E467</f>
        <v>149373.96994663481</v>
      </c>
      <c r="AN467" s="233">
        <f t="shared" si="149"/>
        <v>5760223.0481929481</v>
      </c>
      <c r="AO467" s="233">
        <f t="shared" si="149"/>
        <v>167090372.37869388</v>
      </c>
      <c r="AP467" s="233">
        <f t="shared" si="149"/>
        <v>53191535.896432236</v>
      </c>
      <c r="AQ467" s="233">
        <f t="shared" si="149"/>
        <v>2199.2534839996124</v>
      </c>
      <c r="AR467">
        <v>46.158121324172065</v>
      </c>
      <c r="AS467" s="231">
        <f t="shared" si="138"/>
        <v>37075.50340770054</v>
      </c>
    </row>
    <row r="468" spans="2:45" ht="87" x14ac:dyDescent="0.35">
      <c r="B468" s="56" t="s">
        <v>93</v>
      </c>
      <c r="C468" s="361" t="s">
        <v>233</v>
      </c>
      <c r="D468" s="56">
        <v>8</v>
      </c>
      <c r="E468" s="387">
        <v>2419.3865723280592</v>
      </c>
      <c r="F468" s="3">
        <v>12309.9</v>
      </c>
      <c r="G468" s="3">
        <v>698086</v>
      </c>
      <c r="H468" s="3">
        <v>171.09771039901599</v>
      </c>
      <c r="I468" s="3">
        <v>38.534112204649198</v>
      </c>
      <c r="J468" s="3">
        <f t="shared" ref="J468:J484" si="150">G468*$G$141*10^-6 + F468*$G$142*10^-6</f>
        <v>234.9326176139889</v>
      </c>
      <c r="K468" s="3">
        <v>12309.9</v>
      </c>
      <c r="L468" s="3">
        <v>693181</v>
      </c>
      <c r="M468" s="3">
        <v>169.75349245488599</v>
      </c>
      <c r="N468" s="3">
        <v>38.534112204649198</v>
      </c>
      <c r="O468" s="3">
        <f t="shared" ref="O468:O484" si="151">L468*$G$141*10^-6 + K468*$G$142*10^-6</f>
        <v>233.75367107266624</v>
      </c>
      <c r="P468" s="3">
        <f t="shared" ref="P468:P484" si="152">F468/VLOOKUP(B468,$N$131:$P$134, 3, FALSE)</f>
        <v>139.88522727272726</v>
      </c>
      <c r="Q468" s="3">
        <f t="shared" ref="Q468:Q484" si="153">G468/VLOOKUP($B468,$N$131:$P$134, 3, FALSE)</f>
        <v>7932.795454545455</v>
      </c>
      <c r="R468" s="3">
        <f t="shared" si="145"/>
        <v>219899.44370600805</v>
      </c>
      <c r="S468" s="3">
        <f t="shared" si="145"/>
        <v>49525.091935748002</v>
      </c>
      <c r="T468" s="3">
        <f t="shared" si="146"/>
        <v>2.6696888365226012</v>
      </c>
      <c r="U468" s="3">
        <f t="shared" si="146"/>
        <v>139.88522727272726</v>
      </c>
      <c r="V468" s="3">
        <f t="shared" si="146"/>
        <v>7877.056818181818</v>
      </c>
      <c r="W468" s="3">
        <f t="shared" si="147"/>
        <v>218171.81814372278</v>
      </c>
      <c r="X468" s="3">
        <f t="shared" si="147"/>
        <v>49525.091935748002</v>
      </c>
      <c r="Y468" s="3">
        <f t="shared" si="148"/>
        <v>2.6562917167348434</v>
      </c>
      <c r="Z468" s="3">
        <f t="shared" si="143"/>
        <v>0</v>
      </c>
      <c r="AA468" s="3">
        <f t="shared" si="143"/>
        <v>55.738636363636942</v>
      </c>
      <c r="AB468" s="3">
        <f t="shared" ref="AB468:AB484" si="154">R468+S468-W468-X468</f>
        <v>1727.6255622852477</v>
      </c>
      <c r="AC468" s="3">
        <f t="shared" ref="AC468:AC484" si="155">T468-Y468</f>
        <v>1.3397119787757816E-2</v>
      </c>
      <c r="AD468" s="3">
        <f t="shared" si="144"/>
        <v>0</v>
      </c>
      <c r="AE468" s="3">
        <f t="shared" si="144"/>
        <v>134853.30837805971</v>
      </c>
      <c r="AF468" s="3">
        <f t="shared" si="144"/>
        <v>4179794.0874036415</v>
      </c>
      <c r="AG468" s="3">
        <f t="shared" si="144"/>
        <v>32.412811722371799</v>
      </c>
      <c r="AH468" s="233">
        <f t="shared" ref="AH468:AL484" si="156">P468*$E468</f>
        <v>338436.44053069514</v>
      </c>
      <c r="AI468" s="233">
        <f t="shared" si="156"/>
        <v>19192498.803752337</v>
      </c>
      <c r="AJ468" s="233">
        <f t="shared" si="156"/>
        <v>532021761.36472583</v>
      </c>
      <c r="AK468" s="233">
        <f t="shared" si="156"/>
        <v>119820342.42266136</v>
      </c>
      <c r="AL468" s="233">
        <f t="shared" si="156"/>
        <v>6459.0093233769003</v>
      </c>
      <c r="AM468" s="233">
        <f t="shared" si="149"/>
        <v>338436.44053069514</v>
      </c>
      <c r="AN468" s="233">
        <f t="shared" si="149"/>
        <v>19057645.495374277</v>
      </c>
      <c r="AO468" s="233">
        <f t="shared" si="149"/>
        <v>527841967.27732211</v>
      </c>
      <c r="AP468" s="233">
        <f t="shared" si="149"/>
        <v>119820342.42266136</v>
      </c>
      <c r="AQ468" s="233">
        <f t="shared" si="149"/>
        <v>6426.5965116545285</v>
      </c>
      <c r="AR468">
        <v>46.158121324172065</v>
      </c>
      <c r="AS468" s="231">
        <f t="shared" ref="AS468:AS484" si="157">AR468*E468</f>
        <v>111674.33893559135</v>
      </c>
    </row>
    <row r="469" spans="2:45" ht="87" x14ac:dyDescent="0.35">
      <c r="B469" s="56" t="s">
        <v>93</v>
      </c>
      <c r="C469" s="361" t="s">
        <v>233</v>
      </c>
      <c r="D469" s="56">
        <v>9</v>
      </c>
      <c r="E469" s="387">
        <v>5680.2989089441389</v>
      </c>
      <c r="F469" s="3">
        <v>12715.3</v>
      </c>
      <c r="G469" s="3">
        <v>694364</v>
      </c>
      <c r="H469" s="3">
        <v>171.932195638905</v>
      </c>
      <c r="I469" s="3">
        <v>39.865634931180601</v>
      </c>
      <c r="J469" s="3">
        <f t="shared" si="150"/>
        <v>236.24923558586593</v>
      </c>
      <c r="K469" s="3">
        <v>12715.3</v>
      </c>
      <c r="L469" s="3">
        <v>689534</v>
      </c>
      <c r="M469" s="3">
        <v>170.56650697983099</v>
      </c>
      <c r="N469" s="3">
        <v>39.865634931180601</v>
      </c>
      <c r="O469" s="3">
        <f t="shared" si="151"/>
        <v>235.08831575006806</v>
      </c>
      <c r="P469" s="3">
        <f t="shared" si="152"/>
        <v>144.49204545454543</v>
      </c>
      <c r="Q469" s="3">
        <f t="shared" si="153"/>
        <v>7890.5</v>
      </c>
      <c r="R469" s="3">
        <f t="shared" si="145"/>
        <v>220971.94689500178</v>
      </c>
      <c r="S469" s="3">
        <f t="shared" si="145"/>
        <v>51236.401258142345</v>
      </c>
      <c r="T469" s="3">
        <f t="shared" si="146"/>
        <v>2.6846504043848403</v>
      </c>
      <c r="U469" s="3">
        <f t="shared" si="146"/>
        <v>144.49204545454543</v>
      </c>
      <c r="V469" s="3">
        <f t="shared" si="146"/>
        <v>7835.613636363636</v>
      </c>
      <c r="W469" s="3">
        <f t="shared" si="147"/>
        <v>219216.72658430552</v>
      </c>
      <c r="X469" s="3">
        <f t="shared" si="147"/>
        <v>51236.401258142345</v>
      </c>
      <c r="Y469" s="3">
        <f t="shared" si="148"/>
        <v>2.6714581335235006</v>
      </c>
      <c r="Z469" s="3">
        <f t="shared" si="143"/>
        <v>0</v>
      </c>
      <c r="AA469" s="3">
        <f t="shared" si="143"/>
        <v>54.886363636363967</v>
      </c>
      <c r="AB469" s="3">
        <f t="shared" si="154"/>
        <v>1755.2203106962552</v>
      </c>
      <c r="AC469" s="3">
        <f t="shared" si="155"/>
        <v>1.3192270861339672E-2</v>
      </c>
      <c r="AD469" s="3">
        <f t="shared" si="144"/>
        <v>0</v>
      </c>
      <c r="AE469" s="3">
        <f t="shared" si="144"/>
        <v>311770.95147954952</v>
      </c>
      <c r="AF469" s="3">
        <f t="shared" si="144"/>
        <v>9970176.0158045311</v>
      </c>
      <c r="AG469" s="3">
        <f t="shared" si="144"/>
        <v>74.936041780163293</v>
      </c>
      <c r="AH469" s="233">
        <f t="shared" si="156"/>
        <v>820758.00814656133</v>
      </c>
      <c r="AI469" s="233">
        <f t="shared" si="156"/>
        <v>44820398.541023731</v>
      </c>
      <c r="AJ469" s="233">
        <f t="shared" si="156"/>
        <v>1255186708.8549409</v>
      </c>
      <c r="AK469" s="233">
        <f t="shared" si="156"/>
        <v>291038074.16485006</v>
      </c>
      <c r="AL469" s="233">
        <f t="shared" si="156"/>
        <v>15249.61676292365</v>
      </c>
      <c r="AM469" s="233">
        <f t="shared" si="149"/>
        <v>820758.00814656133</v>
      </c>
      <c r="AN469" s="233">
        <f t="shared" si="149"/>
        <v>44508627.589544177</v>
      </c>
      <c r="AO469" s="233">
        <f t="shared" si="149"/>
        <v>1245216532.8391364</v>
      </c>
      <c r="AP469" s="233">
        <f t="shared" si="149"/>
        <v>291038074.16485006</v>
      </c>
      <c r="AQ469" s="233">
        <f t="shared" si="149"/>
        <v>15174.680721143486</v>
      </c>
      <c r="AR469">
        <v>46.158121324172065</v>
      </c>
      <c r="AS469" s="231">
        <f t="shared" si="157"/>
        <v>262191.92619660578</v>
      </c>
    </row>
    <row r="470" spans="2:45" ht="87" x14ac:dyDescent="0.35">
      <c r="B470" s="56" t="s">
        <v>93</v>
      </c>
      <c r="C470" s="361" t="s">
        <v>233</v>
      </c>
      <c r="D470" s="56">
        <v>10</v>
      </c>
      <c r="E470" s="387">
        <v>2006.7938432353887</v>
      </c>
      <c r="F470" s="3">
        <v>12161</v>
      </c>
      <c r="G470" s="3">
        <v>708131</v>
      </c>
      <c r="H470" s="3">
        <v>174.37304989612801</v>
      </c>
      <c r="I470" s="3">
        <v>38.251920587150003</v>
      </c>
      <c r="J470" s="3">
        <f t="shared" si="150"/>
        <v>236.53483071804408</v>
      </c>
      <c r="K470" s="3">
        <v>12161</v>
      </c>
      <c r="L470" s="3">
        <v>702956</v>
      </c>
      <c r="M470" s="3">
        <v>172.95423621072399</v>
      </c>
      <c r="N470" s="3">
        <v>38.251920587150003</v>
      </c>
      <c r="O470" s="3">
        <f t="shared" si="151"/>
        <v>235.29098803683206</v>
      </c>
      <c r="P470" s="3">
        <f t="shared" si="152"/>
        <v>138.19318181818181</v>
      </c>
      <c r="Q470" s="3">
        <f t="shared" si="153"/>
        <v>8046.943181818182</v>
      </c>
      <c r="R470" s="3">
        <f t="shared" si="145"/>
        <v>224108.99935513726</v>
      </c>
      <c r="S470" s="3">
        <f t="shared" si="145"/>
        <v>49162.411572803016</v>
      </c>
      <c r="T470" s="3">
        <f t="shared" si="146"/>
        <v>2.6878958036141372</v>
      </c>
      <c r="U470" s="3">
        <f t="shared" si="146"/>
        <v>138.19318181818181</v>
      </c>
      <c r="V470" s="3">
        <f t="shared" si="146"/>
        <v>7988.136363636364</v>
      </c>
      <c r="W470" s="3">
        <f t="shared" si="147"/>
        <v>222285.50131173732</v>
      </c>
      <c r="X470" s="3">
        <f t="shared" si="147"/>
        <v>49162.411572803016</v>
      </c>
      <c r="Y470" s="3">
        <f t="shared" si="148"/>
        <v>2.6737612276912732</v>
      </c>
      <c r="Z470" s="3">
        <f t="shared" si="143"/>
        <v>0</v>
      </c>
      <c r="AA470" s="3">
        <f t="shared" si="143"/>
        <v>58.806818181818016</v>
      </c>
      <c r="AB470" s="3">
        <f t="shared" si="154"/>
        <v>1823.4980433999444</v>
      </c>
      <c r="AC470" s="3">
        <f t="shared" si="155"/>
        <v>1.4134575922863934E-2</v>
      </c>
      <c r="AD470" s="3">
        <f t="shared" si="144"/>
        <v>0</v>
      </c>
      <c r="AE470" s="3">
        <f t="shared" si="144"/>
        <v>118013.16066753531</v>
      </c>
      <c r="AF470" s="3">
        <f t="shared" si="144"/>
        <v>3659384.646646786</v>
      </c>
      <c r="AG470" s="3">
        <f t="shared" si="144"/>
        <v>28.365179938746508</v>
      </c>
      <c r="AH470" s="233">
        <f t="shared" si="156"/>
        <v>277325.22644983593</v>
      </c>
      <c r="AI470" s="233">
        <f t="shared" si="156"/>
        <v>16148556.034137717</v>
      </c>
      <c r="AJ470" s="233">
        <f t="shared" si="156"/>
        <v>449740560.11953318</v>
      </c>
      <c r="AK470" s="233">
        <f t="shared" si="156"/>
        <v>98658824.862905324</v>
      </c>
      <c r="AL470" s="233">
        <f t="shared" si="156"/>
        <v>5394.0527499510881</v>
      </c>
      <c r="AM470" s="233">
        <f t="shared" si="149"/>
        <v>277325.22644983593</v>
      </c>
      <c r="AN470" s="233">
        <f t="shared" si="149"/>
        <v>16030542.873470182</v>
      </c>
      <c r="AO470" s="233">
        <f t="shared" si="149"/>
        <v>446081175.47288638</v>
      </c>
      <c r="AP470" s="233">
        <f t="shared" si="149"/>
        <v>98658824.862905324</v>
      </c>
      <c r="AQ470" s="233">
        <f t="shared" si="149"/>
        <v>5365.6875700123419</v>
      </c>
      <c r="AR470">
        <v>46.158121324172065</v>
      </c>
      <c r="AS470" s="231">
        <f t="shared" si="157"/>
        <v>92629.833688660612</v>
      </c>
    </row>
    <row r="471" spans="2:45" ht="87" x14ac:dyDescent="0.35">
      <c r="B471" s="56" t="s">
        <v>93</v>
      </c>
      <c r="C471" s="361" t="s">
        <v>233</v>
      </c>
      <c r="D471" s="56">
        <v>11</v>
      </c>
      <c r="E471" s="387">
        <v>572.93198272521772</v>
      </c>
      <c r="F471" s="3">
        <v>14435.9</v>
      </c>
      <c r="G471" s="3">
        <v>705821</v>
      </c>
      <c r="H471" s="3">
        <v>182.204556371851</v>
      </c>
      <c r="I471" s="3">
        <v>45.7294729229667</v>
      </c>
      <c r="J471" s="3">
        <f t="shared" si="150"/>
        <v>248.38787615839607</v>
      </c>
      <c r="K471" s="3">
        <v>14435.9</v>
      </c>
      <c r="L471" s="3">
        <v>700780</v>
      </c>
      <c r="M471" s="3">
        <v>180.55300009291599</v>
      </c>
      <c r="N471" s="3">
        <v>45.7294729229667</v>
      </c>
      <c r="O471" s="3">
        <f t="shared" si="151"/>
        <v>247.17624119105506</v>
      </c>
      <c r="P471" s="3">
        <f t="shared" si="152"/>
        <v>164.04431818181817</v>
      </c>
      <c r="Q471" s="3">
        <f t="shared" si="153"/>
        <v>8020.693181818182</v>
      </c>
      <c r="R471" s="3">
        <f t="shared" si="145"/>
        <v>234174.26506427667</v>
      </c>
      <c r="S471" s="3">
        <f t="shared" si="145"/>
        <v>58772.765768040161</v>
      </c>
      <c r="T471" s="3">
        <f t="shared" si="146"/>
        <v>2.8225895017999552</v>
      </c>
      <c r="U471" s="3">
        <f t="shared" si="146"/>
        <v>164.04431818181817</v>
      </c>
      <c r="V471" s="3">
        <f t="shared" si="146"/>
        <v>7963.409090909091</v>
      </c>
      <c r="W471" s="3">
        <f t="shared" si="147"/>
        <v>232051.63989214547</v>
      </c>
      <c r="X471" s="3">
        <f t="shared" si="147"/>
        <v>58772.765768040161</v>
      </c>
      <c r="Y471" s="3">
        <f t="shared" si="148"/>
        <v>2.8088209226256255</v>
      </c>
      <c r="Z471" s="3">
        <f t="shared" si="143"/>
        <v>0</v>
      </c>
      <c r="AA471" s="3">
        <f t="shared" si="143"/>
        <v>57.284090909090992</v>
      </c>
      <c r="AB471" s="3">
        <f t="shared" si="154"/>
        <v>2122.6251721312146</v>
      </c>
      <c r="AC471" s="3">
        <f t="shared" si="155"/>
        <v>1.3768579174329609E-2</v>
      </c>
      <c r="AD471" s="3">
        <f t="shared" si="144"/>
        <v>0</v>
      </c>
      <c r="AE471" s="3">
        <f t="shared" si="144"/>
        <v>32819.887783157123</v>
      </c>
      <c r="AF471" s="3">
        <f t="shared" si="144"/>
        <v>1216119.8484515934</v>
      </c>
      <c r="AG471" s="3">
        <f t="shared" si="144"/>
        <v>7.8884593656578046</v>
      </c>
      <c r="AH471" s="233">
        <f t="shared" si="156"/>
        <v>93986.236470715565</v>
      </c>
      <c r="AI471" s="233">
        <f t="shared" si="156"/>
        <v>4595311.6474897265</v>
      </c>
      <c r="AJ471" s="233">
        <f t="shared" si="156"/>
        <v>134165925.98649672</v>
      </c>
      <c r="AK471" s="233">
        <f t="shared" si="156"/>
        <v>33672797.221728049</v>
      </c>
      <c r="AL471" s="233">
        <f t="shared" si="156"/>
        <v>1617.1517996856328</v>
      </c>
      <c r="AM471" s="233">
        <f t="shared" si="149"/>
        <v>93986.236470715565</v>
      </c>
      <c r="AN471" s="233">
        <f t="shared" si="149"/>
        <v>4562491.7597065689</v>
      </c>
      <c r="AO471" s="233">
        <f t="shared" si="149"/>
        <v>132949806.13804513</v>
      </c>
      <c r="AP471" s="233">
        <f t="shared" si="149"/>
        <v>33672797.221728049</v>
      </c>
      <c r="AQ471" s="233">
        <f t="shared" si="149"/>
        <v>1609.263340319975</v>
      </c>
      <c r="AR471">
        <v>46.158121324172065</v>
      </c>
      <c r="AS471" s="231">
        <f t="shared" si="157"/>
        <v>26445.463969129054</v>
      </c>
    </row>
    <row r="472" spans="2:45" ht="87" x14ac:dyDescent="0.35">
      <c r="B472" s="56" t="s">
        <v>93</v>
      </c>
      <c r="C472" s="361" t="s">
        <v>233</v>
      </c>
      <c r="D472" s="56">
        <v>12</v>
      </c>
      <c r="E472" s="387">
        <v>3234.8699737649335</v>
      </c>
      <c r="F472" s="3">
        <v>14796.7</v>
      </c>
      <c r="G472" s="3">
        <v>673901</v>
      </c>
      <c r="H472" s="3">
        <v>173.174287235891</v>
      </c>
      <c r="I472" s="3">
        <v>46.792760828498203</v>
      </c>
      <c r="J472" s="3">
        <f t="shared" si="150"/>
        <v>242.68366627796428</v>
      </c>
      <c r="K472" s="3">
        <v>14796.7</v>
      </c>
      <c r="L472" s="3">
        <v>669903</v>
      </c>
      <c r="M472" s="3">
        <v>171.84965528066701</v>
      </c>
      <c r="N472" s="3">
        <v>46.792760828498203</v>
      </c>
      <c r="O472" s="3">
        <f t="shared" si="151"/>
        <v>241.72272269545493</v>
      </c>
      <c r="P472" s="3">
        <f t="shared" si="152"/>
        <v>168.14431818181819</v>
      </c>
      <c r="Q472" s="3">
        <f t="shared" si="153"/>
        <v>7657.965909090909</v>
      </c>
      <c r="R472" s="3">
        <f t="shared" si="145"/>
        <v>222568.31689067354</v>
      </c>
      <c r="S472" s="3">
        <f t="shared" si="145"/>
        <v>60139.332382990302</v>
      </c>
      <c r="T472" s="3">
        <f t="shared" si="146"/>
        <v>2.7577689349768666</v>
      </c>
      <c r="U472" s="3">
        <f t="shared" si="146"/>
        <v>168.14431818181819</v>
      </c>
      <c r="V472" s="3">
        <f t="shared" si="146"/>
        <v>7612.534090909091</v>
      </c>
      <c r="W472" s="3">
        <f t="shared" si="147"/>
        <v>220865.86377549364</v>
      </c>
      <c r="X472" s="3">
        <f t="shared" si="147"/>
        <v>60139.332382990302</v>
      </c>
      <c r="Y472" s="3">
        <f t="shared" si="148"/>
        <v>2.7468491215392605</v>
      </c>
      <c r="Z472" s="3">
        <f t="shared" si="143"/>
        <v>0</v>
      </c>
      <c r="AA472" s="3">
        <f t="shared" si="143"/>
        <v>45.431818181818016</v>
      </c>
      <c r="AB472" s="3">
        <f t="shared" si="154"/>
        <v>1702.4531151798801</v>
      </c>
      <c r="AC472" s="3">
        <f t="shared" si="155"/>
        <v>1.0919813437606063E-2</v>
      </c>
      <c r="AD472" s="3">
        <f t="shared" si="144"/>
        <v>0</v>
      </c>
      <c r="AE472" s="3">
        <f t="shared" si="144"/>
        <v>146966.02448991087</v>
      </c>
      <c r="AF472" s="3">
        <f t="shared" si="144"/>
        <v>5507214.4640379678</v>
      </c>
      <c r="AG472" s="3">
        <f t="shared" si="144"/>
        <v>35.324176608426697</v>
      </c>
      <c r="AH472" s="233">
        <f t="shared" si="156"/>
        <v>543925.00614554086</v>
      </c>
      <c r="AI472" s="233">
        <f t="shared" si="156"/>
        <v>24772523.979433663</v>
      </c>
      <c r="AJ472" s="233">
        <f t="shared" si="156"/>
        <v>719979565.42103851</v>
      </c>
      <c r="AK472" s="233">
        <f t="shared" si="156"/>
        <v>194542920.56800446</v>
      </c>
      <c r="AL472" s="233">
        <f t="shared" si="156"/>
        <v>8921.0239223383651</v>
      </c>
      <c r="AM472" s="233">
        <f t="shared" si="149"/>
        <v>543925.00614554086</v>
      </c>
      <c r="AN472" s="233">
        <f t="shared" si="149"/>
        <v>24625557.954943754</v>
      </c>
      <c r="AO472" s="233">
        <f t="shared" si="149"/>
        <v>714472350.95700049</v>
      </c>
      <c r="AP472" s="233">
        <f t="shared" si="149"/>
        <v>194542920.56800446</v>
      </c>
      <c r="AQ472" s="233">
        <f t="shared" si="149"/>
        <v>8885.6997457299385</v>
      </c>
      <c r="AR472">
        <v>46.158121324172065</v>
      </c>
      <c r="AS472" s="231">
        <f t="shared" si="157"/>
        <v>149315.5207169631</v>
      </c>
    </row>
    <row r="473" spans="2:45" ht="87" x14ac:dyDescent="0.35">
      <c r="B473" s="56" t="s">
        <v>93</v>
      </c>
      <c r="C473" s="361" t="s">
        <v>233</v>
      </c>
      <c r="D473" s="56">
        <v>13</v>
      </c>
      <c r="E473" s="387">
        <v>944.16331199547926</v>
      </c>
      <c r="F473" s="3">
        <v>13768.4</v>
      </c>
      <c r="G473" s="3">
        <v>726942</v>
      </c>
      <c r="H473" s="3">
        <v>186.96776467855901</v>
      </c>
      <c r="I473" s="3">
        <v>43.588570137533601</v>
      </c>
      <c r="J473" s="3">
        <f t="shared" si="150"/>
        <v>249.82360911857023</v>
      </c>
      <c r="K473" s="3">
        <v>13768.4</v>
      </c>
      <c r="L473" s="3">
        <v>721120</v>
      </c>
      <c r="M473" s="3">
        <v>185.14527296367601</v>
      </c>
      <c r="N473" s="3">
        <v>43.588570137533601</v>
      </c>
      <c r="O473" s="3">
        <f t="shared" si="151"/>
        <v>248.42425605769756</v>
      </c>
      <c r="P473" s="3">
        <f t="shared" si="152"/>
        <v>156.45909090909092</v>
      </c>
      <c r="Q473" s="3">
        <f t="shared" si="153"/>
        <v>8260.704545454546</v>
      </c>
      <c r="R473" s="3">
        <f t="shared" si="145"/>
        <v>240296.07028573894</v>
      </c>
      <c r="S473" s="3">
        <f t="shared" si="145"/>
        <v>56021.219119943758</v>
      </c>
      <c r="T473" s="3">
        <f t="shared" si="146"/>
        <v>2.8389046490746619</v>
      </c>
      <c r="U473" s="3">
        <f t="shared" si="146"/>
        <v>156.45909090909092</v>
      </c>
      <c r="V473" s="3">
        <f t="shared" si="146"/>
        <v>8194.545454545454</v>
      </c>
      <c r="W473" s="3">
        <f t="shared" si="147"/>
        <v>237953.75422945179</v>
      </c>
      <c r="X473" s="3">
        <f t="shared" si="147"/>
        <v>56021.219119943758</v>
      </c>
      <c r="Y473" s="3">
        <f t="shared" si="148"/>
        <v>2.8230029097465632</v>
      </c>
      <c r="Z473" s="3">
        <f t="shared" si="143"/>
        <v>0</v>
      </c>
      <c r="AA473" s="3">
        <f t="shared" si="143"/>
        <v>66.159090909091901</v>
      </c>
      <c r="AB473" s="3">
        <f t="shared" si="154"/>
        <v>2342.3160562871562</v>
      </c>
      <c r="AC473" s="3">
        <f t="shared" si="155"/>
        <v>1.5901739328098685E-2</v>
      </c>
      <c r="AD473" s="3">
        <f t="shared" si="144"/>
        <v>0</v>
      </c>
      <c r="AE473" s="3">
        <f t="shared" si="144"/>
        <v>62464.986391338214</v>
      </c>
      <c r="AF473" s="3">
        <f t="shared" si="144"/>
        <v>2211528.8854442709</v>
      </c>
      <c r="AG473" s="3">
        <f t="shared" si="144"/>
        <v>15.013838870506422</v>
      </c>
      <c r="AH473" s="233">
        <f t="shared" si="156"/>
        <v>147722.93346452905</v>
      </c>
      <c r="AI473" s="233">
        <f t="shared" si="156"/>
        <v>7799454.1630524741</v>
      </c>
      <c r="AJ473" s="233">
        <f t="shared" si="156"/>
        <v>226878733.58048174</v>
      </c>
      <c r="AK473" s="233">
        <f t="shared" si="156"/>
        <v>52893179.786310568</v>
      </c>
      <c r="AL473" s="233">
        <f t="shared" si="156"/>
        <v>2680.3896159096967</v>
      </c>
      <c r="AM473" s="233">
        <f t="shared" si="149"/>
        <v>147722.93346452905</v>
      </c>
      <c r="AN473" s="233">
        <f t="shared" si="149"/>
        <v>7736989.1766611356</v>
      </c>
      <c r="AO473" s="233">
        <f t="shared" si="149"/>
        <v>224667204.69503748</v>
      </c>
      <c r="AP473" s="233">
        <f t="shared" si="149"/>
        <v>52893179.786310568</v>
      </c>
      <c r="AQ473" s="233">
        <f t="shared" si="149"/>
        <v>2665.3757770391903</v>
      </c>
      <c r="AR473">
        <v>46.158121324172065</v>
      </c>
      <c r="AS473" s="231">
        <f t="shared" si="157"/>
        <v>43580.80470491945</v>
      </c>
    </row>
    <row r="474" spans="2:45" ht="87" x14ac:dyDescent="0.35">
      <c r="B474" s="56" t="s">
        <v>93</v>
      </c>
      <c r="C474" s="361" t="s">
        <v>233</v>
      </c>
      <c r="D474" s="56">
        <v>14</v>
      </c>
      <c r="E474" s="387">
        <v>428.93303519535027</v>
      </c>
      <c r="F474" s="3">
        <v>13824.3</v>
      </c>
      <c r="G474" s="3">
        <v>709916</v>
      </c>
      <c r="H474" s="3">
        <v>177.27937962464799</v>
      </c>
      <c r="I474" s="3">
        <v>43.783466025202003</v>
      </c>
      <c r="J474" s="3">
        <f t="shared" si="150"/>
        <v>246.0362088807947</v>
      </c>
      <c r="K474" s="3">
        <v>13824.3</v>
      </c>
      <c r="L474" s="3">
        <v>704734</v>
      </c>
      <c r="M474" s="3">
        <v>175.73387166883501</v>
      </c>
      <c r="N474" s="3">
        <v>43.783466025202003</v>
      </c>
      <c r="O474" s="3">
        <f t="shared" si="151"/>
        <v>244.79068370706705</v>
      </c>
      <c r="P474" s="3">
        <f t="shared" si="152"/>
        <v>157.09431818181818</v>
      </c>
      <c r="Q474" s="3">
        <f t="shared" si="153"/>
        <v>8067.227272727273</v>
      </c>
      <c r="R474" s="3">
        <f t="shared" si="145"/>
        <v>227844.29358576919</v>
      </c>
      <c r="S474" s="3">
        <f t="shared" si="145"/>
        <v>56271.70463011758</v>
      </c>
      <c r="T474" s="3">
        <f t="shared" si="146"/>
        <v>2.7958660100090307</v>
      </c>
      <c r="U474" s="3">
        <f t="shared" si="146"/>
        <v>157.09431818181818</v>
      </c>
      <c r="V474" s="3">
        <f t="shared" si="146"/>
        <v>8008.340909090909</v>
      </c>
      <c r="W474" s="3">
        <f t="shared" si="147"/>
        <v>225857.96461074136</v>
      </c>
      <c r="X474" s="3">
        <f t="shared" si="147"/>
        <v>56271.70463011758</v>
      </c>
      <c r="Y474" s="3">
        <f t="shared" si="148"/>
        <v>2.7817123148530345</v>
      </c>
      <c r="Z474" s="3">
        <f t="shared" si="143"/>
        <v>0</v>
      </c>
      <c r="AA474" s="3">
        <f t="shared" si="143"/>
        <v>58.886363636363967</v>
      </c>
      <c r="AB474" s="3">
        <f t="shared" si="154"/>
        <v>1986.3289750278273</v>
      </c>
      <c r="AC474" s="3">
        <f t="shared" si="155"/>
        <v>1.4153695155996182E-2</v>
      </c>
      <c r="AD474" s="3">
        <f t="shared" si="144"/>
        <v>0</v>
      </c>
      <c r="AE474" s="3">
        <f t="shared" si="144"/>
        <v>25258.306686162701</v>
      </c>
      <c r="AF474" s="3">
        <f t="shared" si="144"/>
        <v>852002.116155155</v>
      </c>
      <c r="AG474" s="3">
        <f t="shared" si="144"/>
        <v>6.0709874224911689</v>
      </c>
      <c r="AH474" s="233">
        <f t="shared" si="156"/>
        <v>67382.942709671377</v>
      </c>
      <c r="AI474" s="233">
        <f t="shared" si="156"/>
        <v>3460300.2797016171</v>
      </c>
      <c r="AJ474" s="233">
        <f t="shared" si="156"/>
        <v>97729944.399684459</v>
      </c>
      <c r="AK474" s="233">
        <f t="shared" si="156"/>
        <v>24136793.062612578</v>
      </c>
      <c r="AL474" s="233">
        <f t="shared" si="156"/>
        <v>1199.2392936726872</v>
      </c>
      <c r="AM474" s="233">
        <f t="shared" si="149"/>
        <v>67382.942709671377</v>
      </c>
      <c r="AN474" s="233">
        <f t="shared" si="149"/>
        <v>3435041.9730154541</v>
      </c>
      <c r="AO474" s="233">
        <f t="shared" si="149"/>
        <v>96877942.283529297</v>
      </c>
      <c r="AP474" s="233">
        <f t="shared" si="149"/>
        <v>24136793.062612578</v>
      </c>
      <c r="AQ474" s="233">
        <f t="shared" si="149"/>
        <v>1193.1683062501959</v>
      </c>
      <c r="AR474">
        <v>46.158121324172065</v>
      </c>
      <c r="AS474" s="231">
        <f t="shared" si="157"/>
        <v>19798.743078492345</v>
      </c>
    </row>
    <row r="475" spans="2:45" ht="87" x14ac:dyDescent="0.35">
      <c r="B475" s="56" t="s">
        <v>93</v>
      </c>
      <c r="C475" s="361" t="s">
        <v>233</v>
      </c>
      <c r="D475" s="56">
        <v>15</v>
      </c>
      <c r="E475" s="387">
        <v>279.31710744268639</v>
      </c>
      <c r="F475" s="3">
        <v>9670.98</v>
      </c>
      <c r="G475" s="3">
        <v>832472</v>
      </c>
      <c r="H475" s="3">
        <v>206.108783623471</v>
      </c>
      <c r="I475" s="3">
        <v>30.3458244836714</v>
      </c>
      <c r="J475" s="3">
        <f t="shared" si="150"/>
        <v>252.8393217243763</v>
      </c>
      <c r="K475" s="3">
        <v>9670.98</v>
      </c>
      <c r="L475" s="3">
        <v>823085</v>
      </c>
      <c r="M475" s="3">
        <v>203.52897767349501</v>
      </c>
      <c r="N475" s="3">
        <v>30.3458244836714</v>
      </c>
      <c r="O475" s="3">
        <f t="shared" si="151"/>
        <v>250.58309926089089</v>
      </c>
      <c r="P475" s="3">
        <f t="shared" si="152"/>
        <v>109.89749999999999</v>
      </c>
      <c r="Q475" s="3">
        <f t="shared" si="153"/>
        <v>9459.9090909090901</v>
      </c>
      <c r="R475" s="3">
        <f t="shared" si="145"/>
        <v>264896.62986152922</v>
      </c>
      <c r="S475" s="3">
        <f t="shared" si="145"/>
        <v>39001.281239809497</v>
      </c>
      <c r="T475" s="3">
        <f t="shared" si="146"/>
        <v>2.8731741105042761</v>
      </c>
      <c r="U475" s="3">
        <f t="shared" si="146"/>
        <v>109.89749999999999</v>
      </c>
      <c r="V475" s="3">
        <f t="shared" si="146"/>
        <v>9353.238636363636</v>
      </c>
      <c r="W475" s="3">
        <f t="shared" si="147"/>
        <v>261580.99289627597</v>
      </c>
      <c r="X475" s="3">
        <f t="shared" si="147"/>
        <v>39001.281239809497</v>
      </c>
      <c r="Y475" s="3">
        <f t="shared" si="148"/>
        <v>2.8475352188737602</v>
      </c>
      <c r="Z475" s="3">
        <f t="shared" si="143"/>
        <v>0</v>
      </c>
      <c r="AA475" s="3">
        <f t="shared" si="143"/>
        <v>106.67045454545405</v>
      </c>
      <c r="AB475" s="3">
        <f t="shared" si="154"/>
        <v>3315.6369652532157</v>
      </c>
      <c r="AC475" s="3">
        <f t="shared" si="155"/>
        <v>2.5638891630515914E-2</v>
      </c>
      <c r="AD475" s="3">
        <f t="shared" si="144"/>
        <v>0</v>
      </c>
      <c r="AE475" s="3">
        <f t="shared" si="144"/>
        <v>29794.882813232784</v>
      </c>
      <c r="AF475" s="3">
        <f t="shared" si="144"/>
        <v>926114.12646457506</v>
      </c>
      <c r="AG475" s="3">
        <f t="shared" si="144"/>
        <v>7.1613810482722062</v>
      </c>
      <c r="AH475" s="233">
        <f t="shared" si="156"/>
        <v>30696.251815182626</v>
      </c>
      <c r="AI475" s="233">
        <f t="shared" si="156"/>
        <v>2642314.4439435001</v>
      </c>
      <c r="AJ475" s="233">
        <f t="shared" si="156"/>
        <v>73990160.424238279</v>
      </c>
      <c r="AK475" s="233">
        <f t="shared" si="156"/>
        <v>10893725.062462298</v>
      </c>
      <c r="AL475" s="233">
        <f t="shared" si="156"/>
        <v>802.52668172526774</v>
      </c>
      <c r="AM475" s="233">
        <f t="shared" si="149"/>
        <v>30696.251815182626</v>
      </c>
      <c r="AN475" s="233">
        <f t="shared" si="149"/>
        <v>2612519.5611302671</v>
      </c>
      <c r="AO475" s="233">
        <f t="shared" si="149"/>
        <v>73064046.297773704</v>
      </c>
      <c r="AP475" s="233">
        <f t="shared" si="149"/>
        <v>10893725.062462298</v>
      </c>
      <c r="AQ475" s="233">
        <f t="shared" si="149"/>
        <v>795.36530067699562</v>
      </c>
      <c r="AR475">
        <v>46.158121324172065</v>
      </c>
      <c r="AS475" s="231">
        <f t="shared" si="157"/>
        <v>12892.752933256323</v>
      </c>
    </row>
    <row r="476" spans="2:45" ht="87" x14ac:dyDescent="0.35">
      <c r="B476" s="56" t="s">
        <v>94</v>
      </c>
      <c r="C476" s="361" t="s">
        <v>233</v>
      </c>
      <c r="D476" s="56">
        <v>2</v>
      </c>
      <c r="E476" s="387">
        <v>71.385438265787002</v>
      </c>
      <c r="F476" s="3">
        <v>18167.099999999999</v>
      </c>
      <c r="G476" s="3">
        <v>629571</v>
      </c>
      <c r="H476" s="3">
        <v>146.836184031708</v>
      </c>
      <c r="I476" s="3">
        <v>51.639056586822001</v>
      </c>
      <c r="J476" s="3">
        <f t="shared" si="150"/>
        <v>250.41227042329675</v>
      </c>
      <c r="K476" s="3">
        <v>18167.099999999999</v>
      </c>
      <c r="L476" s="3">
        <v>626167</v>
      </c>
      <c r="M476" s="3">
        <v>145.81564029211501</v>
      </c>
      <c r="N476" s="3">
        <v>51.639056586822001</v>
      </c>
      <c r="O476" s="3">
        <f t="shared" si="151"/>
        <v>249.59409834854395</v>
      </c>
      <c r="P476" s="3">
        <f t="shared" si="152"/>
        <v>155.27435897435896</v>
      </c>
      <c r="Q476" s="3">
        <f t="shared" si="153"/>
        <v>5380.9487179487178</v>
      </c>
      <c r="R476" s="3">
        <f t="shared" si="145"/>
        <v>157378.26903911267</v>
      </c>
      <c r="S476" s="3">
        <f t="shared" si="145"/>
        <v>55346.476034081017</v>
      </c>
      <c r="T476" s="3">
        <f t="shared" si="146"/>
        <v>2.1402758155837329</v>
      </c>
      <c r="U476" s="3">
        <f t="shared" si="146"/>
        <v>155.27435897435896</v>
      </c>
      <c r="V476" s="3">
        <f t="shared" si="146"/>
        <v>5351.8547008547012</v>
      </c>
      <c r="W476" s="3">
        <f t="shared" si="147"/>
        <v>156284.45549257455</v>
      </c>
      <c r="X476" s="3">
        <f t="shared" si="147"/>
        <v>55346.476034081017</v>
      </c>
      <c r="Y476" s="3">
        <f t="shared" si="148"/>
        <v>2.1332828918678972</v>
      </c>
      <c r="Z476" s="3">
        <f t="shared" si="143"/>
        <v>0</v>
      </c>
      <c r="AA476" s="3">
        <f t="shared" si="143"/>
        <v>29.094017094016635</v>
      </c>
      <c r="AB476" s="3">
        <f t="shared" si="154"/>
        <v>1093.8135465381201</v>
      </c>
      <c r="AC476" s="3">
        <f t="shared" si="155"/>
        <v>6.9929237158357083E-3</v>
      </c>
      <c r="AD476" s="3">
        <f t="shared" si="144"/>
        <v>0</v>
      </c>
      <c r="AE476" s="3">
        <f t="shared" si="144"/>
        <v>2076.8891611686763</v>
      </c>
      <c r="AF476" s="3">
        <f t="shared" si="144"/>
        <v>78082.359400678513</v>
      </c>
      <c r="AG476" s="3">
        <f t="shared" si="144"/>
        <v>0.49919292421414779</v>
      </c>
      <c r="AH476" s="233">
        <f t="shared" si="156"/>
        <v>11084.328166823752</v>
      </c>
      <c r="AI476" s="233">
        <f t="shared" si="156"/>
        <v>384121.3825164939</v>
      </c>
      <c r="AJ476" s="233">
        <f t="shared" si="156"/>
        <v>11234516.708867995</v>
      </c>
      <c r="AK476" s="233">
        <f t="shared" si="156"/>
        <v>3950932.4481597501</v>
      </c>
      <c r="AL476" s="233">
        <f t="shared" si="156"/>
        <v>152.7845271051095</v>
      </c>
      <c r="AM476" s="233">
        <f t="shared" si="149"/>
        <v>11084.328166823752</v>
      </c>
      <c r="AN476" s="233">
        <f t="shared" si="149"/>
        <v>382044.49335532525</v>
      </c>
      <c r="AO476" s="233">
        <f t="shared" si="149"/>
        <v>11156434.349467317</v>
      </c>
      <c r="AP476" s="233">
        <f t="shared" si="149"/>
        <v>3950932.4481597501</v>
      </c>
      <c r="AQ476" s="233">
        <f t="shared" si="149"/>
        <v>152.28533418089535</v>
      </c>
      <c r="AR476">
        <v>46.158121324172065</v>
      </c>
      <c r="AS476" s="231">
        <f t="shared" si="157"/>
        <v>3295.0177202513914</v>
      </c>
    </row>
    <row r="477" spans="2:45" ht="87" x14ac:dyDescent="0.35">
      <c r="B477" s="56" t="s">
        <v>94</v>
      </c>
      <c r="C477" s="361" t="s">
        <v>233</v>
      </c>
      <c r="D477" s="56">
        <v>8</v>
      </c>
      <c r="E477" s="387">
        <v>215.01856738925545</v>
      </c>
      <c r="F477" s="3">
        <v>12954.8</v>
      </c>
      <c r="G477" s="3">
        <v>701274</v>
      </c>
      <c r="H477" s="3">
        <v>155.056877625287</v>
      </c>
      <c r="I477" s="3">
        <v>36.575268929937401</v>
      </c>
      <c r="J477" s="3">
        <f t="shared" si="150"/>
        <v>239.21643047790985</v>
      </c>
      <c r="K477" s="3">
        <v>12954.8</v>
      </c>
      <c r="L477" s="3">
        <v>695057</v>
      </c>
      <c r="M477" s="3">
        <v>153.576135771466</v>
      </c>
      <c r="N477" s="3">
        <v>36.575268929937401</v>
      </c>
      <c r="O477" s="3">
        <f t="shared" si="151"/>
        <v>237.72213676793973</v>
      </c>
      <c r="P477" s="3">
        <f t="shared" si="152"/>
        <v>110.72478632478632</v>
      </c>
      <c r="Q477" s="3">
        <f t="shared" si="153"/>
        <v>5993.7948717948721</v>
      </c>
      <c r="R477" s="3">
        <f t="shared" si="145"/>
        <v>166189.16627530762</v>
      </c>
      <c r="S477" s="3">
        <f t="shared" si="145"/>
        <v>39201.185673625208</v>
      </c>
      <c r="T477" s="3">
        <f t="shared" si="146"/>
        <v>2.0445848758795715</v>
      </c>
      <c r="U477" s="3">
        <f t="shared" si="146"/>
        <v>110.72478632478632</v>
      </c>
      <c r="V477" s="3">
        <f t="shared" si="146"/>
        <v>5940.6581196581201</v>
      </c>
      <c r="W477" s="3">
        <f t="shared" si="147"/>
        <v>164602.11474993022</v>
      </c>
      <c r="X477" s="3">
        <f t="shared" si="147"/>
        <v>39201.185673625208</v>
      </c>
      <c r="Y477" s="3">
        <f t="shared" si="148"/>
        <v>2.0318131347687158</v>
      </c>
      <c r="Z477" s="3">
        <f t="shared" si="143"/>
        <v>0</v>
      </c>
      <c r="AA477" s="3">
        <f t="shared" si="143"/>
        <v>53.136752136751966</v>
      </c>
      <c r="AB477" s="3">
        <f t="shared" si="154"/>
        <v>1587.0515253774065</v>
      </c>
      <c r="AC477" s="3">
        <f t="shared" si="155"/>
        <v>1.2771741110855661E-2</v>
      </c>
      <c r="AD477" s="3">
        <f t="shared" si="144"/>
        <v>0</v>
      </c>
      <c r="AE477" s="3">
        <f t="shared" si="144"/>
        <v>11425.388320162367</v>
      </c>
      <c r="AF477" s="3">
        <f t="shared" si="144"/>
        <v>341245.54535958252</v>
      </c>
      <c r="AG477" s="3">
        <f t="shared" si="144"/>
        <v>2.7461614767226421</v>
      </c>
      <c r="AH477" s="233">
        <f t="shared" si="156"/>
        <v>23807.884930036977</v>
      </c>
      <c r="AI477" s="233">
        <f t="shared" si="156"/>
        <v>1288777.1865583993</v>
      </c>
      <c r="AJ477" s="233">
        <f t="shared" si="156"/>
        <v>35733756.448131412</v>
      </c>
      <c r="AK477" s="233">
        <f t="shared" si="156"/>
        <v>8428982.7835030966</v>
      </c>
      <c r="AL477" s="233">
        <f t="shared" si="156"/>
        <v>439.62371091736412</v>
      </c>
      <c r="AM477" s="233">
        <f t="shared" si="149"/>
        <v>23807.884930036977</v>
      </c>
      <c r="AN477" s="233">
        <f t="shared" si="149"/>
        <v>1277351.7982382372</v>
      </c>
      <c r="AO477" s="233">
        <f t="shared" si="149"/>
        <v>35392510.902771831</v>
      </c>
      <c r="AP477" s="233">
        <f t="shared" si="149"/>
        <v>8428982.7835030966</v>
      </c>
      <c r="AQ477" s="233">
        <f t="shared" si="149"/>
        <v>436.87754944064147</v>
      </c>
      <c r="AR477">
        <v>46.158121324172065</v>
      </c>
      <c r="AS477" s="231">
        <f t="shared" si="157"/>
        <v>9924.8531205029194</v>
      </c>
    </row>
    <row r="478" spans="2:45" ht="87" x14ac:dyDescent="0.35">
      <c r="B478" s="56" t="s">
        <v>94</v>
      </c>
      <c r="C478" s="361" t="s">
        <v>233</v>
      </c>
      <c r="D478" s="56">
        <v>9</v>
      </c>
      <c r="E478" s="387">
        <v>504.82620169651284</v>
      </c>
      <c r="F478" s="3">
        <v>13409.7</v>
      </c>
      <c r="G478" s="3">
        <v>700587</v>
      </c>
      <c r="H478" s="3">
        <v>156.35910493017599</v>
      </c>
      <c r="I478" s="3">
        <v>37.9213707552153</v>
      </c>
      <c r="J478" s="3">
        <f t="shared" si="150"/>
        <v>241.53252309552752</v>
      </c>
      <c r="K478" s="3">
        <v>13409.7</v>
      </c>
      <c r="L478" s="3">
        <v>694520</v>
      </c>
      <c r="M478" s="3">
        <v>154.88350071386799</v>
      </c>
      <c r="N478" s="3">
        <v>37.9213707552153</v>
      </c>
      <c r="O478" s="3">
        <f t="shared" si="151"/>
        <v>240.07428279660709</v>
      </c>
      <c r="P478" s="3">
        <f t="shared" si="152"/>
        <v>114.61282051282052</v>
      </c>
      <c r="Q478" s="3">
        <f t="shared" si="153"/>
        <v>5987.9230769230771</v>
      </c>
      <c r="R478" s="3">
        <f t="shared" si="145"/>
        <v>167584.88682259887</v>
      </c>
      <c r="S478" s="3">
        <f t="shared" si="145"/>
        <v>40643.930706871783</v>
      </c>
      <c r="T478" s="3">
        <f t="shared" si="146"/>
        <v>2.0643805392780132</v>
      </c>
      <c r="U478" s="3">
        <f t="shared" si="146"/>
        <v>114.61282051282052</v>
      </c>
      <c r="V478" s="3">
        <f t="shared" si="146"/>
        <v>5936.068376068376</v>
      </c>
      <c r="W478" s="3">
        <f t="shared" si="147"/>
        <v>166003.34179076107</v>
      </c>
      <c r="X478" s="3">
        <f t="shared" si="147"/>
        <v>40643.930706871783</v>
      </c>
      <c r="Y478" s="3">
        <f t="shared" si="148"/>
        <v>2.051916946979548</v>
      </c>
      <c r="Z478" s="3">
        <f t="shared" si="143"/>
        <v>0</v>
      </c>
      <c r="AA478" s="3">
        <f t="shared" si="143"/>
        <v>51.85470085470115</v>
      </c>
      <c r="AB478" s="3">
        <f t="shared" si="154"/>
        <v>1581.5450318378062</v>
      </c>
      <c r="AC478" s="3">
        <f t="shared" si="155"/>
        <v>1.2463592298465276E-2</v>
      </c>
      <c r="AD478" s="3">
        <f t="shared" si="144"/>
        <v>0</v>
      </c>
      <c r="AE478" s="3">
        <f t="shared" si="144"/>
        <v>26177.6116725877</v>
      </c>
      <c r="AF478" s="3">
        <f t="shared" si="144"/>
        <v>798405.37123467016</v>
      </c>
      <c r="AG478" s="3">
        <f t="shared" si="144"/>
        <v>6.2919479595281356</v>
      </c>
      <c r="AH478" s="233">
        <f t="shared" si="156"/>
        <v>57859.554845211358</v>
      </c>
      <c r="AI478" s="233">
        <f t="shared" si="156"/>
        <v>3022860.4629739732</v>
      </c>
      <c r="AJ478" s="233">
        <f t="shared" si="156"/>
        <v>84601241.876392573</v>
      </c>
      <c r="AK478" s="233">
        <f t="shared" si="156"/>
        <v>20518121.160766345</v>
      </c>
      <c r="AL478" s="233">
        <f t="shared" si="156"/>
        <v>1042.1533864999183</v>
      </c>
      <c r="AM478" s="233">
        <f t="shared" si="149"/>
        <v>57859.554845211358</v>
      </c>
      <c r="AN478" s="233">
        <f t="shared" si="149"/>
        <v>2996682.8513013856</v>
      </c>
      <c r="AO478" s="233">
        <f t="shared" si="149"/>
        <v>83802836.505157903</v>
      </c>
      <c r="AP478" s="233">
        <f t="shared" si="149"/>
        <v>20518121.160766345</v>
      </c>
      <c r="AQ478" s="233">
        <f t="shared" si="149"/>
        <v>1035.8614385403901</v>
      </c>
      <c r="AR478">
        <v>46.158121324172065</v>
      </c>
      <c r="AS478" s="231">
        <f t="shared" si="157"/>
        <v>23301.829065528596</v>
      </c>
    </row>
    <row r="479" spans="2:45" ht="87" x14ac:dyDescent="0.35">
      <c r="B479" s="56" t="s">
        <v>94</v>
      </c>
      <c r="C479" s="361" t="s">
        <v>233</v>
      </c>
      <c r="D479" s="56">
        <v>10</v>
      </c>
      <c r="E479" s="387">
        <v>178.35014137606038</v>
      </c>
      <c r="F479" s="3">
        <v>12947.8</v>
      </c>
      <c r="G479" s="3">
        <v>711288</v>
      </c>
      <c r="H479" s="3">
        <v>158.76484222331899</v>
      </c>
      <c r="I479" s="3">
        <v>36.787553381943503</v>
      </c>
      <c r="J479" s="3">
        <f t="shared" si="150"/>
        <v>241.58517523523545</v>
      </c>
      <c r="K479" s="3">
        <v>12947.8</v>
      </c>
      <c r="L479" s="3">
        <v>704918</v>
      </c>
      <c r="M479" s="3">
        <v>157.237484352519</v>
      </c>
      <c r="N479" s="3">
        <v>36.787553381943503</v>
      </c>
      <c r="O479" s="3">
        <f t="shared" si="151"/>
        <v>240.05410704599473</v>
      </c>
      <c r="P479" s="3">
        <f t="shared" si="152"/>
        <v>110.66495726495725</v>
      </c>
      <c r="Q479" s="3">
        <f t="shared" si="153"/>
        <v>6079.3846153846152</v>
      </c>
      <c r="R479" s="3">
        <f t="shared" si="145"/>
        <v>170163.34371627524</v>
      </c>
      <c r="S479" s="3">
        <f t="shared" si="145"/>
        <v>39428.71106064714</v>
      </c>
      <c r="T479" s="3">
        <f t="shared" si="146"/>
        <v>2.0648305575661148</v>
      </c>
      <c r="U479" s="3">
        <f t="shared" si="146"/>
        <v>110.66495726495725</v>
      </c>
      <c r="V479" s="3">
        <f t="shared" si="146"/>
        <v>6024.9401709401709</v>
      </c>
      <c r="W479" s="3">
        <f t="shared" si="147"/>
        <v>168526.32938295626</v>
      </c>
      <c r="X479" s="3">
        <f t="shared" si="147"/>
        <v>39428.71106064714</v>
      </c>
      <c r="Y479" s="3">
        <f t="shared" si="148"/>
        <v>2.0517445046666216</v>
      </c>
      <c r="Z479" s="3">
        <f t="shared" si="143"/>
        <v>0</v>
      </c>
      <c r="AA479" s="3">
        <f t="shared" si="143"/>
        <v>54.444444444444343</v>
      </c>
      <c r="AB479" s="3">
        <f t="shared" si="154"/>
        <v>1637.0143333189917</v>
      </c>
      <c r="AC479" s="3">
        <f t="shared" si="155"/>
        <v>1.3086052899493161E-2</v>
      </c>
      <c r="AD479" s="3">
        <f t="shared" si="144"/>
        <v>0</v>
      </c>
      <c r="AE479" s="3">
        <f t="shared" si="144"/>
        <v>9710.1743638077132</v>
      </c>
      <c r="AF479" s="3">
        <f t="shared" si="144"/>
        <v>291961.73778207938</v>
      </c>
      <c r="AG479" s="3">
        <f t="shared" si="144"/>
        <v>2.33389938467921</v>
      </c>
      <c r="AH479" s="233">
        <f t="shared" si="156"/>
        <v>19737.110773580807</v>
      </c>
      <c r="AI479" s="233">
        <f t="shared" si="156"/>
        <v>1084259.1056332926</v>
      </c>
      <c r="AJ479" s="233">
        <f t="shared" si="156"/>
        <v>30348656.408820845</v>
      </c>
      <c r="AK479" s="233">
        <f t="shared" si="156"/>
        <v>7032116.1919422532</v>
      </c>
      <c r="AL479" s="233">
        <f t="shared" si="156"/>
        <v>368.26282185952613</v>
      </c>
      <c r="AM479" s="233">
        <f t="shared" si="149"/>
        <v>19737.110773580807</v>
      </c>
      <c r="AN479" s="233">
        <f t="shared" si="149"/>
        <v>1074548.9312694848</v>
      </c>
      <c r="AO479" s="233">
        <f t="shared" si="149"/>
        <v>30056694.671038765</v>
      </c>
      <c r="AP479" s="233">
        <f t="shared" si="149"/>
        <v>7032116.1919422532</v>
      </c>
      <c r="AQ479" s="233">
        <f t="shared" si="149"/>
        <v>365.92892247484696</v>
      </c>
      <c r="AR479">
        <v>46.158121324172065</v>
      </c>
      <c r="AS479" s="231">
        <f t="shared" si="157"/>
        <v>8232.3074638194357</v>
      </c>
    </row>
    <row r="480" spans="2:45" ht="87" x14ac:dyDescent="0.35">
      <c r="B480" s="56" t="s">
        <v>94</v>
      </c>
      <c r="C480" s="361" t="s">
        <v>233</v>
      </c>
      <c r="D480" s="56">
        <v>11</v>
      </c>
      <c r="E480" s="387">
        <v>50.918284637134789</v>
      </c>
      <c r="F480" s="3">
        <v>15914.6</v>
      </c>
      <c r="G480" s="3">
        <v>707372</v>
      </c>
      <c r="H480" s="3">
        <v>165.506500258621</v>
      </c>
      <c r="I480" s="3">
        <v>45.583538787655002</v>
      </c>
      <c r="J480" s="3">
        <f t="shared" si="150"/>
        <v>256.82612442583689</v>
      </c>
      <c r="K480" s="3">
        <v>15914.6</v>
      </c>
      <c r="L480" s="3">
        <v>701295</v>
      </c>
      <c r="M480" s="3">
        <v>163.80264374732701</v>
      </c>
      <c r="N480" s="3">
        <v>45.583538787655002</v>
      </c>
      <c r="O480" s="3">
        <f t="shared" si="151"/>
        <v>255.3654805661798</v>
      </c>
      <c r="P480" s="3">
        <f t="shared" si="152"/>
        <v>136.02222222222221</v>
      </c>
      <c r="Q480" s="3">
        <f t="shared" si="153"/>
        <v>6045.9145299145302</v>
      </c>
      <c r="R480" s="3">
        <f t="shared" si="145"/>
        <v>177389.01822590659</v>
      </c>
      <c r="S480" s="3">
        <f t="shared" si="145"/>
        <v>48856.203110871262</v>
      </c>
      <c r="T480" s="3">
        <f t="shared" si="146"/>
        <v>2.1950950805627083</v>
      </c>
      <c r="U480" s="3">
        <f t="shared" si="146"/>
        <v>136.02222222222221</v>
      </c>
      <c r="V480" s="3">
        <f t="shared" si="146"/>
        <v>5993.9743589743593</v>
      </c>
      <c r="W480" s="3">
        <f t="shared" si="147"/>
        <v>175562.8335548274</v>
      </c>
      <c r="X480" s="3">
        <f t="shared" si="147"/>
        <v>48856.203110871262</v>
      </c>
      <c r="Y480" s="3">
        <f t="shared" si="148"/>
        <v>2.1826109450100839</v>
      </c>
      <c r="Z480" s="3">
        <f t="shared" si="143"/>
        <v>0</v>
      </c>
      <c r="AA480" s="3">
        <f t="shared" si="143"/>
        <v>51.940170940170901</v>
      </c>
      <c r="AB480" s="3">
        <f t="shared" si="154"/>
        <v>1826.1846710791797</v>
      </c>
      <c r="AC480" s="3">
        <f t="shared" si="155"/>
        <v>1.2484135552624398E-2</v>
      </c>
      <c r="AD480" s="3">
        <f t="shared" si="144"/>
        <v>0</v>
      </c>
      <c r="AE480" s="3">
        <f t="shared" si="144"/>
        <v>2644.7044080330588</v>
      </c>
      <c r="AF480" s="3">
        <f t="shared" si="144"/>
        <v>92986.190881982038</v>
      </c>
      <c r="AG480" s="3">
        <f t="shared" si="144"/>
        <v>0.63567076751710316</v>
      </c>
      <c r="AH480" s="233">
        <f t="shared" si="156"/>
        <v>6926.0182280867111</v>
      </c>
      <c r="AI480" s="233">
        <f t="shared" si="156"/>
        <v>307847.59692597704</v>
      </c>
      <c r="AJ480" s="233">
        <f t="shared" si="156"/>
        <v>9032344.5215286035</v>
      </c>
      <c r="AK480" s="233">
        <f t="shared" si="156"/>
        <v>2487674.056289013</v>
      </c>
      <c r="AL480" s="233">
        <f t="shared" si="156"/>
        <v>111.77047611766631</v>
      </c>
      <c r="AM480" s="233">
        <f t="shared" si="149"/>
        <v>6926.0182280867111</v>
      </c>
      <c r="AN480" s="233">
        <f t="shared" si="149"/>
        <v>305202.89251794398</v>
      </c>
      <c r="AO480" s="233">
        <f t="shared" si="149"/>
        <v>8939358.3306466211</v>
      </c>
      <c r="AP480" s="233">
        <f t="shared" si="149"/>
        <v>2487674.056289013</v>
      </c>
      <c r="AQ480" s="233">
        <f t="shared" si="149"/>
        <v>111.13480535014919</v>
      </c>
      <c r="AR480">
        <v>46.158121324172065</v>
      </c>
      <c r="AS480" s="231">
        <f t="shared" si="157"/>
        <v>2350.292359899594</v>
      </c>
    </row>
    <row r="481" spans="2:45" ht="87" x14ac:dyDescent="0.35">
      <c r="B481" s="56" t="s">
        <v>94</v>
      </c>
      <c r="C481" s="361" t="s">
        <v>233</v>
      </c>
      <c r="D481" s="56">
        <v>12</v>
      </c>
      <c r="E481" s="387">
        <v>287.49316682375127</v>
      </c>
      <c r="F481" s="3">
        <v>15641.7</v>
      </c>
      <c r="G481" s="3">
        <v>672664</v>
      </c>
      <c r="H481" s="3">
        <v>157.34500213760001</v>
      </c>
      <c r="I481" s="3">
        <v>44.645524123734901</v>
      </c>
      <c r="J481" s="3">
        <f t="shared" si="150"/>
        <v>246.99533365390548</v>
      </c>
      <c r="K481" s="3">
        <v>15641.7</v>
      </c>
      <c r="L481" s="3">
        <v>667789</v>
      </c>
      <c r="M481" s="3">
        <v>155.969263854601</v>
      </c>
      <c r="N481" s="3">
        <v>44.645524123734901</v>
      </c>
      <c r="O481" s="3">
        <f t="shared" si="151"/>
        <v>245.8235977947927</v>
      </c>
      <c r="P481" s="3">
        <f t="shared" si="152"/>
        <v>133.68974358974359</v>
      </c>
      <c r="Q481" s="3">
        <f t="shared" si="153"/>
        <v>5749.264957264957</v>
      </c>
      <c r="R481" s="3">
        <f t="shared" si="145"/>
        <v>168641.56639363285</v>
      </c>
      <c r="S481" s="3">
        <f t="shared" si="145"/>
        <v>47850.8438044133</v>
      </c>
      <c r="T481" s="3">
        <f t="shared" si="146"/>
        <v>2.1110712278111579</v>
      </c>
      <c r="U481" s="3">
        <f t="shared" si="146"/>
        <v>133.68974358974359</v>
      </c>
      <c r="V481" s="3">
        <f t="shared" si="146"/>
        <v>5707.598290598291</v>
      </c>
      <c r="W481" s="3">
        <f t="shared" si="147"/>
        <v>167167.0571569826</v>
      </c>
      <c r="X481" s="3">
        <f t="shared" si="147"/>
        <v>47850.8438044133</v>
      </c>
      <c r="Y481" s="3">
        <f t="shared" si="148"/>
        <v>2.1010563914084845</v>
      </c>
      <c r="Z481" s="3">
        <f t="shared" si="143"/>
        <v>0</v>
      </c>
      <c r="AA481" s="3">
        <f t="shared" si="143"/>
        <v>41.66666666666606</v>
      </c>
      <c r="AB481" s="3">
        <f t="shared" si="154"/>
        <v>1474.5092366502577</v>
      </c>
      <c r="AC481" s="3">
        <f t="shared" si="155"/>
        <v>1.0014836402673311E-2</v>
      </c>
      <c r="AD481" s="3">
        <f t="shared" si="144"/>
        <v>0</v>
      </c>
      <c r="AE481" s="3">
        <f t="shared" si="144"/>
        <v>11978.881950989462</v>
      </c>
      <c r="AF481" s="3">
        <f t="shared" si="144"/>
        <v>423911.32995545468</v>
      </c>
      <c r="AG481" s="3">
        <f t="shared" si="144"/>
        <v>2.879197032626335</v>
      </c>
      <c r="AH481" s="233">
        <f t="shared" si="156"/>
        <v>38434.887756470685</v>
      </c>
      <c r="AI481" s="233">
        <f t="shared" si="156"/>
        <v>1652874.3894729214</v>
      </c>
      <c r="AJ481" s="233">
        <f t="shared" si="156"/>
        <v>48483297.980623417</v>
      </c>
      <c r="AK481" s="233">
        <f t="shared" si="156"/>
        <v>13756790.620519457</v>
      </c>
      <c r="AL481" s="233">
        <f t="shared" si="156"/>
        <v>606.91855267393464</v>
      </c>
      <c r="AM481" s="233">
        <f t="shared" si="149"/>
        <v>38434.887756470685</v>
      </c>
      <c r="AN481" s="233">
        <f t="shared" si="149"/>
        <v>1640895.507521932</v>
      </c>
      <c r="AO481" s="233">
        <f t="shared" si="149"/>
        <v>48059386.650667958</v>
      </c>
      <c r="AP481" s="233">
        <f t="shared" si="149"/>
        <v>13756790.620519457</v>
      </c>
      <c r="AQ481" s="233">
        <f t="shared" si="149"/>
        <v>604.03935564130825</v>
      </c>
      <c r="AR481">
        <v>46.158121324172065</v>
      </c>
      <c r="AS481" s="231">
        <f t="shared" si="157"/>
        <v>13270.144474121151</v>
      </c>
    </row>
    <row r="482" spans="2:45" ht="87" x14ac:dyDescent="0.35">
      <c r="B482" s="56" t="s">
        <v>94</v>
      </c>
      <c r="C482" s="361" t="s">
        <v>233</v>
      </c>
      <c r="D482" s="56">
        <v>13</v>
      </c>
      <c r="E482" s="387">
        <v>83.910791705937811</v>
      </c>
      <c r="F482" s="3">
        <v>14500.4</v>
      </c>
      <c r="G482" s="3">
        <v>730320</v>
      </c>
      <c r="H482" s="3">
        <v>169.999082569249</v>
      </c>
      <c r="I482" s="3">
        <v>41.424164492181198</v>
      </c>
      <c r="J482" s="3">
        <f t="shared" si="150"/>
        <v>254.62816992143701</v>
      </c>
      <c r="K482" s="3">
        <v>14500.4</v>
      </c>
      <c r="L482" s="3">
        <v>723469</v>
      </c>
      <c r="M482" s="3">
        <v>168.15110985579801</v>
      </c>
      <c r="N482" s="3">
        <v>41.424164492181198</v>
      </c>
      <c r="O482" s="3">
        <f t="shared" si="151"/>
        <v>252.98149046076389</v>
      </c>
      <c r="P482" s="3">
        <f t="shared" si="152"/>
        <v>123.93504273504273</v>
      </c>
      <c r="Q482" s="3">
        <f t="shared" si="153"/>
        <v>6242.0512820512822</v>
      </c>
      <c r="R482" s="3">
        <f t="shared" si="145"/>
        <v>182204.14490755406</v>
      </c>
      <c r="S482" s="3">
        <f t="shared" si="145"/>
        <v>44398.207071107026</v>
      </c>
      <c r="T482" s="3">
        <f t="shared" si="146"/>
        <v>2.1763091446276666</v>
      </c>
      <c r="U482" s="3">
        <f t="shared" si="146"/>
        <v>123.93504273504273</v>
      </c>
      <c r="V482" s="3">
        <f t="shared" si="146"/>
        <v>6183.4957264957266</v>
      </c>
      <c r="W482" s="3">
        <f t="shared" si="147"/>
        <v>180223.49723006043</v>
      </c>
      <c r="X482" s="3">
        <f t="shared" si="147"/>
        <v>44398.207071107026</v>
      </c>
      <c r="Y482" s="3">
        <f t="shared" si="148"/>
        <v>2.1622349612031102</v>
      </c>
      <c r="Z482" s="3">
        <f t="shared" si="143"/>
        <v>0</v>
      </c>
      <c r="AA482" s="3">
        <f t="shared" si="143"/>
        <v>58.555555555555657</v>
      </c>
      <c r="AB482" s="3">
        <f t="shared" si="154"/>
        <v>1980.6476774936309</v>
      </c>
      <c r="AC482" s="3">
        <f t="shared" si="155"/>
        <v>1.4074183424556352E-2</v>
      </c>
      <c r="AD482" s="3">
        <f t="shared" si="144"/>
        <v>0</v>
      </c>
      <c r="AE482" s="3">
        <f t="shared" si="144"/>
        <v>4913.4430254477002</v>
      </c>
      <c r="AF482" s="3">
        <f t="shared" si="144"/>
        <v>166197.71470901754</v>
      </c>
      <c r="AG482" s="3">
        <f t="shared" si="144"/>
        <v>1.1809758737691105</v>
      </c>
      <c r="AH482" s="233">
        <f t="shared" si="156"/>
        <v>10399.487556006672</v>
      </c>
      <c r="AI482" s="233">
        <f t="shared" si="156"/>
        <v>523775.46494598722</v>
      </c>
      <c r="AJ482" s="233">
        <f t="shared" si="156"/>
        <v>15288894.051296279</v>
      </c>
      <c r="AK482" s="233">
        <f t="shared" si="156"/>
        <v>3725488.7056607571</v>
      </c>
      <c r="AL482" s="233">
        <f t="shared" si="156"/>
        <v>182.61582332257981</v>
      </c>
      <c r="AM482" s="233">
        <f t="shared" si="149"/>
        <v>10399.487556006672</v>
      </c>
      <c r="AN482" s="233">
        <f t="shared" si="149"/>
        <v>518862.0219205395</v>
      </c>
      <c r="AO482" s="233">
        <f t="shared" si="149"/>
        <v>15122696.336587261</v>
      </c>
      <c r="AP482" s="233">
        <f t="shared" si="149"/>
        <v>3725488.7056607571</v>
      </c>
      <c r="AQ482" s="233">
        <f t="shared" si="149"/>
        <v>181.4348474488107</v>
      </c>
      <c r="AR482">
        <v>46.158121324172065</v>
      </c>
      <c r="AS482" s="231">
        <f t="shared" si="157"/>
        <v>3873.1645039700084</v>
      </c>
    </row>
    <row r="483" spans="2:45" ht="87" x14ac:dyDescent="0.35">
      <c r="B483" s="56" t="s">
        <v>94</v>
      </c>
      <c r="C483" s="361" t="s">
        <v>233</v>
      </c>
      <c r="D483" s="56">
        <v>14</v>
      </c>
      <c r="E483" s="387">
        <v>38.120640904806798</v>
      </c>
      <c r="F483" s="3">
        <v>15635.9</v>
      </c>
      <c r="G483" s="3">
        <v>713792</v>
      </c>
      <c r="H483" s="3">
        <v>160.52981274772401</v>
      </c>
      <c r="I483" s="3">
        <v>44.812229401573902</v>
      </c>
      <c r="J483" s="3">
        <f t="shared" si="150"/>
        <v>256.84906259539144</v>
      </c>
      <c r="K483" s="3">
        <v>15635.9</v>
      </c>
      <c r="L483" s="3">
        <v>707430</v>
      </c>
      <c r="M483" s="3">
        <v>158.89486790024401</v>
      </c>
      <c r="N483" s="3">
        <v>44.812229401573902</v>
      </c>
      <c r="O483" s="3">
        <f t="shared" si="151"/>
        <v>255.31991725474006</v>
      </c>
      <c r="P483" s="3">
        <f t="shared" si="152"/>
        <v>133.64017094017095</v>
      </c>
      <c r="Q483" s="3">
        <f t="shared" si="153"/>
        <v>6100.7863247863252</v>
      </c>
      <c r="R483" s="3">
        <f t="shared" si="145"/>
        <v>172055.03007320163</v>
      </c>
      <c r="S483" s="3">
        <f t="shared" si="145"/>
        <v>48029.517666302287</v>
      </c>
      <c r="T483" s="3">
        <f t="shared" si="146"/>
        <v>2.195291133293944</v>
      </c>
      <c r="U483" s="3">
        <f t="shared" si="146"/>
        <v>133.64017094017095</v>
      </c>
      <c r="V483" s="3">
        <f t="shared" si="146"/>
        <v>6046.4102564102568</v>
      </c>
      <c r="W483" s="3">
        <f t="shared" si="147"/>
        <v>170302.70457000512</v>
      </c>
      <c r="X483" s="3">
        <f t="shared" si="147"/>
        <v>48029.517666302287</v>
      </c>
      <c r="Y483" s="3">
        <f t="shared" si="148"/>
        <v>2.1822215149977784</v>
      </c>
      <c r="Z483" s="3">
        <f t="shared" si="143"/>
        <v>0</v>
      </c>
      <c r="AA483" s="3">
        <f t="shared" si="143"/>
        <v>54.376068376068361</v>
      </c>
      <c r="AB483" s="3">
        <f t="shared" si="154"/>
        <v>1752.3255031964945</v>
      </c>
      <c r="AC483" s="3">
        <f t="shared" si="155"/>
        <v>1.3069618296165597E-2</v>
      </c>
      <c r="AD483" s="3">
        <f t="shared" si="144"/>
        <v>0</v>
      </c>
      <c r="AE483" s="3">
        <f t="shared" si="144"/>
        <v>2072.8505763793228</v>
      </c>
      <c r="AF483" s="3">
        <f t="shared" si="144"/>
        <v>66799.771255688451</v>
      </c>
      <c r="AG483" s="3">
        <f t="shared" si="144"/>
        <v>0.4982222258310216</v>
      </c>
      <c r="AH483" s="233">
        <f t="shared" si="156"/>
        <v>5094.4489668672531</v>
      </c>
      <c r="AI483" s="233">
        <f t="shared" si="156"/>
        <v>232565.88472413551</v>
      </c>
      <c r="AJ483" s="233">
        <f t="shared" si="156"/>
        <v>6558848.0172862541</v>
      </c>
      <c r="AK483" s="233">
        <f t="shared" si="156"/>
        <v>1830915.9957881838</v>
      </c>
      <c r="AL483" s="233">
        <f t="shared" si="156"/>
        <v>83.685904973804796</v>
      </c>
      <c r="AM483" s="233">
        <f t="shared" si="149"/>
        <v>5094.4489668672531</v>
      </c>
      <c r="AN483" s="233">
        <f t="shared" si="149"/>
        <v>230493.0341477562</v>
      </c>
      <c r="AO483" s="233">
        <f t="shared" si="149"/>
        <v>6492048.2460305654</v>
      </c>
      <c r="AP483" s="233">
        <f t="shared" si="149"/>
        <v>1830915.9957881838</v>
      </c>
      <c r="AQ483" s="233">
        <f t="shared" si="149"/>
        <v>83.187682747973767</v>
      </c>
      <c r="AR483">
        <v>46.158121324172065</v>
      </c>
      <c r="AS483" s="231">
        <f t="shared" si="157"/>
        <v>1759.5771678392684</v>
      </c>
    </row>
    <row r="484" spans="2:45" ht="87" x14ac:dyDescent="0.35">
      <c r="B484" s="56" t="s">
        <v>94</v>
      </c>
      <c r="C484" s="361" t="s">
        <v>233</v>
      </c>
      <c r="D484" s="56">
        <v>15</v>
      </c>
      <c r="E484" s="387">
        <v>24.82379830348728</v>
      </c>
      <c r="F484" s="3">
        <v>10169.9</v>
      </c>
      <c r="G484" s="3">
        <v>851927</v>
      </c>
      <c r="H484" s="3">
        <v>190.07659105657299</v>
      </c>
      <c r="I484" s="3">
        <v>28.803117311594999</v>
      </c>
      <c r="J484" s="3">
        <f t="shared" si="150"/>
        <v>260.23677009924705</v>
      </c>
      <c r="K484" s="3">
        <v>10169.9</v>
      </c>
      <c r="L484" s="3">
        <v>841338</v>
      </c>
      <c r="M484" s="3">
        <v>187.548578476724</v>
      </c>
      <c r="N484" s="3">
        <v>28.803117311594999</v>
      </c>
      <c r="O484" s="3">
        <f t="shared" si="151"/>
        <v>257.69163963521726</v>
      </c>
      <c r="P484" s="3">
        <f t="shared" si="152"/>
        <v>86.922222222222217</v>
      </c>
      <c r="Q484" s="3">
        <f t="shared" si="153"/>
        <v>7281.4273504273506</v>
      </c>
      <c r="R484" s="3">
        <f t="shared" si="145"/>
        <v>203723.11554268593</v>
      </c>
      <c r="S484" s="3">
        <f t="shared" si="145"/>
        <v>30871.033426273614</v>
      </c>
      <c r="T484" s="3">
        <f t="shared" si="146"/>
        <v>2.2242458982841629</v>
      </c>
      <c r="U484" s="3">
        <f t="shared" si="146"/>
        <v>86.922222222222217</v>
      </c>
      <c r="V484" s="3">
        <f t="shared" si="146"/>
        <v>7190.9230769230771</v>
      </c>
      <c r="W484" s="3">
        <f t="shared" si="147"/>
        <v>201013.60462377087</v>
      </c>
      <c r="X484" s="3">
        <f t="shared" si="147"/>
        <v>30871.033426273614</v>
      </c>
      <c r="Y484" s="3">
        <f t="shared" si="148"/>
        <v>2.2024926464548482</v>
      </c>
      <c r="Z484" s="3">
        <f t="shared" si="143"/>
        <v>0</v>
      </c>
      <c r="AA484" s="3">
        <f t="shared" si="143"/>
        <v>90.504273504273442</v>
      </c>
      <c r="AB484" s="3">
        <f t="shared" si="154"/>
        <v>2709.510918915068</v>
      </c>
      <c r="AC484" s="3">
        <f t="shared" si="155"/>
        <v>2.1753251829314646E-2</v>
      </c>
      <c r="AD484" s="3">
        <f t="shared" si="144"/>
        <v>0</v>
      </c>
      <c r="AE484" s="3">
        <f t="shared" si="144"/>
        <v>2246.6598310737318</v>
      </c>
      <c r="AF484" s="3">
        <f t="shared" si="144"/>
        <v>67260.35255224412</v>
      </c>
      <c r="AG484" s="3">
        <f t="shared" si="144"/>
        <v>0.53999833585587242</v>
      </c>
      <c r="AH484" s="233">
        <f t="shared" si="156"/>
        <v>2157.7397125353441</v>
      </c>
      <c r="AI484" s="233">
        <f t="shared" si="156"/>
        <v>180752.68390850435</v>
      </c>
      <c r="AJ484" s="233">
        <f t="shared" si="156"/>
        <v>5057181.52998967</v>
      </c>
      <c r="AK484" s="233">
        <f t="shared" si="156"/>
        <v>766336.30719403003</v>
      </c>
      <c r="AL484" s="233">
        <f t="shared" si="156"/>
        <v>55.214231556364943</v>
      </c>
      <c r="AM484" s="233">
        <f t="shared" si="149"/>
        <v>2157.7397125353441</v>
      </c>
      <c r="AN484" s="233">
        <f t="shared" si="149"/>
        <v>178506.0240774306</v>
      </c>
      <c r="AO484" s="233">
        <f t="shared" si="149"/>
        <v>4989921.1774374256</v>
      </c>
      <c r="AP484" s="233">
        <f t="shared" si="149"/>
        <v>766336.30719403003</v>
      </c>
      <c r="AQ484" s="233">
        <f t="shared" si="149"/>
        <v>54.674233220509073</v>
      </c>
      <c r="AR484">
        <v>46.158121324172065</v>
      </c>
      <c r="AS484" s="231">
        <f t="shared" si="157"/>
        <v>1145.8198938191426</v>
      </c>
    </row>
  </sheetData>
  <mergeCells count="39">
    <mergeCell ref="C27:F27"/>
    <mergeCell ref="G27:J27"/>
    <mergeCell ref="K27:N27"/>
    <mergeCell ref="O27:P27"/>
    <mergeCell ref="Q27:T27"/>
    <mergeCell ref="C4:F4"/>
    <mergeCell ref="G4:J4"/>
    <mergeCell ref="K4:N4"/>
    <mergeCell ref="O4:P4"/>
    <mergeCell ref="Q4:T4"/>
    <mergeCell ref="C73:F73"/>
    <mergeCell ref="G73:J73"/>
    <mergeCell ref="K73:N73"/>
    <mergeCell ref="O73:P73"/>
    <mergeCell ref="Q73:T73"/>
    <mergeCell ref="C50:F50"/>
    <mergeCell ref="G50:J50"/>
    <mergeCell ref="K50:N50"/>
    <mergeCell ref="O50:P50"/>
    <mergeCell ref="Q50:T50"/>
    <mergeCell ref="B99:B100"/>
    <mergeCell ref="C99:N99"/>
    <mergeCell ref="O99:AC99"/>
    <mergeCell ref="C100:F100"/>
    <mergeCell ref="G100:J100"/>
    <mergeCell ref="K100:N100"/>
    <mergeCell ref="O100:P100"/>
    <mergeCell ref="Q100:T100"/>
    <mergeCell ref="U100:AC100"/>
    <mergeCell ref="B118:N118"/>
    <mergeCell ref="AH144:AQ144"/>
    <mergeCell ref="F145:J145"/>
    <mergeCell ref="K145:O145"/>
    <mergeCell ref="P145:T145"/>
    <mergeCell ref="U145:Y145"/>
    <mergeCell ref="Z145:AC145"/>
    <mergeCell ref="AD145:AG145"/>
    <mergeCell ref="AH145:AL145"/>
    <mergeCell ref="AM145:AQ145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39FD-2F86-4D8B-843D-742FBBEAECA3}">
  <dimension ref="B1:Z40"/>
  <sheetViews>
    <sheetView zoomScaleNormal="100" workbookViewId="0"/>
  </sheetViews>
  <sheetFormatPr defaultRowHeight="14.5" x14ac:dyDescent="0.35"/>
  <cols>
    <col min="2" max="2" width="42.453125" customWidth="1"/>
    <col min="3" max="3" width="21.7265625" customWidth="1"/>
    <col min="4" max="4" width="18.54296875" customWidth="1"/>
    <col min="5" max="5" width="19" customWidth="1"/>
    <col min="6" max="6" width="19.54296875" customWidth="1"/>
    <col min="7" max="7" width="15.81640625" customWidth="1"/>
    <col min="8" max="8" width="19.81640625" customWidth="1"/>
    <col min="9" max="9" width="18.453125" bestFit="1" customWidth="1"/>
    <col min="10" max="10" width="14" customWidth="1"/>
    <col min="11" max="11" width="14.1796875" customWidth="1"/>
    <col min="12" max="12" width="16.7265625" customWidth="1"/>
    <col min="13" max="13" width="18.453125" customWidth="1"/>
    <col min="14" max="14" width="10.7265625" customWidth="1"/>
    <col min="15" max="15" width="10.453125" customWidth="1"/>
    <col min="16" max="16" width="12" customWidth="1"/>
    <col min="17" max="17" width="11.26953125" customWidth="1"/>
    <col min="18" max="18" width="11.7265625" customWidth="1"/>
    <col min="19" max="19" width="6.54296875" customWidth="1"/>
    <col min="20" max="20" width="41.7265625" bestFit="1" customWidth="1"/>
    <col min="21" max="21" width="89.453125" customWidth="1"/>
    <col min="22" max="22" width="16.81640625" customWidth="1"/>
    <col min="23" max="23" width="16.453125" customWidth="1"/>
    <col min="25" max="25" width="12.453125" customWidth="1"/>
    <col min="26" max="26" width="12.1796875" customWidth="1"/>
  </cols>
  <sheetData>
    <row r="1" spans="2:18" x14ac:dyDescent="0.35">
      <c r="B1" t="s">
        <v>607</v>
      </c>
    </row>
    <row r="3" spans="2:18" ht="15" thickBot="1" x14ac:dyDescent="0.4">
      <c r="B3" t="s">
        <v>251</v>
      </c>
    </row>
    <row r="4" spans="2:18" ht="15" thickBot="1" x14ac:dyDescent="0.4">
      <c r="B4" s="471"/>
      <c r="C4" s="1228" t="s">
        <v>252</v>
      </c>
      <c r="D4" s="1229"/>
      <c r="E4" s="1229"/>
      <c r="F4" s="1229"/>
      <c r="G4" s="1230" t="s">
        <v>253</v>
      </c>
      <c r="H4" s="1230"/>
      <c r="I4" s="1230"/>
      <c r="J4" s="1231"/>
      <c r="K4" s="1232" t="s">
        <v>254</v>
      </c>
      <c r="L4" s="1233"/>
      <c r="M4" s="1233"/>
      <c r="N4" s="1234"/>
      <c r="O4" s="1235" t="s">
        <v>255</v>
      </c>
      <c r="P4" s="1236"/>
      <c r="Q4" s="1236"/>
      <c r="R4" s="1237"/>
    </row>
    <row r="5" spans="2:18" ht="43.5" x14ac:dyDescent="0.35">
      <c r="B5" s="635" t="s">
        <v>256</v>
      </c>
      <c r="C5" s="638" t="s">
        <v>590</v>
      </c>
      <c r="D5" s="639" t="s">
        <v>591</v>
      </c>
      <c r="E5" s="639" t="s">
        <v>592</v>
      </c>
      <c r="F5" s="640" t="s">
        <v>20</v>
      </c>
      <c r="G5" s="803" t="s">
        <v>595</v>
      </c>
      <c r="H5" s="626" t="s">
        <v>594</v>
      </c>
      <c r="I5" s="626" t="s">
        <v>593</v>
      </c>
      <c r="J5" s="810" t="s">
        <v>257</v>
      </c>
      <c r="K5" s="638" t="s">
        <v>6</v>
      </c>
      <c r="L5" s="639" t="s">
        <v>7</v>
      </c>
      <c r="M5" s="639" t="s">
        <v>258</v>
      </c>
      <c r="N5" s="640" t="s">
        <v>9</v>
      </c>
      <c r="O5" s="804" t="s">
        <v>17</v>
      </c>
      <c r="P5" s="472" t="s">
        <v>259</v>
      </c>
      <c r="Q5" s="472" t="s">
        <v>19</v>
      </c>
      <c r="R5" s="473" t="s">
        <v>21</v>
      </c>
    </row>
    <row r="6" spans="2:18" x14ac:dyDescent="0.35">
      <c r="B6" s="35" t="s">
        <v>260</v>
      </c>
      <c r="C6" s="12">
        <v>14761982.352332501</v>
      </c>
      <c r="D6" s="3">
        <v>1125623493.405179</v>
      </c>
      <c r="E6" s="3">
        <v>32808758312.114964</v>
      </c>
      <c r="F6" s="474">
        <v>350667.39495980536</v>
      </c>
      <c r="G6" s="770">
        <v>13140192.497451859</v>
      </c>
      <c r="H6" s="51">
        <v>1018241991.0776309</v>
      </c>
      <c r="I6" s="51">
        <v>30704146865.511772</v>
      </c>
      <c r="J6" s="476">
        <v>316049.94381673285</v>
      </c>
      <c r="K6" s="12">
        <f>C6-G6</f>
        <v>1621789.8548806421</v>
      </c>
      <c r="L6" s="3">
        <f>D6-H6</f>
        <v>107381502.32754815</v>
      </c>
      <c r="M6" s="3">
        <v>3549030324.7591429</v>
      </c>
      <c r="N6" s="817">
        <f t="shared" ref="N6:N10" si="0">F6-J6</f>
        <v>34617.451143072511</v>
      </c>
      <c r="O6" s="480">
        <f>K6/C6</f>
        <v>0.10986260626604716</v>
      </c>
      <c r="P6" s="480">
        <f>L6/D6</f>
        <v>9.5397353517118838E-2</v>
      </c>
      <c r="Q6" s="480">
        <f t="shared" ref="Q6:R6" si="1">M6/E6</f>
        <v>0.10817325943873432</v>
      </c>
      <c r="R6" s="481">
        <f t="shared" si="1"/>
        <v>9.8718762110861419E-2</v>
      </c>
    </row>
    <row r="7" spans="2:18" x14ac:dyDescent="0.35">
      <c r="B7" s="610" t="s">
        <v>261</v>
      </c>
      <c r="C7" s="627">
        <v>1959768060.6645002</v>
      </c>
      <c r="D7" s="622">
        <v>124965440732.01454</v>
      </c>
      <c r="E7" s="622">
        <v>4453476550688.6338</v>
      </c>
      <c r="F7" s="628">
        <v>40681064.685771935</v>
      </c>
      <c r="G7" s="627">
        <v>1949998765.9157081</v>
      </c>
      <c r="H7" s="622">
        <v>124584044522.29637</v>
      </c>
      <c r="I7" s="622">
        <v>4439524155332.8809</v>
      </c>
      <c r="J7" s="811">
        <v>40536243.954161763</v>
      </c>
      <c r="K7" s="609">
        <f>C7-G7</f>
        <v>9769294.7487921715</v>
      </c>
      <c r="L7" s="651">
        <f t="shared" ref="L7:L10" si="2">D7-H7</f>
        <v>381396209.71817017</v>
      </c>
      <c r="M7" s="651">
        <v>13952395355.752562</v>
      </c>
      <c r="N7" s="653">
        <v>144826</v>
      </c>
      <c r="O7" s="805"/>
      <c r="P7" s="613"/>
      <c r="Q7" s="614"/>
      <c r="R7" s="615"/>
    </row>
    <row r="8" spans="2:18" x14ac:dyDescent="0.35">
      <c r="B8" s="610" t="s">
        <v>262</v>
      </c>
      <c r="C8" s="627">
        <v>130651204.04429999</v>
      </c>
      <c r="D8" s="622">
        <v>8331029382.1343002</v>
      </c>
      <c r="E8" s="622">
        <v>296898436712.5755</v>
      </c>
      <c r="F8" s="628">
        <v>2712070.9790514619</v>
      </c>
      <c r="G8" s="627">
        <v>120881909.29550774</v>
      </c>
      <c r="H8" s="622">
        <v>7949633172.4161367</v>
      </c>
      <c r="I8" s="622">
        <v>282946041356.82294</v>
      </c>
      <c r="J8" s="811">
        <v>2567250.2474412899</v>
      </c>
      <c r="K8" s="609">
        <f>C8-G8</f>
        <v>9769294.748792246</v>
      </c>
      <c r="L8" s="651">
        <f t="shared" si="2"/>
        <v>381396209.71816349</v>
      </c>
      <c r="M8" s="651">
        <f t="shared" ref="M8:N8" si="3">E8-I8</f>
        <v>13952395355.752563</v>
      </c>
      <c r="N8" s="653">
        <f t="shared" si="3"/>
        <v>144820.73161017196</v>
      </c>
      <c r="O8" s="805"/>
      <c r="P8" s="613"/>
      <c r="Q8" s="614"/>
      <c r="R8" s="615"/>
    </row>
    <row r="9" spans="2:18" x14ac:dyDescent="0.35">
      <c r="B9" s="636" t="s">
        <v>263</v>
      </c>
      <c r="C9" s="629">
        <v>148893313.6655921</v>
      </c>
      <c r="D9" s="255">
        <v>4389205644.4536362</v>
      </c>
      <c r="E9" s="255">
        <v>168525641326.08981</v>
      </c>
      <c r="F9" s="630">
        <v>1865533.0447264782</v>
      </c>
      <c r="G9" s="629">
        <v>143707313.6655921</v>
      </c>
      <c r="H9" s="255">
        <v>4040867644.4536362</v>
      </c>
      <c r="I9" s="255">
        <v>158256886480.08981</v>
      </c>
      <c r="J9" s="812">
        <v>1753645.4063264781</v>
      </c>
      <c r="K9" s="607">
        <f t="shared" ref="K9:K10" si="4">C9-G9</f>
        <v>5186000</v>
      </c>
      <c r="L9" s="249">
        <f t="shared" si="2"/>
        <v>348338000</v>
      </c>
      <c r="M9" s="249">
        <v>10268754846</v>
      </c>
      <c r="N9" s="818">
        <f t="shared" si="0"/>
        <v>111887.63840000005</v>
      </c>
      <c r="O9" s="806"/>
      <c r="P9" s="619"/>
      <c r="Q9" s="620"/>
      <c r="R9" s="621"/>
    </row>
    <row r="10" spans="2:18" x14ac:dyDescent="0.35">
      <c r="B10" s="612" t="s">
        <v>264</v>
      </c>
      <c r="C10" s="631">
        <v>3212289102</v>
      </c>
      <c r="D10" s="625">
        <v>57131559848</v>
      </c>
      <c r="E10" s="625">
        <v>2806194078687.7529</v>
      </c>
      <c r="F10" s="632">
        <v>31232684.041468799</v>
      </c>
      <c r="G10" s="631">
        <v>3211588102</v>
      </c>
      <c r="H10" s="625">
        <v>56941839848</v>
      </c>
      <c r="I10" s="625">
        <v>2798825178687.7529</v>
      </c>
      <c r="J10" s="813">
        <v>31183327.707068801</v>
      </c>
      <c r="K10" s="611">
        <f t="shared" si="4"/>
        <v>701000</v>
      </c>
      <c r="L10" s="652">
        <f t="shared" si="2"/>
        <v>189720000</v>
      </c>
      <c r="M10" s="652">
        <v>7368900000</v>
      </c>
      <c r="N10" s="654">
        <f t="shared" si="0"/>
        <v>49356.334399998188</v>
      </c>
      <c r="O10" s="807"/>
      <c r="P10" s="616"/>
      <c r="Q10" s="617"/>
      <c r="R10" s="618"/>
    </row>
    <row r="11" spans="2:18" x14ac:dyDescent="0.35">
      <c r="B11" s="612" t="s">
        <v>265</v>
      </c>
      <c r="C11" s="631">
        <v>214152606.80000001</v>
      </c>
      <c r="D11" s="625">
        <v>3808770656.5333333</v>
      </c>
      <c r="E11" s="625">
        <v>187079605245.85016</v>
      </c>
      <c r="F11" s="632">
        <v>2082178.9360979199</v>
      </c>
      <c r="G11" s="631">
        <v>213451606.80000001</v>
      </c>
      <c r="H11" s="625">
        <v>3619050656.5333333</v>
      </c>
      <c r="I11" s="625">
        <v>179710705245.85016</v>
      </c>
      <c r="J11" s="813">
        <v>2032822.6016979199</v>
      </c>
      <c r="K11" s="611">
        <f t="shared" ref="K11:K13" si="5">C11-G11</f>
        <v>701000</v>
      </c>
      <c r="L11" s="652">
        <f t="shared" ref="L11:L13" si="6">D11-H11</f>
        <v>189720000</v>
      </c>
      <c r="M11" s="652">
        <v>7368900000</v>
      </c>
      <c r="N11" s="654">
        <f t="shared" ref="N11:N13" si="7">F11-J11</f>
        <v>49356.334400000051</v>
      </c>
      <c r="O11" s="807"/>
      <c r="P11" s="616"/>
      <c r="Q11" s="617"/>
      <c r="R11" s="618"/>
    </row>
    <row r="12" spans="2:18" x14ac:dyDescent="0.35">
      <c r="B12" s="795" t="s">
        <v>266</v>
      </c>
      <c r="C12" s="796">
        <v>791660157.40378785</v>
      </c>
      <c r="D12" s="797">
        <v>11009512493.016138</v>
      </c>
      <c r="E12" s="797">
        <v>612416720172.89966</v>
      </c>
      <c r="F12" s="798">
        <v>6964252.9450623048</v>
      </c>
      <c r="G12" s="796">
        <v>791441045.32692194</v>
      </c>
      <c r="H12" s="797">
        <v>10996464965.374292</v>
      </c>
      <c r="I12" s="797">
        <v>611905741257.50073</v>
      </c>
      <c r="J12" s="814">
        <v>6959921.7624908751</v>
      </c>
      <c r="K12" s="809">
        <f t="shared" si="5"/>
        <v>219112.07686591148</v>
      </c>
      <c r="L12" s="815">
        <f t="shared" si="6"/>
        <v>13047527.641845703</v>
      </c>
      <c r="M12" s="815">
        <f t="shared" ref="M12:M13" si="8">E12-I12</f>
        <v>510978915.39892578</v>
      </c>
      <c r="N12" s="819">
        <f t="shared" si="7"/>
        <v>4331.1825714297593</v>
      </c>
      <c r="O12" s="808"/>
      <c r="P12" s="799"/>
      <c r="Q12" s="800"/>
      <c r="R12" s="801"/>
    </row>
    <row r="13" spans="2:18" x14ac:dyDescent="0.35">
      <c r="B13" s="795" t="s">
        <v>267</v>
      </c>
      <c r="C13" s="796">
        <v>28273577.050135277</v>
      </c>
      <c r="D13" s="797">
        <v>393196874.75057638</v>
      </c>
      <c r="E13" s="797">
        <v>21872025720.460701</v>
      </c>
      <c r="F13" s="798">
        <v>248723.31946651099</v>
      </c>
      <c r="G13" s="796">
        <v>28054464.973269317</v>
      </c>
      <c r="H13" s="797">
        <v>380149347.10873139</v>
      </c>
      <c r="I13" s="797">
        <v>21361046805.061752</v>
      </c>
      <c r="J13" s="814">
        <v>244392.13689508167</v>
      </c>
      <c r="K13" s="809">
        <f t="shared" si="5"/>
        <v>219112.07686595991</v>
      </c>
      <c r="L13" s="815">
        <f t="shared" si="6"/>
        <v>13047527.641844988</v>
      </c>
      <c r="M13" s="815">
        <f t="shared" si="8"/>
        <v>510978915.39894867</v>
      </c>
      <c r="N13" s="819">
        <f t="shared" si="7"/>
        <v>4331.1825714293227</v>
      </c>
      <c r="O13" s="808"/>
      <c r="P13" s="799"/>
      <c r="Q13" s="800"/>
      <c r="R13" s="801"/>
    </row>
    <row r="14" spans="2:18" ht="15" thickBot="1" x14ac:dyDescent="0.4">
      <c r="B14" s="637" t="s">
        <v>268</v>
      </c>
      <c r="C14" s="477">
        <f>C6+C8+C9+C11+C13</f>
        <v>536732683.91235989</v>
      </c>
      <c r="D14" s="633">
        <f t="shared" ref="D14:N14" si="9">D6+D8+D9+D11+D13</f>
        <v>18047826051.277023</v>
      </c>
      <c r="E14" s="633">
        <f t="shared" si="9"/>
        <v>707184467317.09106</v>
      </c>
      <c r="F14" s="634">
        <f t="shared" si="9"/>
        <v>7259173.6743021766</v>
      </c>
      <c r="G14" s="477">
        <f t="shared" si="9"/>
        <v>519235487.23182106</v>
      </c>
      <c r="H14" s="633">
        <f t="shared" si="9"/>
        <v>17007942811.589468</v>
      </c>
      <c r="I14" s="633">
        <f t="shared" si="9"/>
        <v>672978826753.33643</v>
      </c>
      <c r="J14" s="816">
        <f t="shared" si="9"/>
        <v>6914160.3361775028</v>
      </c>
      <c r="K14" s="477">
        <f t="shared" si="9"/>
        <v>17497196.680538848</v>
      </c>
      <c r="L14" s="633">
        <f t="shared" si="9"/>
        <v>1039883239.6875566</v>
      </c>
      <c r="M14" s="633">
        <f t="shared" si="9"/>
        <v>35650059441.910652</v>
      </c>
      <c r="N14" s="634">
        <f t="shared" si="9"/>
        <v>345013.33812467393</v>
      </c>
      <c r="O14" s="802"/>
      <c r="P14" s="478"/>
      <c r="Q14" s="478"/>
      <c r="R14" s="479"/>
    </row>
    <row r="17" spans="2:26" x14ac:dyDescent="0.35">
      <c r="T17" s="699" t="s">
        <v>269</v>
      </c>
      <c r="U17" s="700"/>
      <c r="V17" s="700"/>
      <c r="W17" s="700"/>
      <c r="X17" s="700"/>
      <c r="Y17" s="700"/>
      <c r="Z17" s="701"/>
    </row>
    <row r="18" spans="2:26" ht="70" x14ac:dyDescent="0.35">
      <c r="B18" t="s">
        <v>270</v>
      </c>
      <c r="T18" s="702" t="s">
        <v>241</v>
      </c>
      <c r="U18" s="702" t="s">
        <v>271</v>
      </c>
      <c r="V18" s="703" t="s">
        <v>272</v>
      </c>
      <c r="W18" s="703" t="s">
        <v>273</v>
      </c>
      <c r="X18" s="703" t="s">
        <v>274</v>
      </c>
      <c r="Y18" s="703" t="s">
        <v>275</v>
      </c>
      <c r="Z18" s="703" t="s">
        <v>276</v>
      </c>
    </row>
    <row r="19" spans="2:26" ht="15.5" x14ac:dyDescent="0.35">
      <c r="B19" s="468">
        <f>5454.4</f>
        <v>5454.4</v>
      </c>
      <c r="C19" s="469" t="s">
        <v>277</v>
      </c>
      <c r="J19" s="1141"/>
      <c r="T19" s="704" t="s">
        <v>278</v>
      </c>
      <c r="U19" s="705" t="s">
        <v>279</v>
      </c>
      <c r="V19" s="706">
        <v>26.9</v>
      </c>
      <c r="W19" s="706">
        <v>5.7</v>
      </c>
      <c r="X19" s="706">
        <v>0.4</v>
      </c>
      <c r="Y19" s="706">
        <v>849.8</v>
      </c>
      <c r="Z19" s="706">
        <v>8637.76</v>
      </c>
    </row>
    <row r="20" spans="2:26" ht="15.5" x14ac:dyDescent="0.35">
      <c r="B20" s="470">
        <v>240</v>
      </c>
      <c r="C20" s="469" t="s">
        <v>280</v>
      </c>
      <c r="T20" s="704" t="s">
        <v>278</v>
      </c>
      <c r="U20" s="705" t="s">
        <v>281</v>
      </c>
      <c r="V20" s="706">
        <v>1.2</v>
      </c>
      <c r="W20" s="706">
        <v>0.1</v>
      </c>
      <c r="X20" s="706">
        <v>0</v>
      </c>
      <c r="Y20" s="706">
        <v>32.4</v>
      </c>
      <c r="Z20" s="706">
        <v>288</v>
      </c>
    </row>
    <row r="21" spans="2:26" x14ac:dyDescent="0.35">
      <c r="T21" s="704" t="s">
        <v>278</v>
      </c>
      <c r="U21" s="705" t="s">
        <v>282</v>
      </c>
      <c r="V21" s="706">
        <v>77.8</v>
      </c>
      <c r="W21" s="706">
        <v>23.3</v>
      </c>
      <c r="X21" s="706">
        <v>-0.5</v>
      </c>
      <c r="Y21" s="706">
        <v>2168.3000000000002</v>
      </c>
      <c r="Z21" s="706">
        <v>15944.8</v>
      </c>
    </row>
    <row r="22" spans="2:26" x14ac:dyDescent="0.35">
      <c r="T22" s="704" t="s">
        <v>283</v>
      </c>
      <c r="U22" s="705" t="s">
        <v>284</v>
      </c>
      <c r="V22" s="706">
        <v>42.87</v>
      </c>
      <c r="W22" s="706">
        <v>0.61</v>
      </c>
      <c r="X22" s="706">
        <v>-0.26</v>
      </c>
      <c r="Y22" s="706">
        <v>935</v>
      </c>
      <c r="Z22" s="706">
        <v>8870.655999999999</v>
      </c>
    </row>
    <row r="23" spans="2:26" x14ac:dyDescent="0.35">
      <c r="T23" s="704" t="s">
        <v>283</v>
      </c>
      <c r="U23" s="705" t="s">
        <v>285</v>
      </c>
      <c r="V23" s="706"/>
      <c r="W23" s="706"/>
      <c r="X23" s="706"/>
      <c r="Y23" s="706"/>
      <c r="Z23" s="706"/>
    </row>
    <row r="24" spans="2:26" x14ac:dyDescent="0.35">
      <c r="T24" s="704" t="s">
        <v>286</v>
      </c>
      <c r="U24" s="705" t="s">
        <v>287</v>
      </c>
      <c r="V24" s="706">
        <v>0</v>
      </c>
      <c r="W24" s="706">
        <v>0</v>
      </c>
      <c r="X24" s="706">
        <v>0</v>
      </c>
      <c r="Y24" s="706">
        <v>0</v>
      </c>
      <c r="Z24" s="706">
        <v>0</v>
      </c>
    </row>
    <row r="25" spans="2:26" x14ac:dyDescent="0.35">
      <c r="T25" s="704" t="s">
        <v>286</v>
      </c>
      <c r="U25" s="705" t="s">
        <v>288</v>
      </c>
      <c r="V25" s="706">
        <v>0.5</v>
      </c>
      <c r="W25" s="706">
        <v>1.202</v>
      </c>
      <c r="X25" s="706">
        <v>0</v>
      </c>
      <c r="Y25" s="706">
        <v>155.6</v>
      </c>
      <c r="Z25" s="706">
        <v>120</v>
      </c>
    </row>
    <row r="26" spans="2:26" x14ac:dyDescent="0.35">
      <c r="T26" s="704" t="s">
        <v>289</v>
      </c>
      <c r="U26" s="705" t="s">
        <v>290</v>
      </c>
      <c r="V26" s="706">
        <v>4.9000000000000004</v>
      </c>
      <c r="W26" s="706">
        <v>0.4</v>
      </c>
      <c r="X26" s="706">
        <v>-0.1</v>
      </c>
      <c r="Y26" s="706">
        <v>108</v>
      </c>
      <c r="Z26" s="706">
        <v>630.56000000000006</v>
      </c>
    </row>
    <row r="27" spans="2:26" x14ac:dyDescent="0.35">
      <c r="T27" s="704" t="s">
        <v>289</v>
      </c>
      <c r="U27" s="705" t="s">
        <v>291</v>
      </c>
      <c r="V27" s="706">
        <v>1.0589999999999999</v>
      </c>
      <c r="W27" s="706">
        <v>4.2000000000000003E-2</v>
      </c>
      <c r="X27" s="706">
        <v>2.8000000000000001E-2</v>
      </c>
      <c r="Y27" s="706">
        <v>37.5</v>
      </c>
      <c r="Z27" s="706">
        <v>406.88319999999999</v>
      </c>
    </row>
    <row r="28" spans="2:26" x14ac:dyDescent="0.35">
      <c r="T28" s="704" t="s">
        <v>289</v>
      </c>
      <c r="U28" s="705" t="s">
        <v>292</v>
      </c>
      <c r="V28" s="706">
        <v>19.3</v>
      </c>
      <c r="W28" s="706">
        <v>1.7</v>
      </c>
      <c r="X28" s="706">
        <v>3.9</v>
      </c>
      <c r="Y28" s="706">
        <v>1796.2</v>
      </c>
      <c r="Z28" s="706">
        <v>25904.16</v>
      </c>
    </row>
    <row r="29" spans="2:26" x14ac:dyDescent="0.35">
      <c r="T29" s="704" t="s">
        <v>289</v>
      </c>
      <c r="U29" s="705" t="s">
        <v>293</v>
      </c>
      <c r="V29" s="706">
        <v>17.8</v>
      </c>
      <c r="W29" s="706">
        <v>1.4</v>
      </c>
      <c r="X29" s="706">
        <v>4.0999999999999996</v>
      </c>
      <c r="Y29" s="706">
        <v>1873.1</v>
      </c>
      <c r="Z29" s="706">
        <v>26635.039999999997</v>
      </c>
    </row>
    <row r="30" spans="2:26" x14ac:dyDescent="0.35">
      <c r="T30" s="704" t="s">
        <v>294</v>
      </c>
      <c r="U30" s="705" t="s">
        <v>295</v>
      </c>
      <c r="V30" s="706">
        <v>14.7</v>
      </c>
      <c r="W30" s="706">
        <v>1.6</v>
      </c>
      <c r="X30" s="706">
        <v>0</v>
      </c>
      <c r="Y30" s="706">
        <v>422.8</v>
      </c>
      <c r="Z30" s="706">
        <v>3528</v>
      </c>
    </row>
    <row r="31" spans="2:26" x14ac:dyDescent="0.35">
      <c r="T31" s="704" t="s">
        <v>294</v>
      </c>
      <c r="U31" s="705" t="s">
        <v>296</v>
      </c>
      <c r="V31" s="706">
        <v>-0.21</v>
      </c>
      <c r="W31" s="706">
        <v>0.03</v>
      </c>
      <c r="X31" s="706">
        <v>0.31</v>
      </c>
      <c r="Y31" s="706">
        <v>105.4</v>
      </c>
      <c r="Z31" s="706">
        <v>1640.4639999999997</v>
      </c>
    </row>
    <row r="32" spans="2:26" x14ac:dyDescent="0.35">
      <c r="T32" s="704" t="s">
        <v>294</v>
      </c>
      <c r="U32" s="705" t="s">
        <v>297</v>
      </c>
      <c r="V32" s="706">
        <v>14.247209718163202</v>
      </c>
      <c r="W32" s="706">
        <v>0.65185551289420041</v>
      </c>
      <c r="X32" s="706">
        <v>-7.870525120775064E-2</v>
      </c>
      <c r="Y32" s="706">
        <v>323.39999999999998</v>
      </c>
      <c r="Z32" s="706">
        <v>2995.1</v>
      </c>
    </row>
    <row r="33" spans="20:26" x14ac:dyDescent="0.35">
      <c r="T33" s="704" t="s">
        <v>294</v>
      </c>
      <c r="U33" s="705" t="s">
        <v>298</v>
      </c>
      <c r="V33" s="706">
        <v>2.97</v>
      </c>
      <c r="W33" s="706">
        <v>0.26</v>
      </c>
      <c r="X33" s="706">
        <v>0.21</v>
      </c>
      <c r="Y33" s="706">
        <v>129.6</v>
      </c>
      <c r="Z33" s="706">
        <v>1858.2240000000002</v>
      </c>
    </row>
    <row r="34" spans="20:26" x14ac:dyDescent="0.35">
      <c r="T34" s="704" t="s">
        <v>299</v>
      </c>
      <c r="U34" s="705" t="s">
        <v>300</v>
      </c>
      <c r="V34" s="706">
        <v>76.900000000000006</v>
      </c>
      <c r="W34" s="706">
        <v>6.2</v>
      </c>
      <c r="X34" s="706">
        <v>0</v>
      </c>
      <c r="Y34" s="706">
        <v>2086.6</v>
      </c>
      <c r="Z34" s="706">
        <v>18456</v>
      </c>
    </row>
    <row r="35" spans="20:26" x14ac:dyDescent="0.35">
      <c r="T35" s="704" t="s">
        <v>299</v>
      </c>
      <c r="U35" s="705" t="s">
        <v>301</v>
      </c>
      <c r="V35" s="706">
        <v>59.93</v>
      </c>
      <c r="W35" s="706">
        <v>7.05</v>
      </c>
      <c r="X35" s="706">
        <v>0.86</v>
      </c>
      <c r="Y35" s="706">
        <v>1992.0953557525643</v>
      </c>
      <c r="Z35" s="706">
        <v>19073.984</v>
      </c>
    </row>
    <row r="36" spans="20:26" x14ac:dyDescent="0.35">
      <c r="T36" s="704" t="s">
        <v>302</v>
      </c>
      <c r="U36" s="705" t="s">
        <v>303</v>
      </c>
      <c r="V36" s="706">
        <v>18.399999999999999</v>
      </c>
      <c r="W36" s="706">
        <v>2.35</v>
      </c>
      <c r="X36" s="706">
        <v>0</v>
      </c>
      <c r="Y36" s="706">
        <v>549.29999999999995</v>
      </c>
      <c r="Z36" s="706">
        <v>4416</v>
      </c>
    </row>
    <row r="37" spans="20:26" x14ac:dyDescent="0.35">
      <c r="T37" s="704" t="s">
        <v>302</v>
      </c>
      <c r="U37" s="705" t="s">
        <v>304</v>
      </c>
      <c r="V37" s="706">
        <v>2.13</v>
      </c>
      <c r="W37" s="706">
        <v>0.34</v>
      </c>
      <c r="X37" s="706">
        <v>0</v>
      </c>
      <c r="Y37" s="706">
        <v>64.5</v>
      </c>
      <c r="Z37" s="706">
        <v>511.2</v>
      </c>
    </row>
    <row r="38" spans="20:26" x14ac:dyDescent="0.35">
      <c r="T38" s="704" t="s">
        <v>305</v>
      </c>
      <c r="U38" s="705" t="s">
        <v>306</v>
      </c>
      <c r="V38" s="706">
        <v>0.2</v>
      </c>
      <c r="W38" s="706">
        <v>0.3</v>
      </c>
      <c r="X38" s="706">
        <v>0.4</v>
      </c>
      <c r="Y38" s="706">
        <v>155.5</v>
      </c>
      <c r="Z38" s="706">
        <v>2229.7599999999998</v>
      </c>
    </row>
    <row r="39" spans="20:26" x14ac:dyDescent="0.35">
      <c r="T39" s="704" t="s">
        <v>305</v>
      </c>
      <c r="U39" s="705" t="s">
        <v>307</v>
      </c>
      <c r="V39" s="706">
        <v>-0.2</v>
      </c>
      <c r="W39" s="706">
        <v>0.1</v>
      </c>
      <c r="X39" s="706">
        <v>0.5</v>
      </c>
      <c r="Y39" s="706">
        <v>167.3</v>
      </c>
      <c r="Z39" s="706">
        <v>2679.2</v>
      </c>
    </row>
    <row r="40" spans="20:26" x14ac:dyDescent="0.35">
      <c r="T40" s="707" t="s">
        <v>79</v>
      </c>
      <c r="U40" s="707"/>
      <c r="V40" s="708">
        <f>SUM(V19:V39)</f>
        <v>381.39620971816316</v>
      </c>
      <c r="W40" s="708">
        <f>SUM(W19:W39)</f>
        <v>53.335855512894206</v>
      </c>
      <c r="X40" s="708">
        <f>SUM(X19:X39)</f>
        <v>9.7692947487922481</v>
      </c>
      <c r="Y40" s="708">
        <f>SUM(Y19:Y39)</f>
        <v>13952.395355752562</v>
      </c>
      <c r="Z40" s="708">
        <f>SUM(Z19:Z39)</f>
        <v>144825.79120000004</v>
      </c>
    </row>
  </sheetData>
  <mergeCells count="4">
    <mergeCell ref="C4:F4"/>
    <mergeCell ref="G4:J4"/>
    <mergeCell ref="K4:N4"/>
    <mergeCell ref="O4:R4"/>
  </mergeCells>
  <conditionalFormatting sqref="V19:V3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{BFCE12DF-B752-42D1-9913-2C01C47AABF6}</x14:id>
        </ext>
      </extLst>
    </cfRule>
  </conditionalFormatting>
  <conditionalFormatting sqref="W19:W39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{3E8B6DC9-7B66-4971-864A-EBAD5EA58C13}</x14:id>
        </ext>
      </extLst>
    </cfRule>
  </conditionalFormatting>
  <conditionalFormatting sqref="X19:X39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{81EAE3E0-2AA7-49D0-A4A1-72038A63A39A}</x14:id>
        </ext>
      </extLst>
    </cfRule>
  </conditionalFormatting>
  <conditionalFormatting sqref="Y19:Y3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{FB1C2FE0-BE62-488E-A8C0-D67541BEAFDB}</x14:id>
        </ext>
      </extLst>
    </cfRule>
  </conditionalFormatting>
  <conditionalFormatting sqref="Z19:Z39">
    <cfRule type="dataBar" priority="5">
      <dataBar>
        <cfvo type="min"/>
        <cfvo type="max"/>
        <color rgb="FFA6A6A6"/>
      </dataBar>
      <extLst>
        <ext xmlns:x14="http://schemas.microsoft.com/office/spreadsheetml/2009/9/main" uri="{B025F937-C7B1-47D3-B67F-A62EFF666E3E}">
          <x14:id>{9ACA0324-AFB1-4108-8A2A-9C9154A2D98C}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CE12DF-B752-42D1-9913-2C01C47AAB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V19:V39</xm:sqref>
        </x14:conditionalFormatting>
        <x14:conditionalFormatting xmlns:xm="http://schemas.microsoft.com/office/excel/2006/main">
          <x14:cfRule type="dataBar" id="{3E8B6DC9-7B66-4971-864A-EBAD5EA58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W19:W39</xm:sqref>
        </x14:conditionalFormatting>
        <x14:conditionalFormatting xmlns:xm="http://schemas.microsoft.com/office/excel/2006/main">
          <x14:cfRule type="dataBar" id="{81EAE3E0-2AA7-49D0-A4A1-72038A63A3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X19:X39</xm:sqref>
        </x14:conditionalFormatting>
        <x14:conditionalFormatting xmlns:xm="http://schemas.microsoft.com/office/excel/2006/main">
          <x14:cfRule type="dataBar" id="{FB1C2FE0-BE62-488E-A8C0-D67541BEAF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Y19:Y39</xm:sqref>
        </x14:conditionalFormatting>
        <x14:conditionalFormatting xmlns:xm="http://schemas.microsoft.com/office/excel/2006/main">
          <x14:cfRule type="dataBar" id="{9ACA0324-AFB1-4108-8A2A-9C9154A2D9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Z19:Z39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9791-F514-439E-A2EA-B040BA8C19F7}">
  <dimension ref="A1:BS370"/>
  <sheetViews>
    <sheetView zoomScaleNormal="100" workbookViewId="0"/>
  </sheetViews>
  <sheetFormatPr defaultRowHeight="14.5" x14ac:dyDescent="0.35"/>
  <cols>
    <col min="1" max="1" width="11.7265625" bestFit="1" customWidth="1"/>
    <col min="2" max="3" width="5.453125" customWidth="1"/>
    <col min="4" max="4" width="33.81640625" bestFit="1" customWidth="1"/>
    <col min="5" max="5" width="10" customWidth="1"/>
    <col min="6" max="6" width="9.81640625" customWidth="1"/>
    <col min="7" max="7" width="14.26953125" bestFit="1" customWidth="1"/>
    <col min="8" max="8" width="10.26953125" customWidth="1"/>
    <col min="9" max="9" width="22.54296875" customWidth="1"/>
    <col min="10" max="10" width="14.54296875" customWidth="1"/>
    <col min="11" max="11" width="15.7265625" customWidth="1"/>
    <col min="12" max="12" width="14.26953125" bestFit="1" customWidth="1"/>
    <col min="13" max="13" width="14.453125" customWidth="1"/>
    <col min="14" max="15" width="13.26953125" customWidth="1"/>
    <col min="16" max="16" width="11" customWidth="1"/>
    <col min="17" max="17" width="14.26953125" customWidth="1"/>
    <col min="18" max="18" width="31.54296875" customWidth="1"/>
    <col min="19" max="19" width="14.7265625" customWidth="1"/>
    <col min="20" max="20" width="22.54296875" customWidth="1"/>
    <col min="21" max="21" width="16.1796875" customWidth="1"/>
    <col min="22" max="22" width="32.54296875" customWidth="1"/>
    <col min="23" max="23" width="17.81640625" customWidth="1"/>
    <col min="24" max="24" width="9.1796875" customWidth="1"/>
    <col min="25" max="25" width="27.7265625" customWidth="1"/>
    <col min="26" max="26" width="12.81640625" customWidth="1"/>
    <col min="27" max="27" width="12.54296875" customWidth="1"/>
    <col min="28" max="28" width="12.81640625" customWidth="1"/>
    <col min="29" max="29" width="12.1796875" customWidth="1"/>
    <col min="30" max="30" width="12.26953125" customWidth="1"/>
    <col min="31" max="31" width="31.1796875" customWidth="1"/>
    <col min="32" max="32" width="15.1796875" customWidth="1"/>
    <col min="33" max="33" width="14.26953125" customWidth="1"/>
    <col min="34" max="34" width="10.81640625" customWidth="1"/>
    <col min="35" max="35" width="13.26953125" customWidth="1"/>
    <col min="36" max="36" width="13.54296875" customWidth="1"/>
    <col min="37" max="38" width="13.26953125" customWidth="1"/>
    <col min="39" max="39" width="14.26953125" customWidth="1"/>
    <col min="40" max="40" width="11.54296875" customWidth="1"/>
    <col min="41" max="41" width="17" customWidth="1"/>
    <col min="42" max="42" width="11.7265625" customWidth="1"/>
    <col min="43" max="43" width="12.7265625" customWidth="1"/>
    <col min="44" max="44" width="12.453125" customWidth="1"/>
    <col min="45" max="47" width="12.54296875" customWidth="1"/>
    <col min="48" max="48" width="15.453125" customWidth="1"/>
    <col min="49" max="66" width="12.54296875" customWidth="1"/>
    <col min="67" max="67" width="14.81640625" customWidth="1"/>
    <col min="68" max="68" width="11.7265625" customWidth="1"/>
    <col min="71" max="71" width="13.54296875" bestFit="1" customWidth="1"/>
    <col min="75" max="75" width="10.1796875" customWidth="1"/>
    <col min="76" max="76" width="11.54296875" bestFit="1" customWidth="1"/>
    <col min="79" max="79" width="9.54296875" customWidth="1"/>
    <col min="82" max="82" width="15.54296875" customWidth="1"/>
    <col min="83" max="83" width="12.1796875" customWidth="1"/>
    <col min="85" max="85" width="15.54296875" customWidth="1"/>
  </cols>
  <sheetData>
    <row r="1" spans="1:24" x14ac:dyDescent="0.35">
      <c r="A1" t="s">
        <v>308</v>
      </c>
    </row>
    <row r="2" spans="1:24" x14ac:dyDescent="0.35">
      <c r="B2" s="333"/>
    </row>
    <row r="4" spans="1:24" ht="30" customHeight="1" x14ac:dyDescent="0.35">
      <c r="D4" s="333" t="s">
        <v>309</v>
      </c>
      <c r="K4" s="333" t="s">
        <v>310</v>
      </c>
      <c r="R4" s="333" t="s">
        <v>553</v>
      </c>
      <c r="V4" s="333" t="s">
        <v>554</v>
      </c>
    </row>
    <row r="5" spans="1:24" ht="36" customHeight="1" x14ac:dyDescent="0.35">
      <c r="D5" s="955" t="s">
        <v>311</v>
      </c>
      <c r="E5" s="956" t="s">
        <v>312</v>
      </c>
      <c r="F5" s="957" t="s">
        <v>313</v>
      </c>
      <c r="G5" s="1116" t="s">
        <v>339</v>
      </c>
      <c r="H5" s="958" t="s">
        <v>314</v>
      </c>
      <c r="I5" s="491" t="s">
        <v>315</v>
      </c>
      <c r="K5" s="959" t="s">
        <v>316</v>
      </c>
      <c r="L5" s="960" t="s">
        <v>317</v>
      </c>
      <c r="M5" s="960" t="s">
        <v>318</v>
      </c>
      <c r="N5" s="961" t="s">
        <v>319</v>
      </c>
      <c r="O5" s="961" t="s">
        <v>320</v>
      </c>
      <c r="P5" s="962" t="s">
        <v>321</v>
      </c>
      <c r="R5" s="508" t="s">
        <v>322</v>
      </c>
      <c r="S5" s="963"/>
      <c r="T5" s="964" t="s">
        <v>323</v>
      </c>
      <c r="V5" s="508" t="s">
        <v>322</v>
      </c>
      <c r="W5" s="963"/>
      <c r="X5" s="964" t="s">
        <v>323</v>
      </c>
    </row>
    <row r="6" spans="1:24" x14ac:dyDescent="0.35">
      <c r="D6" s="965" t="s">
        <v>324</v>
      </c>
      <c r="E6" s="966">
        <v>7.5</v>
      </c>
      <c r="F6" s="967">
        <v>8.1999999999999993</v>
      </c>
      <c r="G6" s="968" t="s">
        <v>325</v>
      </c>
      <c r="H6" s="969">
        <v>1.76</v>
      </c>
      <c r="I6" s="970" t="s">
        <v>326</v>
      </c>
      <c r="K6" s="971" t="s">
        <v>327</v>
      </c>
      <c r="L6" s="972">
        <v>8</v>
      </c>
      <c r="M6" s="972">
        <v>36</v>
      </c>
      <c r="N6" s="972">
        <v>88</v>
      </c>
      <c r="O6" s="972">
        <v>117</v>
      </c>
      <c r="P6" s="973"/>
      <c r="R6" s="523" t="s">
        <v>328</v>
      </c>
      <c r="S6" s="974">
        <v>0.5</v>
      </c>
      <c r="T6" s="975"/>
      <c r="V6" s="523" t="s">
        <v>328</v>
      </c>
      <c r="W6" s="974">
        <f>13/30</f>
        <v>0.43333333333333335</v>
      </c>
      <c r="X6" s="975"/>
    </row>
    <row r="7" spans="1:24" x14ac:dyDescent="0.35">
      <c r="D7" s="965" t="s">
        <v>329</v>
      </c>
      <c r="E7" s="966">
        <v>0.05</v>
      </c>
      <c r="F7" s="967">
        <v>5.2999999999999999E-2</v>
      </c>
      <c r="G7" s="968"/>
      <c r="H7" s="973">
        <v>0.02</v>
      </c>
      <c r="I7" s="970" t="s">
        <v>330</v>
      </c>
      <c r="K7" s="976" t="s">
        <v>331</v>
      </c>
      <c r="L7" s="977">
        <v>0</v>
      </c>
      <c r="M7" s="977">
        <v>6</v>
      </c>
      <c r="N7" s="977">
        <v>8</v>
      </c>
      <c r="O7" s="977">
        <v>18</v>
      </c>
      <c r="P7" s="978">
        <v>1.5</v>
      </c>
      <c r="R7" s="979" t="s">
        <v>555</v>
      </c>
      <c r="S7" s="980">
        <f>2/3</f>
        <v>0.66666666666666663</v>
      </c>
      <c r="T7" s="981">
        <f>$S$6*S7</f>
        <v>0.33333333333333331</v>
      </c>
      <c r="V7" s="979" t="s">
        <v>556</v>
      </c>
      <c r="W7" s="980">
        <v>1</v>
      </c>
      <c r="X7" s="981">
        <f>$W$6*W7</f>
        <v>0.43333333333333335</v>
      </c>
    </row>
    <row r="8" spans="1:24" x14ac:dyDescent="0.35">
      <c r="D8" s="965" t="s">
        <v>333</v>
      </c>
      <c r="E8" s="966">
        <v>0.8</v>
      </c>
      <c r="F8" s="967">
        <v>0.8</v>
      </c>
      <c r="G8" s="968"/>
      <c r="H8" s="973">
        <v>0.98499999999999999</v>
      </c>
      <c r="I8" s="970" t="s">
        <v>334</v>
      </c>
      <c r="K8" s="982" t="s">
        <v>335</v>
      </c>
      <c r="L8" s="972">
        <v>4</v>
      </c>
      <c r="M8" s="972">
        <v>12</v>
      </c>
      <c r="N8" s="972">
        <v>40</v>
      </c>
      <c r="O8" s="972">
        <v>54</v>
      </c>
      <c r="P8" s="983">
        <v>1.5</v>
      </c>
      <c r="R8" s="979" t="s">
        <v>336</v>
      </c>
      <c r="S8" s="980">
        <f>1-S7</f>
        <v>0.33333333333333337</v>
      </c>
      <c r="T8" s="984">
        <f>$S$6*S8</f>
        <v>0.16666666666666669</v>
      </c>
      <c r="V8" s="979" t="s">
        <v>336</v>
      </c>
      <c r="W8" s="980">
        <f>1-W7</f>
        <v>0</v>
      </c>
      <c r="X8" s="984">
        <f>$S$6*W8</f>
        <v>0</v>
      </c>
    </row>
    <row r="9" spans="1:24" x14ac:dyDescent="0.35">
      <c r="D9" s="965" t="s">
        <v>337</v>
      </c>
      <c r="E9" s="966">
        <v>15</v>
      </c>
      <c r="F9" s="967">
        <v>15</v>
      </c>
      <c r="G9" s="968"/>
      <c r="H9" s="973">
        <v>13</v>
      </c>
      <c r="I9" s="970" t="s">
        <v>330</v>
      </c>
      <c r="K9" s="982" t="s">
        <v>338</v>
      </c>
      <c r="L9" s="972">
        <v>4</v>
      </c>
      <c r="M9" s="972">
        <v>12</v>
      </c>
      <c r="N9" s="972">
        <v>32</v>
      </c>
      <c r="O9" s="972">
        <v>45</v>
      </c>
      <c r="P9" s="983">
        <v>2</v>
      </c>
      <c r="R9" s="523" t="s">
        <v>339</v>
      </c>
      <c r="S9" s="974">
        <v>0.5</v>
      </c>
      <c r="T9" s="985"/>
      <c r="V9" s="523" t="s">
        <v>339</v>
      </c>
      <c r="W9" s="974">
        <f>1-(13/30)</f>
        <v>0.56666666666666665</v>
      </c>
      <c r="X9" s="985"/>
    </row>
    <row r="10" spans="1:24" x14ac:dyDescent="0.35">
      <c r="D10" s="965" t="s">
        <v>340</v>
      </c>
      <c r="E10" s="986">
        <v>6.3333333333333325E-2</v>
      </c>
      <c r="F10" s="987">
        <v>6.3933333333333328E-2</v>
      </c>
      <c r="G10" s="968"/>
      <c r="H10" s="1117">
        <v>7.6069230769230764E-2</v>
      </c>
      <c r="I10" s="970" t="s">
        <v>341</v>
      </c>
      <c r="K10" s="988" t="s">
        <v>342</v>
      </c>
      <c r="L10" s="989">
        <v>0</v>
      </c>
      <c r="M10" s="989">
        <v>6</v>
      </c>
      <c r="N10" s="989">
        <v>8</v>
      </c>
      <c r="O10" s="989">
        <v>0</v>
      </c>
      <c r="P10" s="990">
        <v>3</v>
      </c>
      <c r="R10" s="979" t="s">
        <v>332</v>
      </c>
      <c r="S10" s="1118">
        <v>0</v>
      </c>
      <c r="T10" s="984">
        <f>$S$9*S10</f>
        <v>0</v>
      </c>
      <c r="V10" s="979" t="s">
        <v>557</v>
      </c>
      <c r="W10" s="1118">
        <v>0</v>
      </c>
      <c r="X10" s="984">
        <f>$S$9*W10</f>
        <v>0</v>
      </c>
    </row>
    <row r="11" spans="1:24" x14ac:dyDescent="0.35">
      <c r="D11" s="965" t="s">
        <v>343</v>
      </c>
      <c r="E11" s="991" t="s">
        <v>344</v>
      </c>
      <c r="F11" s="968" t="s">
        <v>344</v>
      </c>
      <c r="G11" s="968" t="s">
        <v>345</v>
      </c>
      <c r="H11" s="992" t="s">
        <v>346</v>
      </c>
      <c r="I11" s="970" t="s">
        <v>347</v>
      </c>
      <c r="K11" s="993" t="s">
        <v>348</v>
      </c>
      <c r="L11" s="994">
        <f>((L7*$P$7)+(L8*$P8)+(L9*$P9)+(L10*$P10))/L6</f>
        <v>1.75</v>
      </c>
      <c r="M11" s="995">
        <f>((M7*$P$7)+(M8*$P8)+(M9*$P9)+(M10*$P10))/M6</f>
        <v>1.9166666666666667</v>
      </c>
      <c r="N11" s="995">
        <f>((N7*$P$7)+(N8*$P8)+(N9*$P9)+(N10*$P10))/N6</f>
        <v>1.8181818181818181</v>
      </c>
      <c r="O11" s="995">
        <f>((O7*$P$7)+(O8*$P8)+(O9*$P9)+(O10*$P10))/O6</f>
        <v>1.6923076923076923</v>
      </c>
      <c r="P11" s="996"/>
      <c r="R11" s="997" t="s">
        <v>336</v>
      </c>
      <c r="S11" s="998">
        <f>1-S10</f>
        <v>1</v>
      </c>
      <c r="T11" s="999">
        <f>$S$9*S11</f>
        <v>0.5</v>
      </c>
      <c r="V11" s="997" t="s">
        <v>336</v>
      </c>
      <c r="W11" s="998">
        <f>1-W10</f>
        <v>1</v>
      </c>
      <c r="X11" s="999">
        <f>$W$9*W11</f>
        <v>0.56666666666666665</v>
      </c>
    </row>
    <row r="12" spans="1:24" x14ac:dyDescent="0.35">
      <c r="D12" s="965" t="s">
        <v>349</v>
      </c>
      <c r="E12" s="966">
        <v>2088</v>
      </c>
      <c r="F12" s="967">
        <v>2088</v>
      </c>
      <c r="G12" s="968">
        <v>675</v>
      </c>
      <c r="H12" s="973">
        <v>1430</v>
      </c>
      <c r="I12" s="970" t="s">
        <v>330</v>
      </c>
    </row>
    <row r="13" spans="1:24" x14ac:dyDescent="0.35">
      <c r="D13" s="965" t="s">
        <v>350</v>
      </c>
      <c r="E13" s="966">
        <v>4340</v>
      </c>
      <c r="F13" s="967">
        <v>4340</v>
      </c>
      <c r="G13" s="968">
        <v>2330</v>
      </c>
      <c r="H13" s="973">
        <v>3830</v>
      </c>
      <c r="I13" s="970" t="s">
        <v>347</v>
      </c>
      <c r="R13" s="508"/>
      <c r="S13" s="963" t="s">
        <v>351</v>
      </c>
      <c r="T13" s="964"/>
      <c r="V13" s="508"/>
      <c r="W13" s="963" t="s">
        <v>351</v>
      </c>
      <c r="X13" s="964"/>
    </row>
    <row r="14" spans="1:24" x14ac:dyDescent="0.35">
      <c r="D14" s="965" t="s">
        <v>352</v>
      </c>
      <c r="E14" s="966">
        <f>T14*$E$13+T15*$G$13</f>
        <v>3000</v>
      </c>
      <c r="F14" s="967">
        <f>$T$14*$F$13+$T$15*$G$13</f>
        <v>3000</v>
      </c>
      <c r="G14" s="968"/>
      <c r="H14" s="967">
        <f>$X$14*$H$13+$X$15*$G$13</f>
        <v>2980</v>
      </c>
      <c r="I14" s="970"/>
      <c r="R14" s="492"/>
      <c r="S14" t="s">
        <v>353</v>
      </c>
      <c r="T14" s="1000">
        <f>T7+T10</f>
        <v>0.33333333333333331</v>
      </c>
      <c r="V14" s="492"/>
      <c r="W14" t="s">
        <v>353</v>
      </c>
      <c r="X14" s="1000">
        <f>X7+X10</f>
        <v>0.43333333333333335</v>
      </c>
    </row>
    <row r="15" spans="1:24" x14ac:dyDescent="0.35">
      <c r="D15" s="1001" t="s">
        <v>354</v>
      </c>
      <c r="E15" s="1002">
        <f>E6/3</f>
        <v>2.5</v>
      </c>
      <c r="F15" s="1003">
        <f>F6/3</f>
        <v>2.7333333333333329</v>
      </c>
      <c r="G15" s="1004"/>
      <c r="H15" s="1005">
        <f>H6/50</f>
        <v>3.5200000000000002E-2</v>
      </c>
      <c r="I15" s="1006" t="s">
        <v>347</v>
      </c>
      <c r="J15" t="s">
        <v>355</v>
      </c>
      <c r="R15" s="523"/>
      <c r="S15" s="1007" t="s">
        <v>356</v>
      </c>
      <c r="T15" s="1008">
        <f>T8+T11</f>
        <v>0.66666666666666674</v>
      </c>
      <c r="V15" s="523"/>
      <c r="W15" s="1007" t="s">
        <v>356</v>
      </c>
      <c r="X15" s="1008">
        <f>X8+X11</f>
        <v>0.56666666666666665</v>
      </c>
    </row>
    <row r="16" spans="1:24" x14ac:dyDescent="0.35">
      <c r="D16" t="s">
        <v>357</v>
      </c>
    </row>
    <row r="18" spans="1:71" x14ac:dyDescent="0.35">
      <c r="D18" s="1009" t="s">
        <v>358</v>
      </c>
      <c r="E18">
        <v>2204</v>
      </c>
    </row>
    <row r="19" spans="1:71" s="230" customFormat="1" x14ac:dyDescent="0.35"/>
    <row r="20" spans="1:71" x14ac:dyDescent="0.35">
      <c r="A20" t="s">
        <v>359</v>
      </c>
    </row>
    <row r="22" spans="1:71" x14ac:dyDescent="0.35">
      <c r="D22" s="508" t="s">
        <v>558</v>
      </c>
      <c r="E22" s="1010" t="s">
        <v>314</v>
      </c>
      <c r="F22" s="1011" t="s">
        <v>360</v>
      </c>
      <c r="G22" s="964" t="s">
        <v>79</v>
      </c>
      <c r="I22" s="508" t="s">
        <v>39</v>
      </c>
      <c r="J22" s="1124" t="s">
        <v>361</v>
      </c>
      <c r="K22" s="1012"/>
      <c r="L22" s="1012"/>
      <c r="M22" s="1012"/>
      <c r="N22" s="1012"/>
      <c r="O22" s="1012"/>
      <c r="P22" s="1012"/>
      <c r="Q22" s="1012"/>
      <c r="R22" s="1012"/>
      <c r="S22" s="1012"/>
      <c r="T22" s="1012"/>
      <c r="U22" s="1012"/>
      <c r="V22" s="1012"/>
      <c r="W22" s="1012"/>
    </row>
    <row r="23" spans="1:71" x14ac:dyDescent="0.35">
      <c r="D23" s="1013" t="s">
        <v>362</v>
      </c>
      <c r="E23" s="1014">
        <f>AB97</f>
        <v>12733.665184129555</v>
      </c>
      <c r="F23" s="1015">
        <f>AC97</f>
        <v>3863.5832044766998</v>
      </c>
      <c r="G23" s="1016">
        <f>SUM(E23:F23)</f>
        <v>16597.248388606255</v>
      </c>
      <c r="I23" s="1095" t="s">
        <v>362</v>
      </c>
      <c r="J23" s="368">
        <f>SUMPRODUCT(J81:J96,W81:W96)</f>
        <v>91079.6875</v>
      </c>
      <c r="K23" s="1012"/>
      <c r="L23" s="1012"/>
      <c r="M23" s="1012"/>
      <c r="N23" s="1012"/>
      <c r="O23" s="1012"/>
      <c r="P23" s="1012"/>
      <c r="Q23" s="1012"/>
      <c r="R23" s="1012"/>
      <c r="S23" s="1012"/>
      <c r="T23" s="1012"/>
      <c r="U23" s="1012"/>
      <c r="V23" s="1012"/>
      <c r="W23" s="1012"/>
    </row>
    <row r="24" spans="1:71" x14ac:dyDescent="0.35">
      <c r="D24" s="1017" t="s">
        <v>363</v>
      </c>
      <c r="E24" s="1018">
        <v>0</v>
      </c>
      <c r="F24" s="1019">
        <f>T350</f>
        <v>2138.7153178340709</v>
      </c>
      <c r="G24" s="1020">
        <f>SUM(E24:F24)</f>
        <v>2138.7153178340709</v>
      </c>
      <c r="I24" s="1017" t="s">
        <v>363</v>
      </c>
      <c r="J24" s="1097">
        <f>SUMPRODUCT(J334:J349,Q334:Q349)</f>
        <v>20625.807579274173</v>
      </c>
    </row>
    <row r="25" spans="1:71" x14ac:dyDescent="0.35">
      <c r="D25" s="1021" t="s">
        <v>364</v>
      </c>
      <c r="E25" s="1022">
        <f>AB212</f>
        <v>44.513502261373134</v>
      </c>
      <c r="F25" s="1023">
        <f>T120+T143+T166+T189+AC212+T235</f>
        <v>1786.264387932453</v>
      </c>
      <c r="G25" s="1024">
        <f>SUM(E25:F25)</f>
        <v>1830.7778901938261</v>
      </c>
      <c r="I25" s="1096" t="s">
        <v>364</v>
      </c>
      <c r="J25" s="1094">
        <f>J121+J144+J167+J190+J213+J236</f>
        <v>37453.322010581207</v>
      </c>
    </row>
    <row r="26" spans="1:71" x14ac:dyDescent="0.35">
      <c r="D26" s="523" t="s">
        <v>79</v>
      </c>
      <c r="E26" s="1025">
        <f>SUM(E23:E25)</f>
        <v>12778.178686390929</v>
      </c>
      <c r="F26" s="1025">
        <f>SUM(F23:F25)</f>
        <v>7788.562910243224</v>
      </c>
      <c r="G26" s="1026">
        <f>SUM(E26:F26)</f>
        <v>20566.741596634154</v>
      </c>
      <c r="I26" s="523" t="s">
        <v>79</v>
      </c>
      <c r="J26" s="1094">
        <f>SUM(J23:J25)</f>
        <v>149158.81708985538</v>
      </c>
    </row>
    <row r="27" spans="1:71" x14ac:dyDescent="0.35">
      <c r="BS27" s="1027"/>
    </row>
    <row r="28" spans="1:71" s="230" customFormat="1" x14ac:dyDescent="0.35"/>
    <row r="29" spans="1:71" x14ac:dyDescent="0.35">
      <c r="A29" t="s">
        <v>365</v>
      </c>
    </row>
    <row r="31" spans="1:71" x14ac:dyDescent="0.35">
      <c r="E31" s="333" t="s">
        <v>0</v>
      </c>
      <c r="G31" s="1115" t="s">
        <v>366</v>
      </c>
    </row>
    <row r="32" spans="1:71" x14ac:dyDescent="0.35">
      <c r="E32" t="s">
        <v>1</v>
      </c>
      <c r="G32" s="1115">
        <v>1</v>
      </c>
      <c r="H32">
        <v>2100</v>
      </c>
      <c r="I32" t="s">
        <v>2</v>
      </c>
      <c r="T32" t="str">
        <f>E32</f>
        <v>Prototype: 2100 sf</v>
      </c>
    </row>
    <row r="33" spans="4:29" ht="43.5" x14ac:dyDescent="0.35">
      <c r="D33" s="56"/>
      <c r="E33" s="56"/>
      <c r="F33" s="1028" t="s">
        <v>367</v>
      </c>
      <c r="G33" s="1028"/>
      <c r="H33" s="1028"/>
      <c r="I33" s="1028"/>
      <c r="J33" s="1028"/>
      <c r="K33" s="1029" t="s">
        <v>368</v>
      </c>
      <c r="L33" s="1029"/>
      <c r="M33" s="1029"/>
      <c r="N33" s="1029"/>
      <c r="O33" s="1029"/>
      <c r="P33" s="1238" t="s">
        <v>369</v>
      </c>
      <c r="Q33" s="1239"/>
      <c r="R33" s="1239"/>
      <c r="S33" s="1239"/>
      <c r="T33" s="1240"/>
      <c r="U33" s="1030" t="s">
        <v>370</v>
      </c>
      <c r="V33" s="40" t="s">
        <v>371</v>
      </c>
      <c r="W33" s="1158" t="s">
        <v>4</v>
      </c>
      <c r="X33" s="1158"/>
      <c r="Y33" s="1158"/>
      <c r="Z33" s="1031" t="s">
        <v>372</v>
      </c>
      <c r="AA33" s="1115"/>
      <c r="AB33" s="1114"/>
      <c r="AC33" s="4"/>
    </row>
    <row r="34" spans="4:29" ht="87" x14ac:dyDescent="0.35">
      <c r="D34" s="360" t="s">
        <v>373</v>
      </c>
      <c r="E34" s="360" t="s">
        <v>5</v>
      </c>
      <c r="F34" s="18" t="s">
        <v>374</v>
      </c>
      <c r="G34" s="18" t="s">
        <v>375</v>
      </c>
      <c r="H34" s="18" t="s">
        <v>376</v>
      </c>
      <c r="I34" s="18" t="s">
        <v>377</v>
      </c>
      <c r="J34" s="18" t="s">
        <v>378</v>
      </c>
      <c r="K34" s="1032" t="s">
        <v>379</v>
      </c>
      <c r="L34" s="1032" t="s">
        <v>375</v>
      </c>
      <c r="M34" s="1032" t="s">
        <v>380</v>
      </c>
      <c r="N34" s="4" t="s">
        <v>381</v>
      </c>
      <c r="O34" s="4" t="s">
        <v>378</v>
      </c>
      <c r="P34" s="18" t="s">
        <v>382</v>
      </c>
      <c r="Q34" s="18" t="s">
        <v>375</v>
      </c>
      <c r="R34" s="18" t="s">
        <v>380</v>
      </c>
      <c r="S34" s="18" t="s">
        <v>381</v>
      </c>
      <c r="T34" s="18" t="s">
        <v>378</v>
      </c>
      <c r="U34" s="40" t="s">
        <v>383</v>
      </c>
      <c r="V34" s="40" t="s">
        <v>383</v>
      </c>
      <c r="W34" s="4" t="s">
        <v>384</v>
      </c>
      <c r="X34" s="4" t="s">
        <v>11</v>
      </c>
      <c r="Y34" s="4" t="s">
        <v>385</v>
      </c>
      <c r="Z34" s="18" t="s">
        <v>386</v>
      </c>
      <c r="AA34" s="1115"/>
      <c r="AB34" s="1114" t="s">
        <v>314</v>
      </c>
      <c r="AC34" s="4" t="s">
        <v>360</v>
      </c>
    </row>
    <row r="35" spans="4:29" x14ac:dyDescent="0.35">
      <c r="D35" s="56" t="s">
        <v>314</v>
      </c>
      <c r="E35" s="56">
        <v>1</v>
      </c>
      <c r="F35" s="1033">
        <v>3</v>
      </c>
      <c r="G35" s="1033">
        <f t="shared" ref="G35:G50" si="0">F35*$E$15</f>
        <v>7.5</v>
      </c>
      <c r="H35" s="1033">
        <f t="shared" ref="H35:H50" si="1">G35*$E$10</f>
        <v>0.47499999999999992</v>
      </c>
      <c r="I35" s="1033">
        <f>H35*$E$14</f>
        <v>1424.9999999999998</v>
      </c>
      <c r="J35" s="1033">
        <f>I35/$E$18</f>
        <v>0.64655172413793094</v>
      </c>
      <c r="K35" s="387">
        <v>50</v>
      </c>
      <c r="L35" s="1034">
        <f>H$6</f>
        <v>1.76</v>
      </c>
      <c r="M35" s="1034">
        <f>(L35*$H$10)</f>
        <v>0.13388184615384616</v>
      </c>
      <c r="N35" s="1035">
        <f>M35*H$14</f>
        <v>398.96790153846155</v>
      </c>
      <c r="O35" s="1036">
        <f>N35/$E$18</f>
        <v>0.18101991902834008</v>
      </c>
      <c r="P35" s="1037"/>
      <c r="Q35" s="1038"/>
      <c r="R35" s="1038"/>
      <c r="S35" s="346"/>
      <c r="T35" s="1033">
        <f>J35</f>
        <v>0.64655172413793094</v>
      </c>
      <c r="U35" s="65">
        <f>J35+O35</f>
        <v>0.82757164316627096</v>
      </c>
      <c r="V35" s="1039">
        <f>O35</f>
        <v>0.18101991902834008</v>
      </c>
      <c r="W35" s="3">
        <v>545</v>
      </c>
      <c r="X35" s="1040">
        <f>W35/W$51</f>
        <v>4.5781007182158009E-3</v>
      </c>
      <c r="Y35" s="48">
        <v>1</v>
      </c>
      <c r="Z35" s="1041">
        <f>V35*W35*Y35</f>
        <v>98.65585587044535</v>
      </c>
      <c r="AA35" s="1012"/>
      <c r="AB35" s="1042">
        <f t="shared" ref="AB35:AB50" si="2">O35*W35</f>
        <v>98.65585587044535</v>
      </c>
      <c r="AC35" s="75">
        <f t="shared" ref="AC35:AC50" si="3">(T35-J35)*W35</f>
        <v>0</v>
      </c>
    </row>
    <row r="36" spans="4:29" x14ac:dyDescent="0.35">
      <c r="D36" s="56" t="s">
        <v>314</v>
      </c>
      <c r="E36" s="56">
        <v>2</v>
      </c>
      <c r="F36" s="1033">
        <v>3</v>
      </c>
      <c r="G36" s="1033">
        <f t="shared" si="0"/>
        <v>7.5</v>
      </c>
      <c r="H36" s="1033">
        <f t="shared" si="1"/>
        <v>0.47499999999999992</v>
      </c>
      <c r="I36" s="1033">
        <f t="shared" ref="I36:I50" si="4">H36*$E$14</f>
        <v>1424.9999999999998</v>
      </c>
      <c r="J36" s="1033">
        <f t="shared" ref="J36:J50" si="5">I36/$E$18</f>
        <v>0.64655172413793094</v>
      </c>
      <c r="K36" s="1043">
        <v>50</v>
      </c>
      <c r="L36" s="1034">
        <f>H$6</f>
        <v>1.76</v>
      </c>
      <c r="M36" s="1034">
        <f>(L36*$H$10)</f>
        <v>0.13388184615384616</v>
      </c>
      <c r="N36" s="1035">
        <f t="shared" ref="N36:N50" si="6">M36*H$14</f>
        <v>398.96790153846155</v>
      </c>
      <c r="O36" s="1036">
        <f t="shared" ref="O36:O50" si="7">N36/$E$18</f>
        <v>0.18101991902834008</v>
      </c>
      <c r="P36" s="1037"/>
      <c r="Q36" s="1038"/>
      <c r="R36" s="1038"/>
      <c r="S36" s="346"/>
      <c r="T36" s="1033">
        <f>J36</f>
        <v>0.64655172413793094</v>
      </c>
      <c r="U36" s="65">
        <f>J36+O36</f>
        <v>0.82757164316627096</v>
      </c>
      <c r="V36" s="1039">
        <f>O36</f>
        <v>0.18101991902834008</v>
      </c>
      <c r="W36" s="3">
        <v>3238</v>
      </c>
      <c r="X36" s="1040">
        <f t="shared" ref="X36:X50" si="8">W36/W$51</f>
        <v>2.7199798395564703E-2</v>
      </c>
      <c r="Y36" s="48">
        <v>1</v>
      </c>
      <c r="Z36" s="1041">
        <f t="shared" ref="Z36:Z50" si="9">V36*W36*Y36</f>
        <v>586.1424978137652</v>
      </c>
      <c r="AA36" s="1012"/>
      <c r="AB36" s="1042">
        <f t="shared" si="2"/>
        <v>586.1424978137652</v>
      </c>
      <c r="AC36" s="75">
        <f t="shared" si="3"/>
        <v>0</v>
      </c>
    </row>
    <row r="37" spans="4:29" x14ac:dyDescent="0.35">
      <c r="D37" s="56" t="s">
        <v>387</v>
      </c>
      <c r="E37" s="56">
        <v>3</v>
      </c>
      <c r="F37" s="1033">
        <v>3</v>
      </c>
      <c r="G37" s="1033">
        <f t="shared" si="0"/>
        <v>7.5</v>
      </c>
      <c r="H37" s="1033">
        <f t="shared" si="1"/>
        <v>0.47499999999999992</v>
      </c>
      <c r="I37" s="1033">
        <f t="shared" si="4"/>
        <v>1424.9999999999998</v>
      </c>
      <c r="J37" s="1033">
        <f t="shared" si="5"/>
        <v>0.64655172413793094</v>
      </c>
      <c r="K37" s="387"/>
      <c r="L37" s="1034"/>
      <c r="M37" s="1034"/>
      <c r="N37" s="1035"/>
      <c r="O37" s="1036"/>
      <c r="P37" s="1037">
        <v>3</v>
      </c>
      <c r="Q37" s="1038">
        <f>F$6</f>
        <v>8.1999999999999993</v>
      </c>
      <c r="R37" s="1038">
        <f>Q37*F$10</f>
        <v>0.52425333333333324</v>
      </c>
      <c r="S37" s="346">
        <f>R37*F$14</f>
        <v>1572.7599999999998</v>
      </c>
      <c r="T37" s="1033">
        <f>S37/$E$18</f>
        <v>0.71359346642468224</v>
      </c>
      <c r="U37" s="65">
        <f>T37</f>
        <v>0.71359346642468224</v>
      </c>
      <c r="V37" s="1039">
        <f>T37-J37</f>
        <v>6.7041742286751305E-2</v>
      </c>
      <c r="W37" s="3">
        <v>12451</v>
      </c>
      <c r="X37" s="1040">
        <f t="shared" si="8"/>
        <v>0.10459070099542189</v>
      </c>
      <c r="Y37" s="48">
        <v>1</v>
      </c>
      <c r="Z37" s="1041">
        <f t="shared" si="9"/>
        <v>834.73673321234048</v>
      </c>
      <c r="AA37" s="1012"/>
      <c r="AB37" s="1042">
        <f t="shared" si="2"/>
        <v>0</v>
      </c>
      <c r="AC37" s="75">
        <f t="shared" si="3"/>
        <v>834.73673321234048</v>
      </c>
    </row>
    <row r="38" spans="4:29" x14ac:dyDescent="0.35">
      <c r="D38" s="56" t="s">
        <v>387</v>
      </c>
      <c r="E38" s="56">
        <v>4</v>
      </c>
      <c r="F38" s="1033">
        <v>3</v>
      </c>
      <c r="G38" s="1033">
        <f t="shared" si="0"/>
        <v>7.5</v>
      </c>
      <c r="H38" s="1033">
        <f t="shared" si="1"/>
        <v>0.47499999999999992</v>
      </c>
      <c r="I38" s="1033">
        <f t="shared" si="4"/>
        <v>1424.9999999999998</v>
      </c>
      <c r="J38" s="1033">
        <f t="shared" si="5"/>
        <v>0.64655172413793094</v>
      </c>
      <c r="K38" s="387"/>
      <c r="L38" s="1034"/>
      <c r="M38" s="1034"/>
      <c r="N38" s="1035"/>
      <c r="O38" s="1036"/>
      <c r="P38" s="1037">
        <v>3</v>
      </c>
      <c r="Q38" s="1038">
        <f t="shared" ref="Q38:Q48" si="10">F$6</f>
        <v>8.1999999999999993</v>
      </c>
      <c r="R38" s="1038">
        <f t="shared" ref="R38:R48" si="11">Q38*F$10</f>
        <v>0.52425333333333324</v>
      </c>
      <c r="S38" s="346">
        <f t="shared" ref="S38:S48" si="12">R38*F$14</f>
        <v>1572.7599999999998</v>
      </c>
      <c r="T38" s="1033">
        <f t="shared" ref="T38:T48" si="13">S38/$E$18</f>
        <v>0.71359346642468224</v>
      </c>
      <c r="U38" s="65">
        <f>T38</f>
        <v>0.71359346642468224</v>
      </c>
      <c r="V38" s="1039">
        <f>T38-J38</f>
        <v>6.7041742286751305E-2</v>
      </c>
      <c r="W38" s="3">
        <v>6267</v>
      </c>
      <c r="X38" s="1040">
        <f t="shared" si="8"/>
        <v>5.2643958167079674E-2</v>
      </c>
      <c r="Y38" s="48">
        <v>1</v>
      </c>
      <c r="Z38" s="1041">
        <f t="shared" si="9"/>
        <v>420.1505989110704</v>
      </c>
      <c r="AA38" s="1012"/>
      <c r="AB38" s="1042">
        <f t="shared" si="2"/>
        <v>0</v>
      </c>
      <c r="AC38" s="75">
        <f t="shared" si="3"/>
        <v>420.1505989110704</v>
      </c>
    </row>
    <row r="39" spans="4:29" x14ac:dyDescent="0.35">
      <c r="D39" s="56" t="s">
        <v>314</v>
      </c>
      <c r="E39" s="56">
        <v>5</v>
      </c>
      <c r="F39" s="1033">
        <v>3</v>
      </c>
      <c r="G39" s="1033">
        <f t="shared" si="0"/>
        <v>7.5</v>
      </c>
      <c r="H39" s="1033">
        <f t="shared" si="1"/>
        <v>0.47499999999999992</v>
      </c>
      <c r="I39" s="1033">
        <f t="shared" si="4"/>
        <v>1424.9999999999998</v>
      </c>
      <c r="J39" s="1033">
        <f t="shared" si="5"/>
        <v>0.64655172413793094</v>
      </c>
      <c r="K39" s="387">
        <v>50</v>
      </c>
      <c r="L39" s="1034">
        <f>H$6</f>
        <v>1.76</v>
      </c>
      <c r="M39" s="1034">
        <f>(L39*$H$10)</f>
        <v>0.13388184615384616</v>
      </c>
      <c r="N39" s="1035">
        <f t="shared" si="6"/>
        <v>398.96790153846155</v>
      </c>
      <c r="O39" s="1036">
        <f t="shared" si="7"/>
        <v>0.18101991902834008</v>
      </c>
      <c r="P39" s="1037"/>
      <c r="Q39" s="1038"/>
      <c r="R39" s="1038"/>
      <c r="S39" s="346"/>
      <c r="T39" s="1033">
        <f>J39</f>
        <v>0.64655172413793094</v>
      </c>
      <c r="U39" s="65">
        <f>J39+O39</f>
        <v>0.82757164316627096</v>
      </c>
      <c r="V39" s="1039">
        <f>O39</f>
        <v>0.18101991902834008</v>
      </c>
      <c r="W39" s="3">
        <v>1258</v>
      </c>
      <c r="X39" s="1040">
        <f t="shared" si="8"/>
        <v>1.0567432483514638E-2</v>
      </c>
      <c r="Y39" s="48">
        <v>1</v>
      </c>
      <c r="Z39" s="1041">
        <f t="shared" si="9"/>
        <v>227.72305813765183</v>
      </c>
      <c r="AA39" s="1012"/>
      <c r="AB39" s="1042">
        <f t="shared" si="2"/>
        <v>227.72305813765183</v>
      </c>
      <c r="AC39" s="75">
        <f t="shared" si="3"/>
        <v>0</v>
      </c>
    </row>
    <row r="40" spans="4:29" x14ac:dyDescent="0.35">
      <c r="D40" s="56" t="s">
        <v>314</v>
      </c>
      <c r="E40" s="56">
        <v>6</v>
      </c>
      <c r="F40" s="1033">
        <v>3</v>
      </c>
      <c r="G40" s="1033">
        <f t="shared" si="0"/>
        <v>7.5</v>
      </c>
      <c r="H40" s="1033">
        <f t="shared" si="1"/>
        <v>0.47499999999999992</v>
      </c>
      <c r="I40" s="1033">
        <f t="shared" si="4"/>
        <v>1424.9999999999998</v>
      </c>
      <c r="J40" s="1033">
        <f t="shared" si="5"/>
        <v>0.64655172413793094</v>
      </c>
      <c r="K40" s="387">
        <v>50</v>
      </c>
      <c r="L40" s="1034">
        <f t="shared" ref="L40:L46" si="14">H$6</f>
        <v>1.76</v>
      </c>
      <c r="M40" s="1034">
        <f t="shared" ref="M40:M50" si="15">(L40*$H$10)</f>
        <v>0.13388184615384616</v>
      </c>
      <c r="N40" s="1035">
        <f t="shared" si="6"/>
        <v>398.96790153846155</v>
      </c>
      <c r="O40" s="1036">
        <f t="shared" si="7"/>
        <v>0.18101991902834008</v>
      </c>
      <c r="P40" s="1037"/>
      <c r="Q40" s="1038"/>
      <c r="R40" s="1038"/>
      <c r="S40" s="346"/>
      <c r="T40" s="1033">
        <f>J40</f>
        <v>0.64655172413793094</v>
      </c>
      <c r="U40" s="65">
        <f t="shared" ref="U40:U46" si="16">J40+O40</f>
        <v>0.82757164316627096</v>
      </c>
      <c r="V40" s="1039">
        <f t="shared" ref="V40:V46" si="17">O40</f>
        <v>0.18101991902834008</v>
      </c>
      <c r="W40" s="3">
        <v>6617</v>
      </c>
      <c r="X40" s="1040">
        <f t="shared" si="8"/>
        <v>5.5584022848502668E-2</v>
      </c>
      <c r="Y40" s="48">
        <v>1</v>
      </c>
      <c r="Z40" s="1041">
        <f t="shared" si="9"/>
        <v>1197.8088042105264</v>
      </c>
      <c r="AA40" s="1012"/>
      <c r="AB40" s="1042">
        <f t="shared" si="2"/>
        <v>1197.8088042105264</v>
      </c>
      <c r="AC40" s="75">
        <f t="shared" si="3"/>
        <v>0</v>
      </c>
    </row>
    <row r="41" spans="4:29" x14ac:dyDescent="0.35">
      <c r="D41" s="56" t="s">
        <v>314</v>
      </c>
      <c r="E41" s="56">
        <v>7</v>
      </c>
      <c r="F41" s="1033">
        <v>3</v>
      </c>
      <c r="G41" s="1033">
        <f t="shared" si="0"/>
        <v>7.5</v>
      </c>
      <c r="H41" s="1033">
        <f t="shared" si="1"/>
        <v>0.47499999999999992</v>
      </c>
      <c r="I41" s="1033">
        <f t="shared" si="4"/>
        <v>1424.9999999999998</v>
      </c>
      <c r="J41" s="1033">
        <f t="shared" si="5"/>
        <v>0.64655172413793094</v>
      </c>
      <c r="K41" s="387">
        <v>50</v>
      </c>
      <c r="L41" s="1034">
        <f t="shared" si="14"/>
        <v>1.76</v>
      </c>
      <c r="M41" s="1034">
        <f t="shared" si="15"/>
        <v>0.13388184615384616</v>
      </c>
      <c r="N41" s="1035">
        <f t="shared" si="6"/>
        <v>398.96790153846155</v>
      </c>
      <c r="O41" s="1036">
        <f t="shared" si="7"/>
        <v>0.18101991902834008</v>
      </c>
      <c r="P41" s="1037"/>
      <c r="Q41" s="1038"/>
      <c r="R41" s="1038"/>
      <c r="S41" s="346"/>
      <c r="T41" s="1033">
        <f>J41</f>
        <v>0.64655172413793094</v>
      </c>
      <c r="U41" s="65">
        <f t="shared" si="16"/>
        <v>0.82757164316627096</v>
      </c>
      <c r="V41" s="1039">
        <f t="shared" si="17"/>
        <v>0.18101991902834008</v>
      </c>
      <c r="W41" s="3">
        <v>5299</v>
      </c>
      <c r="X41" s="1040">
        <f t="shared" si="8"/>
        <v>4.4512579276744089E-2</v>
      </c>
      <c r="Y41" s="48">
        <v>1</v>
      </c>
      <c r="Z41" s="1041">
        <f t="shared" si="9"/>
        <v>959.22455093117412</v>
      </c>
      <c r="AA41" s="1012"/>
      <c r="AB41" s="1042">
        <f t="shared" si="2"/>
        <v>959.22455093117412</v>
      </c>
      <c r="AC41" s="75">
        <f t="shared" si="3"/>
        <v>0</v>
      </c>
    </row>
    <row r="42" spans="4:29" x14ac:dyDescent="0.35">
      <c r="D42" s="56" t="s">
        <v>314</v>
      </c>
      <c r="E42" s="56">
        <v>8</v>
      </c>
      <c r="F42" s="1033">
        <v>3</v>
      </c>
      <c r="G42" s="1033">
        <f>F42*$E$15</f>
        <v>7.5</v>
      </c>
      <c r="H42" s="1033">
        <f t="shared" si="1"/>
        <v>0.47499999999999992</v>
      </c>
      <c r="I42" s="1033">
        <f t="shared" si="4"/>
        <v>1424.9999999999998</v>
      </c>
      <c r="J42" s="1033">
        <f t="shared" si="5"/>
        <v>0.64655172413793094</v>
      </c>
      <c r="K42" s="387">
        <v>50</v>
      </c>
      <c r="L42" s="1034">
        <f t="shared" si="14"/>
        <v>1.76</v>
      </c>
      <c r="M42" s="1034">
        <f t="shared" si="15"/>
        <v>0.13388184615384616</v>
      </c>
      <c r="N42" s="1035">
        <f>M42*H$14</f>
        <v>398.96790153846155</v>
      </c>
      <c r="O42" s="1036">
        <f t="shared" si="7"/>
        <v>0.18101991902834008</v>
      </c>
      <c r="P42" s="1037"/>
      <c r="Q42" s="1038"/>
      <c r="R42" s="1038"/>
      <c r="S42" s="346"/>
      <c r="T42" s="1033">
        <f>J42</f>
        <v>0.64655172413793094</v>
      </c>
      <c r="U42" s="65">
        <f t="shared" si="16"/>
        <v>0.82757164316627096</v>
      </c>
      <c r="V42" s="1039">
        <f t="shared" si="17"/>
        <v>0.18101991902834008</v>
      </c>
      <c r="W42" s="3">
        <v>9870</v>
      </c>
      <c r="X42" s="1040">
        <f t="shared" si="8"/>
        <v>8.2909824016128356E-2</v>
      </c>
      <c r="Y42" s="48">
        <v>1</v>
      </c>
      <c r="Z42" s="1041">
        <f t="shared" si="9"/>
        <v>1786.6666008097166</v>
      </c>
      <c r="AA42" s="1012"/>
      <c r="AB42" s="1042">
        <f t="shared" si="2"/>
        <v>1786.6666008097166</v>
      </c>
      <c r="AC42" s="75">
        <f t="shared" si="3"/>
        <v>0</v>
      </c>
    </row>
    <row r="43" spans="4:29" x14ac:dyDescent="0.35">
      <c r="D43" s="56" t="s">
        <v>314</v>
      </c>
      <c r="E43" s="56">
        <v>9</v>
      </c>
      <c r="F43" s="1033">
        <v>3</v>
      </c>
      <c r="G43" s="1033">
        <f t="shared" si="0"/>
        <v>7.5</v>
      </c>
      <c r="H43" s="1033">
        <f t="shared" si="1"/>
        <v>0.47499999999999992</v>
      </c>
      <c r="I43" s="1033">
        <f t="shared" si="4"/>
        <v>1424.9999999999998</v>
      </c>
      <c r="J43" s="1033">
        <f t="shared" si="5"/>
        <v>0.64655172413793094</v>
      </c>
      <c r="K43" s="387">
        <v>50</v>
      </c>
      <c r="L43" s="1034">
        <f t="shared" si="14"/>
        <v>1.76</v>
      </c>
      <c r="M43" s="1034">
        <f t="shared" si="15"/>
        <v>0.13388184615384616</v>
      </c>
      <c r="N43" s="1035">
        <f t="shared" si="6"/>
        <v>398.96790153846155</v>
      </c>
      <c r="O43" s="1036">
        <f t="shared" si="7"/>
        <v>0.18101991902834008</v>
      </c>
      <c r="P43" s="1037"/>
      <c r="Q43" s="1038"/>
      <c r="R43" s="1038"/>
      <c r="S43" s="346"/>
      <c r="T43" s="1033">
        <f>J43</f>
        <v>0.64655172413793094</v>
      </c>
      <c r="U43" s="65">
        <f t="shared" si="16"/>
        <v>0.82757164316627096</v>
      </c>
      <c r="V43" s="1039">
        <f t="shared" si="17"/>
        <v>0.18101991902834008</v>
      </c>
      <c r="W43" s="3">
        <v>13622</v>
      </c>
      <c r="X43" s="1040">
        <f t="shared" si="8"/>
        <v>0.11442731740098282</v>
      </c>
      <c r="Y43" s="48">
        <v>1</v>
      </c>
      <c r="Z43" s="1041">
        <f t="shared" si="9"/>
        <v>2465.8533370040486</v>
      </c>
      <c r="AA43" s="1012"/>
      <c r="AB43" s="1042">
        <f t="shared" si="2"/>
        <v>2465.8533370040486</v>
      </c>
      <c r="AC43" s="75">
        <f t="shared" si="3"/>
        <v>0</v>
      </c>
    </row>
    <row r="44" spans="4:29" x14ac:dyDescent="0.35">
      <c r="D44" s="56" t="s">
        <v>387</v>
      </c>
      <c r="E44" s="56">
        <v>10</v>
      </c>
      <c r="F44" s="1033">
        <v>3</v>
      </c>
      <c r="G44" s="1033">
        <f t="shared" si="0"/>
        <v>7.5</v>
      </c>
      <c r="H44" s="1033">
        <f t="shared" si="1"/>
        <v>0.47499999999999992</v>
      </c>
      <c r="I44" s="1033">
        <f t="shared" si="4"/>
        <v>1424.9999999999998</v>
      </c>
      <c r="J44" s="1033">
        <f t="shared" si="5"/>
        <v>0.64655172413793094</v>
      </c>
      <c r="K44" s="387"/>
      <c r="L44" s="1034"/>
      <c r="M44" s="1034"/>
      <c r="N44" s="1035">
        <f t="shared" si="6"/>
        <v>0</v>
      </c>
      <c r="O44" s="1036"/>
      <c r="P44" s="1037">
        <v>3</v>
      </c>
      <c r="Q44" s="1038">
        <f t="shared" si="10"/>
        <v>8.1999999999999993</v>
      </c>
      <c r="R44" s="1038">
        <f t="shared" si="11"/>
        <v>0.52425333333333324</v>
      </c>
      <c r="S44" s="346">
        <f t="shared" si="12"/>
        <v>1572.7599999999998</v>
      </c>
      <c r="T44" s="1033">
        <f t="shared" si="13"/>
        <v>0.71359346642468224</v>
      </c>
      <c r="U44" s="65">
        <f>T44</f>
        <v>0.71359346642468224</v>
      </c>
      <c r="V44" s="1039">
        <f>T44-J44</f>
        <v>6.7041742286751305E-2</v>
      </c>
      <c r="W44" s="3">
        <v>17792</v>
      </c>
      <c r="X44" s="1040">
        <f t="shared" si="8"/>
        <v>0.14945608803393676</v>
      </c>
      <c r="Y44" s="48">
        <v>1</v>
      </c>
      <c r="Z44" s="1041">
        <f t="shared" si="9"/>
        <v>1192.8066787658793</v>
      </c>
      <c r="AA44" s="1012"/>
      <c r="AB44" s="1042">
        <f t="shared" si="2"/>
        <v>0</v>
      </c>
      <c r="AC44" s="75">
        <f t="shared" si="3"/>
        <v>1192.8066787658793</v>
      </c>
    </row>
    <row r="45" spans="4:29" x14ac:dyDescent="0.35">
      <c r="D45" s="56" t="s">
        <v>314</v>
      </c>
      <c r="E45" s="56">
        <v>11</v>
      </c>
      <c r="F45" s="1033">
        <v>3</v>
      </c>
      <c r="G45" s="1033">
        <f t="shared" si="0"/>
        <v>7.5</v>
      </c>
      <c r="H45" s="1033">
        <f t="shared" si="1"/>
        <v>0.47499999999999992</v>
      </c>
      <c r="I45" s="1033">
        <f t="shared" si="4"/>
        <v>1424.9999999999998</v>
      </c>
      <c r="J45" s="1033">
        <f t="shared" si="5"/>
        <v>0.64655172413793094</v>
      </c>
      <c r="K45" s="387">
        <v>50</v>
      </c>
      <c r="L45" s="1034">
        <f t="shared" si="14"/>
        <v>1.76</v>
      </c>
      <c r="M45" s="1034">
        <f t="shared" si="15"/>
        <v>0.13388184615384616</v>
      </c>
      <c r="N45" s="1035">
        <f t="shared" si="6"/>
        <v>398.96790153846155</v>
      </c>
      <c r="O45" s="1036">
        <f t="shared" si="7"/>
        <v>0.18101991902834008</v>
      </c>
      <c r="P45" s="1037"/>
      <c r="Q45" s="1038"/>
      <c r="R45" s="1038"/>
      <c r="S45" s="346"/>
      <c r="T45" s="1033">
        <f>J45</f>
        <v>0.64655172413793094</v>
      </c>
      <c r="U45" s="65">
        <f t="shared" si="16"/>
        <v>0.82757164316627096</v>
      </c>
      <c r="V45" s="1039">
        <f t="shared" si="17"/>
        <v>0.18101991902834008</v>
      </c>
      <c r="W45" s="3">
        <v>5145</v>
      </c>
      <c r="X45" s="1040">
        <f t="shared" si="8"/>
        <v>4.321895081691797E-2</v>
      </c>
      <c r="Y45" s="48">
        <v>1</v>
      </c>
      <c r="Z45" s="1041">
        <f t="shared" si="9"/>
        <v>931.34748340080966</v>
      </c>
      <c r="AA45" s="1012"/>
      <c r="AB45" s="1042">
        <f t="shared" si="2"/>
        <v>931.34748340080966</v>
      </c>
      <c r="AC45" s="75">
        <f t="shared" si="3"/>
        <v>0</v>
      </c>
    </row>
    <row r="46" spans="4:29" x14ac:dyDescent="0.35">
      <c r="D46" s="56" t="s">
        <v>314</v>
      </c>
      <c r="E46" s="56">
        <v>12</v>
      </c>
      <c r="F46" s="1033">
        <v>3</v>
      </c>
      <c r="G46" s="1033">
        <f t="shared" si="0"/>
        <v>7.5</v>
      </c>
      <c r="H46" s="1033">
        <f t="shared" si="1"/>
        <v>0.47499999999999992</v>
      </c>
      <c r="I46" s="1033">
        <f t="shared" si="4"/>
        <v>1424.9999999999998</v>
      </c>
      <c r="J46" s="1033">
        <f t="shared" si="5"/>
        <v>0.64655172413793094</v>
      </c>
      <c r="K46" s="387">
        <v>50</v>
      </c>
      <c r="L46" s="1034">
        <f t="shared" si="14"/>
        <v>1.76</v>
      </c>
      <c r="M46" s="1034">
        <f t="shared" si="15"/>
        <v>0.13388184615384616</v>
      </c>
      <c r="N46" s="1035">
        <f t="shared" si="6"/>
        <v>398.96790153846155</v>
      </c>
      <c r="O46" s="1036">
        <f t="shared" si="7"/>
        <v>0.18101991902834008</v>
      </c>
      <c r="P46" s="1037"/>
      <c r="Q46" s="1038"/>
      <c r="R46" s="1038"/>
      <c r="S46" s="346"/>
      <c r="T46" s="1033">
        <f>J46</f>
        <v>0.64655172413793094</v>
      </c>
      <c r="U46" s="65">
        <f t="shared" si="16"/>
        <v>0.82757164316627096</v>
      </c>
      <c r="V46" s="1039">
        <f t="shared" si="17"/>
        <v>0.18101991902834008</v>
      </c>
      <c r="W46" s="3">
        <v>19927</v>
      </c>
      <c r="X46" s="1040">
        <f t="shared" si="8"/>
        <v>0.16739048259061701</v>
      </c>
      <c r="Y46" s="48">
        <v>1</v>
      </c>
      <c r="Z46" s="1041">
        <f t="shared" si="9"/>
        <v>3607.1839264777327</v>
      </c>
      <c r="AA46" s="1012"/>
      <c r="AB46" s="1042">
        <f t="shared" si="2"/>
        <v>3607.1839264777327</v>
      </c>
      <c r="AC46" s="75">
        <f t="shared" si="3"/>
        <v>0</v>
      </c>
    </row>
    <row r="47" spans="4:29" x14ac:dyDescent="0.35">
      <c r="D47" s="56" t="s">
        <v>387</v>
      </c>
      <c r="E47" s="56">
        <v>13</v>
      </c>
      <c r="F47" s="1033">
        <v>3</v>
      </c>
      <c r="G47" s="1033">
        <f t="shared" si="0"/>
        <v>7.5</v>
      </c>
      <c r="H47" s="1033">
        <f t="shared" si="1"/>
        <v>0.47499999999999992</v>
      </c>
      <c r="I47" s="1033">
        <f t="shared" si="4"/>
        <v>1424.9999999999998</v>
      </c>
      <c r="J47" s="1033">
        <f t="shared" si="5"/>
        <v>0.64655172413793094</v>
      </c>
      <c r="K47" s="387"/>
      <c r="L47" s="1034"/>
      <c r="M47" s="1034"/>
      <c r="N47" s="1035"/>
      <c r="O47" s="1036"/>
      <c r="P47" s="1037">
        <v>3</v>
      </c>
      <c r="Q47" s="1038">
        <f t="shared" si="10"/>
        <v>8.1999999999999993</v>
      </c>
      <c r="R47" s="1038">
        <f t="shared" si="11"/>
        <v>0.52425333333333324</v>
      </c>
      <c r="S47" s="346">
        <f t="shared" si="12"/>
        <v>1572.7599999999998</v>
      </c>
      <c r="T47" s="1033">
        <f t="shared" si="13"/>
        <v>0.71359346642468224</v>
      </c>
      <c r="U47" s="65">
        <f>T47</f>
        <v>0.71359346642468224</v>
      </c>
      <c r="V47" s="1039">
        <f>T47-J47</f>
        <v>6.7041742286751305E-2</v>
      </c>
      <c r="W47" s="3">
        <v>8790</v>
      </c>
      <c r="X47" s="1040">
        <f t="shared" si="8"/>
        <v>7.3837624427737406E-2</v>
      </c>
      <c r="Y47" s="48">
        <v>1</v>
      </c>
      <c r="Z47" s="1041">
        <f t="shared" si="9"/>
        <v>589.29691470054399</v>
      </c>
      <c r="AA47" s="1012"/>
      <c r="AB47" s="1042">
        <f t="shared" si="2"/>
        <v>0</v>
      </c>
      <c r="AC47" s="75">
        <f t="shared" si="3"/>
        <v>589.29691470054399</v>
      </c>
    </row>
    <row r="48" spans="4:29" x14ac:dyDescent="0.35">
      <c r="D48" s="56" t="s">
        <v>387</v>
      </c>
      <c r="E48" s="56">
        <v>14</v>
      </c>
      <c r="F48" s="1033">
        <v>3</v>
      </c>
      <c r="G48" s="1033">
        <f t="shared" si="0"/>
        <v>7.5</v>
      </c>
      <c r="H48" s="1033">
        <f t="shared" si="1"/>
        <v>0.47499999999999992</v>
      </c>
      <c r="I48" s="1033">
        <f t="shared" si="4"/>
        <v>1424.9999999999998</v>
      </c>
      <c r="J48" s="1033">
        <f t="shared" si="5"/>
        <v>0.64655172413793094</v>
      </c>
      <c r="K48" s="387"/>
      <c r="L48" s="1034"/>
      <c r="M48" s="1034"/>
      <c r="N48" s="1035"/>
      <c r="O48" s="1036"/>
      <c r="P48" s="1037">
        <v>3</v>
      </c>
      <c r="Q48" s="1038">
        <f t="shared" si="10"/>
        <v>8.1999999999999993</v>
      </c>
      <c r="R48" s="1038">
        <f t="shared" si="11"/>
        <v>0.52425333333333324</v>
      </c>
      <c r="S48" s="346">
        <f t="shared" si="12"/>
        <v>1572.7599999999998</v>
      </c>
      <c r="T48" s="1033">
        <f t="shared" si="13"/>
        <v>0.71359346642468224</v>
      </c>
      <c r="U48" s="65">
        <f>T48</f>
        <v>0.71359346642468224</v>
      </c>
      <c r="V48" s="1039">
        <f>T48-J48</f>
        <v>6.7041742286751305E-2</v>
      </c>
      <c r="W48" s="3">
        <v>3401</v>
      </c>
      <c r="X48" s="1040">
        <f t="shared" si="8"/>
        <v>2.8569028518627408E-2</v>
      </c>
      <c r="Y48" s="48">
        <v>1</v>
      </c>
      <c r="Z48" s="1041">
        <f t="shared" si="9"/>
        <v>228.00896551724119</v>
      </c>
      <c r="AA48" s="1012"/>
      <c r="AB48" s="1042">
        <f t="shared" si="2"/>
        <v>0</v>
      </c>
      <c r="AC48" s="75">
        <f t="shared" si="3"/>
        <v>228.00896551724119</v>
      </c>
    </row>
    <row r="49" spans="4:29" x14ac:dyDescent="0.35">
      <c r="D49" s="56" t="s">
        <v>314</v>
      </c>
      <c r="E49" s="56">
        <v>15</v>
      </c>
      <c r="F49" s="1033">
        <v>3</v>
      </c>
      <c r="G49" s="1033">
        <f t="shared" si="0"/>
        <v>7.5</v>
      </c>
      <c r="H49" s="1033">
        <f t="shared" si="1"/>
        <v>0.47499999999999992</v>
      </c>
      <c r="I49" s="1033">
        <f t="shared" si="4"/>
        <v>1424.9999999999998</v>
      </c>
      <c r="J49" s="1033">
        <f t="shared" si="5"/>
        <v>0.64655172413793094</v>
      </c>
      <c r="K49" s="387">
        <v>50</v>
      </c>
      <c r="L49" s="1034">
        <f t="shared" ref="L49:L50" si="18">H$6</f>
        <v>1.76</v>
      </c>
      <c r="M49" s="1034">
        <f t="shared" si="15"/>
        <v>0.13388184615384616</v>
      </c>
      <c r="N49" s="1035">
        <f t="shared" si="6"/>
        <v>398.96790153846155</v>
      </c>
      <c r="O49" s="1036">
        <f t="shared" si="7"/>
        <v>0.18101991902834008</v>
      </c>
      <c r="P49" s="1037"/>
      <c r="Q49" s="1038"/>
      <c r="R49" s="1038"/>
      <c r="S49" s="346"/>
      <c r="T49" s="1033">
        <f>J49</f>
        <v>0.64655172413793094</v>
      </c>
      <c r="U49" s="65">
        <f t="shared" ref="U49" si="19">J49+O49</f>
        <v>0.82757164316627096</v>
      </c>
      <c r="V49" s="1039">
        <f t="shared" ref="V49:V50" si="20">O49</f>
        <v>0.18101991902834008</v>
      </c>
      <c r="W49" s="3">
        <v>3389</v>
      </c>
      <c r="X49" s="1040">
        <f t="shared" si="8"/>
        <v>2.8468226300978623E-2</v>
      </c>
      <c r="Y49" s="48">
        <v>1</v>
      </c>
      <c r="Z49" s="1041">
        <f t="shared" si="9"/>
        <v>613.47650558704458</v>
      </c>
      <c r="AA49" s="1012"/>
      <c r="AB49" s="1042">
        <f t="shared" si="2"/>
        <v>613.47650558704458</v>
      </c>
      <c r="AC49" s="75">
        <f t="shared" si="3"/>
        <v>0</v>
      </c>
    </row>
    <row r="50" spans="4:29" x14ac:dyDescent="0.35">
      <c r="D50" s="56" t="s">
        <v>314</v>
      </c>
      <c r="E50" s="56">
        <v>16</v>
      </c>
      <c r="F50" s="1033">
        <v>3</v>
      </c>
      <c r="G50" s="1033">
        <f t="shared" si="0"/>
        <v>7.5</v>
      </c>
      <c r="H50" s="1033">
        <f t="shared" si="1"/>
        <v>0.47499999999999992</v>
      </c>
      <c r="I50" s="1033">
        <f t="shared" si="4"/>
        <v>1424.9999999999998</v>
      </c>
      <c r="J50" s="1033">
        <f t="shared" si="5"/>
        <v>0.64655172413793094</v>
      </c>
      <c r="K50" s="387">
        <v>50</v>
      </c>
      <c r="L50" s="1034">
        <f t="shared" si="18"/>
        <v>1.76</v>
      </c>
      <c r="M50" s="1034">
        <f t="shared" si="15"/>
        <v>0.13388184615384616</v>
      </c>
      <c r="N50" s="1035">
        <f t="shared" si="6"/>
        <v>398.96790153846155</v>
      </c>
      <c r="O50" s="1036">
        <f t="shared" si="7"/>
        <v>0.18101991902834008</v>
      </c>
      <c r="P50" s="1037"/>
      <c r="Q50" s="1038"/>
      <c r="R50" s="1038"/>
      <c r="S50" s="346"/>
      <c r="T50" s="1033">
        <f>J50</f>
        <v>0.64655172413793094</v>
      </c>
      <c r="U50" s="65">
        <f>J50+O50</f>
        <v>0.82757164316627096</v>
      </c>
      <c r="V50" s="1039">
        <f t="shared" si="20"/>
        <v>0.18101991902834008</v>
      </c>
      <c r="W50" s="3">
        <v>1434</v>
      </c>
      <c r="X50" s="1040">
        <f t="shared" si="8"/>
        <v>1.2045865009030198E-2</v>
      </c>
      <c r="Y50" s="48">
        <v>1</v>
      </c>
      <c r="Z50" s="1041">
        <f t="shared" si="9"/>
        <v>259.58256388663966</v>
      </c>
      <c r="AA50" s="1044"/>
      <c r="AB50" s="334">
        <f t="shared" si="2"/>
        <v>259.58256388663966</v>
      </c>
      <c r="AC50" s="75">
        <f t="shared" si="3"/>
        <v>0</v>
      </c>
    </row>
    <row r="51" spans="4:29" ht="22.5" customHeight="1" x14ac:dyDescent="0.35">
      <c r="D51" s="56"/>
      <c r="E51" s="362" t="s">
        <v>79</v>
      </c>
      <c r="F51" s="1045"/>
      <c r="G51" s="1045"/>
      <c r="H51" s="1045"/>
      <c r="I51" s="1045"/>
      <c r="J51" s="1046">
        <f>SUM(J35:J50)</f>
        <v>10.344827586206893</v>
      </c>
      <c r="K51" s="362"/>
      <c r="L51" s="362"/>
      <c r="M51" s="362"/>
      <c r="N51" s="362"/>
      <c r="O51" s="1119">
        <f>SUM(O35:O50)</f>
        <v>1.9912191093117413</v>
      </c>
      <c r="P51" s="1045"/>
      <c r="Q51" s="1045"/>
      <c r="R51" s="1045"/>
      <c r="S51" s="1045"/>
      <c r="T51" s="1046">
        <f>SUM(T35:T50)</f>
        <v>10.680036297640648</v>
      </c>
      <c r="U51" s="1048">
        <f>SUM(U35:U50)</f>
        <v>12.671255406952392</v>
      </c>
      <c r="V51" s="1048">
        <f>SUM(V35:V50)</f>
        <v>2.3264278207454976</v>
      </c>
      <c r="W51" s="1049">
        <v>119045</v>
      </c>
      <c r="X51" s="1050">
        <f>SUM(X35:X50)</f>
        <v>1.0000000000000002</v>
      </c>
      <c r="Y51" s="362"/>
      <c r="Z51" s="1047">
        <f>SUM(Z35:Z50)</f>
        <v>15998.665075236629</v>
      </c>
      <c r="AB51" s="1047">
        <f>SUM(AB35:AB50)</f>
        <v>12733.665184129555</v>
      </c>
      <c r="AC51" s="1047">
        <f>SUM(AC35:AC50)</f>
        <v>3264.9998911070757</v>
      </c>
    </row>
    <row r="52" spans="4:29" x14ac:dyDescent="0.35">
      <c r="H52" s="1051"/>
    </row>
    <row r="53" spans="4:29" x14ac:dyDescent="0.35">
      <c r="F53" s="351"/>
      <c r="G53" s="350"/>
    </row>
    <row r="54" spans="4:29" x14ac:dyDescent="0.35">
      <c r="E54" s="333" t="s">
        <v>0</v>
      </c>
      <c r="G54" s="1115" t="s">
        <v>366</v>
      </c>
    </row>
    <row r="55" spans="4:29" x14ac:dyDescent="0.35">
      <c r="E55" t="s">
        <v>13</v>
      </c>
      <c r="G55" s="1115">
        <v>1</v>
      </c>
      <c r="H55">
        <v>2700</v>
      </c>
      <c r="T55" t="str">
        <f>E55</f>
        <v>Prototype: 2700 sf</v>
      </c>
    </row>
    <row r="56" spans="4:29" ht="43.5" x14ac:dyDescent="0.35">
      <c r="D56" s="56"/>
      <c r="E56" s="56"/>
      <c r="F56" s="1028" t="s">
        <v>367</v>
      </c>
      <c r="G56" s="1028"/>
      <c r="H56" s="1028"/>
      <c r="I56" s="1028"/>
      <c r="J56" s="1028"/>
      <c r="K56" s="1029" t="s">
        <v>368</v>
      </c>
      <c r="L56" s="1029"/>
      <c r="M56" s="1029"/>
      <c r="N56" s="1029"/>
      <c r="O56" s="1029"/>
      <c r="P56" s="1241" t="s">
        <v>388</v>
      </c>
      <c r="Q56" s="1242"/>
      <c r="R56" s="1242"/>
      <c r="S56" s="1242"/>
      <c r="T56" s="1243"/>
      <c r="U56" s="1030" t="s">
        <v>370</v>
      </c>
      <c r="V56" s="40" t="s">
        <v>371</v>
      </c>
      <c r="W56" s="1158" t="s">
        <v>4</v>
      </c>
      <c r="X56" s="1158"/>
      <c r="Y56" s="1158"/>
      <c r="Z56" s="1031" t="s">
        <v>372</v>
      </c>
      <c r="AA56" s="1115"/>
      <c r="AB56" s="1115"/>
      <c r="AC56" s="13"/>
    </row>
    <row r="57" spans="4:29" ht="87" x14ac:dyDescent="0.35">
      <c r="D57" s="360" t="s">
        <v>373</v>
      </c>
      <c r="E57" s="360" t="s">
        <v>5</v>
      </c>
      <c r="F57" s="18" t="s">
        <v>374</v>
      </c>
      <c r="G57" s="18" t="s">
        <v>375</v>
      </c>
      <c r="H57" s="18" t="s">
        <v>376</v>
      </c>
      <c r="I57" s="18" t="s">
        <v>377</v>
      </c>
      <c r="J57" s="18" t="s">
        <v>378</v>
      </c>
      <c r="K57" s="1032" t="s">
        <v>379</v>
      </c>
      <c r="L57" s="1032" t="s">
        <v>375</v>
      </c>
      <c r="M57" s="1032" t="s">
        <v>380</v>
      </c>
      <c r="N57" s="4" t="s">
        <v>381</v>
      </c>
      <c r="O57" s="4" t="s">
        <v>378</v>
      </c>
      <c r="P57" s="18" t="s">
        <v>389</v>
      </c>
      <c r="Q57" s="18" t="s">
        <v>375</v>
      </c>
      <c r="R57" s="18" t="s">
        <v>380</v>
      </c>
      <c r="S57" s="18" t="s">
        <v>381</v>
      </c>
      <c r="T57" s="18" t="s">
        <v>378</v>
      </c>
      <c r="U57" s="40" t="s">
        <v>383</v>
      </c>
      <c r="V57" s="40" t="s">
        <v>383</v>
      </c>
      <c r="W57" s="4" t="s">
        <v>384</v>
      </c>
      <c r="X57" s="4" t="s">
        <v>11</v>
      </c>
      <c r="Y57" s="4" t="s">
        <v>385</v>
      </c>
      <c r="Z57" s="18" t="s">
        <v>386</v>
      </c>
      <c r="AA57" s="1115"/>
      <c r="AB57" s="1114" t="s">
        <v>314</v>
      </c>
      <c r="AC57" s="4" t="s">
        <v>360</v>
      </c>
    </row>
    <row r="58" spans="4:29" x14ac:dyDescent="0.35">
      <c r="D58" s="56" t="s">
        <v>314</v>
      </c>
      <c r="E58" s="56">
        <v>1</v>
      </c>
      <c r="F58" s="1033">
        <v>4</v>
      </c>
      <c r="G58" s="1033">
        <f>F58*$E$15</f>
        <v>10</v>
      </c>
      <c r="H58" s="1033">
        <f t="shared" ref="H58:H73" si="21">G58*$E$10</f>
        <v>0.6333333333333333</v>
      </c>
      <c r="I58" s="1033">
        <f>H58*$E$14</f>
        <v>1900</v>
      </c>
      <c r="J58" s="1033">
        <f>I58/$E$18</f>
        <v>0.86206896551724133</v>
      </c>
      <c r="K58" s="387">
        <v>50</v>
      </c>
      <c r="L58" s="1034">
        <f>H$6</f>
        <v>1.76</v>
      </c>
      <c r="M58" s="1034">
        <f>(L58*$H$10)</f>
        <v>0.13388184615384616</v>
      </c>
      <c r="N58" s="1035">
        <f>M58*H$14</f>
        <v>398.96790153846155</v>
      </c>
      <c r="O58" s="1120">
        <f>N58/$E$18</f>
        <v>0.18101991902834008</v>
      </c>
      <c r="P58" s="1037"/>
      <c r="Q58" s="1038"/>
      <c r="R58" s="1038"/>
      <c r="S58" s="346"/>
      <c r="T58" s="1033">
        <f>J58</f>
        <v>0.86206896551724133</v>
      </c>
      <c r="U58" s="65">
        <f>J58+O58</f>
        <v>1.0430888845455815</v>
      </c>
      <c r="V58" s="1039">
        <f>O58</f>
        <v>0.18101991902834008</v>
      </c>
      <c r="W58" s="3">
        <v>545</v>
      </c>
      <c r="X58" s="1040">
        <f t="shared" ref="X58:X73" si="22">W58/W$51</f>
        <v>4.5781007182158009E-3</v>
      </c>
      <c r="Y58" s="48">
        <v>1</v>
      </c>
      <c r="Z58" s="1041">
        <f>V58*W58*Y58</f>
        <v>98.65585587044535</v>
      </c>
      <c r="AA58" s="1012"/>
      <c r="AB58" s="334">
        <f t="shared" ref="AB58:AB73" si="23">O58*W58</f>
        <v>98.65585587044535</v>
      </c>
      <c r="AC58" s="334">
        <f t="shared" ref="AC58:AC73" si="24">(T58-J58)*W58</f>
        <v>0</v>
      </c>
    </row>
    <row r="59" spans="4:29" x14ac:dyDescent="0.35">
      <c r="D59" s="56" t="s">
        <v>314</v>
      </c>
      <c r="E59" s="56">
        <v>2</v>
      </c>
      <c r="F59" s="1033">
        <v>4</v>
      </c>
      <c r="G59" s="1033">
        <f t="shared" ref="G59:G73" si="25">F59*$E$15</f>
        <v>10</v>
      </c>
      <c r="H59" s="1033">
        <f t="shared" si="21"/>
        <v>0.6333333333333333</v>
      </c>
      <c r="I59" s="1033">
        <f t="shared" ref="I59:I73" si="26">H59*$E$14</f>
        <v>1900</v>
      </c>
      <c r="J59" s="1033">
        <f t="shared" ref="J59:J73" si="27">I59/$E$18</f>
        <v>0.86206896551724133</v>
      </c>
      <c r="K59" s="1043">
        <v>50</v>
      </c>
      <c r="L59" s="1034">
        <f>H$6</f>
        <v>1.76</v>
      </c>
      <c r="M59" s="1034">
        <f>(L59*$H$10)</f>
        <v>0.13388184615384616</v>
      </c>
      <c r="N59" s="1035">
        <f t="shared" ref="N59" si="28">M59*H$14</f>
        <v>398.96790153846155</v>
      </c>
      <c r="O59" s="1120">
        <f t="shared" ref="O59" si="29">N59/$E$18</f>
        <v>0.18101991902834008</v>
      </c>
      <c r="P59" s="1037"/>
      <c r="Q59" s="1038"/>
      <c r="R59" s="1038"/>
      <c r="S59" s="346"/>
      <c r="T59" s="1033">
        <f>J59</f>
        <v>0.86206896551724133</v>
      </c>
      <c r="U59" s="65">
        <f>J59+O59</f>
        <v>1.0430888845455815</v>
      </c>
      <c r="V59" s="1039">
        <f>O59</f>
        <v>0.18101991902834008</v>
      </c>
      <c r="W59" s="3">
        <v>3238</v>
      </c>
      <c r="X59" s="1040">
        <f t="shared" si="22"/>
        <v>2.7199798395564703E-2</v>
      </c>
      <c r="Y59" s="48">
        <v>1</v>
      </c>
      <c r="Z59" s="1041">
        <f t="shared" ref="Z59:Z73" si="30">V59*W59*Y59</f>
        <v>586.1424978137652</v>
      </c>
      <c r="AA59" s="1012"/>
      <c r="AB59" s="334">
        <f t="shared" si="23"/>
        <v>586.1424978137652</v>
      </c>
      <c r="AC59" s="334">
        <f t="shared" si="24"/>
        <v>0</v>
      </c>
    </row>
    <row r="60" spans="4:29" x14ac:dyDescent="0.35">
      <c r="D60" s="56" t="s">
        <v>387</v>
      </c>
      <c r="E60" s="56">
        <v>3</v>
      </c>
      <c r="F60" s="1033">
        <v>4</v>
      </c>
      <c r="G60" s="1033">
        <f t="shared" si="25"/>
        <v>10</v>
      </c>
      <c r="H60" s="1033">
        <f t="shared" si="21"/>
        <v>0.6333333333333333</v>
      </c>
      <c r="I60" s="1033">
        <f t="shared" si="26"/>
        <v>1900</v>
      </c>
      <c r="J60" s="1033">
        <f t="shared" si="27"/>
        <v>0.86206896551724133</v>
      </c>
      <c r="K60" s="387"/>
      <c r="L60" s="1034"/>
      <c r="M60" s="1034"/>
      <c r="N60" s="1035"/>
      <c r="O60" s="1120"/>
      <c r="P60" s="1037">
        <v>4</v>
      </c>
      <c r="Q60" s="1033">
        <f>P60*$F$15</f>
        <v>10.933333333333332</v>
      </c>
      <c r="R60" s="1038">
        <f>Q60*F$10</f>
        <v>0.69900444444444432</v>
      </c>
      <c r="S60" s="346">
        <f>R60*F$14</f>
        <v>2097.0133333333329</v>
      </c>
      <c r="T60" s="1033">
        <f>S60/$E$18</f>
        <v>0.95145795523290966</v>
      </c>
      <c r="U60" s="65">
        <f>T60</f>
        <v>0.95145795523290966</v>
      </c>
      <c r="V60" s="1039">
        <f>T60-J60</f>
        <v>8.9388989715668332E-2</v>
      </c>
      <c r="W60" s="3">
        <v>12451</v>
      </c>
      <c r="X60" s="1040">
        <f t="shared" si="22"/>
        <v>0.10459070099542189</v>
      </c>
      <c r="Y60" s="48">
        <v>1</v>
      </c>
      <c r="Z60" s="1041">
        <f t="shared" si="30"/>
        <v>1112.9823109497863</v>
      </c>
      <c r="AA60" s="1012"/>
      <c r="AB60" s="334">
        <f t="shared" si="23"/>
        <v>0</v>
      </c>
      <c r="AC60" s="334">
        <f t="shared" si="24"/>
        <v>1112.9823109497863</v>
      </c>
    </row>
    <row r="61" spans="4:29" x14ac:dyDescent="0.35">
      <c r="D61" s="56" t="s">
        <v>387</v>
      </c>
      <c r="E61" s="56">
        <v>4</v>
      </c>
      <c r="F61" s="1033">
        <v>4</v>
      </c>
      <c r="G61" s="1033">
        <f t="shared" si="25"/>
        <v>10</v>
      </c>
      <c r="H61" s="1033">
        <f t="shared" si="21"/>
        <v>0.6333333333333333</v>
      </c>
      <c r="I61" s="1033">
        <f t="shared" si="26"/>
        <v>1900</v>
      </c>
      <c r="J61" s="1033">
        <f t="shared" si="27"/>
        <v>0.86206896551724133</v>
      </c>
      <c r="K61" s="387"/>
      <c r="L61" s="1034"/>
      <c r="M61" s="1034"/>
      <c r="N61" s="1035"/>
      <c r="O61" s="1120"/>
      <c r="P61" s="1037">
        <v>4</v>
      </c>
      <c r="Q61" s="1033">
        <f t="shared" ref="Q61:Q71" si="31">P61*$F$15</f>
        <v>10.933333333333332</v>
      </c>
      <c r="R61" s="1038">
        <f t="shared" ref="R61" si="32">Q61*F$10</f>
        <v>0.69900444444444432</v>
      </c>
      <c r="S61" s="346">
        <f t="shared" ref="S61" si="33">R61*F$14</f>
        <v>2097.0133333333329</v>
      </c>
      <c r="T61" s="1033">
        <f>S61/$E$18</f>
        <v>0.95145795523290966</v>
      </c>
      <c r="U61" s="65">
        <f>T61</f>
        <v>0.95145795523290966</v>
      </c>
      <c r="V61" s="1039">
        <f>T61-J61</f>
        <v>8.9388989715668332E-2</v>
      </c>
      <c r="W61" s="3">
        <v>6267</v>
      </c>
      <c r="X61" s="1040">
        <f t="shared" si="22"/>
        <v>5.2643958167079674E-2</v>
      </c>
      <c r="Y61" s="48">
        <v>1</v>
      </c>
      <c r="Z61" s="1041">
        <f t="shared" si="30"/>
        <v>560.20079854809342</v>
      </c>
      <c r="AA61" s="1012"/>
      <c r="AB61" s="334">
        <f t="shared" si="23"/>
        <v>0</v>
      </c>
      <c r="AC61" s="334">
        <f t="shared" si="24"/>
        <v>560.20079854809342</v>
      </c>
    </row>
    <row r="62" spans="4:29" x14ac:dyDescent="0.35">
      <c r="D62" s="56" t="s">
        <v>314</v>
      </c>
      <c r="E62" s="56">
        <v>5</v>
      </c>
      <c r="F62" s="1033">
        <v>4</v>
      </c>
      <c r="G62" s="1033">
        <f t="shared" si="25"/>
        <v>10</v>
      </c>
      <c r="H62" s="1033">
        <f t="shared" si="21"/>
        <v>0.6333333333333333</v>
      </c>
      <c r="I62" s="1033">
        <f t="shared" si="26"/>
        <v>1900</v>
      </c>
      <c r="J62" s="1033">
        <f t="shared" si="27"/>
        <v>0.86206896551724133</v>
      </c>
      <c r="K62" s="387">
        <v>50</v>
      </c>
      <c r="L62" s="1034">
        <f>H$6</f>
        <v>1.76</v>
      </c>
      <c r="M62" s="1034">
        <f>(L62*$H$10)</f>
        <v>0.13388184615384616</v>
      </c>
      <c r="N62" s="1035">
        <f t="shared" ref="N62:N69" si="34">M62*H$14</f>
        <v>398.96790153846155</v>
      </c>
      <c r="O62" s="1120">
        <f t="shared" ref="O62:O66" si="35">N62/$E$18</f>
        <v>0.18101991902834008</v>
      </c>
      <c r="P62" s="1037"/>
      <c r="Q62" s="1033"/>
      <c r="R62" s="1038"/>
      <c r="S62" s="346"/>
      <c r="T62" s="1033">
        <f>J62</f>
        <v>0.86206896551724133</v>
      </c>
      <c r="U62" s="65">
        <f>J62+O62</f>
        <v>1.0430888845455815</v>
      </c>
      <c r="V62" s="1039">
        <f>O62</f>
        <v>0.18101991902834008</v>
      </c>
      <c r="W62" s="3">
        <v>1258</v>
      </c>
      <c r="X62" s="1040">
        <f t="shared" si="22"/>
        <v>1.0567432483514638E-2</v>
      </c>
      <c r="Y62" s="48">
        <v>1</v>
      </c>
      <c r="Z62" s="1041">
        <f t="shared" si="30"/>
        <v>227.72305813765183</v>
      </c>
      <c r="AA62" s="1012"/>
      <c r="AB62" s="334">
        <f t="shared" si="23"/>
        <v>227.72305813765183</v>
      </c>
      <c r="AC62" s="334">
        <f t="shared" si="24"/>
        <v>0</v>
      </c>
    </row>
    <row r="63" spans="4:29" x14ac:dyDescent="0.35">
      <c r="D63" s="56" t="s">
        <v>314</v>
      </c>
      <c r="E63" s="56">
        <v>6</v>
      </c>
      <c r="F63" s="1033">
        <v>4</v>
      </c>
      <c r="G63" s="1033">
        <f t="shared" si="25"/>
        <v>10</v>
      </c>
      <c r="H63" s="1033">
        <f t="shared" si="21"/>
        <v>0.6333333333333333</v>
      </c>
      <c r="I63" s="1033">
        <f t="shared" si="26"/>
        <v>1900</v>
      </c>
      <c r="J63" s="1033">
        <f t="shared" si="27"/>
        <v>0.86206896551724133</v>
      </c>
      <c r="K63" s="387">
        <v>50</v>
      </c>
      <c r="L63" s="1034">
        <f t="shared" ref="L63:L66" si="36">H$6</f>
        <v>1.76</v>
      </c>
      <c r="M63" s="1034">
        <f t="shared" ref="M63:M73" si="37">(L63*$H$10)</f>
        <v>0.13388184615384616</v>
      </c>
      <c r="N63" s="1035">
        <f t="shared" si="34"/>
        <v>398.96790153846155</v>
      </c>
      <c r="O63" s="1120">
        <f t="shared" si="35"/>
        <v>0.18101991902834008</v>
      </c>
      <c r="P63" s="1037"/>
      <c r="Q63" s="1033"/>
      <c r="R63" s="1038"/>
      <c r="S63" s="346"/>
      <c r="T63" s="1033">
        <f>J63</f>
        <v>0.86206896551724133</v>
      </c>
      <c r="U63" s="65">
        <f t="shared" ref="U63:U69" si="38">J63+O63</f>
        <v>1.0430888845455815</v>
      </c>
      <c r="V63" s="1039">
        <f>O63</f>
        <v>0.18101991902834008</v>
      </c>
      <c r="W63" s="3">
        <v>6617</v>
      </c>
      <c r="X63" s="1040">
        <f t="shared" si="22"/>
        <v>5.5584022848502668E-2</v>
      </c>
      <c r="Y63" s="48">
        <v>1</v>
      </c>
      <c r="Z63" s="1041">
        <f t="shared" si="30"/>
        <v>1197.8088042105264</v>
      </c>
      <c r="AA63" s="1012"/>
      <c r="AB63" s="334">
        <f t="shared" si="23"/>
        <v>1197.8088042105264</v>
      </c>
      <c r="AC63" s="334">
        <f t="shared" si="24"/>
        <v>0</v>
      </c>
    </row>
    <row r="64" spans="4:29" x14ac:dyDescent="0.35">
      <c r="D64" s="56" t="s">
        <v>314</v>
      </c>
      <c r="E64" s="56">
        <v>7</v>
      </c>
      <c r="F64" s="1033">
        <v>4</v>
      </c>
      <c r="G64" s="1033">
        <f t="shared" si="25"/>
        <v>10</v>
      </c>
      <c r="H64" s="1033">
        <f t="shared" si="21"/>
        <v>0.6333333333333333</v>
      </c>
      <c r="I64" s="1033">
        <f t="shared" si="26"/>
        <v>1900</v>
      </c>
      <c r="J64" s="1033">
        <f t="shared" si="27"/>
        <v>0.86206896551724133</v>
      </c>
      <c r="K64" s="387">
        <v>50</v>
      </c>
      <c r="L64" s="1034">
        <f t="shared" si="36"/>
        <v>1.76</v>
      </c>
      <c r="M64" s="1034">
        <f t="shared" si="37"/>
        <v>0.13388184615384616</v>
      </c>
      <c r="N64" s="1035">
        <f t="shared" si="34"/>
        <v>398.96790153846155</v>
      </c>
      <c r="O64" s="1120">
        <f t="shared" si="35"/>
        <v>0.18101991902834008</v>
      </c>
      <c r="P64" s="1037"/>
      <c r="Q64" s="1033"/>
      <c r="R64" s="1038"/>
      <c r="S64" s="346"/>
      <c r="T64" s="1033">
        <f>J64</f>
        <v>0.86206896551724133</v>
      </c>
      <c r="U64" s="65">
        <f t="shared" si="38"/>
        <v>1.0430888845455815</v>
      </c>
      <c r="V64" s="1039">
        <f>O64</f>
        <v>0.18101991902834008</v>
      </c>
      <c r="W64" s="3">
        <v>5299</v>
      </c>
      <c r="X64" s="1040">
        <f t="shared" si="22"/>
        <v>4.4512579276744089E-2</v>
      </c>
      <c r="Y64" s="48">
        <v>1</v>
      </c>
      <c r="Z64" s="1041">
        <f t="shared" si="30"/>
        <v>959.22455093117412</v>
      </c>
      <c r="AA64" s="1012"/>
      <c r="AB64" s="334">
        <f t="shared" si="23"/>
        <v>959.22455093117412</v>
      </c>
      <c r="AC64" s="334">
        <f t="shared" si="24"/>
        <v>0</v>
      </c>
    </row>
    <row r="65" spans="1:29" x14ac:dyDescent="0.35">
      <c r="D65" s="56" t="s">
        <v>314</v>
      </c>
      <c r="E65" s="56">
        <v>8</v>
      </c>
      <c r="F65" s="1033">
        <v>4</v>
      </c>
      <c r="G65" s="1033">
        <f t="shared" si="25"/>
        <v>10</v>
      </c>
      <c r="H65" s="1033">
        <f t="shared" si="21"/>
        <v>0.6333333333333333</v>
      </c>
      <c r="I65" s="1033">
        <f t="shared" si="26"/>
        <v>1900</v>
      </c>
      <c r="J65" s="1033">
        <f t="shared" si="27"/>
        <v>0.86206896551724133</v>
      </c>
      <c r="K65" s="387">
        <v>50</v>
      </c>
      <c r="L65" s="1034">
        <f t="shared" si="36"/>
        <v>1.76</v>
      </c>
      <c r="M65" s="1034">
        <f t="shared" si="37"/>
        <v>0.13388184615384616</v>
      </c>
      <c r="N65" s="1035">
        <f t="shared" si="34"/>
        <v>398.96790153846155</v>
      </c>
      <c r="O65" s="1120">
        <f t="shared" si="35"/>
        <v>0.18101991902834008</v>
      </c>
      <c r="P65" s="1037"/>
      <c r="Q65" s="1033"/>
      <c r="R65" s="1038"/>
      <c r="S65" s="346"/>
      <c r="T65" s="1033">
        <f>J65</f>
        <v>0.86206896551724133</v>
      </c>
      <c r="U65" s="65">
        <f t="shared" si="38"/>
        <v>1.0430888845455815</v>
      </c>
      <c r="V65" s="1039">
        <f>O65</f>
        <v>0.18101991902834008</v>
      </c>
      <c r="W65" s="3">
        <v>9870</v>
      </c>
      <c r="X65" s="1040">
        <f t="shared" si="22"/>
        <v>8.2909824016128356E-2</v>
      </c>
      <c r="Y65" s="48">
        <v>1</v>
      </c>
      <c r="Z65" s="1041">
        <f t="shared" si="30"/>
        <v>1786.6666008097166</v>
      </c>
      <c r="AA65" s="1012"/>
      <c r="AB65" s="334">
        <f t="shared" si="23"/>
        <v>1786.6666008097166</v>
      </c>
      <c r="AC65" s="334">
        <f t="shared" si="24"/>
        <v>0</v>
      </c>
    </row>
    <row r="66" spans="1:29" x14ac:dyDescent="0.35">
      <c r="D66" s="56" t="s">
        <v>314</v>
      </c>
      <c r="E66" s="56">
        <v>9</v>
      </c>
      <c r="F66" s="1033">
        <v>4</v>
      </c>
      <c r="G66" s="1033">
        <f t="shared" si="25"/>
        <v>10</v>
      </c>
      <c r="H66" s="1033">
        <f t="shared" si="21"/>
        <v>0.6333333333333333</v>
      </c>
      <c r="I66" s="1033">
        <f t="shared" si="26"/>
        <v>1900</v>
      </c>
      <c r="J66" s="1033">
        <f t="shared" si="27"/>
        <v>0.86206896551724133</v>
      </c>
      <c r="K66" s="387">
        <v>50</v>
      </c>
      <c r="L66" s="1034">
        <f t="shared" si="36"/>
        <v>1.76</v>
      </c>
      <c r="M66" s="1034">
        <f t="shared" si="37"/>
        <v>0.13388184615384616</v>
      </c>
      <c r="N66" s="1035">
        <f t="shared" si="34"/>
        <v>398.96790153846155</v>
      </c>
      <c r="O66" s="1120">
        <f t="shared" si="35"/>
        <v>0.18101991902834008</v>
      </c>
      <c r="P66" s="1037"/>
      <c r="Q66" s="1033"/>
      <c r="R66" s="1038"/>
      <c r="S66" s="346"/>
      <c r="T66" s="1033">
        <f>J66</f>
        <v>0.86206896551724133</v>
      </c>
      <c r="U66" s="65">
        <f t="shared" si="38"/>
        <v>1.0430888845455815</v>
      </c>
      <c r="V66" s="1039">
        <f>O66</f>
        <v>0.18101991902834008</v>
      </c>
      <c r="W66" s="3">
        <v>13622</v>
      </c>
      <c r="X66" s="1040">
        <f t="shared" si="22"/>
        <v>0.11442731740098282</v>
      </c>
      <c r="Y66" s="48">
        <v>1</v>
      </c>
      <c r="Z66" s="1041">
        <f t="shared" si="30"/>
        <v>2465.8533370040486</v>
      </c>
      <c r="AA66" s="1012"/>
      <c r="AB66" s="334">
        <f t="shared" si="23"/>
        <v>2465.8533370040486</v>
      </c>
      <c r="AC66" s="334">
        <f t="shared" si="24"/>
        <v>0</v>
      </c>
    </row>
    <row r="67" spans="1:29" x14ac:dyDescent="0.35">
      <c r="D67" s="56" t="s">
        <v>387</v>
      </c>
      <c r="E67" s="56">
        <v>10</v>
      </c>
      <c r="F67" s="1033">
        <v>4</v>
      </c>
      <c r="G67" s="1033">
        <f t="shared" si="25"/>
        <v>10</v>
      </c>
      <c r="H67" s="1033">
        <f t="shared" si="21"/>
        <v>0.6333333333333333</v>
      </c>
      <c r="I67" s="1033">
        <f t="shared" si="26"/>
        <v>1900</v>
      </c>
      <c r="J67" s="1033">
        <f t="shared" si="27"/>
        <v>0.86206896551724133</v>
      </c>
      <c r="K67" s="387"/>
      <c r="L67" s="1034"/>
      <c r="M67" s="1034"/>
      <c r="N67" s="1035">
        <f t="shared" si="34"/>
        <v>0</v>
      </c>
      <c r="O67" s="1120"/>
      <c r="P67" s="1037">
        <v>4</v>
      </c>
      <c r="Q67" s="1033">
        <f t="shared" si="31"/>
        <v>10.933333333333332</v>
      </c>
      <c r="R67" s="1038">
        <f t="shared" ref="R67" si="39">Q67*F$10</f>
        <v>0.69900444444444432</v>
      </c>
      <c r="S67" s="346">
        <f t="shared" ref="S67" si="40">R67*F$14</f>
        <v>2097.0133333333329</v>
      </c>
      <c r="T67" s="1033">
        <f>S67/$E$18</f>
        <v>0.95145795523290966</v>
      </c>
      <c r="U67" s="65">
        <f>T67</f>
        <v>0.95145795523290966</v>
      </c>
      <c r="V67" s="1039">
        <f>T67-J67</f>
        <v>8.9388989715668332E-2</v>
      </c>
      <c r="W67" s="3">
        <v>17792</v>
      </c>
      <c r="X67" s="1040">
        <f t="shared" si="22"/>
        <v>0.14945608803393676</v>
      </c>
      <c r="Y67" s="48">
        <v>1</v>
      </c>
      <c r="Z67" s="1041">
        <f t="shared" si="30"/>
        <v>1590.408905021171</v>
      </c>
      <c r="AA67" s="1012"/>
      <c r="AB67" s="334">
        <f t="shared" si="23"/>
        <v>0</v>
      </c>
      <c r="AC67" s="334">
        <f t="shared" si="24"/>
        <v>1590.408905021171</v>
      </c>
    </row>
    <row r="68" spans="1:29" x14ac:dyDescent="0.35">
      <c r="D68" s="56" t="s">
        <v>314</v>
      </c>
      <c r="E68" s="56">
        <v>11</v>
      </c>
      <c r="F68" s="1033">
        <v>4</v>
      </c>
      <c r="G68" s="1033">
        <f t="shared" si="25"/>
        <v>10</v>
      </c>
      <c r="H68" s="1033">
        <f t="shared" si="21"/>
        <v>0.6333333333333333</v>
      </c>
      <c r="I68" s="1033">
        <f t="shared" si="26"/>
        <v>1900</v>
      </c>
      <c r="J68" s="1033">
        <f t="shared" si="27"/>
        <v>0.86206896551724133</v>
      </c>
      <c r="K68" s="387">
        <v>50</v>
      </c>
      <c r="L68" s="1034">
        <f t="shared" ref="L68:L69" si="41">H$6</f>
        <v>1.76</v>
      </c>
      <c r="M68" s="1034">
        <f t="shared" si="37"/>
        <v>0.13388184615384616</v>
      </c>
      <c r="N68" s="1035">
        <f t="shared" si="34"/>
        <v>398.96790153846155</v>
      </c>
      <c r="O68" s="1120">
        <f t="shared" ref="O68:O69" si="42">N68/$E$18</f>
        <v>0.18101991902834008</v>
      </c>
      <c r="P68" s="1037"/>
      <c r="Q68" s="1033"/>
      <c r="R68" s="1038"/>
      <c r="S68" s="346"/>
      <c r="T68" s="1033">
        <f>J68</f>
        <v>0.86206896551724133</v>
      </c>
      <c r="U68" s="65">
        <f t="shared" si="38"/>
        <v>1.0430888845455815</v>
      </c>
      <c r="V68" s="1039">
        <f>O68</f>
        <v>0.18101991902834008</v>
      </c>
      <c r="W68" s="3">
        <v>5145</v>
      </c>
      <c r="X68" s="1040">
        <f t="shared" si="22"/>
        <v>4.321895081691797E-2</v>
      </c>
      <c r="Y68" s="48">
        <v>1</v>
      </c>
      <c r="Z68" s="1041">
        <f t="shared" si="30"/>
        <v>931.34748340080966</v>
      </c>
      <c r="AA68" s="1012"/>
      <c r="AB68" s="334">
        <f t="shared" si="23"/>
        <v>931.34748340080966</v>
      </c>
      <c r="AC68" s="334">
        <f t="shared" si="24"/>
        <v>0</v>
      </c>
    </row>
    <row r="69" spans="1:29" x14ac:dyDescent="0.35">
      <c r="D69" s="56" t="s">
        <v>314</v>
      </c>
      <c r="E69" s="56">
        <v>12</v>
      </c>
      <c r="F69" s="1033">
        <v>4</v>
      </c>
      <c r="G69" s="1033">
        <f t="shared" si="25"/>
        <v>10</v>
      </c>
      <c r="H69" s="1033">
        <f t="shared" si="21"/>
        <v>0.6333333333333333</v>
      </c>
      <c r="I69" s="1033">
        <f t="shared" si="26"/>
        <v>1900</v>
      </c>
      <c r="J69" s="1033">
        <f t="shared" si="27"/>
        <v>0.86206896551724133</v>
      </c>
      <c r="K69" s="387">
        <v>50</v>
      </c>
      <c r="L69" s="1034">
        <f t="shared" si="41"/>
        <v>1.76</v>
      </c>
      <c r="M69" s="1034">
        <f t="shared" si="37"/>
        <v>0.13388184615384616</v>
      </c>
      <c r="N69" s="1035">
        <f t="shared" si="34"/>
        <v>398.96790153846155</v>
      </c>
      <c r="O69" s="1120">
        <f t="shared" si="42"/>
        <v>0.18101991902834008</v>
      </c>
      <c r="P69" s="1037"/>
      <c r="Q69" s="1033"/>
      <c r="R69" s="1038"/>
      <c r="S69" s="346"/>
      <c r="T69" s="1033">
        <f>J69</f>
        <v>0.86206896551724133</v>
      </c>
      <c r="U69" s="65">
        <f t="shared" si="38"/>
        <v>1.0430888845455815</v>
      </c>
      <c r="V69" s="1039">
        <f>O69</f>
        <v>0.18101991902834008</v>
      </c>
      <c r="W69" s="3">
        <v>19927</v>
      </c>
      <c r="X69" s="1040">
        <f t="shared" si="22"/>
        <v>0.16739048259061701</v>
      </c>
      <c r="Y69" s="48">
        <v>1</v>
      </c>
      <c r="Z69" s="1041">
        <f t="shared" si="30"/>
        <v>3607.1839264777327</v>
      </c>
      <c r="AA69" s="1012"/>
      <c r="AB69" s="334">
        <f t="shared" si="23"/>
        <v>3607.1839264777327</v>
      </c>
      <c r="AC69" s="334">
        <f t="shared" si="24"/>
        <v>0</v>
      </c>
    </row>
    <row r="70" spans="1:29" x14ac:dyDescent="0.35">
      <c r="D70" s="56" t="s">
        <v>387</v>
      </c>
      <c r="E70" s="56">
        <v>13</v>
      </c>
      <c r="F70" s="1033">
        <v>4</v>
      </c>
      <c r="G70" s="1033">
        <f t="shared" si="25"/>
        <v>10</v>
      </c>
      <c r="H70" s="1033">
        <f t="shared" si="21"/>
        <v>0.6333333333333333</v>
      </c>
      <c r="I70" s="1033">
        <f t="shared" si="26"/>
        <v>1900</v>
      </c>
      <c r="J70" s="1033">
        <f t="shared" si="27"/>
        <v>0.86206896551724133</v>
      </c>
      <c r="K70" s="387"/>
      <c r="L70" s="1034"/>
      <c r="M70" s="1034"/>
      <c r="N70" s="1035"/>
      <c r="O70" s="1120"/>
      <c r="P70" s="1037">
        <v>4</v>
      </c>
      <c r="Q70" s="1033">
        <f t="shared" si="31"/>
        <v>10.933333333333332</v>
      </c>
      <c r="R70" s="1038">
        <f t="shared" ref="R70:R71" si="43">Q70*F$10</f>
        <v>0.69900444444444432</v>
      </c>
      <c r="S70" s="346">
        <f t="shared" ref="S70:S71" si="44">R70*F$14</f>
        <v>2097.0133333333329</v>
      </c>
      <c r="T70" s="1033">
        <f>S70/$E$18</f>
        <v>0.95145795523290966</v>
      </c>
      <c r="U70" s="65">
        <f>T70</f>
        <v>0.95145795523290966</v>
      </c>
      <c r="V70" s="1039">
        <f>T70-J70</f>
        <v>8.9388989715668332E-2</v>
      </c>
      <c r="W70" s="3">
        <v>8790</v>
      </c>
      <c r="X70" s="1040">
        <f t="shared" si="22"/>
        <v>7.3837624427737406E-2</v>
      </c>
      <c r="Y70" s="48">
        <v>1</v>
      </c>
      <c r="Z70" s="1041">
        <f t="shared" si="30"/>
        <v>785.7292196007246</v>
      </c>
      <c r="AA70" s="1012"/>
      <c r="AB70" s="334">
        <f t="shared" si="23"/>
        <v>0</v>
      </c>
      <c r="AC70" s="334">
        <f t="shared" si="24"/>
        <v>785.7292196007246</v>
      </c>
    </row>
    <row r="71" spans="1:29" x14ac:dyDescent="0.35">
      <c r="D71" s="56" t="s">
        <v>387</v>
      </c>
      <c r="E71" s="56">
        <v>14</v>
      </c>
      <c r="F71" s="1033">
        <v>4</v>
      </c>
      <c r="G71" s="1033">
        <f t="shared" si="25"/>
        <v>10</v>
      </c>
      <c r="H71" s="1033">
        <f t="shared" si="21"/>
        <v>0.6333333333333333</v>
      </c>
      <c r="I71" s="1033">
        <f t="shared" si="26"/>
        <v>1900</v>
      </c>
      <c r="J71" s="1033">
        <f t="shared" si="27"/>
        <v>0.86206896551724133</v>
      </c>
      <c r="K71" s="387"/>
      <c r="L71" s="1034"/>
      <c r="M71" s="1034"/>
      <c r="N71" s="1035"/>
      <c r="O71" s="1120"/>
      <c r="P71" s="1037">
        <v>4</v>
      </c>
      <c r="Q71" s="1033">
        <f t="shared" si="31"/>
        <v>10.933333333333332</v>
      </c>
      <c r="R71" s="1038">
        <f t="shared" si="43"/>
        <v>0.69900444444444432</v>
      </c>
      <c r="S71" s="346">
        <f t="shared" si="44"/>
        <v>2097.0133333333329</v>
      </c>
      <c r="T71" s="1033">
        <f>S71/$E$18</f>
        <v>0.95145795523290966</v>
      </c>
      <c r="U71" s="65">
        <f>T71</f>
        <v>0.95145795523290966</v>
      </c>
      <c r="V71" s="1039">
        <f>T71-J71</f>
        <v>8.9388989715668332E-2</v>
      </c>
      <c r="W71" s="3">
        <v>3401</v>
      </c>
      <c r="X71" s="1040">
        <f t="shared" si="22"/>
        <v>2.8569028518627408E-2</v>
      </c>
      <c r="Y71" s="48">
        <v>1</v>
      </c>
      <c r="Z71" s="1041">
        <f t="shared" si="30"/>
        <v>304.01195402298799</v>
      </c>
      <c r="AA71" s="1012"/>
      <c r="AB71" s="334">
        <f t="shared" si="23"/>
        <v>0</v>
      </c>
      <c r="AC71" s="334">
        <f t="shared" si="24"/>
        <v>304.01195402298799</v>
      </c>
    </row>
    <row r="72" spans="1:29" x14ac:dyDescent="0.35">
      <c r="D72" s="56" t="s">
        <v>314</v>
      </c>
      <c r="E72" s="56">
        <v>15</v>
      </c>
      <c r="F72" s="1033">
        <v>4</v>
      </c>
      <c r="G72" s="1033">
        <f t="shared" si="25"/>
        <v>10</v>
      </c>
      <c r="H72" s="1033">
        <f t="shared" si="21"/>
        <v>0.6333333333333333</v>
      </c>
      <c r="I72" s="1033">
        <f t="shared" si="26"/>
        <v>1900</v>
      </c>
      <c r="J72" s="1033">
        <f t="shared" si="27"/>
        <v>0.86206896551724133</v>
      </c>
      <c r="K72" s="387">
        <v>50</v>
      </c>
      <c r="L72" s="1034">
        <f t="shared" ref="L72:L73" si="45">H$6</f>
        <v>1.76</v>
      </c>
      <c r="M72" s="1034">
        <f t="shared" si="37"/>
        <v>0.13388184615384616</v>
      </c>
      <c r="N72" s="1035">
        <f t="shared" ref="N72:N73" si="46">M72*H$14</f>
        <v>398.96790153846155</v>
      </c>
      <c r="O72" s="1120">
        <f t="shared" ref="O72:O73" si="47">N72/$E$18</f>
        <v>0.18101991902834008</v>
      </c>
      <c r="P72" s="1037"/>
      <c r="Q72" s="1033"/>
      <c r="R72" s="1038"/>
      <c r="S72" s="346"/>
      <c r="T72" s="1033">
        <f>J72</f>
        <v>0.86206896551724133</v>
      </c>
      <c r="U72" s="65">
        <f t="shared" ref="U72" si="48">J72+O72</f>
        <v>1.0430888845455815</v>
      </c>
      <c r="V72" s="1039">
        <f t="shared" ref="V72:V73" si="49">O72</f>
        <v>0.18101991902834008</v>
      </c>
      <c r="W72" s="3">
        <v>3389</v>
      </c>
      <c r="X72" s="1040">
        <f t="shared" si="22"/>
        <v>2.8468226300978623E-2</v>
      </c>
      <c r="Y72" s="48">
        <v>1</v>
      </c>
      <c r="Z72" s="1041">
        <f t="shared" si="30"/>
        <v>613.47650558704458</v>
      </c>
      <c r="AA72" s="1012"/>
      <c r="AB72" s="334">
        <f t="shared" si="23"/>
        <v>613.47650558704458</v>
      </c>
      <c r="AC72" s="334">
        <f t="shared" si="24"/>
        <v>0</v>
      </c>
    </row>
    <row r="73" spans="1:29" x14ac:dyDescent="0.35">
      <c r="D73" s="56" t="s">
        <v>314</v>
      </c>
      <c r="E73" s="56">
        <v>16</v>
      </c>
      <c r="F73" s="1033">
        <v>4</v>
      </c>
      <c r="G73" s="1033">
        <f t="shared" si="25"/>
        <v>10</v>
      </c>
      <c r="H73" s="1033">
        <f t="shared" si="21"/>
        <v>0.6333333333333333</v>
      </c>
      <c r="I73" s="1033">
        <f t="shared" si="26"/>
        <v>1900</v>
      </c>
      <c r="J73" s="1033">
        <f t="shared" si="27"/>
        <v>0.86206896551724133</v>
      </c>
      <c r="K73" s="387">
        <v>50</v>
      </c>
      <c r="L73" s="1034">
        <f t="shared" si="45"/>
        <v>1.76</v>
      </c>
      <c r="M73" s="1034">
        <f t="shared" si="37"/>
        <v>0.13388184615384616</v>
      </c>
      <c r="N73" s="1035">
        <f t="shared" si="46"/>
        <v>398.96790153846155</v>
      </c>
      <c r="O73" s="1120">
        <f t="shared" si="47"/>
        <v>0.18101991902834008</v>
      </c>
      <c r="P73" s="1037"/>
      <c r="Q73" s="1033"/>
      <c r="R73" s="1038"/>
      <c r="S73" s="346"/>
      <c r="T73" s="1033">
        <f>J73</f>
        <v>0.86206896551724133</v>
      </c>
      <c r="U73" s="65">
        <f>J73+O73</f>
        <v>1.0430888845455815</v>
      </c>
      <c r="V73" s="1039">
        <f t="shared" si="49"/>
        <v>0.18101991902834008</v>
      </c>
      <c r="W73" s="3">
        <v>1434</v>
      </c>
      <c r="X73" s="1040">
        <f t="shared" si="22"/>
        <v>1.2045865009030198E-2</v>
      </c>
      <c r="Y73" s="48">
        <v>1</v>
      </c>
      <c r="Z73" s="1041">
        <f t="shared" si="30"/>
        <v>259.58256388663966</v>
      </c>
      <c r="AA73" s="1012"/>
      <c r="AB73" s="334">
        <f t="shared" si="23"/>
        <v>259.58256388663966</v>
      </c>
      <c r="AC73" s="334">
        <f t="shared" si="24"/>
        <v>0</v>
      </c>
    </row>
    <row r="74" spans="1:29" x14ac:dyDescent="0.35">
      <c r="D74" s="56"/>
      <c r="E74" s="362" t="s">
        <v>79</v>
      </c>
      <c r="F74" s="1045"/>
      <c r="G74" s="1045"/>
      <c r="H74" s="1045"/>
      <c r="I74" s="1045"/>
      <c r="J74" s="1046">
        <f>SUM(J58:J73)</f>
        <v>13.793103448275865</v>
      </c>
      <c r="K74" s="362"/>
      <c r="L74" s="362"/>
      <c r="M74" s="362"/>
      <c r="N74" s="362"/>
      <c r="O74" s="1047">
        <f>SUM(O58:O73)</f>
        <v>1.9912191093117413</v>
      </c>
      <c r="P74" s="1045"/>
      <c r="Q74" s="1045"/>
      <c r="R74" s="1045"/>
      <c r="S74" s="1045"/>
      <c r="T74" s="1046">
        <f>SUM(T58:T73)</f>
        <v>14.240048396854204</v>
      </c>
      <c r="U74" s="1048">
        <f>SUM(U58:U73)</f>
        <v>16.231267506165942</v>
      </c>
      <c r="V74" s="1048">
        <f>SUM(V58:V73)</f>
        <v>2.4381640578900829</v>
      </c>
      <c r="W74" s="1049">
        <v>119045</v>
      </c>
      <c r="X74" s="1050">
        <f>SUM(X58:X73)</f>
        <v>1.0000000000000002</v>
      </c>
      <c r="Y74" s="362"/>
      <c r="Z74" s="1047">
        <f>SUM(Z58:Z73)</f>
        <v>17086.998372272319</v>
      </c>
      <c r="AB74" s="1047">
        <f>SUM(AB58:AB73)</f>
        <v>12733.665184129555</v>
      </c>
      <c r="AC74" s="1047">
        <f>SUM(AC58:AC73)</f>
        <v>4353.3331881427639</v>
      </c>
    </row>
    <row r="76" spans="1:29" x14ac:dyDescent="0.35">
      <c r="A76" t="s">
        <v>559</v>
      </c>
      <c r="F76" s="231"/>
      <c r="G76" s="231"/>
      <c r="H76" s="698"/>
      <c r="I76" s="698"/>
      <c r="J76" s="698"/>
      <c r="K76" s="698"/>
      <c r="L76" s="698"/>
      <c r="M76" s="698"/>
      <c r="N76" s="698"/>
      <c r="O76" s="698"/>
      <c r="P76" s="698"/>
    </row>
    <row r="77" spans="1:29" x14ac:dyDescent="0.35">
      <c r="A77" t="s">
        <v>560</v>
      </c>
      <c r="E77" s="333" t="s">
        <v>0</v>
      </c>
      <c r="G77" s="1115" t="s">
        <v>366</v>
      </c>
    </row>
    <row r="78" spans="1:29" x14ac:dyDescent="0.35">
      <c r="E78" t="s">
        <v>14</v>
      </c>
      <c r="G78" s="1115">
        <v>1</v>
      </c>
      <c r="T78" t="str">
        <f>E78</f>
        <v>Prototype: Combined</v>
      </c>
    </row>
    <row r="79" spans="1:29" ht="43.5" x14ac:dyDescent="0.35">
      <c r="D79" s="56"/>
      <c r="E79" s="56"/>
      <c r="F79" s="1028" t="s">
        <v>367</v>
      </c>
      <c r="G79" s="1028"/>
      <c r="H79" s="1028"/>
      <c r="I79" s="1028"/>
      <c r="J79" s="1028"/>
      <c r="K79" s="1029" t="s">
        <v>368</v>
      </c>
      <c r="L79" s="1029"/>
      <c r="M79" s="1029"/>
      <c r="N79" s="1029"/>
      <c r="O79" s="1029"/>
      <c r="P79" s="1241" t="s">
        <v>388</v>
      </c>
      <c r="Q79" s="1242"/>
      <c r="R79" s="1242"/>
      <c r="S79" s="1242"/>
      <c r="T79" s="1243"/>
      <c r="U79" s="1030" t="s">
        <v>370</v>
      </c>
      <c r="V79" s="40" t="s">
        <v>371</v>
      </c>
      <c r="W79" s="1158" t="s">
        <v>4</v>
      </c>
      <c r="X79" s="1158"/>
      <c r="Y79" s="1158"/>
      <c r="Z79" s="1031" t="s">
        <v>372</v>
      </c>
      <c r="AA79" s="1115"/>
      <c r="AB79" s="1115"/>
      <c r="AC79" s="13"/>
    </row>
    <row r="80" spans="1:29" ht="63" customHeight="1" x14ac:dyDescent="0.35">
      <c r="D80" s="360" t="s">
        <v>373</v>
      </c>
      <c r="E80" s="360" t="s">
        <v>5</v>
      </c>
      <c r="F80" s="18" t="s">
        <v>374</v>
      </c>
      <c r="G80" s="18" t="s">
        <v>375</v>
      </c>
      <c r="H80" s="18" t="s">
        <v>376</v>
      </c>
      <c r="I80" s="18" t="s">
        <v>377</v>
      </c>
      <c r="J80" s="18" t="s">
        <v>378</v>
      </c>
      <c r="K80" s="1032" t="s">
        <v>379</v>
      </c>
      <c r="L80" s="1032" t="s">
        <v>375</v>
      </c>
      <c r="M80" s="1032" t="s">
        <v>380</v>
      </c>
      <c r="N80" s="4" t="s">
        <v>381</v>
      </c>
      <c r="O80" s="4" t="s">
        <v>378</v>
      </c>
      <c r="P80" s="18" t="s">
        <v>382</v>
      </c>
      <c r="Q80" s="18" t="s">
        <v>375</v>
      </c>
      <c r="R80" s="18" t="s">
        <v>380</v>
      </c>
      <c r="S80" s="18" t="s">
        <v>381</v>
      </c>
      <c r="T80" s="18" t="s">
        <v>378</v>
      </c>
      <c r="U80" s="40" t="s">
        <v>383</v>
      </c>
      <c r="V80" s="40" t="s">
        <v>383</v>
      </c>
      <c r="W80" s="4" t="s">
        <v>384</v>
      </c>
      <c r="X80" s="4" t="s">
        <v>11</v>
      </c>
      <c r="Y80" s="4" t="s">
        <v>385</v>
      </c>
      <c r="Z80" s="18" t="s">
        <v>386</v>
      </c>
      <c r="AA80" s="1115"/>
      <c r="AB80" s="1114" t="s">
        <v>314</v>
      </c>
      <c r="AC80" s="4" t="s">
        <v>360</v>
      </c>
    </row>
    <row r="81" spans="4:29" x14ac:dyDescent="0.35">
      <c r="D81" s="56" t="s">
        <v>314</v>
      </c>
      <c r="E81" s="56">
        <v>1</v>
      </c>
      <c r="F81" s="1033">
        <f>(F35*$G$99)+(F58*$I$99)</f>
        <v>3.5500000000000003</v>
      </c>
      <c r="G81" s="1033">
        <f>(G35*$G$99)+(G58*$I$99)</f>
        <v>8.875</v>
      </c>
      <c r="H81" s="1033">
        <f t="shared" ref="H81:I81" si="50">(H35*$G$99)+(H58*$I$99)</f>
        <v>0.56208333333333327</v>
      </c>
      <c r="I81" s="1033">
        <f t="shared" si="50"/>
        <v>1686.25</v>
      </c>
      <c r="J81" s="1033">
        <f t="shared" ref="J81:J96" si="51">I81/$E$18</f>
        <v>0.76508620689655171</v>
      </c>
      <c r="K81" s="387">
        <f>(K35*$G$99)+(K58*$I$99)</f>
        <v>50</v>
      </c>
      <c r="L81" s="1034">
        <f>(L35*$G$99)+(L58*$I$99)</f>
        <v>1.7600000000000002</v>
      </c>
      <c r="M81" s="1034">
        <f>(M35*$G$99)+(M58*$I$99)</f>
        <v>0.13388184615384616</v>
      </c>
      <c r="N81" s="1035">
        <f>(N35*$G$99)+(N58*$I$99)</f>
        <v>398.96790153846155</v>
      </c>
      <c r="O81" s="1121">
        <f t="shared" ref="O81:O96" si="52">N81/$E$18</f>
        <v>0.18101991902834008</v>
      </c>
      <c r="P81" s="1037"/>
      <c r="Q81" s="1037"/>
      <c r="R81" s="1037"/>
      <c r="S81" s="1037"/>
      <c r="T81" s="1038">
        <f t="shared" ref="T81:T96" si="53">(T35*$G$99)+(T58*$I$99)</f>
        <v>0.76508620689655171</v>
      </c>
      <c r="U81" s="65">
        <f>J81+O81</f>
        <v>0.94610612592489174</v>
      </c>
      <c r="V81" s="1052">
        <f t="shared" ref="V81:V96" si="54">(V35*$G$99)+(V58*$I$99)</f>
        <v>0.18101991902834008</v>
      </c>
      <c r="W81" s="3">
        <v>545</v>
      </c>
      <c r="X81" s="1040">
        <f t="shared" ref="X81:X96" si="55">W81/W$51</f>
        <v>4.5781007182158009E-3</v>
      </c>
      <c r="Y81" s="48">
        <v>1</v>
      </c>
      <c r="Z81" s="1041">
        <f>V81*W81*Y81</f>
        <v>98.65585587044535</v>
      </c>
      <c r="AA81" s="1012"/>
      <c r="AB81" s="334">
        <f t="shared" ref="AB81:AB96" si="56">O81*W81</f>
        <v>98.65585587044535</v>
      </c>
      <c r="AC81" s="334">
        <f t="shared" ref="AC81:AC96" si="57">(T81-J81)*W81</f>
        <v>0</v>
      </c>
    </row>
    <row r="82" spans="4:29" x14ac:dyDescent="0.35">
      <c r="D82" s="56" t="s">
        <v>314</v>
      </c>
      <c r="E82" s="56">
        <v>2</v>
      </c>
      <c r="F82" s="1033">
        <f t="shared" ref="F82:I96" si="58">(F36*$G$99)+(F59*$I$99)</f>
        <v>3.5500000000000003</v>
      </c>
      <c r="G82" s="1033">
        <f t="shared" si="58"/>
        <v>8.875</v>
      </c>
      <c r="H82" s="1033">
        <f t="shared" si="58"/>
        <v>0.56208333333333327</v>
      </c>
      <c r="I82" s="1033">
        <f t="shared" si="58"/>
        <v>1686.25</v>
      </c>
      <c r="J82" s="1033">
        <f t="shared" si="51"/>
        <v>0.76508620689655171</v>
      </c>
      <c r="K82" s="387">
        <f t="shared" ref="K82:N82" si="59">(K36*$G$99)+(K59*$I$99)</f>
        <v>50</v>
      </c>
      <c r="L82" s="1034">
        <f t="shared" si="59"/>
        <v>1.7600000000000002</v>
      </c>
      <c r="M82" s="1034">
        <f t="shared" si="59"/>
        <v>0.13388184615384616</v>
      </c>
      <c r="N82" s="1035">
        <f t="shared" si="59"/>
        <v>398.96790153846155</v>
      </c>
      <c r="O82" s="1121">
        <f t="shared" si="52"/>
        <v>0.18101991902834008</v>
      </c>
      <c r="P82" s="1037"/>
      <c r="Q82" s="1037"/>
      <c r="R82" s="1037"/>
      <c r="S82" s="1037"/>
      <c r="T82" s="1038">
        <f t="shared" si="53"/>
        <v>0.76508620689655171</v>
      </c>
      <c r="U82" s="65">
        <f>J82+O82</f>
        <v>0.94610612592489174</v>
      </c>
      <c r="V82" s="1052">
        <f t="shared" si="54"/>
        <v>0.18101991902834008</v>
      </c>
      <c r="W82" s="3">
        <v>3238</v>
      </c>
      <c r="X82" s="1040">
        <f t="shared" si="55"/>
        <v>2.7199798395564703E-2</v>
      </c>
      <c r="Y82" s="48">
        <v>1</v>
      </c>
      <c r="Z82" s="1041">
        <f t="shared" ref="Z82:Z96" si="60">V82*W82*Y82</f>
        <v>586.1424978137652</v>
      </c>
      <c r="AA82" s="1012"/>
      <c r="AB82" s="334">
        <f t="shared" si="56"/>
        <v>586.1424978137652</v>
      </c>
      <c r="AC82" s="334">
        <f t="shared" si="57"/>
        <v>0</v>
      </c>
    </row>
    <row r="83" spans="4:29" x14ac:dyDescent="0.35">
      <c r="D83" s="56" t="s">
        <v>387</v>
      </c>
      <c r="E83" s="56">
        <v>3</v>
      </c>
      <c r="F83" s="1033">
        <f t="shared" si="58"/>
        <v>3.5500000000000003</v>
      </c>
      <c r="G83" s="1033">
        <f t="shared" si="58"/>
        <v>8.875</v>
      </c>
      <c r="H83" s="1033">
        <f t="shared" si="58"/>
        <v>0.56208333333333327</v>
      </c>
      <c r="I83" s="1033">
        <f t="shared" si="58"/>
        <v>1686.25</v>
      </c>
      <c r="J83" s="1033">
        <f t="shared" si="51"/>
        <v>0.76508620689655171</v>
      </c>
      <c r="K83" s="387"/>
      <c r="L83" s="1034"/>
      <c r="M83" s="1034"/>
      <c r="N83" s="1035"/>
      <c r="O83" s="1121"/>
      <c r="P83" s="1037">
        <f t="shared" ref="P83:S84" si="61">(P37*$G$99)+(P60*$I$99)</f>
        <v>3.5500000000000003</v>
      </c>
      <c r="Q83" s="1037">
        <f t="shared" si="61"/>
        <v>9.7033333333333331</v>
      </c>
      <c r="R83" s="1037">
        <f t="shared" si="61"/>
        <v>0.62036644444444433</v>
      </c>
      <c r="S83" s="1037">
        <f t="shared" si="61"/>
        <v>1861.0993333333331</v>
      </c>
      <c r="T83" s="1038">
        <f t="shared" si="53"/>
        <v>0.8444189352692073</v>
      </c>
      <c r="U83" s="65">
        <f>T83</f>
        <v>0.8444189352692073</v>
      </c>
      <c r="V83" s="1052">
        <f t="shared" si="54"/>
        <v>7.9332728372655675E-2</v>
      </c>
      <c r="W83" s="3">
        <v>12451</v>
      </c>
      <c r="X83" s="1040">
        <f t="shared" si="55"/>
        <v>0.10459070099542189</v>
      </c>
      <c r="Y83" s="48">
        <v>1</v>
      </c>
      <c r="Z83" s="1041">
        <f t="shared" si="60"/>
        <v>987.77180096793586</v>
      </c>
      <c r="AA83" s="1012"/>
      <c r="AB83" s="334">
        <f t="shared" si="56"/>
        <v>0</v>
      </c>
      <c r="AC83" s="334">
        <f t="shared" si="57"/>
        <v>987.77180096793472</v>
      </c>
    </row>
    <row r="84" spans="4:29" x14ac:dyDescent="0.35">
      <c r="D84" s="56" t="s">
        <v>387</v>
      </c>
      <c r="E84" s="56">
        <v>4</v>
      </c>
      <c r="F84" s="1033">
        <f t="shared" si="58"/>
        <v>3.5500000000000003</v>
      </c>
      <c r="G84" s="1033">
        <f t="shared" si="58"/>
        <v>8.875</v>
      </c>
      <c r="H84" s="1033">
        <f t="shared" si="58"/>
        <v>0.56208333333333327</v>
      </c>
      <c r="I84" s="1033">
        <f t="shared" si="58"/>
        <v>1686.25</v>
      </c>
      <c r="J84" s="1033">
        <f t="shared" si="51"/>
        <v>0.76508620689655171</v>
      </c>
      <c r="K84" s="387"/>
      <c r="L84" s="1034"/>
      <c r="M84" s="1034"/>
      <c r="N84" s="1035"/>
      <c r="O84" s="1121"/>
      <c r="P84" s="1037">
        <f t="shared" si="61"/>
        <v>3.5500000000000003</v>
      </c>
      <c r="Q84" s="1037">
        <f t="shared" si="61"/>
        <v>9.7033333333333331</v>
      </c>
      <c r="R84" s="1037">
        <f t="shared" si="61"/>
        <v>0.62036644444444433</v>
      </c>
      <c r="S84" s="1037">
        <f t="shared" si="61"/>
        <v>1861.0993333333331</v>
      </c>
      <c r="T84" s="1038">
        <f t="shared" si="53"/>
        <v>0.8444189352692073</v>
      </c>
      <c r="U84" s="65">
        <f>T84</f>
        <v>0.8444189352692073</v>
      </c>
      <c r="V84" s="1052">
        <f t="shared" si="54"/>
        <v>7.9332728372655675E-2</v>
      </c>
      <c r="W84" s="3">
        <v>6267</v>
      </c>
      <c r="X84" s="1040">
        <f t="shared" si="55"/>
        <v>5.2643958167079674E-2</v>
      </c>
      <c r="Y84" s="48">
        <v>1</v>
      </c>
      <c r="Z84" s="1041">
        <f t="shared" si="60"/>
        <v>497.17820871143311</v>
      </c>
      <c r="AA84" s="1012"/>
      <c r="AB84" s="334">
        <f t="shared" si="56"/>
        <v>0</v>
      </c>
      <c r="AC84" s="334">
        <f t="shared" si="57"/>
        <v>497.1782087114326</v>
      </c>
    </row>
    <row r="85" spans="4:29" x14ac:dyDescent="0.35">
      <c r="D85" s="56" t="s">
        <v>314</v>
      </c>
      <c r="E85" s="56">
        <v>5</v>
      </c>
      <c r="F85" s="1033">
        <f t="shared" si="58"/>
        <v>3.5500000000000003</v>
      </c>
      <c r="G85" s="1033">
        <f t="shared" si="58"/>
        <v>8.875</v>
      </c>
      <c r="H85" s="1033">
        <f t="shared" si="58"/>
        <v>0.56208333333333327</v>
      </c>
      <c r="I85" s="1033">
        <f t="shared" si="58"/>
        <v>1686.25</v>
      </c>
      <c r="J85" s="1033">
        <f t="shared" si="51"/>
        <v>0.76508620689655171</v>
      </c>
      <c r="K85" s="387">
        <f t="shared" ref="K85:N89" si="62">(K39*$G$99)+(K62*$I$99)</f>
        <v>50</v>
      </c>
      <c r="L85" s="1034">
        <f t="shared" si="62"/>
        <v>1.7600000000000002</v>
      </c>
      <c r="M85" s="1034">
        <f t="shared" si="62"/>
        <v>0.13388184615384616</v>
      </c>
      <c r="N85" s="1035">
        <f t="shared" si="62"/>
        <v>398.96790153846155</v>
      </c>
      <c r="O85" s="1121">
        <f t="shared" si="52"/>
        <v>0.18101991902834008</v>
      </c>
      <c r="P85" s="1037"/>
      <c r="Q85" s="1037"/>
      <c r="R85" s="1037"/>
      <c r="S85" s="1037"/>
      <c r="T85" s="1038">
        <f t="shared" si="53"/>
        <v>0.76508620689655171</v>
      </c>
      <c r="U85" s="65">
        <f>J85+O85</f>
        <v>0.94610612592489174</v>
      </c>
      <c r="V85" s="1052">
        <f t="shared" si="54"/>
        <v>0.18101991902834008</v>
      </c>
      <c r="W85" s="3">
        <v>1258</v>
      </c>
      <c r="X85" s="1040">
        <f t="shared" si="55"/>
        <v>1.0567432483514638E-2</v>
      </c>
      <c r="Y85" s="48">
        <v>1</v>
      </c>
      <c r="Z85" s="1041">
        <f t="shared" si="60"/>
        <v>227.72305813765183</v>
      </c>
      <c r="AA85" s="1012"/>
      <c r="AB85" s="334">
        <f t="shared" si="56"/>
        <v>227.72305813765183</v>
      </c>
      <c r="AC85" s="334">
        <f t="shared" si="57"/>
        <v>0</v>
      </c>
    </row>
    <row r="86" spans="4:29" x14ac:dyDescent="0.35">
      <c r="D86" s="56" t="s">
        <v>314</v>
      </c>
      <c r="E86" s="56">
        <v>6</v>
      </c>
      <c r="F86" s="1033">
        <f t="shared" si="58"/>
        <v>3.5500000000000003</v>
      </c>
      <c r="G86" s="1033">
        <f t="shared" si="58"/>
        <v>8.875</v>
      </c>
      <c r="H86" s="1033">
        <f t="shared" si="58"/>
        <v>0.56208333333333327</v>
      </c>
      <c r="I86" s="1033">
        <f t="shared" si="58"/>
        <v>1686.25</v>
      </c>
      <c r="J86" s="1033">
        <f t="shared" si="51"/>
        <v>0.76508620689655171</v>
      </c>
      <c r="K86" s="387">
        <f t="shared" si="62"/>
        <v>50</v>
      </c>
      <c r="L86" s="1034">
        <f t="shared" si="62"/>
        <v>1.7600000000000002</v>
      </c>
      <c r="M86" s="1034">
        <f t="shared" si="62"/>
        <v>0.13388184615384616</v>
      </c>
      <c r="N86" s="1035">
        <f t="shared" si="62"/>
        <v>398.96790153846155</v>
      </c>
      <c r="O86" s="1121">
        <f t="shared" si="52"/>
        <v>0.18101991902834008</v>
      </c>
      <c r="P86" s="1037"/>
      <c r="Q86" s="1037"/>
      <c r="R86" s="1037"/>
      <c r="S86" s="1037"/>
      <c r="T86" s="1038">
        <f t="shared" si="53"/>
        <v>0.76508620689655171</v>
      </c>
      <c r="U86" s="65">
        <f t="shared" ref="U86:U92" si="63">J86+O86</f>
        <v>0.94610612592489174</v>
      </c>
      <c r="V86" s="1052">
        <f t="shared" si="54"/>
        <v>0.18101991902834008</v>
      </c>
      <c r="W86" s="3">
        <v>6617</v>
      </c>
      <c r="X86" s="1040">
        <f t="shared" si="55"/>
        <v>5.5584022848502668E-2</v>
      </c>
      <c r="Y86" s="48">
        <v>1</v>
      </c>
      <c r="Z86" s="1041">
        <f t="shared" si="60"/>
        <v>1197.8088042105264</v>
      </c>
      <c r="AA86" s="1012"/>
      <c r="AB86" s="334">
        <f t="shared" si="56"/>
        <v>1197.8088042105264</v>
      </c>
      <c r="AC86" s="334">
        <f t="shared" si="57"/>
        <v>0</v>
      </c>
    </row>
    <row r="87" spans="4:29" x14ac:dyDescent="0.35">
      <c r="D87" s="56" t="s">
        <v>314</v>
      </c>
      <c r="E87" s="56">
        <v>7</v>
      </c>
      <c r="F87" s="1033">
        <f t="shared" si="58"/>
        <v>3.5500000000000003</v>
      </c>
      <c r="G87" s="1033">
        <f t="shared" si="58"/>
        <v>8.875</v>
      </c>
      <c r="H87" s="1033">
        <f t="shared" si="58"/>
        <v>0.56208333333333327</v>
      </c>
      <c r="I87" s="1033">
        <f t="shared" si="58"/>
        <v>1686.25</v>
      </c>
      <c r="J87" s="1033">
        <f t="shared" si="51"/>
        <v>0.76508620689655171</v>
      </c>
      <c r="K87" s="387">
        <f t="shared" si="62"/>
        <v>50</v>
      </c>
      <c r="L87" s="1034">
        <f t="shared" si="62"/>
        <v>1.7600000000000002</v>
      </c>
      <c r="M87" s="1034">
        <f t="shared" si="62"/>
        <v>0.13388184615384616</v>
      </c>
      <c r="N87" s="1035">
        <f t="shared" si="62"/>
        <v>398.96790153846155</v>
      </c>
      <c r="O87" s="1121">
        <f t="shared" si="52"/>
        <v>0.18101991902834008</v>
      </c>
      <c r="P87" s="1037"/>
      <c r="Q87" s="1037"/>
      <c r="R87" s="1037"/>
      <c r="S87" s="1037"/>
      <c r="T87" s="1038">
        <f t="shared" si="53"/>
        <v>0.76508620689655171</v>
      </c>
      <c r="U87" s="65">
        <f t="shared" si="63"/>
        <v>0.94610612592489174</v>
      </c>
      <c r="V87" s="1052">
        <f t="shared" si="54"/>
        <v>0.18101991902834008</v>
      </c>
      <c r="W87" s="3">
        <v>5299</v>
      </c>
      <c r="X87" s="1040">
        <f t="shared" si="55"/>
        <v>4.4512579276744089E-2</v>
      </c>
      <c r="Y87" s="48">
        <v>1</v>
      </c>
      <c r="Z87" s="1041">
        <f t="shared" si="60"/>
        <v>959.22455093117412</v>
      </c>
      <c r="AA87" s="1012"/>
      <c r="AB87" s="334">
        <f t="shared" si="56"/>
        <v>959.22455093117412</v>
      </c>
      <c r="AC87" s="334">
        <f t="shared" si="57"/>
        <v>0</v>
      </c>
    </row>
    <row r="88" spans="4:29" x14ac:dyDescent="0.35">
      <c r="D88" s="56" t="s">
        <v>314</v>
      </c>
      <c r="E88" s="56">
        <v>8</v>
      </c>
      <c r="F88" s="1033">
        <f t="shared" si="58"/>
        <v>3.5500000000000003</v>
      </c>
      <c r="G88" s="1033">
        <f t="shared" si="58"/>
        <v>8.875</v>
      </c>
      <c r="H88" s="1033">
        <f t="shared" si="58"/>
        <v>0.56208333333333327</v>
      </c>
      <c r="I88" s="1033">
        <f t="shared" si="58"/>
        <v>1686.25</v>
      </c>
      <c r="J88" s="1033">
        <f t="shared" si="51"/>
        <v>0.76508620689655171</v>
      </c>
      <c r="K88" s="387">
        <f t="shared" si="62"/>
        <v>50</v>
      </c>
      <c r="L88" s="1034">
        <f t="shared" si="62"/>
        <v>1.7600000000000002</v>
      </c>
      <c r="M88" s="1034">
        <f t="shared" si="62"/>
        <v>0.13388184615384616</v>
      </c>
      <c r="N88" s="1035">
        <f t="shared" si="62"/>
        <v>398.96790153846155</v>
      </c>
      <c r="O88" s="1121">
        <f t="shared" si="52"/>
        <v>0.18101991902834008</v>
      </c>
      <c r="P88" s="1037"/>
      <c r="Q88" s="1037"/>
      <c r="R88" s="1037"/>
      <c r="S88" s="1037"/>
      <c r="T88" s="1038">
        <f t="shared" si="53"/>
        <v>0.76508620689655171</v>
      </c>
      <c r="U88" s="65">
        <f t="shared" si="63"/>
        <v>0.94610612592489174</v>
      </c>
      <c r="V88" s="1052">
        <f t="shared" si="54"/>
        <v>0.18101991902834008</v>
      </c>
      <c r="W88" s="3">
        <v>9870</v>
      </c>
      <c r="X88" s="1040">
        <f t="shared" si="55"/>
        <v>8.2909824016128356E-2</v>
      </c>
      <c r="Y88" s="48">
        <v>1</v>
      </c>
      <c r="Z88" s="1041">
        <f t="shared" si="60"/>
        <v>1786.6666008097166</v>
      </c>
      <c r="AA88" s="1012"/>
      <c r="AB88" s="334">
        <f t="shared" si="56"/>
        <v>1786.6666008097166</v>
      </c>
      <c r="AC88" s="334">
        <f t="shared" si="57"/>
        <v>0</v>
      </c>
    </row>
    <row r="89" spans="4:29" x14ac:dyDescent="0.35">
      <c r="D89" s="56" t="s">
        <v>314</v>
      </c>
      <c r="E89" s="56">
        <v>9</v>
      </c>
      <c r="F89" s="1033">
        <f t="shared" si="58"/>
        <v>3.5500000000000003</v>
      </c>
      <c r="G89" s="1033">
        <f t="shared" si="58"/>
        <v>8.875</v>
      </c>
      <c r="H89" s="1033">
        <f t="shared" si="58"/>
        <v>0.56208333333333327</v>
      </c>
      <c r="I89" s="1033">
        <f t="shared" si="58"/>
        <v>1686.25</v>
      </c>
      <c r="J89" s="1033">
        <f t="shared" si="51"/>
        <v>0.76508620689655171</v>
      </c>
      <c r="K89" s="387">
        <f t="shared" si="62"/>
        <v>50</v>
      </c>
      <c r="L89" s="1034">
        <f t="shared" si="62"/>
        <v>1.7600000000000002</v>
      </c>
      <c r="M89" s="1034">
        <f t="shared" si="62"/>
        <v>0.13388184615384616</v>
      </c>
      <c r="N89" s="1035">
        <f t="shared" si="62"/>
        <v>398.96790153846155</v>
      </c>
      <c r="O89" s="1121">
        <f t="shared" si="52"/>
        <v>0.18101991902834008</v>
      </c>
      <c r="P89" s="1037"/>
      <c r="Q89" s="1037"/>
      <c r="R89" s="1037"/>
      <c r="S89" s="1037"/>
      <c r="T89" s="1038">
        <f t="shared" si="53"/>
        <v>0.76508620689655171</v>
      </c>
      <c r="U89" s="65">
        <f t="shared" si="63"/>
        <v>0.94610612592489174</v>
      </c>
      <c r="V89" s="1052">
        <f t="shared" si="54"/>
        <v>0.18101991902834008</v>
      </c>
      <c r="W89" s="3">
        <v>13622</v>
      </c>
      <c r="X89" s="1040">
        <f t="shared" si="55"/>
        <v>0.11442731740098282</v>
      </c>
      <c r="Y89" s="48">
        <v>1</v>
      </c>
      <c r="Z89" s="1041">
        <f t="shared" si="60"/>
        <v>2465.8533370040486</v>
      </c>
      <c r="AA89" s="1012"/>
      <c r="AB89" s="334">
        <f t="shared" si="56"/>
        <v>2465.8533370040486</v>
      </c>
      <c r="AC89" s="334">
        <f t="shared" si="57"/>
        <v>0</v>
      </c>
    </row>
    <row r="90" spans="4:29" x14ac:dyDescent="0.35">
      <c r="D90" s="56" t="s">
        <v>387</v>
      </c>
      <c r="E90" s="56">
        <v>10</v>
      </c>
      <c r="F90" s="1033">
        <f t="shared" si="58"/>
        <v>3.5500000000000003</v>
      </c>
      <c r="G90" s="1033">
        <f t="shared" si="58"/>
        <v>8.875</v>
      </c>
      <c r="H90" s="1033">
        <f t="shared" si="58"/>
        <v>0.56208333333333327</v>
      </c>
      <c r="I90" s="1033">
        <f t="shared" si="58"/>
        <v>1686.25</v>
      </c>
      <c r="J90" s="1033">
        <f t="shared" si="51"/>
        <v>0.76508620689655171</v>
      </c>
      <c r="K90" s="387"/>
      <c r="L90" s="1034"/>
      <c r="M90" s="1034"/>
      <c r="N90" s="1035"/>
      <c r="O90" s="1121"/>
      <c r="P90" s="1037">
        <f t="shared" ref="P90:S90" si="64">(P44*$G$99)+(P67*$I$99)</f>
        <v>3.5500000000000003</v>
      </c>
      <c r="Q90" s="1037">
        <f t="shared" si="64"/>
        <v>9.7033333333333331</v>
      </c>
      <c r="R90" s="1037">
        <f t="shared" si="64"/>
        <v>0.62036644444444433</v>
      </c>
      <c r="S90" s="1037">
        <f t="shared" si="64"/>
        <v>1861.0993333333331</v>
      </c>
      <c r="T90" s="1038">
        <f t="shared" si="53"/>
        <v>0.8444189352692073</v>
      </c>
      <c r="U90" s="65">
        <f>T90</f>
        <v>0.8444189352692073</v>
      </c>
      <c r="V90" s="1052">
        <f t="shared" si="54"/>
        <v>7.9332728372655675E-2</v>
      </c>
      <c r="W90" s="3">
        <v>17792</v>
      </c>
      <c r="X90" s="1040">
        <f t="shared" si="55"/>
        <v>0.14945608803393676</v>
      </c>
      <c r="Y90" s="48">
        <v>1</v>
      </c>
      <c r="Z90" s="1041">
        <f t="shared" si="60"/>
        <v>1411.4879032062897</v>
      </c>
      <c r="AA90" s="1012"/>
      <c r="AB90" s="334">
        <f t="shared" si="56"/>
        <v>0</v>
      </c>
      <c r="AC90" s="334">
        <f t="shared" si="57"/>
        <v>1411.4879032062884</v>
      </c>
    </row>
    <row r="91" spans="4:29" x14ac:dyDescent="0.35">
      <c r="D91" s="56" t="s">
        <v>314</v>
      </c>
      <c r="E91" s="56">
        <v>11</v>
      </c>
      <c r="F91" s="1033">
        <f t="shared" si="58"/>
        <v>3.5500000000000003</v>
      </c>
      <c r="G91" s="1033">
        <f t="shared" si="58"/>
        <v>8.875</v>
      </c>
      <c r="H91" s="1033">
        <f t="shared" si="58"/>
        <v>0.56208333333333327</v>
      </c>
      <c r="I91" s="1033">
        <f t="shared" si="58"/>
        <v>1686.25</v>
      </c>
      <c r="J91" s="1033">
        <f t="shared" si="51"/>
        <v>0.76508620689655171</v>
      </c>
      <c r="K91" s="387">
        <f t="shared" ref="K91:N92" si="65">(K45*$G$99)+(K68*$I$99)</f>
        <v>50</v>
      </c>
      <c r="L91" s="1034">
        <f t="shared" si="65"/>
        <v>1.7600000000000002</v>
      </c>
      <c r="M91" s="1034">
        <f t="shared" si="65"/>
        <v>0.13388184615384616</v>
      </c>
      <c r="N91" s="1035">
        <f t="shared" si="65"/>
        <v>398.96790153846155</v>
      </c>
      <c r="O91" s="1121">
        <f t="shared" si="52"/>
        <v>0.18101991902834008</v>
      </c>
      <c r="P91" s="1037"/>
      <c r="Q91" s="1037"/>
      <c r="R91" s="1037"/>
      <c r="S91" s="1037"/>
      <c r="T91" s="1038">
        <f t="shared" si="53"/>
        <v>0.76508620689655171</v>
      </c>
      <c r="U91" s="65">
        <f t="shared" si="63"/>
        <v>0.94610612592489174</v>
      </c>
      <c r="V91" s="1052">
        <f t="shared" si="54"/>
        <v>0.18101991902834008</v>
      </c>
      <c r="W91" s="3">
        <v>5145</v>
      </c>
      <c r="X91" s="1040">
        <f t="shared" si="55"/>
        <v>4.321895081691797E-2</v>
      </c>
      <c r="Y91" s="48">
        <v>1</v>
      </c>
      <c r="Z91" s="1041">
        <f t="shared" si="60"/>
        <v>931.34748340080966</v>
      </c>
      <c r="AA91" s="1012"/>
      <c r="AB91" s="334">
        <f t="shared" si="56"/>
        <v>931.34748340080966</v>
      </c>
      <c r="AC91" s="334">
        <f t="shared" si="57"/>
        <v>0</v>
      </c>
    </row>
    <row r="92" spans="4:29" x14ac:dyDescent="0.35">
      <c r="D92" s="56" t="s">
        <v>314</v>
      </c>
      <c r="E92" s="56">
        <v>12</v>
      </c>
      <c r="F92" s="1033">
        <f t="shared" si="58"/>
        <v>3.5500000000000003</v>
      </c>
      <c r="G92" s="1033">
        <f t="shared" si="58"/>
        <v>8.875</v>
      </c>
      <c r="H92" s="1033">
        <f t="shared" si="58"/>
        <v>0.56208333333333327</v>
      </c>
      <c r="I92" s="1033">
        <f t="shared" si="58"/>
        <v>1686.25</v>
      </c>
      <c r="J92" s="1033">
        <f t="shared" si="51"/>
        <v>0.76508620689655171</v>
      </c>
      <c r="K92" s="387">
        <f t="shared" si="65"/>
        <v>50</v>
      </c>
      <c r="L92" s="1034">
        <f t="shared" si="65"/>
        <v>1.7600000000000002</v>
      </c>
      <c r="M92" s="1034">
        <f t="shared" si="65"/>
        <v>0.13388184615384616</v>
      </c>
      <c r="N92" s="1035">
        <f t="shared" si="65"/>
        <v>398.96790153846155</v>
      </c>
      <c r="O92" s="1121">
        <f t="shared" si="52"/>
        <v>0.18101991902834008</v>
      </c>
      <c r="P92" s="1037"/>
      <c r="Q92" s="1037"/>
      <c r="R92" s="1037"/>
      <c r="S92" s="1037"/>
      <c r="T92" s="1038">
        <f t="shared" si="53"/>
        <v>0.76508620689655171</v>
      </c>
      <c r="U92" s="65">
        <f t="shared" si="63"/>
        <v>0.94610612592489174</v>
      </c>
      <c r="V92" s="1052">
        <f t="shared" si="54"/>
        <v>0.18101991902834008</v>
      </c>
      <c r="W92" s="3">
        <v>19927</v>
      </c>
      <c r="X92" s="1040">
        <f t="shared" si="55"/>
        <v>0.16739048259061701</v>
      </c>
      <c r="Y92" s="48">
        <v>1</v>
      </c>
      <c r="Z92" s="1041">
        <f t="shared" si="60"/>
        <v>3607.1839264777327</v>
      </c>
      <c r="AA92" s="1012"/>
      <c r="AB92" s="334">
        <f t="shared" si="56"/>
        <v>3607.1839264777327</v>
      </c>
      <c r="AC92" s="334">
        <f t="shared" si="57"/>
        <v>0</v>
      </c>
    </row>
    <row r="93" spans="4:29" x14ac:dyDescent="0.35">
      <c r="D93" s="56" t="s">
        <v>387</v>
      </c>
      <c r="E93" s="56">
        <v>13</v>
      </c>
      <c r="F93" s="1033">
        <f t="shared" si="58"/>
        <v>3.5500000000000003</v>
      </c>
      <c r="G93" s="1033">
        <f t="shared" si="58"/>
        <v>8.875</v>
      </c>
      <c r="H93" s="1033">
        <f t="shared" si="58"/>
        <v>0.56208333333333327</v>
      </c>
      <c r="I93" s="1033">
        <f t="shared" si="58"/>
        <v>1686.25</v>
      </c>
      <c r="J93" s="1033">
        <f t="shared" si="51"/>
        <v>0.76508620689655171</v>
      </c>
      <c r="K93" s="387"/>
      <c r="L93" s="1034"/>
      <c r="M93" s="1034"/>
      <c r="N93" s="1035"/>
      <c r="O93" s="1121"/>
      <c r="P93" s="1037">
        <f t="shared" ref="P93:S94" si="66">(P47*$G$99)+(P70*$I$99)</f>
        <v>3.5500000000000003</v>
      </c>
      <c r="Q93" s="1037">
        <f t="shared" si="66"/>
        <v>9.7033333333333331</v>
      </c>
      <c r="R93" s="1037">
        <f t="shared" si="66"/>
        <v>0.62036644444444433</v>
      </c>
      <c r="S93" s="1037">
        <f t="shared" si="66"/>
        <v>1861.0993333333331</v>
      </c>
      <c r="T93" s="1038">
        <f t="shared" si="53"/>
        <v>0.8444189352692073</v>
      </c>
      <c r="U93" s="65">
        <f>T93</f>
        <v>0.8444189352692073</v>
      </c>
      <c r="V93" s="1052">
        <f t="shared" si="54"/>
        <v>7.9332728372655675E-2</v>
      </c>
      <c r="W93" s="3">
        <v>8790</v>
      </c>
      <c r="X93" s="1040">
        <f t="shared" si="55"/>
        <v>7.3837624427737406E-2</v>
      </c>
      <c r="Y93" s="48">
        <v>1</v>
      </c>
      <c r="Z93" s="1041">
        <f t="shared" si="60"/>
        <v>697.33468239564343</v>
      </c>
      <c r="AA93" s="1012"/>
      <c r="AB93" s="334">
        <f t="shared" si="56"/>
        <v>0</v>
      </c>
      <c r="AC93" s="334">
        <f t="shared" si="57"/>
        <v>697.33468239564263</v>
      </c>
    </row>
    <row r="94" spans="4:29" x14ac:dyDescent="0.35">
      <c r="D94" s="56" t="s">
        <v>387</v>
      </c>
      <c r="E94" s="56">
        <v>14</v>
      </c>
      <c r="F94" s="1033">
        <f t="shared" si="58"/>
        <v>3.5500000000000003</v>
      </c>
      <c r="G94" s="1033">
        <f t="shared" si="58"/>
        <v>8.875</v>
      </c>
      <c r="H94" s="1033">
        <f t="shared" si="58"/>
        <v>0.56208333333333327</v>
      </c>
      <c r="I94" s="1033">
        <f t="shared" si="58"/>
        <v>1686.25</v>
      </c>
      <c r="J94" s="1033">
        <f t="shared" si="51"/>
        <v>0.76508620689655171</v>
      </c>
      <c r="K94" s="387"/>
      <c r="L94" s="1034"/>
      <c r="M94" s="1034"/>
      <c r="N94" s="1035"/>
      <c r="O94" s="1121"/>
      <c r="P94" s="1037">
        <f t="shared" si="66"/>
        <v>3.5500000000000003</v>
      </c>
      <c r="Q94" s="1037">
        <f t="shared" si="66"/>
        <v>9.7033333333333331</v>
      </c>
      <c r="R94" s="1037">
        <f t="shared" si="66"/>
        <v>0.62036644444444433</v>
      </c>
      <c r="S94" s="1037">
        <f t="shared" si="66"/>
        <v>1861.0993333333331</v>
      </c>
      <c r="T94" s="1038">
        <f t="shared" si="53"/>
        <v>0.8444189352692073</v>
      </c>
      <c r="U94" s="65">
        <f>T94</f>
        <v>0.8444189352692073</v>
      </c>
      <c r="V94" s="1052">
        <f t="shared" si="54"/>
        <v>7.9332728372655675E-2</v>
      </c>
      <c r="W94" s="3">
        <v>3401</v>
      </c>
      <c r="X94" s="1040">
        <f t="shared" si="55"/>
        <v>2.8569028518627408E-2</v>
      </c>
      <c r="Y94" s="48">
        <v>1</v>
      </c>
      <c r="Z94" s="1041">
        <f t="shared" si="60"/>
        <v>269.81060919540192</v>
      </c>
      <c r="AA94" s="1012"/>
      <c r="AB94" s="334">
        <f t="shared" si="56"/>
        <v>0</v>
      </c>
      <c r="AC94" s="334">
        <f t="shared" si="57"/>
        <v>269.8106091954017</v>
      </c>
    </row>
    <row r="95" spans="4:29" x14ac:dyDescent="0.35">
      <c r="D95" s="56" t="s">
        <v>314</v>
      </c>
      <c r="E95" s="56">
        <v>15</v>
      </c>
      <c r="F95" s="1033">
        <f t="shared" si="58"/>
        <v>3.5500000000000003</v>
      </c>
      <c r="G95" s="1033">
        <f t="shared" si="58"/>
        <v>8.875</v>
      </c>
      <c r="H95" s="1033">
        <f t="shared" si="58"/>
        <v>0.56208333333333327</v>
      </c>
      <c r="I95" s="1033">
        <f t="shared" si="58"/>
        <v>1686.25</v>
      </c>
      <c r="J95" s="1033">
        <f t="shared" si="51"/>
        <v>0.76508620689655171</v>
      </c>
      <c r="K95" s="387">
        <f t="shared" ref="K95:N96" si="67">(K49*$G$99)+(K72*$I$99)</f>
        <v>50</v>
      </c>
      <c r="L95" s="1034">
        <f t="shared" si="67"/>
        <v>1.7600000000000002</v>
      </c>
      <c r="M95" s="1034">
        <f t="shared" si="67"/>
        <v>0.13388184615384616</v>
      </c>
      <c r="N95" s="1035">
        <f t="shared" si="67"/>
        <v>398.96790153846155</v>
      </c>
      <c r="O95" s="1121">
        <f t="shared" si="52"/>
        <v>0.18101991902834008</v>
      </c>
      <c r="P95" s="1037"/>
      <c r="Q95" s="1037"/>
      <c r="R95" s="1037"/>
      <c r="S95" s="1037"/>
      <c r="T95" s="1038">
        <f t="shared" si="53"/>
        <v>0.76508620689655171</v>
      </c>
      <c r="U95" s="65">
        <f t="shared" ref="U95" si="68">J95+O95</f>
        <v>0.94610612592489174</v>
      </c>
      <c r="V95" s="1052">
        <f t="shared" si="54"/>
        <v>0.18101991902834008</v>
      </c>
      <c r="W95" s="3">
        <v>3389</v>
      </c>
      <c r="X95" s="1040">
        <f t="shared" si="55"/>
        <v>2.8468226300978623E-2</v>
      </c>
      <c r="Y95" s="48">
        <v>1</v>
      </c>
      <c r="Z95" s="1041">
        <f t="shared" si="60"/>
        <v>613.47650558704458</v>
      </c>
      <c r="AA95" s="1012"/>
      <c r="AB95" s="334">
        <f t="shared" si="56"/>
        <v>613.47650558704458</v>
      </c>
      <c r="AC95" s="334">
        <f t="shared" si="57"/>
        <v>0</v>
      </c>
    </row>
    <row r="96" spans="4:29" x14ac:dyDescent="0.35">
      <c r="D96" s="56" t="s">
        <v>314</v>
      </c>
      <c r="E96" s="56">
        <v>16</v>
      </c>
      <c r="F96" s="1033">
        <f t="shared" si="58"/>
        <v>3.5500000000000003</v>
      </c>
      <c r="G96" s="1033">
        <f t="shared" si="58"/>
        <v>8.875</v>
      </c>
      <c r="H96" s="1033">
        <f t="shared" si="58"/>
        <v>0.56208333333333327</v>
      </c>
      <c r="I96" s="1033">
        <f t="shared" si="58"/>
        <v>1686.25</v>
      </c>
      <c r="J96" s="1033">
        <f t="shared" si="51"/>
        <v>0.76508620689655171</v>
      </c>
      <c r="K96" s="387">
        <f t="shared" si="67"/>
        <v>50</v>
      </c>
      <c r="L96" s="1034">
        <f t="shared" si="67"/>
        <v>1.7600000000000002</v>
      </c>
      <c r="M96" s="1034">
        <f t="shared" si="67"/>
        <v>0.13388184615384616</v>
      </c>
      <c r="N96" s="1035">
        <f t="shared" si="67"/>
        <v>398.96790153846155</v>
      </c>
      <c r="O96" s="1121">
        <f t="shared" si="52"/>
        <v>0.18101991902834008</v>
      </c>
      <c r="P96" s="1037"/>
      <c r="Q96" s="1037"/>
      <c r="R96" s="1037"/>
      <c r="S96" s="1037"/>
      <c r="T96" s="1038">
        <f t="shared" si="53"/>
        <v>0.76508620689655171</v>
      </c>
      <c r="U96" s="65">
        <f>J96+O96</f>
        <v>0.94610612592489174</v>
      </c>
      <c r="V96" s="1052">
        <f t="shared" si="54"/>
        <v>0.18101991902834008</v>
      </c>
      <c r="W96" s="3">
        <v>1434</v>
      </c>
      <c r="X96" s="1040">
        <f t="shared" si="55"/>
        <v>1.2045865009030198E-2</v>
      </c>
      <c r="Y96" s="48">
        <v>1</v>
      </c>
      <c r="Z96" s="1041">
        <f t="shared" si="60"/>
        <v>259.58256388663966</v>
      </c>
      <c r="AA96" s="1012"/>
      <c r="AB96" s="334">
        <f t="shared" si="56"/>
        <v>259.58256388663966</v>
      </c>
      <c r="AC96" s="334">
        <f t="shared" si="57"/>
        <v>0</v>
      </c>
    </row>
    <row r="97" spans="1:29" x14ac:dyDescent="0.35">
      <c r="D97" s="56"/>
      <c r="E97" s="362" t="s">
        <v>79</v>
      </c>
      <c r="F97" s="1045"/>
      <c r="G97" s="1045"/>
      <c r="H97" s="1045"/>
      <c r="I97" s="1045"/>
      <c r="J97" s="1046">
        <f>SUM(J81:J96)</f>
        <v>12.241379310344827</v>
      </c>
      <c r="K97" s="362"/>
      <c r="L97" s="362"/>
      <c r="M97" s="362"/>
      <c r="N97" s="362"/>
      <c r="O97" s="1047">
        <f>SUM(O81:O96)</f>
        <v>1.9912191093117413</v>
      </c>
      <c r="P97" s="1045"/>
      <c r="Q97" s="1045"/>
      <c r="R97" s="1045"/>
      <c r="S97" s="1045"/>
      <c r="T97" s="1046">
        <f>SUM(T81:T96)</f>
        <v>12.638042952208105</v>
      </c>
      <c r="U97" s="1048">
        <f>SUM(U81:U96)</f>
        <v>14.629262061519848</v>
      </c>
      <c r="V97" s="1048">
        <f>SUM(V81:V96)</f>
        <v>2.3878827511750198</v>
      </c>
      <c r="W97" s="1049">
        <v>119045</v>
      </c>
      <c r="X97" s="1050">
        <f>SUM(X81:X96)</f>
        <v>1.0000000000000002</v>
      </c>
      <c r="Y97" s="362"/>
      <c r="Z97" s="1047">
        <f>SUM(Z81:Z96)</f>
        <v>16597.248388606258</v>
      </c>
      <c r="AB97" s="1047">
        <f>SUM(AB81:AB96)</f>
        <v>12733.665184129555</v>
      </c>
      <c r="AC97" s="1047">
        <f>SUM(AC81:AC96)</f>
        <v>3863.5832044766998</v>
      </c>
    </row>
    <row r="98" spans="1:29" x14ac:dyDescent="0.35">
      <c r="F98" t="s">
        <v>390</v>
      </c>
    </row>
    <row r="99" spans="1:29" x14ac:dyDescent="0.35">
      <c r="F99" s="56" t="s">
        <v>25</v>
      </c>
      <c r="G99" s="48">
        <v>0.45</v>
      </c>
      <c r="H99" s="56" t="s">
        <v>27</v>
      </c>
      <c r="I99" s="48">
        <v>0.55000000000000004</v>
      </c>
      <c r="J99" s="1053"/>
      <c r="K99" s="941" t="s">
        <v>391</v>
      </c>
      <c r="L99" s="888">
        <f>G99*2100+I99*2700</f>
        <v>2430</v>
      </c>
    </row>
    <row r="100" spans="1:29" ht="15.5" x14ac:dyDescent="0.35">
      <c r="E100" s="1054" t="s">
        <v>131</v>
      </c>
      <c r="G100" t="s">
        <v>392</v>
      </c>
    </row>
    <row r="101" spans="1:29" x14ac:dyDescent="0.35">
      <c r="A101" s="1055" t="s">
        <v>105</v>
      </c>
      <c r="G101">
        <v>2</v>
      </c>
      <c r="H101" s="919">
        <v>5503</v>
      </c>
      <c r="I101" s="1056" t="s">
        <v>132</v>
      </c>
      <c r="J101" s="1056"/>
      <c r="K101" s="1056"/>
      <c r="L101" s="1056"/>
      <c r="M101" s="1056"/>
      <c r="N101" s="1056"/>
      <c r="O101" s="1056"/>
      <c r="P101" s="1056"/>
      <c r="T101" t="str">
        <f>E100</f>
        <v>Small Office - Space Heating</v>
      </c>
    </row>
    <row r="102" spans="1:29" ht="29" x14ac:dyDescent="0.35">
      <c r="A102" s="1057" t="s">
        <v>109</v>
      </c>
      <c r="D102" s="56"/>
      <c r="E102" s="56"/>
      <c r="F102" s="1028" t="s">
        <v>367</v>
      </c>
      <c r="G102" s="1028"/>
      <c r="H102" s="1028"/>
      <c r="I102" s="1028"/>
      <c r="J102" s="1028"/>
      <c r="K102" s="1029" t="s">
        <v>393</v>
      </c>
      <c r="L102" s="1029"/>
      <c r="M102" s="1029"/>
      <c r="N102" s="1029"/>
      <c r="O102" s="1029"/>
      <c r="P102" s="18" t="s">
        <v>371</v>
      </c>
      <c r="Q102" s="1158" t="s">
        <v>4</v>
      </c>
      <c r="R102" s="1158"/>
      <c r="S102" s="1158"/>
      <c r="T102" s="1031" t="s">
        <v>372</v>
      </c>
      <c r="U102" s="1115"/>
      <c r="V102" s="1115"/>
      <c r="W102" s="13"/>
    </row>
    <row r="103" spans="1:29" ht="87" x14ac:dyDescent="0.35">
      <c r="A103" s="1058" t="s">
        <v>118</v>
      </c>
      <c r="B103" s="353"/>
      <c r="C103" s="353"/>
      <c r="D103" s="360" t="s">
        <v>373</v>
      </c>
      <c r="E103" s="360" t="s">
        <v>96</v>
      </c>
      <c r="F103" s="18" t="s">
        <v>374</v>
      </c>
      <c r="G103" s="18" t="s">
        <v>375</v>
      </c>
      <c r="H103" s="18" t="s">
        <v>376</v>
      </c>
      <c r="I103" s="18" t="s">
        <v>377</v>
      </c>
      <c r="J103" s="18" t="s">
        <v>378</v>
      </c>
      <c r="K103" s="1032" t="s">
        <v>389</v>
      </c>
      <c r="L103" s="1032" t="s">
        <v>375</v>
      </c>
      <c r="M103" s="1032" t="s">
        <v>380</v>
      </c>
      <c r="N103" s="4" t="s">
        <v>381</v>
      </c>
      <c r="O103" s="4" t="s">
        <v>378</v>
      </c>
      <c r="P103" s="18" t="s">
        <v>383</v>
      </c>
      <c r="Q103" s="4" t="s">
        <v>384</v>
      </c>
      <c r="R103" s="4" t="s">
        <v>11</v>
      </c>
      <c r="S103" s="4" t="s">
        <v>385</v>
      </c>
      <c r="T103" s="18" t="s">
        <v>386</v>
      </c>
      <c r="U103" s="1115"/>
      <c r="V103" s="1115"/>
      <c r="W103" s="13"/>
    </row>
    <row r="104" spans="1:29" x14ac:dyDescent="0.35">
      <c r="A104" s="1059">
        <v>3.6503027160401401E-2</v>
      </c>
      <c r="B104" s="350"/>
      <c r="C104" s="350"/>
      <c r="D104" s="56" t="s">
        <v>387</v>
      </c>
      <c r="E104" s="56">
        <v>1</v>
      </c>
      <c r="F104" s="1033">
        <v>7</v>
      </c>
      <c r="G104" s="1033">
        <f t="shared" ref="G104:G119" si="69">F104*$E$15</f>
        <v>17.5</v>
      </c>
      <c r="H104" s="1033">
        <f t="shared" ref="H104:H119" si="70">G104*$E$10</f>
        <v>1.1083333333333332</v>
      </c>
      <c r="I104" s="1033">
        <f>H104*$E$14</f>
        <v>3324.9999999999995</v>
      </c>
      <c r="J104" s="1033">
        <f t="shared" ref="J104:J119" si="71">I104/$E$18</f>
        <v>1.5086206896551722</v>
      </c>
      <c r="K104" s="387">
        <v>7</v>
      </c>
      <c r="L104" s="1034">
        <f t="shared" ref="L104:L119" si="72">K104*$F$15</f>
        <v>19.133333333333329</v>
      </c>
      <c r="M104" s="1034">
        <f t="shared" ref="M104:M119" si="73">L104*$F$10</f>
        <v>1.2232577777777773</v>
      </c>
      <c r="N104" s="1035">
        <f>M104*$F$14</f>
        <v>3669.7733333333322</v>
      </c>
      <c r="O104" s="1036">
        <f t="shared" ref="O104:O119" si="74">N104/$E$18</f>
        <v>1.6650514216575918</v>
      </c>
      <c r="P104" s="1060">
        <f t="shared" ref="P104:P119" si="75">O104-J104</f>
        <v>0.15643073200241964</v>
      </c>
      <c r="Q104" s="3">
        <v>6.633295867781464</v>
      </c>
      <c r="R104" s="1040">
        <v>4.2230701566910349E-3</v>
      </c>
      <c r="S104" s="48">
        <v>1</v>
      </c>
      <c r="T104" s="1041">
        <f>P104*Q104*S104</f>
        <v>1.0376513281856798</v>
      </c>
      <c r="U104" s="1012"/>
      <c r="V104" s="1012"/>
      <c r="W104" s="351"/>
    </row>
    <row r="105" spans="1:29" x14ac:dyDescent="0.35">
      <c r="A105" s="1059">
        <v>0.21690707447712726</v>
      </c>
      <c r="B105" s="350"/>
      <c r="C105" s="350"/>
      <c r="D105" s="56" t="s">
        <v>387</v>
      </c>
      <c r="E105" s="56">
        <v>2</v>
      </c>
      <c r="F105" s="1033">
        <v>9</v>
      </c>
      <c r="G105" s="1033">
        <f t="shared" si="69"/>
        <v>22.5</v>
      </c>
      <c r="H105" s="1033">
        <f t="shared" si="70"/>
        <v>1.4249999999999998</v>
      </c>
      <c r="I105" s="1033">
        <f t="shared" ref="I105:I119" si="76">H105*$E$14</f>
        <v>4274.9999999999991</v>
      </c>
      <c r="J105" s="1033">
        <f t="shared" si="71"/>
        <v>1.9396551724137927</v>
      </c>
      <c r="K105" s="1043">
        <v>9</v>
      </c>
      <c r="L105" s="1034">
        <f t="shared" si="72"/>
        <v>24.599999999999998</v>
      </c>
      <c r="M105" s="1034">
        <f t="shared" si="73"/>
        <v>1.5727599999999997</v>
      </c>
      <c r="N105" s="1035">
        <f t="shared" ref="N105:N119" si="77">M105*$F$14</f>
        <v>4718.2799999999988</v>
      </c>
      <c r="O105" s="1036">
        <f t="shared" si="74"/>
        <v>2.1407803992740466</v>
      </c>
      <c r="P105" s="1060">
        <f t="shared" si="75"/>
        <v>0.20112522686025391</v>
      </c>
      <c r="Q105" s="3">
        <v>39.416150186648601</v>
      </c>
      <c r="R105" s="1040">
        <v>2.5094187092329988E-2</v>
      </c>
      <c r="S105" s="48">
        <v>1</v>
      </c>
      <c r="T105" s="1041">
        <f t="shared" ref="T105:T119" si="78">P105*Q105*S105</f>
        <v>7.9275821482475397</v>
      </c>
      <c r="U105" s="1012"/>
      <c r="V105" s="1012"/>
      <c r="W105" s="351"/>
    </row>
    <row r="106" spans="1:29" x14ac:dyDescent="0.35">
      <c r="A106" s="1059">
        <v>0.77838396271738108</v>
      </c>
      <c r="B106" s="350"/>
      <c r="C106" s="350"/>
      <c r="D106" s="56" t="s">
        <v>387</v>
      </c>
      <c r="E106" s="56">
        <v>3</v>
      </c>
      <c r="F106" s="1033">
        <v>8</v>
      </c>
      <c r="G106" s="1033">
        <f t="shared" si="69"/>
        <v>20</v>
      </c>
      <c r="H106" s="1033">
        <f t="shared" si="70"/>
        <v>1.2666666666666666</v>
      </c>
      <c r="I106" s="1033">
        <f t="shared" si="76"/>
        <v>3800</v>
      </c>
      <c r="J106" s="1033">
        <f t="shared" si="71"/>
        <v>1.7241379310344827</v>
      </c>
      <c r="K106" s="387">
        <v>8</v>
      </c>
      <c r="L106" s="1034">
        <f t="shared" si="72"/>
        <v>21.866666666666664</v>
      </c>
      <c r="M106" s="1034">
        <f t="shared" si="73"/>
        <v>1.3980088888888886</v>
      </c>
      <c r="N106" s="1035">
        <f t="shared" si="77"/>
        <v>4194.0266666666657</v>
      </c>
      <c r="O106" s="1036">
        <f t="shared" si="74"/>
        <v>1.9029159104658193</v>
      </c>
      <c r="P106" s="1060">
        <f t="shared" si="75"/>
        <v>0.17877797943133666</v>
      </c>
      <c r="Q106" s="3">
        <v>141.44720383743069</v>
      </c>
      <c r="R106" s="1040">
        <v>9.0051985797074172E-2</v>
      </c>
      <c r="S106" s="48">
        <v>1</v>
      </c>
      <c r="T106" s="1041">
        <f t="shared" si="78"/>
        <v>25.28764529826827</v>
      </c>
      <c r="U106" s="1012"/>
      <c r="V106" s="1012"/>
      <c r="W106" s="351"/>
    </row>
    <row r="107" spans="1:29" x14ac:dyDescent="0.35">
      <c r="A107" s="1059">
        <v>0.3895728317350276</v>
      </c>
      <c r="B107" s="350"/>
      <c r="C107" s="350"/>
      <c r="D107" s="56" t="s">
        <v>387</v>
      </c>
      <c r="E107" s="56">
        <v>4</v>
      </c>
      <c r="F107" s="1033">
        <v>9</v>
      </c>
      <c r="G107" s="1033">
        <f t="shared" si="69"/>
        <v>22.5</v>
      </c>
      <c r="H107" s="1033">
        <f t="shared" si="70"/>
        <v>1.4249999999999998</v>
      </c>
      <c r="I107" s="1033">
        <f t="shared" si="76"/>
        <v>4274.9999999999991</v>
      </c>
      <c r="J107" s="1033">
        <f t="shared" si="71"/>
        <v>1.9396551724137927</v>
      </c>
      <c r="K107" s="387">
        <v>9</v>
      </c>
      <c r="L107" s="1034">
        <f t="shared" si="72"/>
        <v>24.599999999999998</v>
      </c>
      <c r="M107" s="1034">
        <f t="shared" si="73"/>
        <v>1.5727599999999997</v>
      </c>
      <c r="N107" s="1035">
        <f t="shared" si="77"/>
        <v>4718.2799999999988</v>
      </c>
      <c r="O107" s="1036">
        <f t="shared" si="74"/>
        <v>2.1407803992740466</v>
      </c>
      <c r="P107" s="1060">
        <f t="shared" si="75"/>
        <v>0.20112522686025391</v>
      </c>
      <c r="Q107" s="3">
        <v>70.792809691991209</v>
      </c>
      <c r="R107" s="1040">
        <v>4.5070053843165217E-2</v>
      </c>
      <c r="S107" s="48">
        <v>1</v>
      </c>
      <c r="T107" s="1041">
        <f t="shared" si="78"/>
        <v>14.238219909376514</v>
      </c>
      <c r="U107" s="1012"/>
      <c r="V107" s="1012"/>
      <c r="W107" s="351"/>
    </row>
    <row r="108" spans="1:29" x14ac:dyDescent="0.35">
      <c r="A108" s="1059">
        <v>8.4829971015303554E-2</v>
      </c>
      <c r="B108" s="350"/>
      <c r="C108" s="350"/>
      <c r="D108" s="56" t="s">
        <v>387</v>
      </c>
      <c r="E108" s="56">
        <v>5</v>
      </c>
      <c r="F108" s="1033">
        <v>8</v>
      </c>
      <c r="G108" s="1033">
        <f t="shared" si="69"/>
        <v>20</v>
      </c>
      <c r="H108" s="1033">
        <f t="shared" si="70"/>
        <v>1.2666666666666666</v>
      </c>
      <c r="I108" s="1033">
        <f t="shared" si="76"/>
        <v>3800</v>
      </c>
      <c r="J108" s="1033">
        <f t="shared" si="71"/>
        <v>1.7241379310344827</v>
      </c>
      <c r="K108" s="387">
        <v>8</v>
      </c>
      <c r="L108" s="1034">
        <f t="shared" si="72"/>
        <v>21.866666666666664</v>
      </c>
      <c r="M108" s="1034">
        <f t="shared" si="73"/>
        <v>1.3980088888888886</v>
      </c>
      <c r="N108" s="1035">
        <f t="shared" si="77"/>
        <v>4194.0266666666657</v>
      </c>
      <c r="O108" s="1036">
        <f t="shared" si="74"/>
        <v>1.9029159104658193</v>
      </c>
      <c r="P108" s="1060">
        <f t="shared" si="75"/>
        <v>0.17877797943133666</v>
      </c>
      <c r="Q108" s="3">
        <v>15.415222790351365</v>
      </c>
      <c r="R108" s="1040">
        <v>9.814060554854941E-3</v>
      </c>
      <c r="S108" s="48">
        <v>1</v>
      </c>
      <c r="T108" s="1041">
        <f t="shared" si="78"/>
        <v>2.7559023829429083</v>
      </c>
      <c r="U108" s="1012"/>
      <c r="V108" s="1012"/>
      <c r="W108" s="351"/>
    </row>
    <row r="109" spans="1:29" x14ac:dyDescent="0.35">
      <c r="A109" s="1059">
        <v>0.57674374111125992</v>
      </c>
      <c r="B109" s="350"/>
      <c r="C109" s="350"/>
      <c r="D109" s="56" t="s">
        <v>387</v>
      </c>
      <c r="E109" s="56">
        <v>6</v>
      </c>
      <c r="F109" s="1033">
        <v>9</v>
      </c>
      <c r="G109" s="1033">
        <f t="shared" si="69"/>
        <v>22.5</v>
      </c>
      <c r="H109" s="1033">
        <f t="shared" si="70"/>
        <v>1.4249999999999998</v>
      </c>
      <c r="I109" s="1033">
        <f t="shared" si="76"/>
        <v>4274.9999999999991</v>
      </c>
      <c r="J109" s="1033">
        <f t="shared" si="71"/>
        <v>1.9396551724137927</v>
      </c>
      <c r="K109" s="387">
        <v>9</v>
      </c>
      <c r="L109" s="1034">
        <f t="shared" si="72"/>
        <v>24.599999999999998</v>
      </c>
      <c r="M109" s="1034">
        <f t="shared" si="73"/>
        <v>1.5727599999999997</v>
      </c>
      <c r="N109" s="1035">
        <f t="shared" si="77"/>
        <v>4718.2799999999988</v>
      </c>
      <c r="O109" s="1036">
        <f t="shared" si="74"/>
        <v>2.1407803992740466</v>
      </c>
      <c r="P109" s="1060">
        <f t="shared" si="75"/>
        <v>0.20112522686025391</v>
      </c>
      <c r="Q109" s="3">
        <v>104.80533183922586</v>
      </c>
      <c r="R109" s="1040">
        <v>6.6724035528414494E-2</v>
      </c>
      <c r="S109" s="48">
        <v>1</v>
      </c>
      <c r="T109" s="1041">
        <f t="shared" si="78"/>
        <v>21.078996142328492</v>
      </c>
      <c r="U109" s="1012"/>
      <c r="V109" s="1012"/>
      <c r="W109" s="351"/>
    </row>
    <row r="110" spans="1:29" x14ac:dyDescent="0.35">
      <c r="A110" s="1059">
        <v>0.78937215584234899</v>
      </c>
      <c r="B110" s="350"/>
      <c r="C110" s="350"/>
      <c r="D110" s="56" t="s">
        <v>387</v>
      </c>
      <c r="E110" s="56">
        <v>7</v>
      </c>
      <c r="F110" s="1033">
        <v>9</v>
      </c>
      <c r="G110" s="1033">
        <f t="shared" si="69"/>
        <v>22.5</v>
      </c>
      <c r="H110" s="1033">
        <f t="shared" si="70"/>
        <v>1.4249999999999998</v>
      </c>
      <c r="I110" s="1033">
        <f t="shared" si="76"/>
        <v>4274.9999999999991</v>
      </c>
      <c r="J110" s="1033">
        <f t="shared" si="71"/>
        <v>1.9396551724137927</v>
      </c>
      <c r="K110" s="387">
        <v>9</v>
      </c>
      <c r="L110" s="1034">
        <f t="shared" si="72"/>
        <v>24.599999999999998</v>
      </c>
      <c r="M110" s="1034">
        <f t="shared" si="73"/>
        <v>1.5727599999999997</v>
      </c>
      <c r="N110" s="1035">
        <f t="shared" si="77"/>
        <v>4718.2799999999988</v>
      </c>
      <c r="O110" s="1036">
        <f t="shared" si="74"/>
        <v>2.1407803992740466</v>
      </c>
      <c r="P110" s="1060">
        <f t="shared" si="75"/>
        <v>0.20112522686025391</v>
      </c>
      <c r="Q110" s="3">
        <v>143.44396798879683</v>
      </c>
      <c r="R110" s="1040">
        <v>9.1323220378746017E-2</v>
      </c>
      <c r="S110" s="48">
        <v>1</v>
      </c>
      <c r="T110" s="1041">
        <f t="shared" si="78"/>
        <v>28.850200603481763</v>
      </c>
      <c r="U110" s="1012"/>
      <c r="V110" s="1012"/>
      <c r="W110" s="351"/>
    </row>
    <row r="111" spans="1:29" x14ac:dyDescent="0.35">
      <c r="A111" s="1059">
        <v>0.75847896498740563</v>
      </c>
      <c r="B111" s="350"/>
      <c r="C111" s="350"/>
      <c r="D111" s="56" t="s">
        <v>387</v>
      </c>
      <c r="E111" s="56">
        <v>8</v>
      </c>
      <c r="F111" s="1033">
        <v>9</v>
      </c>
      <c r="G111" s="1033">
        <f t="shared" si="69"/>
        <v>22.5</v>
      </c>
      <c r="H111" s="1033">
        <f t="shared" si="70"/>
        <v>1.4249999999999998</v>
      </c>
      <c r="I111" s="1033">
        <f t="shared" si="76"/>
        <v>4274.9999999999991</v>
      </c>
      <c r="J111" s="1033">
        <f t="shared" si="71"/>
        <v>1.9396551724137927</v>
      </c>
      <c r="K111" s="387">
        <v>9</v>
      </c>
      <c r="L111" s="1034">
        <f t="shared" si="72"/>
        <v>24.599999999999998</v>
      </c>
      <c r="M111" s="1034">
        <f t="shared" si="73"/>
        <v>1.5727599999999997</v>
      </c>
      <c r="N111" s="1035">
        <f t="shared" si="77"/>
        <v>4718.2799999999988</v>
      </c>
      <c r="O111" s="1036">
        <f t="shared" si="74"/>
        <v>2.1407803992740466</v>
      </c>
      <c r="P111" s="1060">
        <f t="shared" si="75"/>
        <v>0.20112522686025391</v>
      </c>
      <c r="Q111" s="3">
        <v>137.83008631426597</v>
      </c>
      <c r="R111" s="1040">
        <v>8.7749157554553744E-2</v>
      </c>
      <c r="S111" s="48">
        <v>1</v>
      </c>
      <c r="T111" s="1041">
        <f t="shared" si="78"/>
        <v>27.721107378125122</v>
      </c>
      <c r="U111" s="1012"/>
      <c r="V111" s="1012"/>
      <c r="W111" s="351"/>
    </row>
    <row r="112" spans="1:29" x14ac:dyDescent="0.35">
      <c r="A112" s="1059">
        <v>1.2276033001767823</v>
      </c>
      <c r="B112" s="350"/>
      <c r="C112" s="350"/>
      <c r="D112" s="56" t="s">
        <v>387</v>
      </c>
      <c r="E112" s="56">
        <v>9</v>
      </c>
      <c r="F112" s="1033">
        <v>9</v>
      </c>
      <c r="G112" s="1033">
        <f t="shared" si="69"/>
        <v>22.5</v>
      </c>
      <c r="H112" s="1033">
        <f t="shared" si="70"/>
        <v>1.4249999999999998</v>
      </c>
      <c r="I112" s="1033">
        <f t="shared" si="76"/>
        <v>4274.9999999999991</v>
      </c>
      <c r="J112" s="1033">
        <f t="shared" si="71"/>
        <v>1.9396551724137927</v>
      </c>
      <c r="K112" s="387">
        <v>9</v>
      </c>
      <c r="L112" s="1034">
        <f t="shared" si="72"/>
        <v>24.599999999999998</v>
      </c>
      <c r="M112" s="1034">
        <f t="shared" si="73"/>
        <v>1.5727599999999997</v>
      </c>
      <c r="N112" s="1035">
        <f t="shared" si="77"/>
        <v>4718.2799999999988</v>
      </c>
      <c r="O112" s="1036">
        <f t="shared" si="74"/>
        <v>2.1407803992740466</v>
      </c>
      <c r="P112" s="1060">
        <f t="shared" si="75"/>
        <v>0.20112522686025391</v>
      </c>
      <c r="Q112" s="3">
        <v>223.07892062089448</v>
      </c>
      <c r="R112" s="1040">
        <v>0.14202260098734748</v>
      </c>
      <c r="S112" s="48">
        <v>1</v>
      </c>
      <c r="T112" s="1041">
        <f t="shared" si="78"/>
        <v>44.86679851761798</v>
      </c>
      <c r="U112" s="1012"/>
      <c r="V112" s="1012"/>
      <c r="W112" s="351"/>
    </row>
    <row r="113" spans="1:23" x14ac:dyDescent="0.35">
      <c r="A113" s="1059">
        <v>1.0104364758704398</v>
      </c>
      <c r="B113" s="350"/>
      <c r="C113" s="350"/>
      <c r="D113" s="56" t="s">
        <v>387</v>
      </c>
      <c r="E113" s="56">
        <v>10</v>
      </c>
      <c r="F113" s="1033">
        <v>10</v>
      </c>
      <c r="G113" s="1033">
        <f t="shared" si="69"/>
        <v>25</v>
      </c>
      <c r="H113" s="1033">
        <f t="shared" si="70"/>
        <v>1.583333333333333</v>
      </c>
      <c r="I113" s="1033">
        <f t="shared" si="76"/>
        <v>4749.9999999999991</v>
      </c>
      <c r="J113" s="1033">
        <f t="shared" si="71"/>
        <v>2.1551724137931032</v>
      </c>
      <c r="K113" s="387">
        <v>10</v>
      </c>
      <c r="L113" s="1034">
        <f t="shared" si="72"/>
        <v>27.333333333333329</v>
      </c>
      <c r="M113" s="1034">
        <f t="shared" si="73"/>
        <v>1.7475111111111106</v>
      </c>
      <c r="N113" s="1035">
        <f t="shared" si="77"/>
        <v>5242.5333333333319</v>
      </c>
      <c r="O113" s="1036">
        <f t="shared" si="74"/>
        <v>2.3786448880822739</v>
      </c>
      <c r="P113" s="1060">
        <f t="shared" si="75"/>
        <v>0.22347247428917072</v>
      </c>
      <c r="Q113" s="3">
        <v>183.6155689388406</v>
      </c>
      <c r="R113" s="1040">
        <v>0.11689836318861596</v>
      </c>
      <c r="S113" s="48">
        <v>1</v>
      </c>
      <c r="T113" s="1041">
        <f t="shared" si="78"/>
        <v>41.033025508776511</v>
      </c>
      <c r="U113" s="1012"/>
      <c r="V113" s="1012"/>
      <c r="W113" s="351"/>
    </row>
    <row r="114" spans="1:23" x14ac:dyDescent="0.35">
      <c r="A114" s="1059">
        <v>0.27596512429219344</v>
      </c>
      <c r="B114" s="350"/>
      <c r="C114" s="350"/>
      <c r="D114" s="56" t="s">
        <v>387</v>
      </c>
      <c r="E114" s="56">
        <v>11</v>
      </c>
      <c r="F114" s="1033">
        <v>10</v>
      </c>
      <c r="G114" s="1033">
        <f t="shared" si="69"/>
        <v>25</v>
      </c>
      <c r="H114" s="1033">
        <f t="shared" si="70"/>
        <v>1.583333333333333</v>
      </c>
      <c r="I114" s="1033">
        <f t="shared" si="76"/>
        <v>4749.9999999999991</v>
      </c>
      <c r="J114" s="1033">
        <f t="shared" si="71"/>
        <v>2.1551724137931032</v>
      </c>
      <c r="K114" s="387">
        <v>10</v>
      </c>
      <c r="L114" s="1034">
        <f t="shared" si="72"/>
        <v>27.333333333333329</v>
      </c>
      <c r="M114" s="1034">
        <f t="shared" si="73"/>
        <v>1.7475111111111106</v>
      </c>
      <c r="N114" s="1035">
        <f t="shared" si="77"/>
        <v>5242.5333333333319</v>
      </c>
      <c r="O114" s="1036">
        <f t="shared" si="74"/>
        <v>2.3786448880822739</v>
      </c>
      <c r="P114" s="1060">
        <f t="shared" si="75"/>
        <v>0.22347247428917072</v>
      </c>
      <c r="Q114" s="3">
        <v>50.148123622059501</v>
      </c>
      <c r="R114" s="1040">
        <v>3.1926669411958951E-2</v>
      </c>
      <c r="S114" s="48">
        <v>1</v>
      </c>
      <c r="T114" s="1041">
        <f t="shared" si="78"/>
        <v>11.206725266780847</v>
      </c>
      <c r="U114" s="1012"/>
      <c r="V114" s="1012"/>
      <c r="W114" s="351"/>
    </row>
    <row r="115" spans="1:23" x14ac:dyDescent="0.35">
      <c r="A115" s="1059">
        <v>1.4411437181498095</v>
      </c>
      <c r="B115" s="350"/>
      <c r="C115" s="350"/>
      <c r="D115" s="56" t="s">
        <v>387</v>
      </c>
      <c r="E115" s="56">
        <v>12</v>
      </c>
      <c r="F115" s="1033">
        <v>9</v>
      </c>
      <c r="G115" s="1033">
        <f t="shared" si="69"/>
        <v>22.5</v>
      </c>
      <c r="H115" s="1033">
        <f t="shared" si="70"/>
        <v>1.4249999999999998</v>
      </c>
      <c r="I115" s="1033">
        <f t="shared" si="76"/>
        <v>4274.9999999999991</v>
      </c>
      <c r="J115" s="1033">
        <f t="shared" si="71"/>
        <v>1.9396551724137927</v>
      </c>
      <c r="K115" s="387">
        <v>9</v>
      </c>
      <c r="L115" s="1034">
        <f t="shared" si="72"/>
        <v>24.599999999999998</v>
      </c>
      <c r="M115" s="1034">
        <f t="shared" si="73"/>
        <v>1.5727599999999997</v>
      </c>
      <c r="N115" s="1035">
        <f t="shared" si="77"/>
        <v>4718.2799999999988</v>
      </c>
      <c r="O115" s="1036">
        <f t="shared" si="74"/>
        <v>2.1407803992740466</v>
      </c>
      <c r="P115" s="1060">
        <f t="shared" si="75"/>
        <v>0.20112522686025391</v>
      </c>
      <c r="Q115" s="3">
        <v>261.88328514443202</v>
      </c>
      <c r="R115" s="1040">
        <v>0.16672729636580344</v>
      </c>
      <c r="S115" s="48">
        <v>1</v>
      </c>
      <c r="T115" s="1041">
        <f t="shared" si="78"/>
        <v>52.671335135582453</v>
      </c>
      <c r="U115" s="1012"/>
      <c r="V115" s="1012"/>
      <c r="W115" s="351"/>
    </row>
    <row r="116" spans="1:23" x14ac:dyDescent="0.35">
      <c r="A116" s="1059">
        <v>0.58823954847105975</v>
      </c>
      <c r="B116" s="350"/>
      <c r="C116" s="350"/>
      <c r="D116" s="56" t="s">
        <v>387</v>
      </c>
      <c r="E116" s="56">
        <v>13</v>
      </c>
      <c r="F116" s="1033">
        <v>10</v>
      </c>
      <c r="G116" s="1033">
        <f t="shared" si="69"/>
        <v>25</v>
      </c>
      <c r="H116" s="1033">
        <f t="shared" si="70"/>
        <v>1.583333333333333</v>
      </c>
      <c r="I116" s="1033">
        <f t="shared" si="76"/>
        <v>4749.9999999999991</v>
      </c>
      <c r="J116" s="1033">
        <f t="shared" si="71"/>
        <v>2.1551724137931032</v>
      </c>
      <c r="K116" s="387">
        <v>10</v>
      </c>
      <c r="L116" s="1034">
        <f t="shared" si="72"/>
        <v>27.333333333333329</v>
      </c>
      <c r="M116" s="1034">
        <f t="shared" si="73"/>
        <v>1.7475111111111106</v>
      </c>
      <c r="N116" s="1035">
        <f t="shared" si="77"/>
        <v>5242.5333333333319</v>
      </c>
      <c r="O116" s="1036">
        <f t="shared" si="74"/>
        <v>2.3786448880822739</v>
      </c>
      <c r="P116" s="1060">
        <f t="shared" si="75"/>
        <v>0.22347247428917072</v>
      </c>
      <c r="Q116" s="3">
        <v>106.89433917337085</v>
      </c>
      <c r="R116" s="1040">
        <v>6.8053996486855353E-2</v>
      </c>
      <c r="S116" s="48">
        <v>1</v>
      </c>
      <c r="T116" s="1041">
        <f t="shared" si="78"/>
        <v>23.887942462579012</v>
      </c>
      <c r="U116" s="1012"/>
      <c r="V116" s="1012"/>
      <c r="W116" s="351"/>
    </row>
    <row r="117" spans="1:23" x14ac:dyDescent="0.35">
      <c r="A117" s="1059">
        <v>0.19809835139477983</v>
      </c>
      <c r="B117" s="350"/>
      <c r="C117" s="350"/>
      <c r="D117" s="56" t="s">
        <v>387</v>
      </c>
      <c r="E117" s="56">
        <v>14</v>
      </c>
      <c r="F117" s="1033">
        <v>10</v>
      </c>
      <c r="G117" s="1033">
        <f t="shared" si="69"/>
        <v>25</v>
      </c>
      <c r="H117" s="1033">
        <f t="shared" si="70"/>
        <v>1.583333333333333</v>
      </c>
      <c r="I117" s="1033">
        <f t="shared" si="76"/>
        <v>4749.9999999999991</v>
      </c>
      <c r="J117" s="1033">
        <f t="shared" si="71"/>
        <v>2.1551724137931032</v>
      </c>
      <c r="K117" s="387">
        <v>10</v>
      </c>
      <c r="L117" s="1034">
        <f t="shared" si="72"/>
        <v>27.333333333333329</v>
      </c>
      <c r="M117" s="1034">
        <f t="shared" si="73"/>
        <v>1.7475111111111106</v>
      </c>
      <c r="N117" s="1035">
        <f t="shared" si="77"/>
        <v>5242.5333333333319</v>
      </c>
      <c r="O117" s="1036">
        <f t="shared" si="74"/>
        <v>2.3786448880822739</v>
      </c>
      <c r="P117" s="1060">
        <f t="shared" si="75"/>
        <v>0.22347247428917072</v>
      </c>
      <c r="Q117" s="3">
        <v>35.998246664506603</v>
      </c>
      <c r="R117" s="1040">
        <v>2.2918187913262073E-2</v>
      </c>
      <c r="S117" s="48">
        <v>1</v>
      </c>
      <c r="T117" s="1041">
        <f t="shared" si="78"/>
        <v>8.0446172521891768</v>
      </c>
      <c r="U117" s="1012"/>
      <c r="V117" s="1012"/>
      <c r="W117" s="351"/>
    </row>
    <row r="118" spans="1:23" x14ac:dyDescent="0.35">
      <c r="A118" s="1059">
        <v>0.19134040293737797</v>
      </c>
      <c r="B118" s="353"/>
      <c r="C118" s="353"/>
      <c r="D118" s="56" t="s">
        <v>387</v>
      </c>
      <c r="E118" s="56">
        <v>15</v>
      </c>
      <c r="F118" s="1033">
        <v>12</v>
      </c>
      <c r="G118" s="1033">
        <f t="shared" si="69"/>
        <v>30</v>
      </c>
      <c r="H118" s="1033">
        <f t="shared" si="70"/>
        <v>1.8999999999999997</v>
      </c>
      <c r="I118" s="1033">
        <f t="shared" si="76"/>
        <v>5699.9999999999991</v>
      </c>
      <c r="J118" s="1033">
        <f t="shared" si="71"/>
        <v>2.5862068965517238</v>
      </c>
      <c r="K118" s="387">
        <v>12</v>
      </c>
      <c r="L118" s="1034">
        <f t="shared" si="72"/>
        <v>32.799999999999997</v>
      </c>
      <c r="M118" s="1034">
        <f t="shared" si="73"/>
        <v>2.097013333333333</v>
      </c>
      <c r="N118" s="1035">
        <f t="shared" si="77"/>
        <v>6291.0399999999991</v>
      </c>
      <c r="O118" s="1036">
        <f t="shared" si="74"/>
        <v>2.854373865698729</v>
      </c>
      <c r="P118" s="1060">
        <f t="shared" si="75"/>
        <v>0.26816696914700522</v>
      </c>
      <c r="Q118" s="3">
        <v>34.770198607555514</v>
      </c>
      <c r="R118" s="1040">
        <v>2.2136354386812263E-2</v>
      </c>
      <c r="S118" s="48">
        <v>1</v>
      </c>
      <c r="T118" s="1041">
        <f t="shared" si="78"/>
        <v>9.3242187772275837</v>
      </c>
      <c r="U118" s="1012"/>
      <c r="V118" s="1012"/>
      <c r="W118" s="351"/>
    </row>
    <row r="119" spans="1:23" x14ac:dyDescent="0.35">
      <c r="A119" s="1059">
        <v>8.0099262461302334E-2</v>
      </c>
      <c r="B119" s="350"/>
      <c r="C119" s="350"/>
      <c r="D119" s="56" t="s">
        <v>387</v>
      </c>
      <c r="E119" s="56">
        <v>16</v>
      </c>
      <c r="F119" s="1033">
        <v>10</v>
      </c>
      <c r="G119" s="1033">
        <f t="shared" si="69"/>
        <v>25</v>
      </c>
      <c r="H119" s="1033">
        <f t="shared" si="70"/>
        <v>1.583333333333333</v>
      </c>
      <c r="I119" s="1033">
        <f t="shared" si="76"/>
        <v>4749.9999999999991</v>
      </c>
      <c r="J119" s="1033">
        <f t="shared" si="71"/>
        <v>2.1551724137931032</v>
      </c>
      <c r="K119" s="387">
        <v>10</v>
      </c>
      <c r="L119" s="1034">
        <f t="shared" si="72"/>
        <v>27.333333333333329</v>
      </c>
      <c r="M119" s="1034">
        <f t="shared" si="73"/>
        <v>1.7475111111111106</v>
      </c>
      <c r="N119" s="1035">
        <f t="shared" si="77"/>
        <v>5242.5333333333319</v>
      </c>
      <c r="O119" s="1036">
        <f t="shared" si="74"/>
        <v>2.3786448880822739</v>
      </c>
      <c r="P119" s="1060">
        <f t="shared" si="75"/>
        <v>0.22347247428917072</v>
      </c>
      <c r="Q119" s="3">
        <v>14.555562867763463</v>
      </c>
      <c r="R119" s="1040">
        <v>9.2667603535149853E-3</v>
      </c>
      <c r="S119" s="48">
        <v>1</v>
      </c>
      <c r="T119" s="1041">
        <f t="shared" si="78"/>
        <v>3.2527676487306785</v>
      </c>
      <c r="U119" s="1012"/>
      <c r="V119" s="1012"/>
      <c r="W119" s="351"/>
    </row>
    <row r="120" spans="1:23" x14ac:dyDescent="0.35">
      <c r="A120" s="1061">
        <v>8.6437179128000015</v>
      </c>
      <c r="D120" s="56"/>
      <c r="E120" s="362" t="s">
        <v>79</v>
      </c>
      <c r="F120" s="1045"/>
      <c r="G120" s="1045"/>
      <c r="H120" s="1045"/>
      <c r="I120" s="1045"/>
      <c r="J120" s="1046">
        <f>SUM(J104:J119)</f>
        <v>31.896551724137929</v>
      </c>
      <c r="K120" s="362"/>
      <c r="L120" s="362"/>
      <c r="M120" s="362"/>
      <c r="N120" s="362"/>
      <c r="O120" s="1047">
        <f>SUM(O104:O119)</f>
        <v>35.20394434361765</v>
      </c>
      <c r="P120" s="1046">
        <f>SUM(P104:P119)</f>
        <v>3.3073926194797294</v>
      </c>
      <c r="Q120" s="1049">
        <v>1570.7283141559149</v>
      </c>
      <c r="R120" s="362">
        <v>1.0000000000000002</v>
      </c>
      <c r="S120" s="362"/>
      <c r="T120" s="1047">
        <f>SUM(T104:T119)</f>
        <v>323.18473576044056</v>
      </c>
    </row>
    <row r="121" spans="1:23" x14ac:dyDescent="0.35">
      <c r="I121" t="s">
        <v>394</v>
      </c>
      <c r="J121" s="1093">
        <f>SUMPRODUCT(J104:J119,Q104:Q119)</f>
        <v>3116.7991909760981</v>
      </c>
    </row>
    <row r="123" spans="1:23" ht="15.5" x14ac:dyDescent="0.35">
      <c r="E123" s="1062" t="s">
        <v>141</v>
      </c>
      <c r="F123" s="1007"/>
      <c r="G123" t="s">
        <v>392</v>
      </c>
      <c r="H123" s="1007"/>
      <c r="I123" s="1007"/>
      <c r="J123" s="1007"/>
      <c r="K123" s="1007"/>
      <c r="L123" s="1007"/>
      <c r="M123" s="1007"/>
      <c r="N123" s="1007"/>
      <c r="O123" s="1007"/>
      <c r="P123" s="1007"/>
      <c r="Q123" s="1007"/>
      <c r="R123" s="1007"/>
      <c r="S123" s="1007"/>
    </row>
    <row r="124" spans="1:23" x14ac:dyDescent="0.35">
      <c r="A124" s="1055" t="s">
        <v>105</v>
      </c>
      <c r="E124" s="1055"/>
      <c r="F124" s="1055"/>
      <c r="G124">
        <v>2</v>
      </c>
      <c r="H124" s="919">
        <v>240023</v>
      </c>
      <c r="I124" s="1063" t="s">
        <v>132</v>
      </c>
      <c r="J124" s="1056"/>
      <c r="K124" s="1056"/>
      <c r="L124" s="1056"/>
      <c r="M124" s="1056"/>
      <c r="N124" s="1056"/>
      <c r="O124" s="1056"/>
      <c r="P124" s="1056"/>
      <c r="Q124" s="1055"/>
      <c r="R124" s="1055"/>
      <c r="S124" s="1055"/>
      <c r="T124" t="str">
        <f>E123</f>
        <v>Large Retail - Space Heating</v>
      </c>
    </row>
    <row r="125" spans="1:23" ht="29" x14ac:dyDescent="0.35">
      <c r="A125" s="1057" t="s">
        <v>109</v>
      </c>
      <c r="D125" s="56"/>
      <c r="E125" s="56"/>
      <c r="F125" s="1028" t="s">
        <v>367</v>
      </c>
      <c r="G125" s="1028"/>
      <c r="H125" s="1028"/>
      <c r="I125" s="1028"/>
      <c r="J125" s="1028"/>
      <c r="K125" s="1029" t="s">
        <v>393</v>
      </c>
      <c r="L125" s="1029"/>
      <c r="M125" s="1029"/>
      <c r="N125" s="1029"/>
      <c r="O125" s="1029"/>
      <c r="P125" s="18" t="s">
        <v>371</v>
      </c>
      <c r="Q125" s="1158" t="s">
        <v>4</v>
      </c>
      <c r="R125" s="1158"/>
      <c r="S125" s="1158"/>
      <c r="T125" s="1031" t="s">
        <v>372</v>
      </c>
      <c r="U125" s="1115"/>
      <c r="V125" s="1115"/>
      <c r="W125" s="13"/>
    </row>
    <row r="126" spans="1:23" ht="87" x14ac:dyDescent="0.35">
      <c r="A126" s="1058" t="s">
        <v>118</v>
      </c>
      <c r="D126" s="360" t="s">
        <v>373</v>
      </c>
      <c r="E126" s="360" t="s">
        <v>96</v>
      </c>
      <c r="F126" s="18" t="s">
        <v>374</v>
      </c>
      <c r="G126" s="18" t="s">
        <v>375</v>
      </c>
      <c r="H126" s="18" t="s">
        <v>376</v>
      </c>
      <c r="I126" s="18" t="s">
        <v>377</v>
      </c>
      <c r="J126" s="18" t="s">
        <v>378</v>
      </c>
      <c r="K126" s="1032" t="s">
        <v>389</v>
      </c>
      <c r="L126" s="1032" t="s">
        <v>375</v>
      </c>
      <c r="M126" s="1032" t="s">
        <v>380</v>
      </c>
      <c r="N126" s="4" t="s">
        <v>381</v>
      </c>
      <c r="O126" s="4" t="s">
        <v>378</v>
      </c>
      <c r="P126" s="18" t="s">
        <v>383</v>
      </c>
      <c r="Q126" s="4" t="s">
        <v>384</v>
      </c>
      <c r="R126" s="4" t="s">
        <v>11</v>
      </c>
      <c r="S126" s="4" t="s">
        <v>385</v>
      </c>
      <c r="T126" s="18" t="s">
        <v>386</v>
      </c>
      <c r="U126" s="1115"/>
      <c r="V126" s="1115"/>
      <c r="W126" s="13"/>
    </row>
    <row r="127" spans="1:23" x14ac:dyDescent="0.35">
      <c r="A127" s="1059">
        <v>7.9415442100609995E-2</v>
      </c>
      <c r="D127" s="56" t="s">
        <v>387</v>
      </c>
      <c r="E127" s="56">
        <v>1</v>
      </c>
      <c r="F127" s="1033">
        <v>438</v>
      </c>
      <c r="G127" s="1033">
        <f t="shared" ref="G127:G142" si="79">F127*$E$15</f>
        <v>1095</v>
      </c>
      <c r="H127" s="1033">
        <f t="shared" ref="H127:H142" si="80">G127*$E$10</f>
        <v>69.349999999999994</v>
      </c>
      <c r="I127" s="1033">
        <f>H127*$E$14</f>
        <v>208049.99999999997</v>
      </c>
      <c r="J127" s="1033">
        <f t="shared" ref="J127:J142" si="81">I127/$E$18</f>
        <v>94.396551724137922</v>
      </c>
      <c r="K127" s="387">
        <v>438</v>
      </c>
      <c r="L127" s="1034">
        <f t="shared" ref="L127:L142" si="82">K127*$F$15</f>
        <v>1197.1999999999998</v>
      </c>
      <c r="M127" s="1034">
        <f t="shared" ref="M127:M142" si="83">L127*$F$10</f>
        <v>76.540986666666655</v>
      </c>
      <c r="N127" s="1035">
        <f>M127*$F$14</f>
        <v>229622.95999999996</v>
      </c>
      <c r="O127" s="1036">
        <f t="shared" ref="O127:O142" si="84">N127/$E$18</f>
        <v>104.18464609800361</v>
      </c>
      <c r="P127" s="1060">
        <f t="shared" ref="P127:P142" si="85">O127-J127</f>
        <v>9.7880943738656896</v>
      </c>
      <c r="Q127" s="3">
        <v>0.33086596743066288</v>
      </c>
      <c r="R127" s="1040">
        <v>4.1113427470184285E-3</v>
      </c>
      <c r="S127" s="48">
        <v>1</v>
      </c>
      <c r="T127" s="1041">
        <f>P127*Q127*S127</f>
        <v>3.2385473143116998</v>
      </c>
      <c r="U127" s="1012"/>
      <c r="V127" s="1012"/>
      <c r="W127" s="351"/>
    </row>
    <row r="128" spans="1:23" x14ac:dyDescent="0.35">
      <c r="A128" s="1059">
        <v>0.47174983255948066</v>
      </c>
      <c r="D128" s="56" t="s">
        <v>387</v>
      </c>
      <c r="E128" s="56">
        <v>2</v>
      </c>
      <c r="F128" s="1033">
        <v>480</v>
      </c>
      <c r="G128" s="1033">
        <f t="shared" si="79"/>
        <v>1200</v>
      </c>
      <c r="H128" s="1033">
        <f t="shared" si="80"/>
        <v>75.999999999999986</v>
      </c>
      <c r="I128" s="1033">
        <f t="shared" ref="I128:I142" si="86">H128*$E$14</f>
        <v>227999.99999999997</v>
      </c>
      <c r="J128" s="1033">
        <f t="shared" si="81"/>
        <v>103.44827586206895</v>
      </c>
      <c r="K128" s="1043">
        <v>480</v>
      </c>
      <c r="L128" s="1034">
        <f t="shared" si="82"/>
        <v>1311.9999999999998</v>
      </c>
      <c r="M128" s="1034">
        <f t="shared" si="83"/>
        <v>83.880533333333318</v>
      </c>
      <c r="N128" s="1035">
        <f t="shared" ref="N128:N142" si="87">M128*$F$14</f>
        <v>251641.59999999995</v>
      </c>
      <c r="O128" s="1036">
        <f t="shared" si="84"/>
        <v>114.17495462794916</v>
      </c>
      <c r="P128" s="1060">
        <f t="shared" si="85"/>
        <v>10.726678765880209</v>
      </c>
      <c r="Q128" s="3">
        <v>1.9654359480528145</v>
      </c>
      <c r="R128" s="1040">
        <v>2.442252037133319E-2</v>
      </c>
      <c r="S128" s="48">
        <v>1</v>
      </c>
      <c r="T128" s="1041">
        <f t="shared" ref="T128:T142" si="88">P128*Q128*S128</f>
        <v>21.082600049675762</v>
      </c>
      <c r="U128" s="1012"/>
      <c r="V128" s="1012"/>
      <c r="W128" s="351"/>
    </row>
    <row r="129" spans="1:23" x14ac:dyDescent="0.35">
      <c r="A129" s="1059">
        <v>2.1560451461707921</v>
      </c>
      <c r="D129" s="56" t="s">
        <v>387</v>
      </c>
      <c r="E129" s="56">
        <v>3</v>
      </c>
      <c r="F129" s="1033">
        <v>467</v>
      </c>
      <c r="G129" s="1033">
        <f t="shared" si="79"/>
        <v>1167.5</v>
      </c>
      <c r="H129" s="1033">
        <f t="shared" si="80"/>
        <v>73.941666666666663</v>
      </c>
      <c r="I129" s="1033">
        <f t="shared" si="86"/>
        <v>221825</v>
      </c>
      <c r="J129" s="1033">
        <f t="shared" si="81"/>
        <v>100.64655172413794</v>
      </c>
      <c r="K129" s="387">
        <v>467</v>
      </c>
      <c r="L129" s="1034">
        <f t="shared" si="82"/>
        <v>1276.4666666666665</v>
      </c>
      <c r="M129" s="1034">
        <f t="shared" si="83"/>
        <v>81.608768888888875</v>
      </c>
      <c r="N129" s="1035">
        <f t="shared" si="87"/>
        <v>244826.30666666661</v>
      </c>
      <c r="O129" s="1036">
        <f t="shared" si="84"/>
        <v>111.0827162734422</v>
      </c>
      <c r="P129" s="1060">
        <f t="shared" si="85"/>
        <v>10.436164549304266</v>
      </c>
      <c r="Q129" s="3">
        <v>8.9826606040704107</v>
      </c>
      <c r="R129" s="1040">
        <v>0.11161860136374518</v>
      </c>
      <c r="S129" s="48">
        <v>1</v>
      </c>
      <c r="T129" s="1041">
        <f t="shared" si="88"/>
        <v>93.744524154631662</v>
      </c>
      <c r="U129" s="1012"/>
      <c r="V129" s="1012"/>
      <c r="W129" s="351"/>
    </row>
    <row r="130" spans="1:23" x14ac:dyDescent="0.35">
      <c r="A130" s="1059">
        <v>1.1050493254949429</v>
      </c>
      <c r="D130" s="56" t="s">
        <v>387</v>
      </c>
      <c r="E130" s="56">
        <v>4</v>
      </c>
      <c r="F130" s="1033">
        <v>479</v>
      </c>
      <c r="G130" s="1033">
        <f t="shared" si="79"/>
        <v>1197.5</v>
      </c>
      <c r="H130" s="1033">
        <f t="shared" si="80"/>
        <v>75.841666666666654</v>
      </c>
      <c r="I130" s="1033">
        <f t="shared" si="86"/>
        <v>227524.99999999997</v>
      </c>
      <c r="J130" s="1033">
        <f t="shared" si="81"/>
        <v>103.23275862068964</v>
      </c>
      <c r="K130" s="387">
        <v>479</v>
      </c>
      <c r="L130" s="1034">
        <f t="shared" si="82"/>
        <v>1309.2666666666664</v>
      </c>
      <c r="M130" s="1034">
        <f t="shared" si="83"/>
        <v>83.705782222222197</v>
      </c>
      <c r="N130" s="1035">
        <f t="shared" si="87"/>
        <v>251117.34666666659</v>
      </c>
      <c r="O130" s="1036">
        <f t="shared" si="84"/>
        <v>113.93709013914092</v>
      </c>
      <c r="P130" s="1060">
        <f t="shared" si="85"/>
        <v>10.704331518451284</v>
      </c>
      <c r="Q130" s="3">
        <v>4.6039309795100589</v>
      </c>
      <c r="R130" s="1040">
        <v>5.7208477461039575E-2</v>
      </c>
      <c r="S130" s="48">
        <v>1</v>
      </c>
      <c r="T130" s="1041">
        <f t="shared" si="88"/>
        <v>49.282003492743812</v>
      </c>
      <c r="U130" s="1012"/>
      <c r="V130" s="1012"/>
      <c r="W130" s="351"/>
    </row>
    <row r="131" spans="1:23" x14ac:dyDescent="0.35">
      <c r="A131" s="1059">
        <v>0.22367099362287696</v>
      </c>
      <c r="D131" s="56" t="s">
        <v>387</v>
      </c>
      <c r="E131" s="56">
        <v>5</v>
      </c>
      <c r="F131" s="1033">
        <v>457</v>
      </c>
      <c r="G131" s="1033">
        <f t="shared" si="79"/>
        <v>1142.5</v>
      </c>
      <c r="H131" s="1033">
        <f t="shared" si="80"/>
        <v>72.35833333333332</v>
      </c>
      <c r="I131" s="1033">
        <f t="shared" si="86"/>
        <v>217074.99999999997</v>
      </c>
      <c r="J131" s="1033">
        <f t="shared" si="81"/>
        <v>98.491379310344811</v>
      </c>
      <c r="K131" s="387">
        <v>457</v>
      </c>
      <c r="L131" s="1034">
        <f t="shared" si="82"/>
        <v>1249.1333333333332</v>
      </c>
      <c r="M131" s="1034">
        <f t="shared" si="83"/>
        <v>79.861257777777766</v>
      </c>
      <c r="N131" s="1035">
        <f t="shared" si="87"/>
        <v>239583.77333333329</v>
      </c>
      <c r="O131" s="1036">
        <f t="shared" si="84"/>
        <v>108.70407138535992</v>
      </c>
      <c r="P131" s="1060">
        <f t="shared" si="85"/>
        <v>10.212692075015113</v>
      </c>
      <c r="Q131" s="3">
        <v>0.93187316891663285</v>
      </c>
      <c r="R131" s="1040">
        <v>1.1579462293804407E-2</v>
      </c>
      <c r="S131" s="48">
        <v>1</v>
      </c>
      <c r="T131" s="1041">
        <f t="shared" si="88"/>
        <v>9.5169337271141163</v>
      </c>
      <c r="U131" s="1012"/>
      <c r="V131" s="1012"/>
      <c r="W131" s="351"/>
    </row>
    <row r="132" spans="1:23" x14ac:dyDescent="0.35">
      <c r="A132" s="1059">
        <v>1.5760012966886738</v>
      </c>
      <c r="D132" s="56" t="s">
        <v>387</v>
      </c>
      <c r="E132" s="56">
        <v>6</v>
      </c>
      <c r="F132" s="1033">
        <v>502</v>
      </c>
      <c r="G132" s="1033">
        <f t="shared" si="79"/>
        <v>1255</v>
      </c>
      <c r="H132" s="1033">
        <f t="shared" si="80"/>
        <v>79.48333333333332</v>
      </c>
      <c r="I132" s="1033">
        <f t="shared" si="86"/>
        <v>238449.99999999997</v>
      </c>
      <c r="J132" s="1033">
        <f t="shared" si="81"/>
        <v>108.18965517241378</v>
      </c>
      <c r="K132" s="387">
        <v>502</v>
      </c>
      <c r="L132" s="1034">
        <f t="shared" si="82"/>
        <v>1372.1333333333332</v>
      </c>
      <c r="M132" s="1034">
        <f t="shared" si="83"/>
        <v>87.725057777777764</v>
      </c>
      <c r="N132" s="1035">
        <f t="shared" si="87"/>
        <v>263175.17333333328</v>
      </c>
      <c r="O132" s="1036">
        <f t="shared" si="84"/>
        <v>119.40797338173016</v>
      </c>
      <c r="P132" s="1060">
        <f t="shared" si="85"/>
        <v>11.218318209316379</v>
      </c>
      <c r="Q132" s="3">
        <v>6.5660428237655299</v>
      </c>
      <c r="R132" s="1040">
        <v>8.1589692496125368E-2</v>
      </c>
      <c r="S132" s="48">
        <v>1</v>
      </c>
      <c r="T132" s="1041">
        <f t="shared" si="88"/>
        <v>73.659957772999988</v>
      </c>
      <c r="U132" s="1012"/>
      <c r="V132" s="1012"/>
      <c r="W132" s="351"/>
    </row>
    <row r="133" spans="1:23" x14ac:dyDescent="0.35">
      <c r="A133" s="1059">
        <v>1.1115504717554321</v>
      </c>
      <c r="D133" s="56" t="s">
        <v>387</v>
      </c>
      <c r="E133" s="56">
        <v>7</v>
      </c>
      <c r="F133" s="1033">
        <v>523</v>
      </c>
      <c r="G133" s="1033">
        <f t="shared" si="79"/>
        <v>1307.5</v>
      </c>
      <c r="H133" s="1033">
        <f t="shared" si="80"/>
        <v>82.808333333333323</v>
      </c>
      <c r="I133" s="1033">
        <f t="shared" si="86"/>
        <v>248424.99999999997</v>
      </c>
      <c r="J133" s="1033">
        <f t="shared" si="81"/>
        <v>112.7155172413793</v>
      </c>
      <c r="K133" s="387">
        <v>523</v>
      </c>
      <c r="L133" s="1034">
        <f t="shared" si="82"/>
        <v>1429.5333333333331</v>
      </c>
      <c r="M133" s="1034">
        <f t="shared" si="83"/>
        <v>91.394831111111088</v>
      </c>
      <c r="N133" s="1035">
        <f t="shared" si="87"/>
        <v>274184.49333333329</v>
      </c>
      <c r="O133" s="1036">
        <f t="shared" si="84"/>
        <v>124.40312764670294</v>
      </c>
      <c r="P133" s="1060">
        <f t="shared" si="85"/>
        <v>11.687610405323639</v>
      </c>
      <c r="Q133" s="3">
        <v>4.631016493233699</v>
      </c>
      <c r="R133" s="1040">
        <v>5.7545042237591555E-2</v>
      </c>
      <c r="S133" s="48">
        <v>1</v>
      </c>
      <c r="T133" s="1041">
        <f t="shared" si="88"/>
        <v>54.125516553543569</v>
      </c>
      <c r="U133" s="1012"/>
      <c r="V133" s="1012"/>
      <c r="W133" s="351"/>
    </row>
    <row r="134" spans="1:23" x14ac:dyDescent="0.35">
      <c r="A134" s="1059">
        <v>2.2621437132222622</v>
      </c>
      <c r="D134" s="56" t="s">
        <v>387</v>
      </c>
      <c r="E134" s="56">
        <v>8</v>
      </c>
      <c r="F134" s="1033">
        <v>529</v>
      </c>
      <c r="G134" s="1033">
        <f t="shared" si="79"/>
        <v>1322.5</v>
      </c>
      <c r="H134" s="1033">
        <f t="shared" si="80"/>
        <v>83.758333333333326</v>
      </c>
      <c r="I134" s="1033">
        <f t="shared" si="86"/>
        <v>251274.99999999997</v>
      </c>
      <c r="J134" s="1033">
        <f t="shared" si="81"/>
        <v>114.00862068965516</v>
      </c>
      <c r="K134" s="387">
        <v>529</v>
      </c>
      <c r="L134" s="1034">
        <f t="shared" si="82"/>
        <v>1445.9333333333332</v>
      </c>
      <c r="M134" s="1034">
        <f t="shared" si="83"/>
        <v>92.443337777777757</v>
      </c>
      <c r="N134" s="1035">
        <f t="shared" si="87"/>
        <v>277330.01333333325</v>
      </c>
      <c r="O134" s="1036">
        <f t="shared" si="84"/>
        <v>125.83031457955229</v>
      </c>
      <c r="P134" s="1060">
        <f t="shared" si="85"/>
        <v>11.821693889897134</v>
      </c>
      <c r="Q134" s="3">
        <v>9.4246956050972699</v>
      </c>
      <c r="R134" s="1040">
        <v>0.11711133127342051</v>
      </c>
      <c r="S134" s="48">
        <v>1</v>
      </c>
      <c r="T134" s="1041">
        <f t="shared" si="88"/>
        <v>111.41586644891876</v>
      </c>
      <c r="U134" s="1012"/>
      <c r="V134" s="1012"/>
      <c r="W134" s="351"/>
    </row>
    <row r="135" spans="1:23" x14ac:dyDescent="0.35">
      <c r="A135" s="1059">
        <v>3.5368198592076339</v>
      </c>
      <c r="D135" s="56" t="s">
        <v>387</v>
      </c>
      <c r="E135" s="56">
        <v>9</v>
      </c>
      <c r="F135" s="1033">
        <v>498</v>
      </c>
      <c r="G135" s="1033">
        <f t="shared" si="79"/>
        <v>1245</v>
      </c>
      <c r="H135" s="1033">
        <f t="shared" si="80"/>
        <v>78.849999999999994</v>
      </c>
      <c r="I135" s="1033">
        <f t="shared" si="86"/>
        <v>236549.99999999997</v>
      </c>
      <c r="J135" s="1033">
        <f t="shared" si="81"/>
        <v>107.32758620689654</v>
      </c>
      <c r="K135" s="387">
        <v>498</v>
      </c>
      <c r="L135" s="1034">
        <f t="shared" si="82"/>
        <v>1361.1999999999998</v>
      </c>
      <c r="M135" s="1034">
        <f t="shared" si="83"/>
        <v>87.026053333333309</v>
      </c>
      <c r="N135" s="1035">
        <f t="shared" si="87"/>
        <v>261078.15999999992</v>
      </c>
      <c r="O135" s="1036">
        <f t="shared" si="84"/>
        <v>118.45651542649723</v>
      </c>
      <c r="P135" s="1060">
        <f t="shared" si="85"/>
        <v>11.128929219600693</v>
      </c>
      <c r="Q135" s="3">
        <v>14.735337276876107</v>
      </c>
      <c r="R135" s="1040">
        <v>0.18310140057197205</v>
      </c>
      <c r="S135" s="48">
        <v>1</v>
      </c>
      <c r="T135" s="1041">
        <f t="shared" si="88"/>
        <v>163.98852558129781</v>
      </c>
      <c r="U135" s="1012"/>
      <c r="V135" s="1012"/>
      <c r="W135" s="351"/>
    </row>
    <row r="136" spans="1:23" x14ac:dyDescent="0.35">
      <c r="A136" s="1059">
        <v>2.1175160874992249</v>
      </c>
      <c r="D136" s="56" t="s">
        <v>387</v>
      </c>
      <c r="E136" s="56">
        <v>10</v>
      </c>
      <c r="F136" s="1033">
        <v>491</v>
      </c>
      <c r="G136" s="1033">
        <f t="shared" si="79"/>
        <v>1227.5</v>
      </c>
      <c r="H136" s="1033">
        <f t="shared" si="80"/>
        <v>77.74166666666666</v>
      </c>
      <c r="I136" s="1033">
        <f t="shared" si="86"/>
        <v>233224.99999999997</v>
      </c>
      <c r="J136" s="1033">
        <f t="shared" si="81"/>
        <v>105.81896551724137</v>
      </c>
      <c r="K136" s="387">
        <v>491</v>
      </c>
      <c r="L136" s="1034">
        <f t="shared" si="82"/>
        <v>1342.0666666666664</v>
      </c>
      <c r="M136" s="1034">
        <f t="shared" si="83"/>
        <v>85.802795555555534</v>
      </c>
      <c r="N136" s="1035">
        <f t="shared" si="87"/>
        <v>257408.3866666666</v>
      </c>
      <c r="O136" s="1036">
        <f t="shared" si="84"/>
        <v>116.79146400483965</v>
      </c>
      <c r="P136" s="1060">
        <f t="shared" si="85"/>
        <v>10.972498487598287</v>
      </c>
      <c r="Q136" s="3">
        <v>8.8221382429984843</v>
      </c>
      <c r="R136" s="1040">
        <v>0.10962394942038495</v>
      </c>
      <c r="S136" s="48">
        <v>1</v>
      </c>
      <c r="T136" s="1041">
        <f t="shared" si="88"/>
        <v>96.800898528683874</v>
      </c>
      <c r="U136" s="1012"/>
      <c r="V136" s="1012"/>
      <c r="W136" s="351"/>
    </row>
    <row r="137" spans="1:23" x14ac:dyDescent="0.35">
      <c r="A137" s="1059">
        <v>0.43651698146793316</v>
      </c>
      <c r="D137" s="56" t="s">
        <v>387</v>
      </c>
      <c r="E137" s="56">
        <v>11</v>
      </c>
      <c r="F137" s="1033">
        <v>499</v>
      </c>
      <c r="G137" s="1033">
        <f t="shared" si="79"/>
        <v>1247.5</v>
      </c>
      <c r="H137" s="1033">
        <f t="shared" si="80"/>
        <v>79.008333333333326</v>
      </c>
      <c r="I137" s="1033">
        <f t="shared" si="86"/>
        <v>237024.99999999997</v>
      </c>
      <c r="J137" s="1033">
        <f t="shared" si="81"/>
        <v>107.54310344827584</v>
      </c>
      <c r="K137" s="387">
        <v>499</v>
      </c>
      <c r="L137" s="1034">
        <f t="shared" si="82"/>
        <v>1363.9333333333332</v>
      </c>
      <c r="M137" s="1034">
        <f t="shared" si="83"/>
        <v>87.200804444444429</v>
      </c>
      <c r="N137" s="1035">
        <f t="shared" si="87"/>
        <v>261602.4133333333</v>
      </c>
      <c r="O137" s="1036">
        <f t="shared" si="84"/>
        <v>118.69437991530549</v>
      </c>
      <c r="P137" s="1060">
        <f t="shared" si="85"/>
        <v>11.151276467029646</v>
      </c>
      <c r="Q137" s="3">
        <v>1.8186464691630935</v>
      </c>
      <c r="R137" s="1040">
        <v>2.259851331476476E-2</v>
      </c>
      <c r="S137" s="48">
        <v>1</v>
      </c>
      <c r="T137" s="1041">
        <f t="shared" si="88"/>
        <v>20.280229573424961</v>
      </c>
      <c r="U137" s="1012"/>
      <c r="V137" s="1012"/>
      <c r="W137" s="351"/>
    </row>
    <row r="138" spans="1:23" x14ac:dyDescent="0.35">
      <c r="A138" s="1059">
        <v>2.3776347783583653</v>
      </c>
      <c r="D138" s="56" t="s">
        <v>387</v>
      </c>
      <c r="E138" s="56">
        <v>12</v>
      </c>
      <c r="F138" s="1033">
        <v>504</v>
      </c>
      <c r="G138" s="1033">
        <f t="shared" si="79"/>
        <v>1260</v>
      </c>
      <c r="H138" s="1033">
        <f t="shared" si="80"/>
        <v>79.799999999999983</v>
      </c>
      <c r="I138" s="1033">
        <f t="shared" si="86"/>
        <v>239399.99999999994</v>
      </c>
      <c r="J138" s="1033">
        <f t="shared" si="81"/>
        <v>108.62068965517238</v>
      </c>
      <c r="K138" s="387">
        <v>504</v>
      </c>
      <c r="L138" s="1034">
        <f t="shared" si="82"/>
        <v>1377.6</v>
      </c>
      <c r="M138" s="1034">
        <f t="shared" si="83"/>
        <v>88.074559999999991</v>
      </c>
      <c r="N138" s="1035">
        <f t="shared" si="87"/>
        <v>264223.68</v>
      </c>
      <c r="O138" s="1036">
        <f t="shared" si="84"/>
        <v>119.88370235934664</v>
      </c>
      <c r="P138" s="1060">
        <f t="shared" si="85"/>
        <v>11.263012704174258</v>
      </c>
      <c r="Q138" s="3">
        <v>9.9058622646928232</v>
      </c>
      <c r="R138" s="1040">
        <v>0.12309031143689056</v>
      </c>
      <c r="S138" s="48">
        <v>1</v>
      </c>
      <c r="T138" s="1041">
        <f t="shared" si="88"/>
        <v>111.56985253303566</v>
      </c>
      <c r="U138" s="1012"/>
      <c r="V138" s="1012"/>
      <c r="W138" s="351"/>
    </row>
    <row r="139" spans="1:23" x14ac:dyDescent="0.35">
      <c r="A139" s="1059">
        <v>0.91384351099122352</v>
      </c>
      <c r="D139" s="56" t="s">
        <v>387</v>
      </c>
      <c r="E139" s="56">
        <v>13</v>
      </c>
      <c r="F139" s="1033">
        <v>537</v>
      </c>
      <c r="G139" s="1033">
        <f t="shared" si="79"/>
        <v>1342.5</v>
      </c>
      <c r="H139" s="1033">
        <f t="shared" si="80"/>
        <v>85.024999999999991</v>
      </c>
      <c r="I139" s="1033">
        <f t="shared" si="86"/>
        <v>255074.99999999997</v>
      </c>
      <c r="J139" s="1033">
        <f t="shared" si="81"/>
        <v>115.73275862068964</v>
      </c>
      <c r="K139" s="387">
        <v>537</v>
      </c>
      <c r="L139" s="1034">
        <f t="shared" si="82"/>
        <v>1467.7999999999997</v>
      </c>
      <c r="M139" s="1034">
        <f t="shared" si="83"/>
        <v>93.841346666666638</v>
      </c>
      <c r="N139" s="1035">
        <f t="shared" si="87"/>
        <v>281524.03999999992</v>
      </c>
      <c r="O139" s="1036">
        <f t="shared" si="84"/>
        <v>127.73323049001812</v>
      </c>
      <c r="P139" s="1060">
        <f t="shared" si="85"/>
        <v>12.000471869328479</v>
      </c>
      <c r="Q139" s="3">
        <v>3.8073164279724172</v>
      </c>
      <c r="R139" s="1040">
        <v>4.7309739660755017E-2</v>
      </c>
      <c r="S139" s="48">
        <v>1</v>
      </c>
      <c r="T139" s="1041">
        <f t="shared" si="88"/>
        <v>45.689593691515178</v>
      </c>
      <c r="U139" s="1012"/>
      <c r="V139" s="1012"/>
      <c r="W139" s="351"/>
    </row>
    <row r="140" spans="1:23" x14ac:dyDescent="0.35">
      <c r="A140" s="1059">
        <v>0.50112689809282374</v>
      </c>
      <c r="D140" s="56" t="s">
        <v>387</v>
      </c>
      <c r="E140" s="56">
        <v>14</v>
      </c>
      <c r="F140" s="1033">
        <v>519</v>
      </c>
      <c r="G140" s="1033">
        <f t="shared" si="79"/>
        <v>1297.5</v>
      </c>
      <c r="H140" s="1033">
        <f t="shared" si="80"/>
        <v>82.174999999999983</v>
      </c>
      <c r="I140" s="1033">
        <f t="shared" si="86"/>
        <v>246524.99999999994</v>
      </c>
      <c r="J140" s="1033">
        <f t="shared" si="81"/>
        <v>111.85344827586204</v>
      </c>
      <c r="K140" s="387">
        <v>519</v>
      </c>
      <c r="L140" s="1034">
        <f t="shared" si="82"/>
        <v>1418.6</v>
      </c>
      <c r="M140" s="1034">
        <f t="shared" si="83"/>
        <v>90.695826666666647</v>
      </c>
      <c r="N140" s="1035">
        <f t="shared" si="87"/>
        <v>272087.47999999992</v>
      </c>
      <c r="O140" s="1036">
        <f t="shared" si="84"/>
        <v>123.45166969147002</v>
      </c>
      <c r="P140" s="1060">
        <f t="shared" si="85"/>
        <v>11.598221415607981</v>
      </c>
      <c r="Q140" s="3">
        <v>2.0878286584736618</v>
      </c>
      <c r="R140" s="1040">
        <v>2.5943373018053734E-2</v>
      </c>
      <c r="S140" s="48">
        <v>1</v>
      </c>
      <c r="T140" s="1041">
        <f t="shared" si="88"/>
        <v>24.215099058829306</v>
      </c>
      <c r="U140" s="1012"/>
      <c r="V140" s="1012"/>
      <c r="W140" s="351"/>
    </row>
    <row r="141" spans="1:23" x14ac:dyDescent="0.35">
      <c r="A141" s="1059">
        <v>0.28817896921862918</v>
      </c>
      <c r="D141" s="56" t="s">
        <v>387</v>
      </c>
      <c r="E141" s="56">
        <v>15</v>
      </c>
      <c r="F141" s="1033">
        <v>648</v>
      </c>
      <c r="G141" s="1033">
        <f t="shared" si="79"/>
        <v>1620</v>
      </c>
      <c r="H141" s="1033">
        <f t="shared" si="80"/>
        <v>102.59999999999998</v>
      </c>
      <c r="I141" s="1033">
        <f t="shared" si="86"/>
        <v>307799.99999999994</v>
      </c>
      <c r="J141" s="1033">
        <f t="shared" si="81"/>
        <v>139.65517241379308</v>
      </c>
      <c r="K141" s="387">
        <v>648</v>
      </c>
      <c r="L141" s="1034">
        <f t="shared" si="82"/>
        <v>1771.1999999999998</v>
      </c>
      <c r="M141" s="1034">
        <f t="shared" si="83"/>
        <v>113.23871999999997</v>
      </c>
      <c r="N141" s="1035">
        <f t="shared" si="87"/>
        <v>339716.15999999992</v>
      </c>
      <c r="O141" s="1036">
        <f t="shared" si="84"/>
        <v>154.13618874773135</v>
      </c>
      <c r="P141" s="1060">
        <f t="shared" si="85"/>
        <v>14.481016333938271</v>
      </c>
      <c r="Q141" s="3">
        <v>1.2006306446408435</v>
      </c>
      <c r="R141" s="1040">
        <v>1.4919044503199428E-2</v>
      </c>
      <c r="S141" s="48">
        <v>1</v>
      </c>
      <c r="T141" s="1041">
        <f t="shared" si="88"/>
        <v>17.386351976070891</v>
      </c>
      <c r="U141" s="1012"/>
      <c r="V141" s="1012"/>
      <c r="W141" s="351"/>
    </row>
    <row r="142" spans="1:23" x14ac:dyDescent="0.35">
      <c r="A142" s="1059">
        <v>0.15891804529909512</v>
      </c>
      <c r="D142" s="56" t="s">
        <v>387</v>
      </c>
      <c r="E142" s="56">
        <v>16</v>
      </c>
      <c r="F142" s="1033">
        <v>526</v>
      </c>
      <c r="G142" s="1033">
        <f t="shared" si="79"/>
        <v>1315</v>
      </c>
      <c r="H142" s="1033">
        <f t="shared" si="80"/>
        <v>83.283333333333317</v>
      </c>
      <c r="I142" s="1033">
        <f t="shared" si="86"/>
        <v>249849.99999999994</v>
      </c>
      <c r="J142" s="1033">
        <f t="shared" si="81"/>
        <v>113.36206896551721</v>
      </c>
      <c r="K142" s="387">
        <v>526</v>
      </c>
      <c r="L142" s="1034">
        <f t="shared" si="82"/>
        <v>1437.7333333333331</v>
      </c>
      <c r="M142" s="1034">
        <f t="shared" si="83"/>
        <v>91.919084444444422</v>
      </c>
      <c r="N142" s="1035">
        <f t="shared" si="87"/>
        <v>275757.25333333324</v>
      </c>
      <c r="O142" s="1036">
        <f t="shared" si="84"/>
        <v>125.11672111312761</v>
      </c>
      <c r="P142" s="1060">
        <f t="shared" si="85"/>
        <v>11.7546521476104</v>
      </c>
      <c r="Q142" s="3">
        <v>0.6620950713018966</v>
      </c>
      <c r="R142" s="1040">
        <v>8.2271978299011742E-3</v>
      </c>
      <c r="S142" s="48">
        <v>1</v>
      </c>
      <c r="T142" s="1041">
        <f t="shared" si="88"/>
        <v>7.7826972518010997</v>
      </c>
      <c r="U142" s="1012"/>
      <c r="V142" s="1012"/>
      <c r="W142" s="351"/>
    </row>
    <row r="143" spans="1:23" x14ac:dyDescent="0.35">
      <c r="A143" s="1061">
        <v>19.316181351750004</v>
      </c>
      <c r="D143" s="56"/>
      <c r="E143" s="362" t="s">
        <v>79</v>
      </c>
      <c r="F143" s="1045"/>
      <c r="G143" s="1045"/>
      <c r="H143" s="1045"/>
      <c r="I143" s="1045"/>
      <c r="J143" s="1046">
        <f>SUM(J127:J142)</f>
        <v>1745.0431034482754</v>
      </c>
      <c r="K143" s="362"/>
      <c r="L143" s="362"/>
      <c r="M143" s="362"/>
      <c r="N143" s="362"/>
      <c r="O143" s="1047">
        <f>SUM(O127:O142)</f>
        <v>1925.988765880217</v>
      </c>
      <c r="P143" s="1046">
        <f>SUM(P127:P142)</f>
        <v>180.94566243194174</v>
      </c>
      <c r="Q143" s="1049">
        <v>80.476376646196414</v>
      </c>
      <c r="R143" s="362">
        <v>1</v>
      </c>
      <c r="S143" s="362"/>
      <c r="T143" s="1047">
        <f>SUM(T127:T142)</f>
        <v>903.77919770859819</v>
      </c>
    </row>
    <row r="144" spans="1:23" x14ac:dyDescent="0.35">
      <c r="I144" t="s">
        <v>394</v>
      </c>
      <c r="J144" s="1093">
        <f>SUMPRODUCT(J127:J142,Q127:Q142)</f>
        <v>8716.0622410310916</v>
      </c>
    </row>
    <row r="146" spans="1:23" ht="15.5" x14ac:dyDescent="0.35">
      <c r="A146" s="333"/>
      <c r="E146" s="1054" t="s">
        <v>142</v>
      </c>
      <c r="F146" s="1007"/>
      <c r="G146" t="s">
        <v>392</v>
      </c>
      <c r="H146" s="1007"/>
      <c r="I146" s="1007"/>
      <c r="J146" s="1007"/>
      <c r="K146" s="1007"/>
      <c r="L146" s="1007"/>
      <c r="M146" s="1007"/>
      <c r="N146" s="1007"/>
      <c r="O146" s="1007"/>
      <c r="P146" s="1007"/>
      <c r="Q146" s="1007"/>
      <c r="R146" s="1007"/>
      <c r="S146" s="1007"/>
    </row>
    <row r="147" spans="1:23" x14ac:dyDescent="0.35">
      <c r="A147" s="1055" t="s">
        <v>105</v>
      </c>
      <c r="E147" s="1055"/>
      <c r="F147" s="1055"/>
      <c r="G147">
        <v>2</v>
      </c>
      <c r="H147" s="1055">
        <v>24566</v>
      </c>
      <c r="I147" s="1055" t="s">
        <v>132</v>
      </c>
      <c r="J147" s="1055"/>
      <c r="K147" s="1055"/>
      <c r="L147" s="1055"/>
      <c r="M147" s="1055"/>
      <c r="N147" s="1055"/>
      <c r="O147" s="1055"/>
      <c r="P147" s="1055"/>
      <c r="Q147" s="1055"/>
      <c r="R147" s="1055"/>
      <c r="S147" s="1055"/>
      <c r="T147" t="str">
        <f>E146</f>
        <v>Medium Retail - Space Heating</v>
      </c>
    </row>
    <row r="148" spans="1:23" ht="29" x14ac:dyDescent="0.35">
      <c r="A148" s="1057" t="s">
        <v>109</v>
      </c>
      <c r="D148" s="56"/>
      <c r="E148" s="56"/>
      <c r="F148" s="1028" t="s">
        <v>367</v>
      </c>
      <c r="G148" s="1028"/>
      <c r="H148" s="1028"/>
      <c r="I148" s="1028"/>
      <c r="J148" s="1028"/>
      <c r="K148" s="1029" t="s">
        <v>393</v>
      </c>
      <c r="L148" s="1029"/>
      <c r="M148" s="1029"/>
      <c r="N148" s="1029"/>
      <c r="O148" s="1029"/>
      <c r="P148" s="18" t="s">
        <v>371</v>
      </c>
      <c r="Q148" s="1158" t="s">
        <v>4</v>
      </c>
      <c r="R148" s="1158"/>
      <c r="S148" s="1158"/>
      <c r="T148" s="1031" t="s">
        <v>372</v>
      </c>
      <c r="U148" s="1115"/>
      <c r="V148" s="1115"/>
      <c r="W148" s="13"/>
    </row>
    <row r="149" spans="1:23" ht="87" x14ac:dyDescent="0.35">
      <c r="A149" s="1058" t="s">
        <v>118</v>
      </c>
      <c r="D149" s="360" t="s">
        <v>373</v>
      </c>
      <c r="E149" s="360" t="s">
        <v>96</v>
      </c>
      <c r="F149" s="18" t="s">
        <v>374</v>
      </c>
      <c r="G149" s="18" t="s">
        <v>375</v>
      </c>
      <c r="H149" s="18" t="s">
        <v>376</v>
      </c>
      <c r="I149" s="18" t="s">
        <v>377</v>
      </c>
      <c r="J149" s="18" t="s">
        <v>378</v>
      </c>
      <c r="K149" s="1032" t="s">
        <v>389</v>
      </c>
      <c r="L149" s="1032" t="s">
        <v>375</v>
      </c>
      <c r="M149" s="1032" t="s">
        <v>380</v>
      </c>
      <c r="N149" s="4" t="s">
        <v>381</v>
      </c>
      <c r="O149" s="4" t="s">
        <v>378</v>
      </c>
      <c r="P149" s="18" t="s">
        <v>383</v>
      </c>
      <c r="Q149" s="4" t="s">
        <v>384</v>
      </c>
      <c r="R149" s="4" t="s">
        <v>11</v>
      </c>
      <c r="S149" s="4" t="s">
        <v>385</v>
      </c>
      <c r="T149" s="18" t="s">
        <v>386</v>
      </c>
      <c r="U149" s="1115"/>
      <c r="V149" s="1115"/>
      <c r="W149" s="13"/>
    </row>
    <row r="150" spans="1:23" x14ac:dyDescent="0.35">
      <c r="A150" s="1059">
        <v>1.0588725613414667E-2</v>
      </c>
      <c r="D150" s="56" t="s">
        <v>387</v>
      </c>
      <c r="E150" s="56">
        <v>1</v>
      </c>
      <c r="F150" s="1033">
        <v>46</v>
      </c>
      <c r="G150" s="1033">
        <f t="shared" ref="G150:G165" si="89">F150*$E$15</f>
        <v>115</v>
      </c>
      <c r="H150" s="1033">
        <f t="shared" ref="H150:H165" si="90">G150*$E$10</f>
        <v>7.2833333333333323</v>
      </c>
      <c r="I150" s="1033">
        <f>H150*$E$14</f>
        <v>21849.999999999996</v>
      </c>
      <c r="J150" s="1033">
        <f t="shared" ref="J150:J165" si="91">I150/$E$18</f>
        <v>9.913793103448274</v>
      </c>
      <c r="K150" s="387">
        <v>46</v>
      </c>
      <c r="L150" s="1034">
        <f t="shared" ref="L150:L165" si="92">K150*$F$15</f>
        <v>125.73333333333332</v>
      </c>
      <c r="M150" s="1034">
        <f t="shared" ref="M150:M165" si="93">L150*$F$10</f>
        <v>8.0385511111111096</v>
      </c>
      <c r="N150" s="1035">
        <f>M150*$F$14</f>
        <v>24115.653333333328</v>
      </c>
      <c r="O150" s="1036">
        <f t="shared" ref="O150:O165" si="94">N150/$E$18</f>
        <v>10.94176648517846</v>
      </c>
      <c r="P150" s="1060">
        <f t="shared" ref="P150:P165" si="95">O150-J150</f>
        <v>1.0279733817301864</v>
      </c>
      <c r="Q150" s="3">
        <v>0.43103173546424595</v>
      </c>
      <c r="R150" s="1040">
        <v>4.1113427470184285E-3</v>
      </c>
      <c r="S150" s="48">
        <v>1</v>
      </c>
      <c r="T150" s="1041">
        <f>P150*Q150*S150</f>
        <v>0.44308915073821203</v>
      </c>
      <c r="U150" s="1012"/>
      <c r="V150" s="1012"/>
      <c r="W150" s="351"/>
    </row>
    <row r="151" spans="1:23" x14ac:dyDescent="0.35">
      <c r="A151" s="1059">
        <v>6.2899977674597415E-2</v>
      </c>
      <c r="D151" s="56" t="s">
        <v>387</v>
      </c>
      <c r="E151" s="56">
        <v>2</v>
      </c>
      <c r="F151" s="1033">
        <v>52</v>
      </c>
      <c r="G151" s="1033">
        <f t="shared" si="89"/>
        <v>130</v>
      </c>
      <c r="H151" s="1033">
        <f t="shared" si="90"/>
        <v>8.2333333333333325</v>
      </c>
      <c r="I151" s="1033">
        <f t="shared" ref="I151:I165" si="96">H151*$E$14</f>
        <v>24699.999999999996</v>
      </c>
      <c r="J151" s="1033">
        <f t="shared" si="91"/>
        <v>11.206896551724137</v>
      </c>
      <c r="K151" s="1043">
        <v>52</v>
      </c>
      <c r="L151" s="1034">
        <f t="shared" si="92"/>
        <v>142.13333333333333</v>
      </c>
      <c r="M151" s="1034">
        <f t="shared" si="93"/>
        <v>9.0870577777777761</v>
      </c>
      <c r="N151" s="1035">
        <f t="shared" ref="N151:N165" si="97">M151*$F$14</f>
        <v>27261.173333333329</v>
      </c>
      <c r="O151" s="1036">
        <f t="shared" si="94"/>
        <v>12.368953418027827</v>
      </c>
      <c r="P151" s="1060">
        <f t="shared" si="95"/>
        <v>1.1620568663036899</v>
      </c>
      <c r="Q151" s="3">
        <v>2.5604484928192388</v>
      </c>
      <c r="R151" s="1040">
        <v>2.4422520371333186E-2</v>
      </c>
      <c r="S151" s="48">
        <v>1</v>
      </c>
      <c r="T151" s="1041">
        <f t="shared" ref="T151:T165" si="98">P151*Q151*S151</f>
        <v>2.9753867518975303</v>
      </c>
      <c r="U151" s="1012"/>
      <c r="V151" s="1012"/>
      <c r="W151" s="351"/>
    </row>
    <row r="152" spans="1:23" x14ac:dyDescent="0.35">
      <c r="A152" s="1059">
        <v>0.28747268615610561</v>
      </c>
      <c r="D152" s="56" t="s">
        <v>387</v>
      </c>
      <c r="E152" s="56">
        <v>3</v>
      </c>
      <c r="F152" s="1033">
        <v>50</v>
      </c>
      <c r="G152" s="1033">
        <f t="shared" si="89"/>
        <v>125</v>
      </c>
      <c r="H152" s="1033">
        <f t="shared" si="90"/>
        <v>7.9166666666666652</v>
      </c>
      <c r="I152" s="1033">
        <f t="shared" si="96"/>
        <v>23749.999999999996</v>
      </c>
      <c r="J152" s="1033">
        <f t="shared" si="91"/>
        <v>10.775862068965516</v>
      </c>
      <c r="K152" s="387">
        <v>50</v>
      </c>
      <c r="L152" s="1034">
        <f t="shared" si="92"/>
        <v>136.66666666666666</v>
      </c>
      <c r="M152" s="1034">
        <f t="shared" si="93"/>
        <v>8.737555555555554</v>
      </c>
      <c r="N152" s="1035">
        <f t="shared" si="97"/>
        <v>26212.666666666661</v>
      </c>
      <c r="O152" s="1036">
        <f t="shared" si="94"/>
        <v>11.893224440411371</v>
      </c>
      <c r="P152" s="1060">
        <f t="shared" si="95"/>
        <v>1.1173623714458554</v>
      </c>
      <c r="Q152" s="3">
        <v>11.702055123182674</v>
      </c>
      <c r="R152" s="1040">
        <v>0.11161860136374517</v>
      </c>
      <c r="S152" s="48">
        <v>1</v>
      </c>
      <c r="T152" s="1041">
        <f t="shared" si="98"/>
        <v>13.075436063229514</v>
      </c>
      <c r="U152" s="1012"/>
      <c r="V152" s="1012"/>
      <c r="W152" s="351"/>
    </row>
    <row r="153" spans="1:23" x14ac:dyDescent="0.35">
      <c r="A153" s="1059">
        <v>0.1473399100659924</v>
      </c>
      <c r="D153" s="56" t="s">
        <v>387</v>
      </c>
      <c r="E153" s="56">
        <v>4</v>
      </c>
      <c r="F153" s="1033">
        <v>52</v>
      </c>
      <c r="G153" s="1033">
        <f t="shared" si="89"/>
        <v>130</v>
      </c>
      <c r="H153" s="1033">
        <f t="shared" si="90"/>
        <v>8.2333333333333325</v>
      </c>
      <c r="I153" s="1033">
        <f t="shared" si="96"/>
        <v>24699.999999999996</v>
      </c>
      <c r="J153" s="1033">
        <f t="shared" si="91"/>
        <v>11.206896551724137</v>
      </c>
      <c r="K153" s="387">
        <v>52</v>
      </c>
      <c r="L153" s="1034">
        <f t="shared" si="92"/>
        <v>142.13333333333333</v>
      </c>
      <c r="M153" s="1034">
        <f t="shared" si="93"/>
        <v>9.0870577777777761</v>
      </c>
      <c r="N153" s="1035">
        <f t="shared" si="97"/>
        <v>27261.173333333329</v>
      </c>
      <c r="O153" s="1036">
        <f t="shared" si="94"/>
        <v>12.368953418027827</v>
      </c>
      <c r="P153" s="1060">
        <f t="shared" si="95"/>
        <v>1.1620568663036899</v>
      </c>
      <c r="Q153" s="3">
        <v>5.9977167656921102</v>
      </c>
      <c r="R153" s="1040">
        <v>5.7208477461039568E-2</v>
      </c>
      <c r="S153" s="48">
        <v>1</v>
      </c>
      <c r="T153" s="1041">
        <f t="shared" si="98"/>
        <v>6.9696879497172759</v>
      </c>
      <c r="U153" s="1012"/>
      <c r="V153" s="1012"/>
      <c r="W153" s="351"/>
    </row>
    <row r="154" spans="1:23" x14ac:dyDescent="0.35">
      <c r="A154" s="1059">
        <v>2.982279914971693E-2</v>
      </c>
      <c r="D154" s="56" t="s">
        <v>387</v>
      </c>
      <c r="E154" s="56">
        <v>5</v>
      </c>
      <c r="F154" s="1033">
        <v>48</v>
      </c>
      <c r="G154" s="1033">
        <f t="shared" si="89"/>
        <v>120</v>
      </c>
      <c r="H154" s="1033">
        <f t="shared" si="90"/>
        <v>7.5999999999999988</v>
      </c>
      <c r="I154" s="1033">
        <f t="shared" si="96"/>
        <v>22799.999999999996</v>
      </c>
      <c r="J154" s="1033">
        <f t="shared" si="91"/>
        <v>10.344827586206895</v>
      </c>
      <c r="K154" s="387">
        <v>48</v>
      </c>
      <c r="L154" s="1034">
        <f t="shared" si="92"/>
        <v>131.19999999999999</v>
      </c>
      <c r="M154" s="1034">
        <f t="shared" si="93"/>
        <v>8.3880533333333318</v>
      </c>
      <c r="N154" s="1035">
        <f t="shared" si="97"/>
        <v>25164.159999999996</v>
      </c>
      <c r="O154" s="1036">
        <f t="shared" si="94"/>
        <v>11.417495462794916</v>
      </c>
      <c r="P154" s="1060">
        <f t="shared" si="95"/>
        <v>1.0726678765880209</v>
      </c>
      <c r="Q154" s="3">
        <v>1.2139867764274579</v>
      </c>
      <c r="R154" s="1040">
        <v>1.1579462293804407E-2</v>
      </c>
      <c r="S154" s="48">
        <v>1</v>
      </c>
      <c r="T154" s="1041">
        <f t="shared" si="98"/>
        <v>1.3022046176763777</v>
      </c>
      <c r="U154" s="1012"/>
      <c r="V154" s="1012"/>
      <c r="W154" s="351"/>
    </row>
    <row r="155" spans="1:23" x14ac:dyDescent="0.35">
      <c r="A155" s="1059">
        <v>0.2101335062251565</v>
      </c>
      <c r="D155" s="56" t="s">
        <v>387</v>
      </c>
      <c r="E155" s="56">
        <v>6</v>
      </c>
      <c r="F155" s="1033">
        <v>53</v>
      </c>
      <c r="G155" s="1033">
        <f t="shared" si="89"/>
        <v>132.5</v>
      </c>
      <c r="H155" s="1033">
        <f t="shared" si="90"/>
        <v>8.3916666666666657</v>
      </c>
      <c r="I155" s="1033">
        <f t="shared" si="96"/>
        <v>25174.999999999996</v>
      </c>
      <c r="J155" s="1033">
        <f t="shared" si="91"/>
        <v>11.422413793103447</v>
      </c>
      <c r="K155" s="387">
        <v>53</v>
      </c>
      <c r="L155" s="1034">
        <f t="shared" si="92"/>
        <v>144.86666666666665</v>
      </c>
      <c r="M155" s="1034">
        <f t="shared" si="93"/>
        <v>9.2618088888888863</v>
      </c>
      <c r="N155" s="1035">
        <f t="shared" si="97"/>
        <v>27785.426666666659</v>
      </c>
      <c r="O155" s="1036">
        <f t="shared" si="94"/>
        <v>12.606817906836053</v>
      </c>
      <c r="P155" s="1060">
        <f t="shared" si="95"/>
        <v>1.1844041137326062</v>
      </c>
      <c r="Q155" s="3">
        <v>8.5538348215076336</v>
      </c>
      <c r="R155" s="1040">
        <v>8.1589692496125368E-2</v>
      </c>
      <c r="S155" s="48">
        <v>1</v>
      </c>
      <c r="T155" s="1041">
        <f t="shared" si="98"/>
        <v>10.131197150782855</v>
      </c>
      <c r="U155" s="1012"/>
      <c r="V155" s="1012"/>
      <c r="W155" s="351"/>
    </row>
    <row r="156" spans="1:23" x14ac:dyDescent="0.35">
      <c r="A156" s="1059">
        <v>0.14820672956739095</v>
      </c>
      <c r="D156" s="56" t="s">
        <v>387</v>
      </c>
      <c r="E156" s="56">
        <v>7</v>
      </c>
      <c r="F156" s="1033">
        <v>56</v>
      </c>
      <c r="G156" s="1033">
        <f t="shared" si="89"/>
        <v>140</v>
      </c>
      <c r="H156" s="1033">
        <f t="shared" si="90"/>
        <v>8.8666666666666654</v>
      </c>
      <c r="I156" s="1033">
        <f t="shared" si="96"/>
        <v>26599.999999999996</v>
      </c>
      <c r="J156" s="1033">
        <f t="shared" si="91"/>
        <v>12.068965517241377</v>
      </c>
      <c r="K156" s="387">
        <v>56</v>
      </c>
      <c r="L156" s="1034">
        <f t="shared" si="92"/>
        <v>153.06666666666663</v>
      </c>
      <c r="M156" s="1034">
        <f t="shared" si="93"/>
        <v>9.7860622222222187</v>
      </c>
      <c r="N156" s="1035">
        <f t="shared" si="97"/>
        <v>29358.186666666657</v>
      </c>
      <c r="O156" s="1036">
        <f t="shared" si="94"/>
        <v>13.320411373260734</v>
      </c>
      <c r="P156" s="1060">
        <f t="shared" si="95"/>
        <v>1.2514458560193571</v>
      </c>
      <c r="Q156" s="3">
        <v>6.0330020991366506</v>
      </c>
      <c r="R156" s="1040">
        <v>5.7545042237591555E-2</v>
      </c>
      <c r="S156" s="48">
        <v>1</v>
      </c>
      <c r="T156" s="1041">
        <f t="shared" si="98"/>
        <v>7.5499754763206441</v>
      </c>
      <c r="U156" s="1012"/>
      <c r="V156" s="1012"/>
      <c r="W156" s="351"/>
    </row>
    <row r="157" spans="1:23" x14ac:dyDescent="0.35">
      <c r="A157" s="1059">
        <v>0.30161916176296832</v>
      </c>
      <c r="D157" s="56" t="s">
        <v>387</v>
      </c>
      <c r="E157" s="56">
        <v>8</v>
      </c>
      <c r="F157" s="1033">
        <v>56</v>
      </c>
      <c r="G157" s="1033">
        <f t="shared" si="89"/>
        <v>140</v>
      </c>
      <c r="H157" s="1033">
        <f t="shared" si="90"/>
        <v>8.8666666666666654</v>
      </c>
      <c r="I157" s="1033">
        <f t="shared" si="96"/>
        <v>26599.999999999996</v>
      </c>
      <c r="J157" s="1033">
        <f t="shared" si="91"/>
        <v>12.068965517241377</v>
      </c>
      <c r="K157" s="387">
        <v>56</v>
      </c>
      <c r="L157" s="1034">
        <f t="shared" si="92"/>
        <v>153.06666666666663</v>
      </c>
      <c r="M157" s="1034">
        <f t="shared" si="93"/>
        <v>9.7860622222222187</v>
      </c>
      <c r="N157" s="1035">
        <f t="shared" si="97"/>
        <v>29358.186666666657</v>
      </c>
      <c r="O157" s="1036">
        <f t="shared" si="94"/>
        <v>13.320411373260734</v>
      </c>
      <c r="P157" s="1060">
        <f t="shared" si="95"/>
        <v>1.2514458560193571</v>
      </c>
      <c r="Q157" s="3">
        <v>12.277911005575525</v>
      </c>
      <c r="R157" s="1040">
        <v>0.11711133127342054</v>
      </c>
      <c r="S157" s="48">
        <v>1</v>
      </c>
      <c r="T157" s="1041">
        <f t="shared" si="98"/>
        <v>15.365140848501948</v>
      </c>
      <c r="U157" s="1012"/>
      <c r="V157" s="1012"/>
      <c r="W157" s="351"/>
    </row>
    <row r="158" spans="1:23" x14ac:dyDescent="0.35">
      <c r="A158" s="1059">
        <v>0.47157598122768452</v>
      </c>
      <c r="D158" s="56" t="s">
        <v>387</v>
      </c>
      <c r="E158" s="56">
        <v>9</v>
      </c>
      <c r="F158" s="1033">
        <v>55</v>
      </c>
      <c r="G158" s="1033">
        <f t="shared" si="89"/>
        <v>137.5</v>
      </c>
      <c r="H158" s="1033">
        <f t="shared" si="90"/>
        <v>8.7083333333333321</v>
      </c>
      <c r="I158" s="1033">
        <f t="shared" si="96"/>
        <v>26124.999999999996</v>
      </c>
      <c r="J158" s="1033">
        <f t="shared" si="91"/>
        <v>11.853448275862068</v>
      </c>
      <c r="K158" s="387">
        <v>55</v>
      </c>
      <c r="L158" s="1034">
        <f t="shared" si="92"/>
        <v>150.33333333333331</v>
      </c>
      <c r="M158" s="1034">
        <f t="shared" si="93"/>
        <v>9.6113111111111085</v>
      </c>
      <c r="N158" s="1035">
        <f t="shared" si="97"/>
        <v>28833.933333333327</v>
      </c>
      <c r="O158" s="1036">
        <f t="shared" si="94"/>
        <v>13.082546884452508</v>
      </c>
      <c r="P158" s="1060">
        <f t="shared" si="95"/>
        <v>1.2290986085904407</v>
      </c>
      <c r="Q158" s="3">
        <v>19.196286787742594</v>
      </c>
      <c r="R158" s="1040">
        <v>0.18310140057197208</v>
      </c>
      <c r="S158" s="48">
        <v>1</v>
      </c>
      <c r="T158" s="1041">
        <f t="shared" si="98"/>
        <v>23.594129380917483</v>
      </c>
      <c r="U158" s="1012"/>
      <c r="V158" s="1012"/>
      <c r="W158" s="351"/>
    </row>
    <row r="159" spans="1:23" x14ac:dyDescent="0.35">
      <c r="A159" s="1059">
        <v>0.28233547833322997</v>
      </c>
      <c r="D159" s="56" t="s">
        <v>387</v>
      </c>
      <c r="E159" s="56">
        <v>10</v>
      </c>
      <c r="F159" s="1033">
        <v>55</v>
      </c>
      <c r="G159" s="1033">
        <f t="shared" si="89"/>
        <v>137.5</v>
      </c>
      <c r="H159" s="1033">
        <f t="shared" si="90"/>
        <v>8.7083333333333321</v>
      </c>
      <c r="I159" s="1033">
        <f t="shared" si="96"/>
        <v>26124.999999999996</v>
      </c>
      <c r="J159" s="1033">
        <f t="shared" si="91"/>
        <v>11.853448275862068</v>
      </c>
      <c r="K159" s="387">
        <v>55</v>
      </c>
      <c r="L159" s="1034">
        <f t="shared" si="92"/>
        <v>150.33333333333331</v>
      </c>
      <c r="M159" s="1034">
        <f t="shared" si="93"/>
        <v>9.6113111111111085</v>
      </c>
      <c r="N159" s="1035">
        <f t="shared" si="97"/>
        <v>28833.933333333327</v>
      </c>
      <c r="O159" s="1036">
        <f t="shared" si="94"/>
        <v>13.082546884452508</v>
      </c>
      <c r="P159" s="1060">
        <f t="shared" si="95"/>
        <v>1.2290986085904407</v>
      </c>
      <c r="Q159" s="3">
        <v>11.492936511162988</v>
      </c>
      <c r="R159" s="1040">
        <v>0.10962394942038492</v>
      </c>
      <c r="S159" s="48">
        <v>1</v>
      </c>
      <c r="T159" s="1041">
        <f t="shared" si="98"/>
        <v>14.125952274488702</v>
      </c>
      <c r="U159" s="1012"/>
      <c r="V159" s="1012"/>
      <c r="W159" s="351"/>
    </row>
    <row r="160" spans="1:23" x14ac:dyDescent="0.35">
      <c r="A160" s="1059">
        <v>5.8202264195724419E-2</v>
      </c>
      <c r="D160" s="56" t="s">
        <v>387</v>
      </c>
      <c r="E160" s="56">
        <v>11</v>
      </c>
      <c r="F160" s="1033">
        <v>55</v>
      </c>
      <c r="G160" s="1033">
        <f t="shared" si="89"/>
        <v>137.5</v>
      </c>
      <c r="H160" s="1033">
        <f t="shared" si="90"/>
        <v>8.7083333333333321</v>
      </c>
      <c r="I160" s="1033">
        <f t="shared" si="96"/>
        <v>26124.999999999996</v>
      </c>
      <c r="J160" s="1033">
        <f t="shared" si="91"/>
        <v>11.853448275862068</v>
      </c>
      <c r="K160" s="387">
        <v>55</v>
      </c>
      <c r="L160" s="1034">
        <f t="shared" si="92"/>
        <v>150.33333333333331</v>
      </c>
      <c r="M160" s="1034">
        <f t="shared" si="93"/>
        <v>9.6113111111111085</v>
      </c>
      <c r="N160" s="1035">
        <f t="shared" si="97"/>
        <v>28833.933333333327</v>
      </c>
      <c r="O160" s="1036">
        <f t="shared" si="94"/>
        <v>13.082546884452508</v>
      </c>
      <c r="P160" s="1060">
        <f t="shared" si="95"/>
        <v>1.2290986085904407</v>
      </c>
      <c r="Q160" s="3">
        <v>2.369220231039828</v>
      </c>
      <c r="R160" s="1040">
        <v>2.2598513314764757E-2</v>
      </c>
      <c r="S160" s="48">
        <v>1</v>
      </c>
      <c r="T160" s="1041">
        <f t="shared" si="98"/>
        <v>2.912005289415375</v>
      </c>
      <c r="U160" s="1012"/>
      <c r="V160" s="1012"/>
      <c r="W160" s="351"/>
    </row>
    <row r="161" spans="1:23" x14ac:dyDescent="0.35">
      <c r="A161" s="1059">
        <v>0.31701797044778207</v>
      </c>
      <c r="D161" s="56" t="s">
        <v>387</v>
      </c>
      <c r="E161" s="56">
        <v>12</v>
      </c>
      <c r="F161" s="1033">
        <v>53</v>
      </c>
      <c r="G161" s="1033">
        <f t="shared" si="89"/>
        <v>132.5</v>
      </c>
      <c r="H161" s="1033">
        <f t="shared" si="90"/>
        <v>8.3916666666666657</v>
      </c>
      <c r="I161" s="1033">
        <f t="shared" si="96"/>
        <v>25174.999999999996</v>
      </c>
      <c r="J161" s="1033">
        <f t="shared" si="91"/>
        <v>11.422413793103447</v>
      </c>
      <c r="K161" s="387">
        <v>53</v>
      </c>
      <c r="L161" s="1034">
        <f t="shared" si="92"/>
        <v>144.86666666666665</v>
      </c>
      <c r="M161" s="1034">
        <f t="shared" si="93"/>
        <v>9.2618088888888863</v>
      </c>
      <c r="N161" s="1035">
        <f t="shared" si="97"/>
        <v>27785.426666666659</v>
      </c>
      <c r="O161" s="1036">
        <f t="shared" si="94"/>
        <v>12.606817906836053</v>
      </c>
      <c r="P161" s="1060">
        <f t="shared" si="95"/>
        <v>1.1844041137326062</v>
      </c>
      <c r="Q161" s="3">
        <v>12.904745194487587</v>
      </c>
      <c r="R161" s="1040">
        <v>0.12309031143689056</v>
      </c>
      <c r="S161" s="48">
        <v>1</v>
      </c>
      <c r="T161" s="1041">
        <f t="shared" si="98"/>
        <v>15.284433295022179</v>
      </c>
      <c r="U161" s="1012"/>
      <c r="V161" s="1012"/>
      <c r="W161" s="351"/>
    </row>
    <row r="162" spans="1:23" x14ac:dyDescent="0.35">
      <c r="A162" s="1059">
        <v>0.12184580146549646</v>
      </c>
      <c r="D162" s="56" t="s">
        <v>387</v>
      </c>
      <c r="E162" s="56">
        <v>13</v>
      </c>
      <c r="F162" s="1033">
        <v>56</v>
      </c>
      <c r="G162" s="1033">
        <f t="shared" si="89"/>
        <v>140</v>
      </c>
      <c r="H162" s="1033">
        <f t="shared" si="90"/>
        <v>8.8666666666666654</v>
      </c>
      <c r="I162" s="1033">
        <f t="shared" si="96"/>
        <v>26599.999999999996</v>
      </c>
      <c r="J162" s="1033">
        <f t="shared" si="91"/>
        <v>12.068965517241377</v>
      </c>
      <c r="K162" s="387">
        <v>56</v>
      </c>
      <c r="L162" s="1034">
        <f t="shared" si="92"/>
        <v>153.06666666666663</v>
      </c>
      <c r="M162" s="1034">
        <f t="shared" si="93"/>
        <v>9.7860622222222187</v>
      </c>
      <c r="N162" s="1035">
        <f t="shared" si="97"/>
        <v>29358.186666666657</v>
      </c>
      <c r="O162" s="1036">
        <f t="shared" si="94"/>
        <v>13.320411373260734</v>
      </c>
      <c r="P162" s="1060">
        <f t="shared" si="95"/>
        <v>1.2514458560193571</v>
      </c>
      <c r="Q162" s="3">
        <v>4.9599365572537844</v>
      </c>
      <c r="R162" s="1040">
        <v>4.7309739660755017E-2</v>
      </c>
      <c r="S162" s="48">
        <v>1</v>
      </c>
      <c r="T162" s="1041">
        <f t="shared" si="98"/>
        <v>6.2070920506941647</v>
      </c>
      <c r="U162" s="1012"/>
      <c r="V162" s="1012"/>
      <c r="W162" s="351"/>
    </row>
    <row r="163" spans="1:23" x14ac:dyDescent="0.35">
      <c r="A163" s="1059">
        <v>6.6816919745709843E-2</v>
      </c>
      <c r="D163" s="56" t="s">
        <v>387</v>
      </c>
      <c r="E163" s="56">
        <v>14</v>
      </c>
      <c r="F163" s="1033">
        <v>54</v>
      </c>
      <c r="G163" s="1033">
        <f t="shared" si="89"/>
        <v>135</v>
      </c>
      <c r="H163" s="1033">
        <f t="shared" si="90"/>
        <v>8.5499999999999989</v>
      </c>
      <c r="I163" s="1033">
        <f t="shared" si="96"/>
        <v>25649.999999999996</v>
      </c>
      <c r="J163" s="1033">
        <f t="shared" si="91"/>
        <v>11.637931034482756</v>
      </c>
      <c r="K163" s="387">
        <v>54</v>
      </c>
      <c r="L163" s="1034">
        <f t="shared" si="92"/>
        <v>147.59999999999997</v>
      </c>
      <c r="M163" s="1034">
        <f t="shared" si="93"/>
        <v>9.4365599999999965</v>
      </c>
      <c r="N163" s="1035">
        <f t="shared" si="97"/>
        <v>28309.679999999989</v>
      </c>
      <c r="O163" s="1036">
        <f t="shared" si="94"/>
        <v>12.844682395644279</v>
      </c>
      <c r="P163" s="1060">
        <f t="shared" si="95"/>
        <v>1.2067513611615226</v>
      </c>
      <c r="Q163" s="3">
        <v>2.7198941523125395</v>
      </c>
      <c r="R163" s="1040">
        <v>2.5943373018053741E-2</v>
      </c>
      <c r="S163" s="48">
        <v>1</v>
      </c>
      <c r="T163" s="1041">
        <f t="shared" si="98"/>
        <v>3.2822359705184225</v>
      </c>
      <c r="U163" s="1012"/>
      <c r="V163" s="1012"/>
      <c r="W163" s="351"/>
    </row>
    <row r="164" spans="1:23" x14ac:dyDescent="0.35">
      <c r="A164" s="1059">
        <v>3.8423862562483896E-2</v>
      </c>
      <c r="D164" s="56" t="s">
        <v>387</v>
      </c>
      <c r="E164" s="56">
        <v>15</v>
      </c>
      <c r="F164" s="1033">
        <v>60</v>
      </c>
      <c r="G164" s="1033">
        <f t="shared" si="89"/>
        <v>150</v>
      </c>
      <c r="H164" s="1033">
        <f t="shared" si="90"/>
        <v>9.4999999999999982</v>
      </c>
      <c r="I164" s="1033">
        <f t="shared" si="96"/>
        <v>28499.999999999996</v>
      </c>
      <c r="J164" s="1033">
        <f t="shared" si="91"/>
        <v>12.931034482758619</v>
      </c>
      <c r="K164" s="387">
        <v>60</v>
      </c>
      <c r="L164" s="1034">
        <f t="shared" si="92"/>
        <v>163.99999999999997</v>
      </c>
      <c r="M164" s="1034">
        <f t="shared" si="93"/>
        <v>10.485066666666665</v>
      </c>
      <c r="N164" s="1035">
        <f t="shared" si="97"/>
        <v>31455.199999999993</v>
      </c>
      <c r="O164" s="1036">
        <f t="shared" si="94"/>
        <v>14.271869328493645</v>
      </c>
      <c r="P164" s="1060">
        <f t="shared" si="95"/>
        <v>1.3408348457350261</v>
      </c>
      <c r="Q164" s="3">
        <v>1.5641074070863754</v>
      </c>
      <c r="R164" s="1040">
        <v>1.4919044503199431E-2</v>
      </c>
      <c r="S164" s="48">
        <v>1</v>
      </c>
      <c r="T164" s="1041">
        <f t="shared" si="98"/>
        <v>2.0972097138936716</v>
      </c>
      <c r="U164" s="1012"/>
      <c r="V164" s="1012"/>
      <c r="W164" s="351"/>
    </row>
    <row r="165" spans="1:23" x14ac:dyDescent="0.35">
      <c r="A165" s="1059">
        <v>2.1189072706546019E-2</v>
      </c>
      <c r="D165" s="56" t="s">
        <v>387</v>
      </c>
      <c r="E165" s="56">
        <v>16</v>
      </c>
      <c r="F165" s="1033">
        <v>55</v>
      </c>
      <c r="G165" s="1033">
        <f t="shared" si="89"/>
        <v>137.5</v>
      </c>
      <c r="H165" s="1033">
        <f t="shared" si="90"/>
        <v>8.7083333333333321</v>
      </c>
      <c r="I165" s="1033">
        <f t="shared" si="96"/>
        <v>26124.999999999996</v>
      </c>
      <c r="J165" s="1033">
        <f t="shared" si="91"/>
        <v>11.853448275862068</v>
      </c>
      <c r="K165" s="387">
        <v>55</v>
      </c>
      <c r="L165" s="1034">
        <f t="shared" si="92"/>
        <v>150.33333333333331</v>
      </c>
      <c r="M165" s="1034">
        <f t="shared" si="93"/>
        <v>9.6113111111111085</v>
      </c>
      <c r="N165" s="1035">
        <f t="shared" si="97"/>
        <v>28833.933333333327</v>
      </c>
      <c r="O165" s="1036">
        <f t="shared" si="94"/>
        <v>13.082546884452508</v>
      </c>
      <c r="P165" s="1060">
        <f t="shared" si="95"/>
        <v>1.2290986085904407</v>
      </c>
      <c r="Q165" s="3">
        <v>0.86253654264210777</v>
      </c>
      <c r="R165" s="1040">
        <v>8.2271978299011742E-3</v>
      </c>
      <c r="S165" s="48">
        <v>1</v>
      </c>
      <c r="T165" s="1041">
        <f t="shared" si="98"/>
        <v>1.0601424644198241</v>
      </c>
      <c r="U165" s="1012"/>
      <c r="V165" s="1012"/>
      <c r="W165" s="351"/>
    </row>
    <row r="166" spans="1:23" x14ac:dyDescent="0.35">
      <c r="A166" s="1061">
        <v>2.5754908469000002</v>
      </c>
      <c r="D166" s="56"/>
      <c r="E166" s="362" t="s">
        <v>79</v>
      </c>
      <c r="F166" s="1045"/>
      <c r="G166" s="1045"/>
      <c r="H166" s="1045"/>
      <c r="I166" s="1045"/>
      <c r="J166" s="1046">
        <f>SUM(J150:J165)</f>
        <v>184.48275862068962</v>
      </c>
      <c r="K166" s="362"/>
      <c r="L166" s="362"/>
      <c r="M166" s="362"/>
      <c r="N166" s="362"/>
      <c r="O166" s="1047">
        <f>SUM(O150:O165)</f>
        <v>203.61200241984267</v>
      </c>
      <c r="P166" s="1046">
        <f>SUM(P150:P165)</f>
        <v>19.129243799153038</v>
      </c>
      <c r="Q166" s="1049">
        <v>104.83965020353335</v>
      </c>
      <c r="R166" s="362">
        <v>1</v>
      </c>
      <c r="S166" s="362"/>
      <c r="T166" s="1047">
        <f>SUM(T150:T165)</f>
        <v>126.37531844823418</v>
      </c>
    </row>
    <row r="167" spans="1:23" x14ac:dyDescent="0.35">
      <c r="I167" t="s">
        <v>394</v>
      </c>
      <c r="J167" s="1093">
        <f>SUMPRODUCT(J150:J165,Q150:Q165)</f>
        <v>1218.7657606167697</v>
      </c>
    </row>
    <row r="169" spans="1:23" ht="15.5" x14ac:dyDescent="0.35">
      <c r="A169" s="333"/>
      <c r="E169" s="1054" t="s">
        <v>143</v>
      </c>
      <c r="F169" s="1007"/>
      <c r="G169" t="s">
        <v>392</v>
      </c>
      <c r="H169" s="1007"/>
      <c r="I169" s="1007"/>
      <c r="J169" s="1007"/>
      <c r="K169" s="1007"/>
      <c r="L169" s="1007"/>
      <c r="M169" s="1007"/>
      <c r="N169" s="1007"/>
      <c r="O169" s="1007"/>
      <c r="P169" s="1007"/>
      <c r="Q169" s="1007"/>
      <c r="R169" s="1007"/>
      <c r="S169" s="1007"/>
    </row>
    <row r="170" spans="1:23" x14ac:dyDescent="0.35">
      <c r="A170" s="1055" t="s">
        <v>105</v>
      </c>
      <c r="E170" s="1055"/>
      <c r="F170" s="1055"/>
      <c r="G170">
        <v>2</v>
      </c>
      <c r="H170" s="1055">
        <v>24566</v>
      </c>
      <c r="I170" s="1055" t="s">
        <v>132</v>
      </c>
      <c r="J170" s="1055"/>
      <c r="K170" s="1055"/>
      <c r="L170" s="1055"/>
      <c r="M170" s="1055"/>
      <c r="N170" s="1055"/>
      <c r="O170" s="1055"/>
      <c r="P170" s="1055"/>
      <c r="Q170" s="1055"/>
      <c r="R170" s="1055"/>
      <c r="S170" s="1055"/>
      <c r="T170" t="str">
        <f>E169</f>
        <v>Small Retail - Space Heating</v>
      </c>
    </row>
    <row r="171" spans="1:23" ht="29" x14ac:dyDescent="0.35">
      <c r="A171" s="1057" t="s">
        <v>109</v>
      </c>
      <c r="D171" s="56"/>
      <c r="E171" s="56"/>
      <c r="F171" s="1028" t="s">
        <v>367</v>
      </c>
      <c r="G171" s="1028"/>
      <c r="H171" s="1028"/>
      <c r="I171" s="1028"/>
      <c r="J171" s="1028"/>
      <c r="K171" s="1029" t="s">
        <v>393</v>
      </c>
      <c r="L171" s="1029"/>
      <c r="M171" s="1029"/>
      <c r="N171" s="1029"/>
      <c r="O171" s="1029"/>
      <c r="P171" s="18" t="s">
        <v>371</v>
      </c>
      <c r="Q171" s="1158" t="s">
        <v>4</v>
      </c>
      <c r="R171" s="1158"/>
      <c r="S171" s="1158"/>
      <c r="T171" s="1031" t="s">
        <v>372</v>
      </c>
      <c r="U171" s="1115"/>
      <c r="V171" s="1115"/>
      <c r="W171" s="13"/>
    </row>
    <row r="172" spans="1:23" ht="87" x14ac:dyDescent="0.35">
      <c r="A172" s="1058" t="s">
        <v>118</v>
      </c>
      <c r="D172" s="360" t="s">
        <v>373</v>
      </c>
      <c r="E172" s="360" t="s">
        <v>96</v>
      </c>
      <c r="F172" s="18" t="s">
        <v>374</v>
      </c>
      <c r="G172" s="18" t="s">
        <v>375</v>
      </c>
      <c r="H172" s="18" t="s">
        <v>376</v>
      </c>
      <c r="I172" s="18" t="s">
        <v>377</v>
      </c>
      <c r="J172" s="18" t="s">
        <v>378</v>
      </c>
      <c r="K172" s="1032" t="s">
        <v>389</v>
      </c>
      <c r="L172" s="1032" t="s">
        <v>375</v>
      </c>
      <c r="M172" s="1032" t="s">
        <v>380</v>
      </c>
      <c r="N172" s="4" t="s">
        <v>381</v>
      </c>
      <c r="O172" s="4" t="s">
        <v>378</v>
      </c>
      <c r="P172" s="18" t="s">
        <v>383</v>
      </c>
      <c r="Q172" s="4" t="s">
        <v>384</v>
      </c>
      <c r="R172" s="4" t="s">
        <v>11</v>
      </c>
      <c r="S172" s="4" t="s">
        <v>385</v>
      </c>
      <c r="T172" s="18" t="s">
        <v>386</v>
      </c>
      <c r="U172" s="1115"/>
      <c r="V172" s="1115"/>
      <c r="W172" s="13"/>
    </row>
    <row r="173" spans="1:23" x14ac:dyDescent="0.35">
      <c r="A173" s="1059">
        <v>1.0588725613414667E-2</v>
      </c>
      <c r="D173" s="56" t="s">
        <v>387</v>
      </c>
      <c r="E173" s="56">
        <v>1</v>
      </c>
      <c r="F173" s="1033">
        <v>17</v>
      </c>
      <c r="G173" s="1033">
        <f t="shared" ref="G173:G188" si="99">F173*$E$15</f>
        <v>42.5</v>
      </c>
      <c r="H173" s="1033">
        <f t="shared" ref="H173:H188" si="100">G173*$E$10</f>
        <v>2.6916666666666664</v>
      </c>
      <c r="I173" s="1033">
        <f>H173*$E$14</f>
        <v>8074.9999999999991</v>
      </c>
      <c r="J173" s="1033">
        <f t="shared" ref="J173:J188" si="101">I173/$E$18</f>
        <v>3.6637931034482754</v>
      </c>
      <c r="K173" s="387">
        <v>17</v>
      </c>
      <c r="L173" s="1034">
        <f t="shared" ref="L173:L188" si="102">K173*$F$15</f>
        <v>46.466666666666661</v>
      </c>
      <c r="M173" s="1034">
        <f t="shared" ref="M173:M188" si="103">L173*$F$10</f>
        <v>2.9707688888888883</v>
      </c>
      <c r="N173" s="1035">
        <f>M173*$F$14</f>
        <v>8912.3066666666655</v>
      </c>
      <c r="O173" s="1036">
        <f t="shared" ref="O173:O188" si="104">N173/$E$18</f>
        <v>4.0436963097398664</v>
      </c>
      <c r="P173" s="1060">
        <f t="shared" ref="P173:P188" si="105">O173-J173</f>
        <v>0.37990320629159102</v>
      </c>
      <c r="Q173" s="36">
        <v>1.6940154031700081</v>
      </c>
      <c r="R173" s="890">
        <v>4.1113427470184276E-3</v>
      </c>
      <c r="S173" s="48">
        <v>1</v>
      </c>
      <c r="T173" s="1041">
        <f>P173*Q173*S173</f>
        <v>0.64356188317162832</v>
      </c>
      <c r="U173" s="1012"/>
      <c r="V173" s="1012"/>
      <c r="W173" s="351"/>
    </row>
    <row r="174" spans="1:23" x14ac:dyDescent="0.35">
      <c r="A174" s="1059">
        <v>6.2899977674597415E-2</v>
      </c>
      <c r="D174" s="56" t="s">
        <v>387</v>
      </c>
      <c r="E174" s="56">
        <v>2</v>
      </c>
      <c r="F174" s="1033">
        <v>17</v>
      </c>
      <c r="G174" s="1033">
        <f t="shared" si="99"/>
        <v>42.5</v>
      </c>
      <c r="H174" s="1033">
        <f t="shared" si="100"/>
        <v>2.6916666666666664</v>
      </c>
      <c r="I174" s="1033">
        <f t="shared" ref="I174:I188" si="106">H174*$E$14</f>
        <v>8074.9999999999991</v>
      </c>
      <c r="J174" s="1033">
        <f t="shared" si="101"/>
        <v>3.6637931034482754</v>
      </c>
      <c r="K174" s="1043">
        <v>17</v>
      </c>
      <c r="L174" s="1034">
        <f t="shared" si="102"/>
        <v>46.466666666666661</v>
      </c>
      <c r="M174" s="1034">
        <f t="shared" si="103"/>
        <v>2.9707688888888883</v>
      </c>
      <c r="N174" s="1035">
        <f t="shared" ref="N174:N188" si="107">M174*$F$14</f>
        <v>8912.3066666666655</v>
      </c>
      <c r="O174" s="1036">
        <f t="shared" si="104"/>
        <v>4.0436963097398664</v>
      </c>
      <c r="P174" s="1060">
        <f t="shared" si="105"/>
        <v>0.37990320629159102</v>
      </c>
      <c r="Q174" s="36">
        <v>10.062923049476977</v>
      </c>
      <c r="R174" s="890">
        <v>2.442252037133319E-2</v>
      </c>
      <c r="S174" s="48">
        <v>1</v>
      </c>
      <c r="T174" s="1041">
        <f t="shared" ref="T174:T188" si="108">P174*Q174*S174</f>
        <v>3.8229367311618581</v>
      </c>
      <c r="U174" s="1012"/>
      <c r="V174" s="1012"/>
      <c r="W174" s="351"/>
    </row>
    <row r="175" spans="1:23" x14ac:dyDescent="0.35">
      <c r="A175" s="1059">
        <v>0.28747268615610561</v>
      </c>
      <c r="D175" s="56" t="s">
        <v>387</v>
      </c>
      <c r="E175" s="56">
        <v>3</v>
      </c>
      <c r="F175" s="1033">
        <v>17</v>
      </c>
      <c r="G175" s="1033">
        <f t="shared" si="99"/>
        <v>42.5</v>
      </c>
      <c r="H175" s="1033">
        <f t="shared" si="100"/>
        <v>2.6916666666666664</v>
      </c>
      <c r="I175" s="1033">
        <f t="shared" si="106"/>
        <v>8074.9999999999991</v>
      </c>
      <c r="J175" s="1033">
        <f t="shared" si="101"/>
        <v>3.6637931034482754</v>
      </c>
      <c r="K175" s="387">
        <v>17</v>
      </c>
      <c r="L175" s="1034">
        <f t="shared" si="102"/>
        <v>46.466666666666661</v>
      </c>
      <c r="M175" s="1034">
        <f t="shared" si="103"/>
        <v>2.9707688888888883</v>
      </c>
      <c r="N175" s="1035">
        <f t="shared" si="107"/>
        <v>8912.3066666666655</v>
      </c>
      <c r="O175" s="1036">
        <f t="shared" si="104"/>
        <v>4.0436963097398664</v>
      </c>
      <c r="P175" s="1060">
        <f t="shared" si="105"/>
        <v>0.37990320629159102</v>
      </c>
      <c r="Q175" s="36">
        <v>45.990724107738743</v>
      </c>
      <c r="R175" s="890">
        <v>0.1116186013637452</v>
      </c>
      <c r="S175" s="48">
        <v>1</v>
      </c>
      <c r="T175" s="1041">
        <f t="shared" si="108"/>
        <v>17.472023548201921</v>
      </c>
      <c r="U175" s="1012"/>
      <c r="V175" s="1012"/>
      <c r="W175" s="351"/>
    </row>
    <row r="176" spans="1:23" x14ac:dyDescent="0.35">
      <c r="A176" s="1059">
        <v>0.1473399100659924</v>
      </c>
      <c r="D176" s="56" t="s">
        <v>387</v>
      </c>
      <c r="E176" s="56">
        <v>4</v>
      </c>
      <c r="F176" s="1033">
        <v>19</v>
      </c>
      <c r="G176" s="1033">
        <f t="shared" si="99"/>
        <v>47.5</v>
      </c>
      <c r="H176" s="1033">
        <f t="shared" si="100"/>
        <v>3.0083333333333329</v>
      </c>
      <c r="I176" s="1033">
        <f t="shared" si="106"/>
        <v>9024.9999999999982</v>
      </c>
      <c r="J176" s="1033">
        <f t="shared" si="101"/>
        <v>4.0948275862068959</v>
      </c>
      <c r="K176" s="387">
        <v>19</v>
      </c>
      <c r="L176" s="1034">
        <f t="shared" si="102"/>
        <v>51.933333333333323</v>
      </c>
      <c r="M176" s="1034">
        <f t="shared" si="103"/>
        <v>3.3202711111111101</v>
      </c>
      <c r="N176" s="1035">
        <f t="shared" si="107"/>
        <v>9960.8133333333299</v>
      </c>
      <c r="O176" s="1036">
        <f t="shared" si="104"/>
        <v>4.5194252873563201</v>
      </c>
      <c r="P176" s="1060">
        <f t="shared" si="105"/>
        <v>0.42459770114942419</v>
      </c>
      <c r="Q176" s="36">
        <v>23.571871277622503</v>
      </c>
      <c r="R176" s="890">
        <v>5.7208477461039575E-2</v>
      </c>
      <c r="S176" s="48">
        <v>1</v>
      </c>
      <c r="T176" s="1041">
        <f t="shared" si="108"/>
        <v>10.008562356268655</v>
      </c>
      <c r="U176" s="1012"/>
      <c r="V176" s="1012"/>
      <c r="W176" s="351"/>
    </row>
    <row r="177" spans="1:23" x14ac:dyDescent="0.35">
      <c r="A177" s="1059">
        <v>2.982279914971693E-2</v>
      </c>
      <c r="D177" s="56" t="s">
        <v>387</v>
      </c>
      <c r="E177" s="56">
        <v>5</v>
      </c>
      <c r="F177" s="1033">
        <v>18</v>
      </c>
      <c r="G177" s="1033">
        <f t="shared" si="99"/>
        <v>45</v>
      </c>
      <c r="H177" s="1033">
        <f t="shared" si="100"/>
        <v>2.8499999999999996</v>
      </c>
      <c r="I177" s="1033">
        <f t="shared" si="106"/>
        <v>8549.9999999999982</v>
      </c>
      <c r="J177" s="1033">
        <f t="shared" si="101"/>
        <v>3.8793103448275854</v>
      </c>
      <c r="K177" s="387">
        <v>18</v>
      </c>
      <c r="L177" s="1034">
        <f t="shared" si="102"/>
        <v>49.199999999999996</v>
      </c>
      <c r="M177" s="1034">
        <f t="shared" si="103"/>
        <v>3.1455199999999994</v>
      </c>
      <c r="N177" s="1035">
        <f t="shared" si="107"/>
        <v>9436.5599999999977</v>
      </c>
      <c r="O177" s="1036">
        <f t="shared" si="104"/>
        <v>4.2815607985480932</v>
      </c>
      <c r="P177" s="1060">
        <f t="shared" si="105"/>
        <v>0.40225045372050783</v>
      </c>
      <c r="Q177" s="36">
        <v>4.7711389424675117</v>
      </c>
      <c r="R177" s="890">
        <v>1.1579462293804405E-2</v>
      </c>
      <c r="S177" s="48">
        <v>1</v>
      </c>
      <c r="T177" s="1041">
        <f t="shared" si="108"/>
        <v>1.9191928043711404</v>
      </c>
      <c r="U177" s="1012"/>
      <c r="V177" s="1012"/>
      <c r="W177" s="351"/>
    </row>
    <row r="178" spans="1:23" x14ac:dyDescent="0.35">
      <c r="A178" s="1059">
        <v>0.2101335062251565</v>
      </c>
      <c r="D178" s="56" t="s">
        <v>387</v>
      </c>
      <c r="E178" s="56">
        <v>6</v>
      </c>
      <c r="F178" s="1033">
        <v>21</v>
      </c>
      <c r="G178" s="1033">
        <f t="shared" si="99"/>
        <v>52.5</v>
      </c>
      <c r="H178" s="1033">
        <f t="shared" si="100"/>
        <v>3.3249999999999997</v>
      </c>
      <c r="I178" s="1033">
        <f t="shared" si="106"/>
        <v>9975</v>
      </c>
      <c r="J178" s="1033">
        <f t="shared" si="101"/>
        <v>4.5258620689655169</v>
      </c>
      <c r="K178" s="387">
        <v>21</v>
      </c>
      <c r="L178" s="1034">
        <f t="shared" si="102"/>
        <v>57.399999999999991</v>
      </c>
      <c r="M178" s="1034">
        <f t="shared" si="103"/>
        <v>3.6697733333333327</v>
      </c>
      <c r="N178" s="1035">
        <f t="shared" si="107"/>
        <v>11009.319999999998</v>
      </c>
      <c r="O178" s="1036">
        <f t="shared" si="104"/>
        <v>4.9951542649727756</v>
      </c>
      <c r="P178" s="1060">
        <f t="shared" si="105"/>
        <v>0.46929219600725869</v>
      </c>
      <c r="Q178" s="36">
        <v>33.61777510001437</v>
      </c>
      <c r="R178" s="890">
        <v>8.1589692496125354E-2</v>
      </c>
      <c r="S178" s="48">
        <v>1</v>
      </c>
      <c r="T178" s="1041">
        <f t="shared" si="108"/>
        <v>15.776559501563884</v>
      </c>
      <c r="U178" s="1012"/>
      <c r="V178" s="1012"/>
      <c r="W178" s="351"/>
    </row>
    <row r="179" spans="1:23" x14ac:dyDescent="0.35">
      <c r="A179" s="1059">
        <v>0.14820672956739095</v>
      </c>
      <c r="D179" s="56" t="s">
        <v>387</v>
      </c>
      <c r="E179" s="56">
        <v>7</v>
      </c>
      <c r="F179" s="1033">
        <v>18</v>
      </c>
      <c r="G179" s="1033">
        <f t="shared" si="99"/>
        <v>45</v>
      </c>
      <c r="H179" s="1033">
        <f t="shared" si="100"/>
        <v>2.8499999999999996</v>
      </c>
      <c r="I179" s="1033">
        <f t="shared" si="106"/>
        <v>8549.9999999999982</v>
      </c>
      <c r="J179" s="1033">
        <f t="shared" si="101"/>
        <v>3.8793103448275854</v>
      </c>
      <c r="K179" s="387">
        <v>18</v>
      </c>
      <c r="L179" s="1034">
        <f t="shared" si="102"/>
        <v>49.199999999999996</v>
      </c>
      <c r="M179" s="1034">
        <f t="shared" si="103"/>
        <v>3.1455199999999994</v>
      </c>
      <c r="N179" s="1035">
        <f t="shared" si="107"/>
        <v>9436.5599999999977</v>
      </c>
      <c r="O179" s="1036">
        <f t="shared" si="104"/>
        <v>4.2815607985480932</v>
      </c>
      <c r="P179" s="1060">
        <f t="shared" si="105"/>
        <v>0.40225045372050783</v>
      </c>
      <c r="Q179" s="36">
        <v>23.710547605704605</v>
      </c>
      <c r="R179" s="890">
        <v>5.7545042237591541E-2</v>
      </c>
      <c r="S179" s="48">
        <v>1</v>
      </c>
      <c r="T179" s="1041">
        <f t="shared" si="108"/>
        <v>9.5375785323563775</v>
      </c>
      <c r="U179" s="1012"/>
      <c r="V179" s="1012"/>
      <c r="W179" s="351"/>
    </row>
    <row r="180" spans="1:23" x14ac:dyDescent="0.35">
      <c r="A180" s="1059">
        <v>0.30161916176296832</v>
      </c>
      <c r="D180" s="56" t="s">
        <v>387</v>
      </c>
      <c r="E180" s="56">
        <v>8</v>
      </c>
      <c r="F180" s="1033">
        <v>18</v>
      </c>
      <c r="G180" s="1033">
        <f t="shared" si="99"/>
        <v>45</v>
      </c>
      <c r="H180" s="1033">
        <f t="shared" si="100"/>
        <v>2.8499999999999996</v>
      </c>
      <c r="I180" s="1033">
        <f t="shared" si="106"/>
        <v>8549.9999999999982</v>
      </c>
      <c r="J180" s="1033">
        <f t="shared" si="101"/>
        <v>3.8793103448275854</v>
      </c>
      <c r="K180" s="387">
        <v>18</v>
      </c>
      <c r="L180" s="1034">
        <f t="shared" si="102"/>
        <v>49.199999999999996</v>
      </c>
      <c r="M180" s="1034">
        <f t="shared" si="103"/>
        <v>3.1455199999999994</v>
      </c>
      <c r="N180" s="1035">
        <f t="shared" si="107"/>
        <v>9436.5599999999977</v>
      </c>
      <c r="O180" s="1036">
        <f t="shared" si="104"/>
        <v>4.2815607985480932</v>
      </c>
      <c r="P180" s="1060">
        <f t="shared" si="105"/>
        <v>0.40225045372050783</v>
      </c>
      <c r="Q180" s="36">
        <v>48.253918797403202</v>
      </c>
      <c r="R180" s="890">
        <v>0.11711133127342052</v>
      </c>
      <c r="S180" s="48">
        <v>1</v>
      </c>
      <c r="T180" s="1041">
        <f t="shared" si="108"/>
        <v>19.410160730047981</v>
      </c>
      <c r="U180" s="1012"/>
      <c r="V180" s="1012"/>
      <c r="W180" s="351"/>
    </row>
    <row r="181" spans="1:23" x14ac:dyDescent="0.35">
      <c r="A181" s="1059">
        <v>0.47157598122768452</v>
      </c>
      <c r="D181" s="56" t="s">
        <v>387</v>
      </c>
      <c r="E181" s="56">
        <v>9</v>
      </c>
      <c r="F181" s="1033">
        <v>18</v>
      </c>
      <c r="G181" s="1033">
        <f t="shared" si="99"/>
        <v>45</v>
      </c>
      <c r="H181" s="1033">
        <f t="shared" si="100"/>
        <v>2.8499999999999996</v>
      </c>
      <c r="I181" s="1033">
        <f t="shared" si="106"/>
        <v>8549.9999999999982</v>
      </c>
      <c r="J181" s="1033">
        <f t="shared" si="101"/>
        <v>3.8793103448275854</v>
      </c>
      <c r="K181" s="387">
        <v>18</v>
      </c>
      <c r="L181" s="1034">
        <f t="shared" si="102"/>
        <v>49.199999999999996</v>
      </c>
      <c r="M181" s="1034">
        <f t="shared" si="103"/>
        <v>3.1455199999999994</v>
      </c>
      <c r="N181" s="1035">
        <f t="shared" si="107"/>
        <v>9436.5599999999977</v>
      </c>
      <c r="O181" s="1036">
        <f t="shared" si="104"/>
        <v>4.2815607985480932</v>
      </c>
      <c r="P181" s="1060">
        <f t="shared" si="105"/>
        <v>0.40225045372050783</v>
      </c>
      <c r="Q181" s="36">
        <v>75.444109624736214</v>
      </c>
      <c r="R181" s="890">
        <v>0.18310140057197205</v>
      </c>
      <c r="S181" s="48">
        <v>1</v>
      </c>
      <c r="T181" s="1041">
        <f t="shared" si="108"/>
        <v>30.347427327089875</v>
      </c>
      <c r="U181" s="1012"/>
      <c r="V181" s="1012"/>
      <c r="W181" s="351"/>
    </row>
    <row r="182" spans="1:23" x14ac:dyDescent="0.35">
      <c r="A182" s="1059">
        <v>0.28233547833322997</v>
      </c>
      <c r="D182" s="56" t="s">
        <v>387</v>
      </c>
      <c r="E182" s="56">
        <v>10</v>
      </c>
      <c r="F182" s="1033">
        <v>18</v>
      </c>
      <c r="G182" s="1033">
        <f t="shared" si="99"/>
        <v>45</v>
      </c>
      <c r="H182" s="1033">
        <f t="shared" si="100"/>
        <v>2.8499999999999996</v>
      </c>
      <c r="I182" s="1033">
        <f t="shared" si="106"/>
        <v>8549.9999999999982</v>
      </c>
      <c r="J182" s="1033">
        <f t="shared" si="101"/>
        <v>3.8793103448275854</v>
      </c>
      <c r="K182" s="387">
        <v>18</v>
      </c>
      <c r="L182" s="1034">
        <f t="shared" si="102"/>
        <v>49.199999999999996</v>
      </c>
      <c r="M182" s="1034">
        <f t="shared" si="103"/>
        <v>3.1455199999999994</v>
      </c>
      <c r="N182" s="1035">
        <f t="shared" si="107"/>
        <v>9436.5599999999977</v>
      </c>
      <c r="O182" s="1036">
        <f t="shared" si="104"/>
        <v>4.2815607985480932</v>
      </c>
      <c r="P182" s="1060">
        <f t="shared" si="105"/>
        <v>0.40225045372050783</v>
      </c>
      <c r="Q182" s="36">
        <v>45.168858521741136</v>
      </c>
      <c r="R182" s="890">
        <v>0.10962394942038492</v>
      </c>
      <c r="S182" s="48">
        <v>1</v>
      </c>
      <c r="T182" s="1041">
        <f t="shared" si="108"/>
        <v>18.1691938344078</v>
      </c>
      <c r="U182" s="1012"/>
      <c r="V182" s="1012"/>
      <c r="W182" s="351"/>
    </row>
    <row r="183" spans="1:23" x14ac:dyDescent="0.35">
      <c r="A183" s="1059">
        <v>5.8202264195724419E-2</v>
      </c>
      <c r="D183" s="56" t="s">
        <v>387</v>
      </c>
      <c r="E183" s="56">
        <v>11</v>
      </c>
      <c r="F183" s="1033">
        <v>17</v>
      </c>
      <c r="G183" s="1033">
        <f t="shared" si="99"/>
        <v>42.5</v>
      </c>
      <c r="H183" s="1033">
        <f t="shared" si="100"/>
        <v>2.6916666666666664</v>
      </c>
      <c r="I183" s="1033">
        <f t="shared" si="106"/>
        <v>8074.9999999999991</v>
      </c>
      <c r="J183" s="1033">
        <f t="shared" si="101"/>
        <v>3.6637931034482754</v>
      </c>
      <c r="K183" s="387">
        <v>17</v>
      </c>
      <c r="L183" s="1034">
        <f t="shared" si="102"/>
        <v>46.466666666666661</v>
      </c>
      <c r="M183" s="1034">
        <f t="shared" si="103"/>
        <v>2.9707688888888883</v>
      </c>
      <c r="N183" s="1035">
        <f t="shared" si="107"/>
        <v>8912.3066666666655</v>
      </c>
      <c r="O183" s="1036">
        <f t="shared" si="104"/>
        <v>4.0436963097398664</v>
      </c>
      <c r="P183" s="1060">
        <f t="shared" si="105"/>
        <v>0.37990320629159102</v>
      </c>
      <c r="Q183" s="36">
        <v>9.3113690586163198</v>
      </c>
      <c r="R183" s="890">
        <v>2.2598513314764757E-2</v>
      </c>
      <c r="S183" s="48">
        <v>1</v>
      </c>
      <c r="T183" s="1041">
        <f t="shared" si="108"/>
        <v>3.5374189603326536</v>
      </c>
      <c r="U183" s="1012"/>
      <c r="V183" s="1012"/>
      <c r="W183" s="351"/>
    </row>
    <row r="184" spans="1:23" x14ac:dyDescent="0.35">
      <c r="A184" s="1059">
        <v>0.31701797044778207</v>
      </c>
      <c r="D184" s="56" t="s">
        <v>387</v>
      </c>
      <c r="E184" s="56">
        <v>12</v>
      </c>
      <c r="F184" s="1033">
        <v>17</v>
      </c>
      <c r="G184" s="1033">
        <f t="shared" si="99"/>
        <v>42.5</v>
      </c>
      <c r="H184" s="1033">
        <f t="shared" si="100"/>
        <v>2.6916666666666664</v>
      </c>
      <c r="I184" s="1033">
        <f t="shared" si="106"/>
        <v>8074.9999999999991</v>
      </c>
      <c r="J184" s="1033">
        <f t="shared" si="101"/>
        <v>3.6637931034482754</v>
      </c>
      <c r="K184" s="387">
        <v>17</v>
      </c>
      <c r="L184" s="1034">
        <f t="shared" si="102"/>
        <v>46.466666666666661</v>
      </c>
      <c r="M184" s="1034">
        <f t="shared" si="103"/>
        <v>2.9707688888888883</v>
      </c>
      <c r="N184" s="1035">
        <f t="shared" si="107"/>
        <v>8912.3066666666655</v>
      </c>
      <c r="O184" s="1036">
        <f t="shared" si="104"/>
        <v>4.0436963097398664</v>
      </c>
      <c r="P184" s="1060">
        <f t="shared" si="105"/>
        <v>0.37990320629159102</v>
      </c>
      <c r="Q184" s="36">
        <v>50.717465408668204</v>
      </c>
      <c r="R184" s="890">
        <v>0.12309031143689057</v>
      </c>
      <c r="S184" s="48">
        <v>1</v>
      </c>
      <c r="T184" s="1041">
        <f t="shared" si="108"/>
        <v>19.267727723735909</v>
      </c>
      <c r="U184" s="1012"/>
      <c r="V184" s="1012"/>
      <c r="W184" s="351"/>
    </row>
    <row r="185" spans="1:23" x14ac:dyDescent="0.35">
      <c r="A185" s="1059">
        <v>0.12184580146549646</v>
      </c>
      <c r="D185" s="56" t="s">
        <v>387</v>
      </c>
      <c r="E185" s="56">
        <v>13</v>
      </c>
      <c r="F185" s="1033">
        <v>18</v>
      </c>
      <c r="G185" s="1033">
        <f t="shared" si="99"/>
        <v>45</v>
      </c>
      <c r="H185" s="1033">
        <f t="shared" si="100"/>
        <v>2.8499999999999996</v>
      </c>
      <c r="I185" s="1033">
        <f t="shared" si="106"/>
        <v>8549.9999999999982</v>
      </c>
      <c r="J185" s="1033">
        <f t="shared" si="101"/>
        <v>3.8793103448275854</v>
      </c>
      <c r="K185" s="387">
        <v>18</v>
      </c>
      <c r="L185" s="1034">
        <f t="shared" si="102"/>
        <v>49.199999999999996</v>
      </c>
      <c r="M185" s="1034">
        <f t="shared" si="103"/>
        <v>3.1455199999999994</v>
      </c>
      <c r="N185" s="1035">
        <f t="shared" si="107"/>
        <v>9436.5599999999977</v>
      </c>
      <c r="O185" s="1036">
        <f t="shared" si="104"/>
        <v>4.2815607985480932</v>
      </c>
      <c r="P185" s="1060">
        <f t="shared" si="105"/>
        <v>0.40225045372050783</v>
      </c>
      <c r="Q185" s="36">
        <v>19.493248954590943</v>
      </c>
      <c r="R185" s="890">
        <v>4.730973966075501E-2</v>
      </c>
      <c r="S185" s="48">
        <v>1</v>
      </c>
      <c r="T185" s="1041">
        <f t="shared" si="108"/>
        <v>7.841168236471022</v>
      </c>
      <c r="U185" s="1012"/>
      <c r="V185" s="1012"/>
      <c r="W185" s="351"/>
    </row>
    <row r="186" spans="1:23" x14ac:dyDescent="0.35">
      <c r="A186" s="1059">
        <v>6.6816919745709843E-2</v>
      </c>
      <c r="D186" s="56" t="s">
        <v>387</v>
      </c>
      <c r="E186" s="56">
        <v>14</v>
      </c>
      <c r="F186" s="1033">
        <v>17</v>
      </c>
      <c r="G186" s="1033">
        <f t="shared" si="99"/>
        <v>42.5</v>
      </c>
      <c r="H186" s="1033">
        <f t="shared" si="100"/>
        <v>2.6916666666666664</v>
      </c>
      <c r="I186" s="1033">
        <f t="shared" si="106"/>
        <v>8074.9999999999991</v>
      </c>
      <c r="J186" s="1033">
        <f t="shared" si="101"/>
        <v>3.6637931034482754</v>
      </c>
      <c r="K186" s="387">
        <v>17</v>
      </c>
      <c r="L186" s="1034">
        <f t="shared" si="102"/>
        <v>46.466666666666661</v>
      </c>
      <c r="M186" s="1034">
        <f t="shared" si="103"/>
        <v>2.9707688888888883</v>
      </c>
      <c r="N186" s="1035">
        <f t="shared" si="107"/>
        <v>8912.3066666666655</v>
      </c>
      <c r="O186" s="1036">
        <f t="shared" si="104"/>
        <v>4.0436963097398664</v>
      </c>
      <c r="P186" s="1060">
        <f t="shared" si="105"/>
        <v>0.37990320629159102</v>
      </c>
      <c r="Q186" s="36">
        <v>10.689566938840096</v>
      </c>
      <c r="R186" s="890">
        <v>2.5943373018053738E-2</v>
      </c>
      <c r="S186" s="48">
        <v>1</v>
      </c>
      <c r="T186" s="1041">
        <f t="shared" si="108"/>
        <v>4.0610007539339401</v>
      </c>
      <c r="U186" s="1012"/>
      <c r="V186" s="1012"/>
      <c r="W186" s="351"/>
    </row>
    <row r="187" spans="1:23" x14ac:dyDescent="0.35">
      <c r="A187" s="1059">
        <v>3.8423862562483896E-2</v>
      </c>
      <c r="D187" s="56" t="s">
        <v>387</v>
      </c>
      <c r="E187" s="56">
        <v>15</v>
      </c>
      <c r="F187" s="1033">
        <v>22</v>
      </c>
      <c r="G187" s="1033">
        <f t="shared" si="99"/>
        <v>55</v>
      </c>
      <c r="H187" s="1033">
        <f t="shared" si="100"/>
        <v>3.4833333333333329</v>
      </c>
      <c r="I187" s="1033">
        <f t="shared" si="106"/>
        <v>10449.999999999998</v>
      </c>
      <c r="J187" s="1033">
        <f t="shared" si="101"/>
        <v>4.7413793103448265</v>
      </c>
      <c r="K187" s="387">
        <v>22</v>
      </c>
      <c r="L187" s="1034">
        <f t="shared" si="102"/>
        <v>60.133333333333326</v>
      </c>
      <c r="M187" s="1034">
        <f t="shared" si="103"/>
        <v>3.8445244444444437</v>
      </c>
      <c r="N187" s="1035">
        <f t="shared" si="107"/>
        <v>11533.573333333332</v>
      </c>
      <c r="O187" s="1036">
        <f t="shared" si="104"/>
        <v>5.2330187537810033</v>
      </c>
      <c r="P187" s="1060">
        <f t="shared" si="105"/>
        <v>0.49163944343617683</v>
      </c>
      <c r="Q187" s="36">
        <v>6.1471623126840687</v>
      </c>
      <c r="R187" s="890">
        <v>1.4919044503199428E-2</v>
      </c>
      <c r="S187" s="48">
        <v>1</v>
      </c>
      <c r="T187" s="1041">
        <f t="shared" si="108"/>
        <v>3.0221874581198369</v>
      </c>
      <c r="U187" s="1012"/>
      <c r="V187" s="1012"/>
      <c r="W187" s="351"/>
    </row>
    <row r="188" spans="1:23" ht="15" thickBot="1" x14ac:dyDescent="0.4">
      <c r="A188" s="1059">
        <v>2.1189072706546019E-2</v>
      </c>
      <c r="D188" s="56" t="s">
        <v>387</v>
      </c>
      <c r="E188" s="56">
        <v>16</v>
      </c>
      <c r="F188" s="1033">
        <v>18</v>
      </c>
      <c r="G188" s="1033">
        <f t="shared" si="99"/>
        <v>45</v>
      </c>
      <c r="H188" s="1033">
        <f t="shared" si="100"/>
        <v>2.8499999999999996</v>
      </c>
      <c r="I188" s="1033">
        <f t="shared" si="106"/>
        <v>8549.9999999999982</v>
      </c>
      <c r="J188" s="1033">
        <f t="shared" si="101"/>
        <v>3.8793103448275854</v>
      </c>
      <c r="K188" s="387">
        <v>18</v>
      </c>
      <c r="L188" s="1034">
        <f t="shared" si="102"/>
        <v>49.199999999999996</v>
      </c>
      <c r="M188" s="1034">
        <f t="shared" si="103"/>
        <v>3.1455199999999994</v>
      </c>
      <c r="N188" s="1035">
        <f t="shared" si="107"/>
        <v>9436.5599999999977</v>
      </c>
      <c r="O188" s="1036">
        <f t="shared" si="104"/>
        <v>4.2815607985480932</v>
      </c>
      <c r="P188" s="1060">
        <f t="shared" si="105"/>
        <v>0.40225045372050783</v>
      </c>
      <c r="Q188" s="1064">
        <v>3.3898900447759193</v>
      </c>
      <c r="R188" s="1065">
        <v>8.2271978299011724E-3</v>
      </c>
      <c r="S188" s="48">
        <v>1</v>
      </c>
      <c r="T188" s="1041">
        <f t="shared" si="108"/>
        <v>1.3635848085737461</v>
      </c>
      <c r="U188" s="1012"/>
      <c r="V188" s="1012"/>
      <c r="W188" s="351"/>
    </row>
    <row r="189" spans="1:23" ht="15" thickBot="1" x14ac:dyDescent="0.4">
      <c r="A189" s="1061">
        <v>2.5754908469000002</v>
      </c>
      <c r="D189" s="56"/>
      <c r="E189" s="362" t="s">
        <v>79</v>
      </c>
      <c r="F189" s="1045"/>
      <c r="G189" s="1045"/>
      <c r="H189" s="1045"/>
      <c r="I189" s="1045"/>
      <c r="J189" s="1046">
        <f>SUM(J173:J188)</f>
        <v>62.500000000000007</v>
      </c>
      <c r="K189" s="362"/>
      <c r="L189" s="362"/>
      <c r="M189" s="362"/>
      <c r="N189" s="362"/>
      <c r="O189" s="1047">
        <f>SUM(O173:O188)</f>
        <v>68.980701754385947</v>
      </c>
      <c r="P189" s="1046">
        <f>SUM(P173:P188)</f>
        <v>6.4807017543859597</v>
      </c>
      <c r="Q189" s="1066">
        <v>412.03458514825087</v>
      </c>
      <c r="R189" s="1067">
        <v>0.99999999999999978</v>
      </c>
      <c r="S189" s="362"/>
      <c r="T189" s="1047">
        <f>SUM(T173:T188)</f>
        <v>166.2002851898082</v>
      </c>
    </row>
    <row r="190" spans="1:23" x14ac:dyDescent="0.35">
      <c r="A190" s="1059"/>
      <c r="I190" t="s">
        <v>394</v>
      </c>
      <c r="J190" s="1093">
        <f>SUMPRODUCT(J173:J188,Q173:Q188)</f>
        <v>1602.8384298556907</v>
      </c>
      <c r="Q190" s="353"/>
    </row>
    <row r="191" spans="1:23" x14ac:dyDescent="0.35">
      <c r="A191" s="1059"/>
      <c r="Q191" s="353"/>
    </row>
    <row r="192" spans="1:23" ht="15.5" x14ac:dyDescent="0.35">
      <c r="E192" s="1054" t="s">
        <v>146</v>
      </c>
      <c r="F192" s="1007"/>
      <c r="G192" t="s">
        <v>392</v>
      </c>
      <c r="H192" s="1007"/>
      <c r="I192" s="1007"/>
      <c r="J192" s="1007"/>
      <c r="K192" s="1007"/>
      <c r="L192" s="1007"/>
      <c r="M192" s="1007"/>
      <c r="N192" s="1007"/>
      <c r="O192" s="1007"/>
      <c r="P192" s="1007"/>
      <c r="Q192" s="1007"/>
      <c r="R192" s="1007"/>
      <c r="S192" s="1007"/>
    </row>
    <row r="193" spans="1:31" x14ac:dyDescent="0.35">
      <c r="A193" s="1055" t="s">
        <v>105</v>
      </c>
      <c r="E193" s="1055"/>
      <c r="F193" s="1055"/>
      <c r="G193">
        <v>2</v>
      </c>
      <c r="H193" s="919">
        <v>24415</v>
      </c>
      <c r="I193" s="1063" t="s">
        <v>132</v>
      </c>
      <c r="J193" s="1056"/>
      <c r="K193" s="1056"/>
      <c r="L193" s="1056"/>
      <c r="M193" s="1056"/>
      <c r="N193" s="1056"/>
      <c r="O193" s="1056"/>
      <c r="P193" s="1056"/>
      <c r="Q193" s="1055"/>
      <c r="R193" s="1055"/>
      <c r="S193" s="1055"/>
      <c r="T193" t="str">
        <f>E192</f>
        <v>Small School - Space and DHW Heating</v>
      </c>
    </row>
    <row r="194" spans="1:31" ht="43.5" x14ac:dyDescent="0.35">
      <c r="A194" s="1057" t="s">
        <v>109</v>
      </c>
      <c r="D194" s="56"/>
      <c r="E194" s="56"/>
      <c r="F194" s="1028" t="s">
        <v>367</v>
      </c>
      <c r="G194" s="1028"/>
      <c r="H194" s="1028"/>
      <c r="I194" s="1028"/>
      <c r="J194" s="1028"/>
      <c r="K194" s="1029" t="s">
        <v>368</v>
      </c>
      <c r="L194" s="1029"/>
      <c r="M194" s="1029"/>
      <c r="N194" s="1029"/>
      <c r="O194" s="1029"/>
      <c r="P194" s="1068" t="s">
        <v>369</v>
      </c>
      <c r="Q194" s="1029"/>
      <c r="R194" s="1029"/>
      <c r="S194" s="1029"/>
      <c r="T194" s="1029"/>
      <c r="U194" s="1069" t="s">
        <v>395</v>
      </c>
      <c r="V194" s="40" t="s">
        <v>371</v>
      </c>
      <c r="W194" s="1158" t="s">
        <v>4</v>
      </c>
      <c r="X194" s="1158"/>
      <c r="Y194" s="1158"/>
      <c r="Z194" s="1031" t="s">
        <v>372</v>
      </c>
      <c r="AA194" s="1115"/>
      <c r="AB194" s="1114"/>
      <c r="AC194" s="4"/>
    </row>
    <row r="195" spans="1:31" ht="87" x14ac:dyDescent="0.35">
      <c r="A195" s="1058" t="s">
        <v>118</v>
      </c>
      <c r="D195" s="360" t="s">
        <v>373</v>
      </c>
      <c r="E195" s="360" t="s">
        <v>96</v>
      </c>
      <c r="F195" s="18" t="s">
        <v>374</v>
      </c>
      <c r="G195" s="18" t="s">
        <v>375</v>
      </c>
      <c r="H195" s="18" t="s">
        <v>376</v>
      </c>
      <c r="I195" s="18" t="s">
        <v>377</v>
      </c>
      <c r="J195" s="18" t="s">
        <v>378</v>
      </c>
      <c r="K195" s="1032" t="s">
        <v>379</v>
      </c>
      <c r="L195" s="1032" t="s">
        <v>375</v>
      </c>
      <c r="M195" s="1032" t="s">
        <v>380</v>
      </c>
      <c r="N195" s="4" t="s">
        <v>381</v>
      </c>
      <c r="O195" s="4" t="s">
        <v>378</v>
      </c>
      <c r="P195" s="18" t="s">
        <v>382</v>
      </c>
      <c r="Q195" s="18" t="s">
        <v>375</v>
      </c>
      <c r="R195" s="18" t="s">
        <v>380</v>
      </c>
      <c r="S195" s="18" t="s">
        <v>381</v>
      </c>
      <c r="T195" s="18" t="s">
        <v>378</v>
      </c>
      <c r="U195" s="40" t="s">
        <v>383</v>
      </c>
      <c r="V195" s="40" t="s">
        <v>383</v>
      </c>
      <c r="W195" s="4" t="s">
        <v>384</v>
      </c>
      <c r="X195" s="4" t="s">
        <v>11</v>
      </c>
      <c r="Y195" s="4" t="s">
        <v>385</v>
      </c>
      <c r="Z195" s="18" t="s">
        <v>386</v>
      </c>
      <c r="AA195" s="1115"/>
      <c r="AB195" s="1114" t="s">
        <v>314</v>
      </c>
      <c r="AC195" s="4" t="s">
        <v>360</v>
      </c>
      <c r="AE195" t="s">
        <v>561</v>
      </c>
    </row>
    <row r="196" spans="1:31" x14ac:dyDescent="0.35">
      <c r="A196" s="1059">
        <v>2.9220041988018898E-2</v>
      </c>
      <c r="D196" s="56" t="s">
        <v>396</v>
      </c>
      <c r="E196" s="56">
        <v>1</v>
      </c>
      <c r="F196" s="1033">
        <v>39</v>
      </c>
      <c r="G196" s="1033">
        <f t="shared" ref="G196:G211" si="109">F196*$E$15</f>
        <v>97.5</v>
      </c>
      <c r="H196" s="1033">
        <f t="shared" ref="H196:H211" si="110">G196*$E$10</f>
        <v>6.1749999999999989</v>
      </c>
      <c r="I196" s="1033">
        <f>H196*$E$14</f>
        <v>18524.999999999996</v>
      </c>
      <c r="J196" s="1033">
        <f t="shared" ref="J196:J211" si="111">I196/$E$18</f>
        <v>8.4051724137931014</v>
      </c>
      <c r="K196" s="75">
        <v>50</v>
      </c>
      <c r="L196" s="1034">
        <f>H$6</f>
        <v>1.76</v>
      </c>
      <c r="M196" s="1034">
        <f>(L196*$H$10)</f>
        <v>0.13388184615384616</v>
      </c>
      <c r="N196" s="1035">
        <f>M196*H$14</f>
        <v>398.96790153846155</v>
      </c>
      <c r="O196" s="1036">
        <f>N196/$E$18</f>
        <v>0.18101991902834008</v>
      </c>
      <c r="P196" s="1037">
        <v>39</v>
      </c>
      <c r="Q196" s="1033">
        <f>P196*$F$15</f>
        <v>106.59999999999998</v>
      </c>
      <c r="R196" s="1038">
        <f>Q196*F$10</f>
        <v>6.8152933333333312</v>
      </c>
      <c r="S196" s="346">
        <f>R196*F$14</f>
        <v>20445.879999999994</v>
      </c>
      <c r="T196" s="1033">
        <f>S196/$E$18</f>
        <v>9.2767150635208679</v>
      </c>
      <c r="U196" s="65">
        <f>T196+O196</f>
        <v>9.4577349825492085</v>
      </c>
      <c r="V196" s="1039">
        <f>U196-J196</f>
        <v>1.0525625687561071</v>
      </c>
      <c r="W196" s="3">
        <v>1.1968069624418962</v>
      </c>
      <c r="X196" s="1040">
        <v>4.8669704343120507E-3</v>
      </c>
      <c r="Y196" s="48">
        <v>0.6</v>
      </c>
      <c r="Z196" s="1041">
        <f>V196*W196*Y196</f>
        <v>0.75582852641582166</v>
      </c>
      <c r="AA196" s="1012"/>
      <c r="AB196" s="334">
        <f>O196*W196</f>
        <v>0.2166458994337857</v>
      </c>
      <c r="AC196" s="334">
        <f t="shared" ref="AC196:AC211" si="112">(T196-J196)*W196</f>
        <v>1.0430683112592498</v>
      </c>
      <c r="AE196" s="1070">
        <f>T196-J196</f>
        <v>0.87154264972776652</v>
      </c>
    </row>
    <row r="197" spans="1:31" x14ac:dyDescent="0.35">
      <c r="A197" s="1059">
        <v>0.17361407564034848</v>
      </c>
      <c r="D197" s="56" t="s">
        <v>396</v>
      </c>
      <c r="E197" s="56">
        <v>2</v>
      </c>
      <c r="F197" s="1033">
        <v>46</v>
      </c>
      <c r="G197" s="1033">
        <f t="shared" si="109"/>
        <v>115</v>
      </c>
      <c r="H197" s="1033">
        <f t="shared" si="110"/>
        <v>7.2833333333333323</v>
      </c>
      <c r="I197" s="1033">
        <f t="shared" ref="I197:I211" si="113">H197*$E$14</f>
        <v>21849.999999999996</v>
      </c>
      <c r="J197" s="1033">
        <f t="shared" si="111"/>
        <v>9.913793103448274</v>
      </c>
      <c r="K197" s="75">
        <v>50</v>
      </c>
      <c r="L197" s="1034">
        <f t="shared" ref="L197:L211" si="114">H$6</f>
        <v>1.76</v>
      </c>
      <c r="M197" s="1034">
        <f t="shared" ref="M197:M211" si="115">(L197*$H$10)</f>
        <v>0.13388184615384616</v>
      </c>
      <c r="N197" s="1035">
        <f t="shared" ref="N197:N211" si="116">M197*H$14</f>
        <v>398.96790153846155</v>
      </c>
      <c r="O197" s="1036">
        <f t="shared" ref="O197:O211" si="117">N197/$E$18</f>
        <v>0.18101991902834008</v>
      </c>
      <c r="P197" s="1037">
        <v>46</v>
      </c>
      <c r="Q197" s="1033">
        <f>P197*$F$15</f>
        <v>125.73333333333332</v>
      </c>
      <c r="R197" s="1038">
        <f t="shared" ref="R197:R210" si="118">Q197*F$10</f>
        <v>8.0385511111111096</v>
      </c>
      <c r="S197" s="346">
        <f t="shared" ref="S197:S211" si="119">R197*F$14</f>
        <v>24115.653333333328</v>
      </c>
      <c r="T197" s="1033">
        <f t="shared" ref="T197:T211" si="120">S197/$E$18</f>
        <v>10.94176648517846</v>
      </c>
      <c r="U197" s="65">
        <f t="shared" ref="U197:U211" si="121">T197+O197</f>
        <v>11.122786404206801</v>
      </c>
      <c r="V197" s="1039">
        <f t="shared" ref="V197:V211" si="122">U197-J197</f>
        <v>1.208993300758527</v>
      </c>
      <c r="W197" s="3">
        <v>7.1109594773847427</v>
      </c>
      <c r="X197" s="1040">
        <v>2.8917637198073068E-2</v>
      </c>
      <c r="Y197" s="48">
        <v>0.6</v>
      </c>
      <c r="Z197" s="1041">
        <f t="shared" ref="Z197:Z211" si="123">V197*W197*Y197</f>
        <v>5.1582614220741059</v>
      </c>
      <c r="AA197" s="1012"/>
      <c r="AB197" s="334">
        <f t="shared" ref="AB197:AB211" si="124">O197*W197</f>
        <v>1.2872253088099936</v>
      </c>
      <c r="AC197" s="334">
        <f t="shared" si="112"/>
        <v>7.3098770613135127</v>
      </c>
      <c r="AE197" s="1070">
        <f t="shared" ref="AE197:AE211" si="125">T197-J197</f>
        <v>1.0279733817301864</v>
      </c>
    </row>
    <row r="198" spans="1:31" x14ac:dyDescent="0.35">
      <c r="A198" s="1059">
        <v>0.7084061938429751</v>
      </c>
      <c r="D198" s="56" t="s">
        <v>396</v>
      </c>
      <c r="E198" s="56">
        <v>3</v>
      </c>
      <c r="F198" s="1033">
        <v>43</v>
      </c>
      <c r="G198" s="1033">
        <f t="shared" si="109"/>
        <v>107.5</v>
      </c>
      <c r="H198" s="1033">
        <f t="shared" si="110"/>
        <v>6.8083333333333327</v>
      </c>
      <c r="I198" s="1033">
        <f t="shared" si="113"/>
        <v>20424.999999999996</v>
      </c>
      <c r="J198" s="1033">
        <f t="shared" si="111"/>
        <v>9.2672413793103434</v>
      </c>
      <c r="K198" s="75">
        <v>50</v>
      </c>
      <c r="L198" s="1034">
        <f t="shared" si="114"/>
        <v>1.76</v>
      </c>
      <c r="M198" s="1034">
        <f t="shared" si="115"/>
        <v>0.13388184615384616</v>
      </c>
      <c r="N198" s="1035">
        <f t="shared" si="116"/>
        <v>398.96790153846155</v>
      </c>
      <c r="O198" s="1036">
        <f t="shared" si="117"/>
        <v>0.18101991902834008</v>
      </c>
      <c r="P198" s="1037">
        <v>43</v>
      </c>
      <c r="Q198" s="1033">
        <f t="shared" ref="Q198:Q211" si="126">P198*$F$15</f>
        <v>117.53333333333332</v>
      </c>
      <c r="R198" s="1038">
        <f t="shared" si="118"/>
        <v>7.5142977777777764</v>
      </c>
      <c r="S198" s="346">
        <f t="shared" si="119"/>
        <v>22542.89333333333</v>
      </c>
      <c r="T198" s="1033">
        <f t="shared" si="120"/>
        <v>10.228173018753779</v>
      </c>
      <c r="U198" s="65">
        <f t="shared" si="121"/>
        <v>10.40919293778212</v>
      </c>
      <c r="V198" s="1039">
        <f t="shared" si="122"/>
        <v>1.1419515584717761</v>
      </c>
      <c r="W198" s="3">
        <v>29.015203515993246</v>
      </c>
      <c r="X198" s="1040">
        <v>0.11799408099177239</v>
      </c>
      <c r="Y198" s="48">
        <v>0.6</v>
      </c>
      <c r="Z198" s="1041">
        <f t="shared" si="123"/>
        <v>19.880374124678546</v>
      </c>
      <c r="AA198" s="1012"/>
      <c r="AB198" s="334">
        <f t="shared" si="124"/>
        <v>5.2523297910559057</v>
      </c>
      <c r="AC198" s="334">
        <f t="shared" si="112"/>
        <v>27.881627083408326</v>
      </c>
      <c r="AE198" s="1070">
        <f t="shared" si="125"/>
        <v>0.96093163944343551</v>
      </c>
    </row>
    <row r="199" spans="1:31" x14ac:dyDescent="0.35">
      <c r="A199" s="1059">
        <v>0.35946700425053696</v>
      </c>
      <c r="D199" s="56" t="s">
        <v>396</v>
      </c>
      <c r="E199" s="56">
        <v>4</v>
      </c>
      <c r="F199" s="1033">
        <v>45</v>
      </c>
      <c r="G199" s="1033">
        <f t="shared" si="109"/>
        <v>112.5</v>
      </c>
      <c r="H199" s="1033">
        <f t="shared" si="110"/>
        <v>7.1249999999999991</v>
      </c>
      <c r="I199" s="1033">
        <f t="shared" si="113"/>
        <v>21374.999999999996</v>
      </c>
      <c r="J199" s="1033">
        <f t="shared" si="111"/>
        <v>9.6982758620689644</v>
      </c>
      <c r="K199" s="75">
        <v>50</v>
      </c>
      <c r="L199" s="1034">
        <f t="shared" si="114"/>
        <v>1.76</v>
      </c>
      <c r="M199" s="1034">
        <f t="shared" si="115"/>
        <v>0.13388184615384616</v>
      </c>
      <c r="N199" s="1035">
        <f t="shared" si="116"/>
        <v>398.96790153846155</v>
      </c>
      <c r="O199" s="1036">
        <f t="shared" si="117"/>
        <v>0.18101991902834008</v>
      </c>
      <c r="P199" s="1037">
        <v>45</v>
      </c>
      <c r="Q199" s="1033">
        <f t="shared" si="126"/>
        <v>122.99999999999999</v>
      </c>
      <c r="R199" s="1038">
        <f t="shared" si="118"/>
        <v>7.8637999999999986</v>
      </c>
      <c r="S199" s="346">
        <f t="shared" si="119"/>
        <v>23591.399999999994</v>
      </c>
      <c r="T199" s="1033">
        <f t="shared" si="120"/>
        <v>10.703901996370233</v>
      </c>
      <c r="U199" s="65">
        <f t="shared" si="121"/>
        <v>10.884921915398573</v>
      </c>
      <c r="V199" s="1039">
        <f t="shared" si="122"/>
        <v>1.1866460533296088</v>
      </c>
      <c r="W199" s="3">
        <v>14.723203123102067</v>
      </c>
      <c r="X199" s="1040">
        <v>5.9873811355761988E-2</v>
      </c>
      <c r="Y199" s="48">
        <v>0.6</v>
      </c>
      <c r="Z199" s="1041">
        <f t="shared" si="123"/>
        <v>10.482738527039544</v>
      </c>
      <c r="AA199" s="1012"/>
      <c r="AB199" s="334">
        <f t="shared" si="124"/>
        <v>2.6651930371817398</v>
      </c>
      <c r="AC199" s="334">
        <f t="shared" si="112"/>
        <v>14.806037841217492</v>
      </c>
      <c r="AE199" s="1070">
        <f t="shared" si="125"/>
        <v>1.0056261343012682</v>
      </c>
    </row>
    <row r="200" spans="1:31" x14ac:dyDescent="0.35">
      <c r="A200" s="1059">
        <v>7.429373253157398E-2</v>
      </c>
      <c r="D200" s="56" t="s">
        <v>396</v>
      </c>
      <c r="E200" s="56">
        <v>5</v>
      </c>
      <c r="F200" s="1033">
        <v>42</v>
      </c>
      <c r="G200" s="1033">
        <f t="shared" si="109"/>
        <v>105</v>
      </c>
      <c r="H200" s="1033">
        <f t="shared" si="110"/>
        <v>6.6499999999999995</v>
      </c>
      <c r="I200" s="1033">
        <f t="shared" si="113"/>
        <v>19950</v>
      </c>
      <c r="J200" s="1033">
        <f t="shared" si="111"/>
        <v>9.0517241379310338</v>
      </c>
      <c r="K200" s="75">
        <v>50</v>
      </c>
      <c r="L200" s="1034">
        <f t="shared" si="114"/>
        <v>1.76</v>
      </c>
      <c r="M200" s="1034">
        <f t="shared" si="115"/>
        <v>0.13388184615384616</v>
      </c>
      <c r="N200" s="1035">
        <f t="shared" si="116"/>
        <v>398.96790153846155</v>
      </c>
      <c r="O200" s="1036">
        <f t="shared" si="117"/>
        <v>0.18101991902834008</v>
      </c>
      <c r="P200" s="1037">
        <v>42</v>
      </c>
      <c r="Q200" s="1033">
        <f t="shared" si="126"/>
        <v>114.79999999999998</v>
      </c>
      <c r="R200" s="1038">
        <f t="shared" si="118"/>
        <v>7.3395466666666653</v>
      </c>
      <c r="S200" s="346">
        <f t="shared" si="119"/>
        <v>22018.639999999996</v>
      </c>
      <c r="T200" s="1033">
        <f t="shared" si="120"/>
        <v>9.9903085299455512</v>
      </c>
      <c r="U200" s="65">
        <f t="shared" si="121"/>
        <v>10.171328448973892</v>
      </c>
      <c r="V200" s="1039">
        <f t="shared" si="122"/>
        <v>1.119604311042858</v>
      </c>
      <c r="W200" s="3">
        <v>3.0429544350429647</v>
      </c>
      <c r="X200" s="1040">
        <v>1.2374568107537934E-2</v>
      </c>
      <c r="Y200" s="48">
        <v>0.6</v>
      </c>
      <c r="Z200" s="1041">
        <f t="shared" si="123"/>
        <v>2.0441429422686523</v>
      </c>
      <c r="AA200" s="1012"/>
      <c r="AB200" s="334">
        <f t="shared" si="124"/>
        <v>0.55083536543840583</v>
      </c>
      <c r="AC200" s="334">
        <f t="shared" si="112"/>
        <v>2.8560695383426804</v>
      </c>
      <c r="AE200" s="1070">
        <f t="shared" si="125"/>
        <v>0.93858439201451738</v>
      </c>
    </row>
    <row r="201" spans="1:31" x14ac:dyDescent="0.35">
      <c r="A201" s="1059">
        <v>0.3987701105970608</v>
      </c>
      <c r="D201" s="56" t="s">
        <v>396</v>
      </c>
      <c r="E201" s="56">
        <v>6</v>
      </c>
      <c r="F201" s="1033">
        <v>48</v>
      </c>
      <c r="G201" s="1033">
        <f t="shared" si="109"/>
        <v>120</v>
      </c>
      <c r="H201" s="1033">
        <f t="shared" si="110"/>
        <v>7.5999999999999988</v>
      </c>
      <c r="I201" s="1033">
        <f t="shared" si="113"/>
        <v>22799.999999999996</v>
      </c>
      <c r="J201" s="1033">
        <f t="shared" si="111"/>
        <v>10.344827586206895</v>
      </c>
      <c r="K201" s="75">
        <v>50</v>
      </c>
      <c r="L201" s="1034">
        <f t="shared" si="114"/>
        <v>1.76</v>
      </c>
      <c r="M201" s="1034">
        <f t="shared" si="115"/>
        <v>0.13388184615384616</v>
      </c>
      <c r="N201" s="1035">
        <f t="shared" si="116"/>
        <v>398.96790153846155</v>
      </c>
      <c r="O201" s="1036">
        <f t="shared" si="117"/>
        <v>0.18101991902834008</v>
      </c>
      <c r="P201" s="1037">
        <v>48</v>
      </c>
      <c r="Q201" s="1033">
        <f t="shared" si="126"/>
        <v>131.19999999999999</v>
      </c>
      <c r="R201" s="1038">
        <f t="shared" si="118"/>
        <v>8.3880533333333318</v>
      </c>
      <c r="S201" s="346">
        <f t="shared" si="119"/>
        <v>25164.159999999996</v>
      </c>
      <c r="T201" s="1033">
        <f t="shared" si="120"/>
        <v>11.417495462794916</v>
      </c>
      <c r="U201" s="65">
        <f t="shared" si="121"/>
        <v>11.598515381823256</v>
      </c>
      <c r="V201" s="1039">
        <f t="shared" si="122"/>
        <v>1.2536877956163615</v>
      </c>
      <c r="W201" s="3">
        <v>16.332996542988361</v>
      </c>
      <c r="X201" s="1040">
        <v>6.6420244678602094E-2</v>
      </c>
      <c r="Y201" s="48">
        <v>0.6</v>
      </c>
      <c r="Z201" s="1041">
        <f t="shared" si="123"/>
        <v>12.285887059073238</v>
      </c>
      <c r="AA201" s="1012"/>
      <c r="AB201" s="334">
        <f t="shared" si="124"/>
        <v>2.9565977117019115</v>
      </c>
      <c r="AC201" s="334">
        <f t="shared" si="112"/>
        <v>17.51988072008681</v>
      </c>
      <c r="AE201" s="1070">
        <f t="shared" si="125"/>
        <v>1.0726678765880209</v>
      </c>
    </row>
    <row r="202" spans="1:31" x14ac:dyDescent="0.35">
      <c r="A202" s="1059">
        <v>0.42750436552391036</v>
      </c>
      <c r="D202" s="56" t="s">
        <v>396</v>
      </c>
      <c r="E202" s="56">
        <v>7</v>
      </c>
      <c r="F202" s="1033">
        <v>47</v>
      </c>
      <c r="G202" s="1033">
        <f t="shared" si="109"/>
        <v>117.5</v>
      </c>
      <c r="H202" s="1033">
        <f t="shared" si="110"/>
        <v>7.4416666666666655</v>
      </c>
      <c r="I202" s="1033">
        <f t="shared" si="113"/>
        <v>22324.999999999996</v>
      </c>
      <c r="J202" s="1033">
        <f t="shared" si="111"/>
        <v>10.129310344827585</v>
      </c>
      <c r="K202" s="75">
        <v>50</v>
      </c>
      <c r="L202" s="1034">
        <f t="shared" si="114"/>
        <v>1.76</v>
      </c>
      <c r="M202" s="1034">
        <f t="shared" si="115"/>
        <v>0.13388184615384616</v>
      </c>
      <c r="N202" s="1035">
        <f t="shared" si="116"/>
        <v>398.96790153846155</v>
      </c>
      <c r="O202" s="1036">
        <f t="shared" si="117"/>
        <v>0.18101991902834008</v>
      </c>
      <c r="P202" s="1037">
        <v>47</v>
      </c>
      <c r="Q202" s="1033">
        <f t="shared" si="126"/>
        <v>128.46666666666664</v>
      </c>
      <c r="R202" s="1038">
        <f t="shared" si="118"/>
        <v>8.2133022222222198</v>
      </c>
      <c r="S202" s="346">
        <f t="shared" si="119"/>
        <v>24639.906666666659</v>
      </c>
      <c r="T202" s="1033">
        <f t="shared" si="120"/>
        <v>11.179630973986686</v>
      </c>
      <c r="U202" s="65">
        <f t="shared" si="121"/>
        <v>11.360650893015027</v>
      </c>
      <c r="V202" s="1039">
        <f t="shared" si="122"/>
        <v>1.2313405481874415</v>
      </c>
      <c r="W202" s="3">
        <v>17.5099064314524</v>
      </c>
      <c r="X202" s="1040">
        <v>7.1206301085992074E-2</v>
      </c>
      <c r="Y202" s="48">
        <v>0.6</v>
      </c>
      <c r="Z202" s="1041">
        <f t="shared" si="123"/>
        <v>12.936394670409245</v>
      </c>
      <c r="AA202" s="1012"/>
      <c r="AB202" s="334">
        <f t="shared" si="124"/>
        <v>3.1696418444153247</v>
      </c>
      <c r="AC202" s="334">
        <f t="shared" si="112"/>
        <v>18.391015939600074</v>
      </c>
      <c r="AE202" s="1070">
        <f t="shared" si="125"/>
        <v>1.050320629159101</v>
      </c>
    </row>
    <row r="203" spans="1:31" x14ac:dyDescent="0.35">
      <c r="A203" s="1059">
        <v>0.54737871842884245</v>
      </c>
      <c r="D203" s="56" t="s">
        <v>396</v>
      </c>
      <c r="E203" s="56">
        <v>8</v>
      </c>
      <c r="F203" s="1033">
        <v>50</v>
      </c>
      <c r="G203" s="1033">
        <f t="shared" si="109"/>
        <v>125</v>
      </c>
      <c r="H203" s="1033">
        <f t="shared" si="110"/>
        <v>7.9166666666666652</v>
      </c>
      <c r="I203" s="1033">
        <f t="shared" si="113"/>
        <v>23749.999999999996</v>
      </c>
      <c r="J203" s="1033">
        <f t="shared" si="111"/>
        <v>10.775862068965516</v>
      </c>
      <c r="K203" s="75">
        <v>50</v>
      </c>
      <c r="L203" s="1034">
        <f t="shared" si="114"/>
        <v>1.76</v>
      </c>
      <c r="M203" s="1034">
        <f t="shared" si="115"/>
        <v>0.13388184615384616</v>
      </c>
      <c r="N203" s="1035">
        <f t="shared" si="116"/>
        <v>398.96790153846155</v>
      </c>
      <c r="O203" s="1036">
        <f t="shared" si="117"/>
        <v>0.18101991902834008</v>
      </c>
      <c r="P203" s="1037">
        <v>50</v>
      </c>
      <c r="Q203" s="1033">
        <f t="shared" si="126"/>
        <v>136.66666666666666</v>
      </c>
      <c r="R203" s="1038">
        <f t="shared" si="118"/>
        <v>8.737555555555554</v>
      </c>
      <c r="S203" s="346">
        <f t="shared" si="119"/>
        <v>26212.666666666661</v>
      </c>
      <c r="T203" s="1033">
        <f t="shared" si="120"/>
        <v>11.893224440411371</v>
      </c>
      <c r="U203" s="65">
        <f t="shared" si="121"/>
        <v>12.074244359439712</v>
      </c>
      <c r="V203" s="1039">
        <f t="shared" si="122"/>
        <v>1.298382290474196</v>
      </c>
      <c r="W203" s="3">
        <v>22.419771387624102</v>
      </c>
      <c r="X203" s="1040">
        <v>9.1172902491281474E-2</v>
      </c>
      <c r="Y203" s="48">
        <v>0.6</v>
      </c>
      <c r="Z203" s="1041">
        <f t="shared" si="123"/>
        <v>17.465660475702734</v>
      </c>
      <c r="AA203" s="1012"/>
      <c r="AB203" s="334">
        <f t="shared" si="124"/>
        <v>4.0584252012216107</v>
      </c>
      <c r="AC203" s="334">
        <f t="shared" si="112"/>
        <v>25.051008924949603</v>
      </c>
      <c r="AE203" s="1070">
        <f t="shared" si="125"/>
        <v>1.1173623714458554</v>
      </c>
    </row>
    <row r="204" spans="1:31" x14ac:dyDescent="0.35">
      <c r="A204" s="1059">
        <v>0.73743647948442825</v>
      </c>
      <c r="D204" s="56" t="s">
        <v>396</v>
      </c>
      <c r="E204" s="56">
        <v>9</v>
      </c>
      <c r="F204" s="1033">
        <v>48</v>
      </c>
      <c r="G204" s="1033">
        <f t="shared" si="109"/>
        <v>120</v>
      </c>
      <c r="H204" s="1033">
        <f t="shared" si="110"/>
        <v>7.5999999999999988</v>
      </c>
      <c r="I204" s="1033">
        <f t="shared" si="113"/>
        <v>22799.999999999996</v>
      </c>
      <c r="J204" s="1033">
        <f t="shared" si="111"/>
        <v>10.344827586206895</v>
      </c>
      <c r="K204" s="75">
        <v>50</v>
      </c>
      <c r="L204" s="1034">
        <f t="shared" si="114"/>
        <v>1.76</v>
      </c>
      <c r="M204" s="1034">
        <f t="shared" si="115"/>
        <v>0.13388184615384616</v>
      </c>
      <c r="N204" s="1035">
        <f t="shared" si="116"/>
        <v>398.96790153846155</v>
      </c>
      <c r="O204" s="1036">
        <f t="shared" si="117"/>
        <v>0.18101991902834008</v>
      </c>
      <c r="P204" s="1037">
        <v>48</v>
      </c>
      <c r="Q204" s="1033">
        <f t="shared" si="126"/>
        <v>131.19999999999999</v>
      </c>
      <c r="R204" s="1038">
        <f t="shared" si="118"/>
        <v>8.3880533333333318</v>
      </c>
      <c r="S204" s="346">
        <f t="shared" si="119"/>
        <v>25164.159999999996</v>
      </c>
      <c r="T204" s="1033">
        <f t="shared" si="120"/>
        <v>11.417495462794916</v>
      </c>
      <c r="U204" s="65">
        <f t="shared" si="121"/>
        <v>11.598515381823256</v>
      </c>
      <c r="V204" s="1039">
        <f t="shared" si="122"/>
        <v>1.2536877956163615</v>
      </c>
      <c r="W204" s="3">
        <v>30.204238356929277</v>
      </c>
      <c r="X204" s="1040">
        <v>0.12282944508791296</v>
      </c>
      <c r="Y204" s="48">
        <v>0.6</v>
      </c>
      <c r="Z204" s="1041">
        <f t="shared" si="123"/>
        <v>22.720011002381892</v>
      </c>
      <c r="AA204" s="1012"/>
      <c r="AB204" s="334">
        <f t="shared" si="124"/>
        <v>5.4675687816840215</v>
      </c>
      <c r="AC204" s="334">
        <f t="shared" si="112"/>
        <v>32.399116222285784</v>
      </c>
      <c r="AE204" s="1070">
        <f t="shared" si="125"/>
        <v>1.0726678765880209</v>
      </c>
    </row>
    <row r="205" spans="1:31" x14ac:dyDescent="0.35">
      <c r="A205" s="1059">
        <v>0.74949231587741649</v>
      </c>
      <c r="D205" s="56" t="s">
        <v>396</v>
      </c>
      <c r="E205" s="56">
        <v>10</v>
      </c>
      <c r="F205" s="1033">
        <v>50</v>
      </c>
      <c r="G205" s="1033">
        <f t="shared" si="109"/>
        <v>125</v>
      </c>
      <c r="H205" s="1033">
        <f t="shared" si="110"/>
        <v>7.9166666666666652</v>
      </c>
      <c r="I205" s="1033">
        <f t="shared" si="113"/>
        <v>23749.999999999996</v>
      </c>
      <c r="J205" s="1033">
        <f t="shared" si="111"/>
        <v>10.775862068965516</v>
      </c>
      <c r="K205" s="75">
        <v>50</v>
      </c>
      <c r="L205" s="1034">
        <f t="shared" si="114"/>
        <v>1.76</v>
      </c>
      <c r="M205" s="1034">
        <f t="shared" si="115"/>
        <v>0.13388184615384616</v>
      </c>
      <c r="N205" s="1035">
        <f t="shared" si="116"/>
        <v>398.96790153846155</v>
      </c>
      <c r="O205" s="1036">
        <f t="shared" si="117"/>
        <v>0.18101991902834008</v>
      </c>
      <c r="P205" s="1037">
        <v>50</v>
      </c>
      <c r="Q205" s="1033">
        <f t="shared" si="126"/>
        <v>136.66666666666666</v>
      </c>
      <c r="R205" s="1038">
        <f t="shared" si="118"/>
        <v>8.737555555555554</v>
      </c>
      <c r="S205" s="346">
        <f t="shared" si="119"/>
        <v>26212.666666666661</v>
      </c>
      <c r="T205" s="1033">
        <f t="shared" si="120"/>
        <v>11.893224440411371</v>
      </c>
      <c r="U205" s="65">
        <f t="shared" si="121"/>
        <v>12.074244359439712</v>
      </c>
      <c r="V205" s="1039">
        <f t="shared" si="122"/>
        <v>1.298382290474196</v>
      </c>
      <c r="W205" s="3">
        <v>30.698026454123141</v>
      </c>
      <c r="X205" s="1040">
        <v>0.12483749830390886</v>
      </c>
      <c r="Y205" s="48">
        <v>0.6</v>
      </c>
      <c r="Z205" s="1041">
        <f t="shared" si="123"/>
        <v>23.914664340325118</v>
      </c>
      <c r="AA205" s="1012"/>
      <c r="AB205" s="334">
        <f t="shared" si="124"/>
        <v>5.5569542630552125</v>
      </c>
      <c r="AC205" s="334">
        <f t="shared" si="112"/>
        <v>34.300819637486633</v>
      </c>
      <c r="AE205" s="1070">
        <f t="shared" si="125"/>
        <v>1.1173623714458554</v>
      </c>
    </row>
    <row r="206" spans="1:31" x14ac:dyDescent="0.35">
      <c r="A206" s="1059">
        <v>0.19974315397940476</v>
      </c>
      <c r="D206" s="56" t="s">
        <v>396</v>
      </c>
      <c r="E206" s="56">
        <v>11</v>
      </c>
      <c r="F206" s="1033">
        <v>51</v>
      </c>
      <c r="G206" s="1033">
        <f t="shared" si="109"/>
        <v>127.5</v>
      </c>
      <c r="H206" s="1033">
        <f t="shared" si="110"/>
        <v>8.0749999999999993</v>
      </c>
      <c r="I206" s="1033">
        <f t="shared" si="113"/>
        <v>24224.999999999996</v>
      </c>
      <c r="J206" s="1033">
        <f t="shared" si="111"/>
        <v>10.991379310344826</v>
      </c>
      <c r="K206" s="75">
        <v>50</v>
      </c>
      <c r="L206" s="1034">
        <f t="shared" si="114"/>
        <v>1.76</v>
      </c>
      <c r="M206" s="1034">
        <f t="shared" si="115"/>
        <v>0.13388184615384616</v>
      </c>
      <c r="N206" s="1035">
        <f t="shared" si="116"/>
        <v>398.96790153846155</v>
      </c>
      <c r="O206" s="1036">
        <f t="shared" si="117"/>
        <v>0.18101991902834008</v>
      </c>
      <c r="P206" s="1037">
        <v>51</v>
      </c>
      <c r="Q206" s="1033">
        <f t="shared" si="126"/>
        <v>139.39999999999998</v>
      </c>
      <c r="R206" s="1038">
        <f t="shared" si="118"/>
        <v>8.9123066666666642</v>
      </c>
      <c r="S206" s="346">
        <f t="shared" si="119"/>
        <v>26736.919999999991</v>
      </c>
      <c r="T206" s="1033">
        <f t="shared" si="120"/>
        <v>12.131088929219597</v>
      </c>
      <c r="U206" s="65">
        <f t="shared" si="121"/>
        <v>12.312108848247938</v>
      </c>
      <c r="V206" s="1039">
        <f t="shared" si="122"/>
        <v>1.3207295379031123</v>
      </c>
      <c r="W206" s="3">
        <v>8.1811654302438974</v>
      </c>
      <c r="X206" s="1040">
        <v>3.3269768238957734E-2</v>
      </c>
      <c r="Y206" s="48">
        <v>0.6</v>
      </c>
      <c r="Z206" s="1041">
        <f t="shared" si="123"/>
        <v>6.4830641029169636</v>
      </c>
      <c r="AA206" s="1012"/>
      <c r="AB206" s="334">
        <f t="shared" si="124"/>
        <v>1.4809539037402053</v>
      </c>
      <c r="AC206" s="334">
        <f t="shared" si="112"/>
        <v>9.3241529344547303</v>
      </c>
      <c r="AE206" s="1070">
        <f t="shared" si="125"/>
        <v>1.1397096188747717</v>
      </c>
    </row>
    <row r="207" spans="1:31" x14ac:dyDescent="0.35">
      <c r="A207" s="1059">
        <v>0.83993546597666213</v>
      </c>
      <c r="D207" s="56" t="s">
        <v>396</v>
      </c>
      <c r="E207" s="56">
        <v>12</v>
      </c>
      <c r="F207" s="1033">
        <v>47</v>
      </c>
      <c r="G207" s="1033">
        <f t="shared" si="109"/>
        <v>117.5</v>
      </c>
      <c r="H207" s="1033">
        <f t="shared" si="110"/>
        <v>7.4416666666666655</v>
      </c>
      <c r="I207" s="1033">
        <f t="shared" si="113"/>
        <v>22324.999999999996</v>
      </c>
      <c r="J207" s="1033">
        <f t="shared" si="111"/>
        <v>10.129310344827585</v>
      </c>
      <c r="K207" s="75">
        <v>50</v>
      </c>
      <c r="L207" s="1034">
        <f t="shared" si="114"/>
        <v>1.76</v>
      </c>
      <c r="M207" s="1034">
        <f t="shared" si="115"/>
        <v>0.13388184615384616</v>
      </c>
      <c r="N207" s="1035">
        <f t="shared" si="116"/>
        <v>398.96790153846155</v>
      </c>
      <c r="O207" s="1036">
        <f t="shared" si="117"/>
        <v>0.18101991902834008</v>
      </c>
      <c r="P207" s="1037">
        <v>47</v>
      </c>
      <c r="Q207" s="1033">
        <f t="shared" si="126"/>
        <v>128.46666666666664</v>
      </c>
      <c r="R207" s="1038">
        <f t="shared" si="118"/>
        <v>8.2133022222222198</v>
      </c>
      <c r="S207" s="346">
        <f t="shared" si="119"/>
        <v>24639.906666666659</v>
      </c>
      <c r="T207" s="1033">
        <f t="shared" si="120"/>
        <v>11.179630973986686</v>
      </c>
      <c r="U207" s="65">
        <f t="shared" si="121"/>
        <v>11.360650893015027</v>
      </c>
      <c r="V207" s="1039">
        <f t="shared" si="122"/>
        <v>1.2313405481874415</v>
      </c>
      <c r="W207" s="3">
        <v>34.402435632875779</v>
      </c>
      <c r="X207" s="1040">
        <v>0.13990195774922945</v>
      </c>
      <c r="Y207" s="48">
        <v>0.6</v>
      </c>
      <c r="Z207" s="1041">
        <f t="shared" si="123"/>
        <v>25.416668370701061</v>
      </c>
      <c r="AA207" s="1012"/>
      <c r="AB207" s="334">
        <f t="shared" si="124"/>
        <v>6.227526112640855</v>
      </c>
      <c r="AC207" s="334">
        <f t="shared" si="112"/>
        <v>36.133587838527561</v>
      </c>
      <c r="AE207" s="1070">
        <f t="shared" si="125"/>
        <v>1.050320629159101</v>
      </c>
    </row>
    <row r="208" spans="1:31" x14ac:dyDescent="0.35">
      <c r="A208" s="1059">
        <v>0.43525728016291126</v>
      </c>
      <c r="D208" s="56" t="s">
        <v>396</v>
      </c>
      <c r="E208" s="56">
        <v>13</v>
      </c>
      <c r="F208" s="1033">
        <v>50</v>
      </c>
      <c r="G208" s="1033">
        <f t="shared" si="109"/>
        <v>125</v>
      </c>
      <c r="H208" s="1033">
        <f t="shared" si="110"/>
        <v>7.9166666666666652</v>
      </c>
      <c r="I208" s="1033">
        <f t="shared" si="113"/>
        <v>23749.999999999996</v>
      </c>
      <c r="J208" s="1033">
        <f t="shared" si="111"/>
        <v>10.775862068965516</v>
      </c>
      <c r="K208" s="75">
        <v>50</v>
      </c>
      <c r="L208" s="1034">
        <f t="shared" si="114"/>
        <v>1.76</v>
      </c>
      <c r="M208" s="1034">
        <f t="shared" si="115"/>
        <v>0.13388184615384616</v>
      </c>
      <c r="N208" s="1035">
        <f t="shared" si="116"/>
        <v>398.96790153846155</v>
      </c>
      <c r="O208" s="1036">
        <f t="shared" si="117"/>
        <v>0.18101991902834008</v>
      </c>
      <c r="P208" s="1037">
        <v>50</v>
      </c>
      <c r="Q208" s="1033">
        <f t="shared" si="126"/>
        <v>136.66666666666666</v>
      </c>
      <c r="R208" s="1038">
        <f t="shared" si="118"/>
        <v>8.737555555555554</v>
      </c>
      <c r="S208" s="346">
        <f t="shared" si="119"/>
        <v>26212.666666666661</v>
      </c>
      <c r="T208" s="1033">
        <f t="shared" si="120"/>
        <v>11.893224440411371</v>
      </c>
      <c r="U208" s="65">
        <f t="shared" si="121"/>
        <v>12.074244359439712</v>
      </c>
      <c r="V208" s="1039">
        <f t="shared" si="122"/>
        <v>1.298382290474196</v>
      </c>
      <c r="W208" s="3">
        <v>17.827453621253788</v>
      </c>
      <c r="X208" s="1040">
        <v>7.2497647838444867E-2</v>
      </c>
      <c r="Y208" s="48">
        <v>0.6</v>
      </c>
      <c r="Z208" s="1041">
        <f t="shared" si="123"/>
        <v>13.888110039651595</v>
      </c>
      <c r="AA208" s="1012"/>
      <c r="AB208" s="334">
        <f t="shared" si="124"/>
        <v>3.2271242110008491</v>
      </c>
      <c r="AC208" s="334">
        <f t="shared" si="112"/>
        <v>19.919725855085133</v>
      </c>
      <c r="AE208" s="1070">
        <f t="shared" si="125"/>
        <v>1.1173623714458554</v>
      </c>
    </row>
    <row r="209" spans="1:31" x14ac:dyDescent="0.35">
      <c r="A209" s="1059">
        <v>0.15499841557347382</v>
      </c>
      <c r="D209" s="56" t="s">
        <v>396</v>
      </c>
      <c r="E209" s="56">
        <v>14</v>
      </c>
      <c r="F209" s="1033">
        <v>50</v>
      </c>
      <c r="G209" s="1033">
        <f t="shared" si="109"/>
        <v>125</v>
      </c>
      <c r="H209" s="1033">
        <f t="shared" si="110"/>
        <v>7.9166666666666652</v>
      </c>
      <c r="I209" s="1033">
        <f t="shared" si="113"/>
        <v>23749.999999999996</v>
      </c>
      <c r="J209" s="1033">
        <f t="shared" si="111"/>
        <v>10.775862068965516</v>
      </c>
      <c r="K209" s="75">
        <v>50</v>
      </c>
      <c r="L209" s="1034">
        <f t="shared" si="114"/>
        <v>1.76</v>
      </c>
      <c r="M209" s="1034">
        <f t="shared" si="115"/>
        <v>0.13388184615384616</v>
      </c>
      <c r="N209" s="1035">
        <f t="shared" si="116"/>
        <v>398.96790153846155</v>
      </c>
      <c r="O209" s="1036">
        <f t="shared" si="117"/>
        <v>0.18101991902834008</v>
      </c>
      <c r="P209" s="1037">
        <v>50</v>
      </c>
      <c r="Q209" s="1033">
        <f t="shared" si="126"/>
        <v>136.66666666666666</v>
      </c>
      <c r="R209" s="1038">
        <f t="shared" si="118"/>
        <v>8.737555555555554</v>
      </c>
      <c r="S209" s="346">
        <f t="shared" si="119"/>
        <v>26212.666666666661</v>
      </c>
      <c r="T209" s="1033">
        <f t="shared" si="120"/>
        <v>11.893224440411371</v>
      </c>
      <c r="U209" s="65">
        <f t="shared" si="121"/>
        <v>12.074244359439712</v>
      </c>
      <c r="V209" s="1039">
        <f t="shared" si="122"/>
        <v>1.298382290474196</v>
      </c>
      <c r="W209" s="3">
        <v>6.3484913198228066</v>
      </c>
      <c r="X209" s="1040">
        <v>2.5816961737105834E-2</v>
      </c>
      <c r="Y209" s="48">
        <v>0.6</v>
      </c>
      <c r="Z209" s="1041">
        <f t="shared" si="123"/>
        <v>4.9456612205322523</v>
      </c>
      <c r="AA209" s="1012"/>
      <c r="AB209" s="334">
        <f t="shared" si="124"/>
        <v>1.1492033846664442</v>
      </c>
      <c r="AC209" s="334">
        <f t="shared" si="112"/>
        <v>7.0935653162206398</v>
      </c>
      <c r="AE209" s="1070">
        <f t="shared" si="125"/>
        <v>1.1173623714458554</v>
      </c>
    </row>
    <row r="210" spans="1:31" x14ac:dyDescent="0.35">
      <c r="A210" s="1059">
        <v>0.10858136496139391</v>
      </c>
      <c r="D210" s="56" t="s">
        <v>396</v>
      </c>
      <c r="E210" s="56">
        <v>15</v>
      </c>
      <c r="F210" s="1033">
        <v>64</v>
      </c>
      <c r="G210" s="1033">
        <f t="shared" si="109"/>
        <v>160</v>
      </c>
      <c r="H210" s="1033">
        <f t="shared" si="110"/>
        <v>10.133333333333333</v>
      </c>
      <c r="I210" s="1033">
        <f t="shared" si="113"/>
        <v>30400</v>
      </c>
      <c r="J210" s="1033">
        <f t="shared" si="111"/>
        <v>13.793103448275861</v>
      </c>
      <c r="K210" s="75">
        <v>50</v>
      </c>
      <c r="L210" s="1034">
        <f t="shared" si="114"/>
        <v>1.76</v>
      </c>
      <c r="M210" s="1034">
        <f t="shared" si="115"/>
        <v>0.13388184615384616</v>
      </c>
      <c r="N210" s="1035">
        <f t="shared" si="116"/>
        <v>398.96790153846155</v>
      </c>
      <c r="O210" s="1036">
        <f t="shared" si="117"/>
        <v>0.18101991902834008</v>
      </c>
      <c r="P210" s="1037">
        <v>64</v>
      </c>
      <c r="Q210" s="1033">
        <f t="shared" si="126"/>
        <v>174.93333333333331</v>
      </c>
      <c r="R210" s="1038">
        <f t="shared" si="118"/>
        <v>11.184071111111109</v>
      </c>
      <c r="S210" s="346">
        <f t="shared" si="119"/>
        <v>33552.213333333326</v>
      </c>
      <c r="T210" s="1033">
        <f t="shared" si="120"/>
        <v>15.223327283726555</v>
      </c>
      <c r="U210" s="65">
        <f t="shared" si="121"/>
        <v>15.404347202754895</v>
      </c>
      <c r="V210" s="1039">
        <f t="shared" si="122"/>
        <v>1.6112437544790339</v>
      </c>
      <c r="W210" s="3">
        <v>4.4473219316565187</v>
      </c>
      <c r="X210" s="1040">
        <v>1.8085610321882363E-2</v>
      </c>
      <c r="Y210" s="48">
        <v>0.6</v>
      </c>
      <c r="Z210" s="1041">
        <f t="shared" si="123"/>
        <v>4.2994318119235189</v>
      </c>
      <c r="AA210" s="1012"/>
      <c r="AB210" s="334">
        <f t="shared" si="124"/>
        <v>0.80505385596142398</v>
      </c>
      <c r="AC210" s="334">
        <f t="shared" si="112"/>
        <v>6.3606658305777719</v>
      </c>
      <c r="AE210" s="1070">
        <f t="shared" si="125"/>
        <v>1.4302238354506933</v>
      </c>
    </row>
    <row r="211" spans="1:31" x14ac:dyDescent="0.35">
      <c r="A211" s="1059">
        <v>5.9644756181042355E-2</v>
      </c>
      <c r="D211" s="56" t="s">
        <v>396</v>
      </c>
      <c r="E211" s="56">
        <v>16</v>
      </c>
      <c r="F211" s="1033">
        <v>50</v>
      </c>
      <c r="G211" s="1033">
        <f t="shared" si="109"/>
        <v>125</v>
      </c>
      <c r="H211" s="1033">
        <f t="shared" si="110"/>
        <v>7.9166666666666652</v>
      </c>
      <c r="I211" s="1033">
        <f t="shared" si="113"/>
        <v>23749.999999999996</v>
      </c>
      <c r="J211" s="1033">
        <f t="shared" si="111"/>
        <v>10.775862068965516</v>
      </c>
      <c r="K211" s="75">
        <v>50</v>
      </c>
      <c r="L211" s="1034">
        <f t="shared" si="114"/>
        <v>1.76</v>
      </c>
      <c r="M211" s="1034">
        <f t="shared" si="115"/>
        <v>0.13388184615384616</v>
      </c>
      <c r="N211" s="1035">
        <f t="shared" si="116"/>
        <v>398.96790153846155</v>
      </c>
      <c r="O211" s="1036">
        <f t="shared" si="117"/>
        <v>0.18101991902834008</v>
      </c>
      <c r="P211" s="1037">
        <v>50</v>
      </c>
      <c r="Q211" s="1033">
        <f t="shared" si="126"/>
        <v>136.66666666666666</v>
      </c>
      <c r="R211" s="1038">
        <f>Q211*F$10</f>
        <v>8.737555555555554</v>
      </c>
      <c r="S211" s="346">
        <f t="shared" si="119"/>
        <v>26212.666666666661</v>
      </c>
      <c r="T211" s="1033">
        <f t="shared" si="120"/>
        <v>11.893224440411371</v>
      </c>
      <c r="U211" s="65">
        <f t="shared" si="121"/>
        <v>12.074244359439712</v>
      </c>
      <c r="V211" s="1039">
        <f t="shared" si="122"/>
        <v>1.298382290474196</v>
      </c>
      <c r="W211" s="3">
        <v>2.4429554036879932</v>
      </c>
      <c r="X211" s="1040">
        <v>9.9345943792247642E-3</v>
      </c>
      <c r="Y211" s="48">
        <v>0.6</v>
      </c>
      <c r="Z211" s="1041">
        <f t="shared" si="123"/>
        <v>1.9031340195400381</v>
      </c>
      <c r="AA211" s="1012"/>
      <c r="AB211" s="334">
        <f t="shared" si="124"/>
        <v>0.44222358936544637</v>
      </c>
      <c r="AC211" s="334">
        <f t="shared" si="112"/>
        <v>2.7296664432012832</v>
      </c>
      <c r="AE211" s="1070">
        <f t="shared" si="125"/>
        <v>1.1173623714458554</v>
      </c>
    </row>
    <row r="212" spans="1:31" x14ac:dyDescent="0.35">
      <c r="A212" s="1061">
        <v>6.0037434750000012</v>
      </c>
      <c r="D212" s="56"/>
      <c r="E212" s="362" t="s">
        <v>79</v>
      </c>
      <c r="F212" s="1045"/>
      <c r="G212" s="1045"/>
      <c r="H212" s="1045"/>
      <c r="I212" s="1045"/>
      <c r="J212" s="1046">
        <f>SUM(J196:J211)</f>
        <v>165.94827586206898</v>
      </c>
      <c r="K212" s="362"/>
      <c r="L212" s="362"/>
      <c r="M212" s="362"/>
      <c r="N212" s="362"/>
      <c r="O212" s="1047">
        <f>SUM(O196:O211)</f>
        <v>2.8963187044534418</v>
      </c>
      <c r="P212" s="1045"/>
      <c r="Q212" s="1045"/>
      <c r="R212" s="1045"/>
      <c r="S212" s="1045"/>
      <c r="T212" s="1046">
        <f>SUM(T196:T211)</f>
        <v>183.15565638233508</v>
      </c>
      <c r="U212" s="1048">
        <f>SUM(U196:U211)</f>
        <v>186.05197508678859</v>
      </c>
      <c r="V212" s="1048">
        <f>SUM(V196:V211)</f>
        <v>20.103699224719605</v>
      </c>
      <c r="W212" s="1049">
        <v>245.903890026623</v>
      </c>
      <c r="X212" s="1050">
        <v>0.99999999999999978</v>
      </c>
      <c r="Y212" s="362"/>
      <c r="Z212" s="1047">
        <f>SUM(Z196:Z211)</f>
        <v>184.58003265563434</v>
      </c>
      <c r="AB212" s="1047">
        <f>SUM(AB196:AB211)</f>
        <v>44.513502261373134</v>
      </c>
      <c r="AC212" s="1047">
        <f>SUM(AC196:AC211)</f>
        <v>263.11988549801725</v>
      </c>
    </row>
    <row r="213" spans="1:31" x14ac:dyDescent="0.35">
      <c r="I213" t="s">
        <v>394</v>
      </c>
      <c r="J213" s="1093">
        <f>SUMPRODUCT(J196:J211,Q196:Q211)</f>
        <v>22089.339080459766</v>
      </c>
    </row>
    <row r="215" spans="1:31" ht="15.5" x14ac:dyDescent="0.35">
      <c r="E215" s="1054" t="s">
        <v>148</v>
      </c>
      <c r="F215" s="1007"/>
      <c r="G215" t="s">
        <v>392</v>
      </c>
      <c r="H215" s="1007">
        <v>2550</v>
      </c>
      <c r="I215" s="1007" t="s">
        <v>147</v>
      </c>
      <c r="J215" s="1007"/>
      <c r="K215" s="1007"/>
      <c r="L215" s="1007"/>
      <c r="M215" s="1007"/>
      <c r="N215" s="1007"/>
      <c r="O215" s="1007"/>
      <c r="P215" s="1007"/>
      <c r="Q215" s="1007"/>
      <c r="R215" s="1007"/>
      <c r="S215" s="1007"/>
    </row>
    <row r="216" spans="1:31" x14ac:dyDescent="0.35">
      <c r="A216" s="1055" t="s">
        <v>105</v>
      </c>
      <c r="E216" s="1055"/>
      <c r="F216" s="1055"/>
      <c r="G216">
        <v>2</v>
      </c>
      <c r="H216" s="1055">
        <v>52046</v>
      </c>
      <c r="I216" s="1055" t="s">
        <v>149</v>
      </c>
      <c r="J216" s="1055"/>
      <c r="K216" s="1055"/>
      <c r="L216" s="1055"/>
      <c r="M216" s="1055"/>
      <c r="N216" s="1055"/>
      <c r="O216" s="1055"/>
      <c r="P216" s="1055"/>
      <c r="Q216" s="1055"/>
      <c r="R216" s="1055"/>
      <c r="S216" s="1055"/>
      <c r="T216" t="str">
        <f>E215</f>
        <v>Warehouse - Space Heating</v>
      </c>
    </row>
    <row r="217" spans="1:31" ht="29" x14ac:dyDescent="0.35">
      <c r="A217" s="1057" t="s">
        <v>109</v>
      </c>
      <c r="D217" s="56"/>
      <c r="E217" s="56"/>
      <c r="F217" s="1028" t="s">
        <v>367</v>
      </c>
      <c r="G217" s="1028"/>
      <c r="H217" s="1028"/>
      <c r="I217" s="1028"/>
      <c r="J217" s="1028"/>
      <c r="K217" s="1029" t="s">
        <v>393</v>
      </c>
      <c r="L217" s="1029"/>
      <c r="M217" s="1029"/>
      <c r="N217" s="1029"/>
      <c r="O217" s="1029"/>
      <c r="P217" s="18" t="s">
        <v>371</v>
      </c>
      <c r="Q217" s="1158" t="s">
        <v>4</v>
      </c>
      <c r="R217" s="1158"/>
      <c r="S217" s="1158"/>
      <c r="T217" s="1031" t="s">
        <v>372</v>
      </c>
      <c r="U217" s="1115"/>
      <c r="V217" s="1115"/>
      <c r="W217" s="13"/>
    </row>
    <row r="218" spans="1:31" ht="87" x14ac:dyDescent="0.35">
      <c r="A218" s="1058" t="s">
        <v>118</v>
      </c>
      <c r="D218" s="360" t="s">
        <v>373</v>
      </c>
      <c r="E218" s="360" t="s">
        <v>96</v>
      </c>
      <c r="F218" s="18" t="s">
        <v>374</v>
      </c>
      <c r="G218" s="18" t="s">
        <v>375</v>
      </c>
      <c r="H218" s="18" t="s">
        <v>376</v>
      </c>
      <c r="I218" s="18" t="s">
        <v>377</v>
      </c>
      <c r="J218" s="18" t="s">
        <v>378</v>
      </c>
      <c r="K218" s="1032" t="s">
        <v>397</v>
      </c>
      <c r="L218" s="1032" t="s">
        <v>375</v>
      </c>
      <c r="M218" s="1032" t="s">
        <v>380</v>
      </c>
      <c r="N218" s="4" t="s">
        <v>381</v>
      </c>
      <c r="O218" s="4" t="s">
        <v>378</v>
      </c>
      <c r="P218" s="18" t="s">
        <v>383</v>
      </c>
      <c r="Q218" s="4" t="s">
        <v>384</v>
      </c>
      <c r="R218" s="4" t="s">
        <v>11</v>
      </c>
      <c r="S218" s="4" t="s">
        <v>385</v>
      </c>
      <c r="T218" s="18" t="s">
        <v>386</v>
      </c>
      <c r="U218" s="1115"/>
      <c r="V218" s="1115"/>
      <c r="W218" s="13"/>
    </row>
    <row r="219" spans="1:31" x14ac:dyDescent="0.35">
      <c r="A219" s="1059">
        <v>7.7259840843183408E-2</v>
      </c>
      <c r="D219" s="56" t="s">
        <v>387</v>
      </c>
      <c r="E219" s="56">
        <v>1</v>
      </c>
      <c r="F219" s="1033">
        <v>5</v>
      </c>
      <c r="G219" s="1033">
        <f t="shared" ref="G219:G234" si="127">F219*$E$15</f>
        <v>12.5</v>
      </c>
      <c r="H219" s="1033">
        <f t="shared" ref="H219:H234" si="128">G219*$E$10</f>
        <v>0.79166666666666652</v>
      </c>
      <c r="I219" s="1033">
        <f>H219*$E$14</f>
        <v>2374.9999999999995</v>
      </c>
      <c r="J219" s="1033">
        <f t="shared" ref="J219:J234" si="129">I219/$E$18</f>
        <v>1.0775862068965516</v>
      </c>
      <c r="K219" s="387">
        <v>5</v>
      </c>
      <c r="L219" s="1034">
        <f t="shared" ref="L219:L234" si="130">K219*$F$15</f>
        <v>13.666666666666664</v>
      </c>
      <c r="M219" s="1034">
        <f t="shared" ref="M219:M234" si="131">L219*$F$10</f>
        <v>0.87375555555555529</v>
      </c>
      <c r="N219" s="1035">
        <f>M219*$F$14</f>
        <v>2621.266666666666</v>
      </c>
      <c r="O219" s="1036">
        <f t="shared" ref="O219:O234" si="132">N219/$E$18</f>
        <v>1.189322444041137</v>
      </c>
      <c r="P219" s="1060">
        <f t="shared" ref="P219:P234" si="133">O219-J219</f>
        <v>0.11173623714458536</v>
      </c>
      <c r="Q219" s="3">
        <v>1.4844530000995928</v>
      </c>
      <c r="R219" s="1040">
        <v>3.1875736078830078E-3</v>
      </c>
      <c r="S219" s="48">
        <v>4.9000000000000002E-2</v>
      </c>
      <c r="T219" s="1041">
        <f>P219*Q219*S219</f>
        <v>8.1274924300068462E-3</v>
      </c>
      <c r="U219" s="1012"/>
      <c r="V219" s="1012"/>
      <c r="W219" s="351"/>
    </row>
    <row r="220" spans="1:31" x14ac:dyDescent="0.35">
      <c r="A220" s="1059">
        <v>0.45914938089666185</v>
      </c>
      <c r="D220" s="56" t="s">
        <v>387</v>
      </c>
      <c r="E220" s="56">
        <v>2</v>
      </c>
      <c r="F220" s="1033">
        <v>7</v>
      </c>
      <c r="G220" s="1033">
        <f t="shared" si="127"/>
        <v>17.5</v>
      </c>
      <c r="H220" s="1033">
        <f t="shared" si="128"/>
        <v>1.1083333333333332</v>
      </c>
      <c r="I220" s="1033">
        <f t="shared" ref="I220:I234" si="134">H220*$E$14</f>
        <v>3324.9999999999995</v>
      </c>
      <c r="J220" s="1033">
        <f t="shared" si="129"/>
        <v>1.5086206896551722</v>
      </c>
      <c r="K220" s="1043">
        <v>7</v>
      </c>
      <c r="L220" s="1034">
        <f t="shared" si="130"/>
        <v>19.133333333333329</v>
      </c>
      <c r="M220" s="1034">
        <f t="shared" si="131"/>
        <v>1.2232577777777773</v>
      </c>
      <c r="N220" s="1035">
        <f t="shared" ref="N220:N234" si="135">M220*$F$14</f>
        <v>3669.7733333333322</v>
      </c>
      <c r="O220" s="1036">
        <f t="shared" si="132"/>
        <v>1.6650514216575918</v>
      </c>
      <c r="P220" s="1060">
        <f t="shared" si="133"/>
        <v>0.15643073200241964</v>
      </c>
      <c r="Q220" s="3">
        <v>8.821991716878566</v>
      </c>
      <c r="R220" s="1040">
        <v>1.8943508459882519E-2</v>
      </c>
      <c r="S220" s="48">
        <v>4.9000000000000002E-2</v>
      </c>
      <c r="T220" s="1041">
        <f t="shared" ref="T220:T234" si="136">P220*Q220*S220</f>
        <v>6.7621500477539245E-2</v>
      </c>
      <c r="U220" s="1012"/>
      <c r="V220" s="1012"/>
      <c r="W220" s="351"/>
    </row>
    <row r="221" spans="1:31" x14ac:dyDescent="0.35">
      <c r="A221" s="1059">
        <v>2.3818553338525268</v>
      </c>
      <c r="D221" s="56" t="s">
        <v>387</v>
      </c>
      <c r="E221" s="56">
        <v>3</v>
      </c>
      <c r="F221" s="1033">
        <v>7</v>
      </c>
      <c r="G221" s="1033">
        <f t="shared" si="127"/>
        <v>17.5</v>
      </c>
      <c r="H221" s="1033">
        <f t="shared" si="128"/>
        <v>1.1083333333333332</v>
      </c>
      <c r="I221" s="1033">
        <f t="shared" si="134"/>
        <v>3324.9999999999995</v>
      </c>
      <c r="J221" s="1033">
        <f t="shared" si="129"/>
        <v>1.5086206896551722</v>
      </c>
      <c r="K221" s="387">
        <v>7</v>
      </c>
      <c r="L221" s="1034">
        <f t="shared" si="130"/>
        <v>19.133333333333329</v>
      </c>
      <c r="M221" s="1034">
        <f t="shared" si="131"/>
        <v>1.2232577777777773</v>
      </c>
      <c r="N221" s="1035">
        <f t="shared" si="135"/>
        <v>3669.7733333333322</v>
      </c>
      <c r="O221" s="1036">
        <f t="shared" si="132"/>
        <v>1.6650514216575918</v>
      </c>
      <c r="P221" s="1060">
        <f t="shared" si="133"/>
        <v>0.15643073200241964</v>
      </c>
      <c r="Q221" s="3">
        <v>45.764426350776752</v>
      </c>
      <c r="R221" s="1040">
        <v>9.8270189494618312E-2</v>
      </c>
      <c r="S221" s="48">
        <v>4.9000000000000002E-2</v>
      </c>
      <c r="T221" s="1041">
        <f t="shared" si="136"/>
        <v>0.35078917297241863</v>
      </c>
      <c r="U221" s="1012"/>
      <c r="V221" s="1012"/>
      <c r="W221" s="351"/>
    </row>
    <row r="222" spans="1:31" x14ac:dyDescent="0.35">
      <c r="A222" s="1059">
        <v>1.223486071314333</v>
      </c>
      <c r="D222" s="56" t="s">
        <v>387</v>
      </c>
      <c r="E222" s="56">
        <v>4</v>
      </c>
      <c r="F222" s="1033">
        <v>7</v>
      </c>
      <c r="G222" s="1033">
        <f t="shared" si="127"/>
        <v>17.5</v>
      </c>
      <c r="H222" s="1033">
        <f t="shared" si="128"/>
        <v>1.1083333333333332</v>
      </c>
      <c r="I222" s="1033">
        <f t="shared" si="134"/>
        <v>3324.9999999999995</v>
      </c>
      <c r="J222" s="1033">
        <f t="shared" si="129"/>
        <v>1.5086206896551722</v>
      </c>
      <c r="K222" s="387">
        <v>7</v>
      </c>
      <c r="L222" s="1034">
        <f t="shared" si="130"/>
        <v>19.133333333333329</v>
      </c>
      <c r="M222" s="1034">
        <f t="shared" si="131"/>
        <v>1.2232577777777773</v>
      </c>
      <c r="N222" s="1035">
        <f t="shared" si="135"/>
        <v>3669.7733333333322</v>
      </c>
      <c r="O222" s="1036">
        <f t="shared" si="132"/>
        <v>1.6650514216575918</v>
      </c>
      <c r="P222" s="1060">
        <f t="shared" si="133"/>
        <v>0.15643073200241964</v>
      </c>
      <c r="Q222" s="3">
        <v>23.507782948052359</v>
      </c>
      <c r="R222" s="1040">
        <v>5.0478383956936747E-2</v>
      </c>
      <c r="S222" s="48">
        <v>4.9000000000000002E-2</v>
      </c>
      <c r="T222" s="1041">
        <f t="shared" si="136"/>
        <v>0.18018964502157361</v>
      </c>
      <c r="U222" s="1012"/>
      <c r="V222" s="1012"/>
      <c r="W222" s="351"/>
    </row>
    <row r="223" spans="1:31" x14ac:dyDescent="0.35">
      <c r="A223" s="1059">
        <v>0.22728180501671344</v>
      </c>
      <c r="D223" s="56" t="s">
        <v>387</v>
      </c>
      <c r="E223" s="56">
        <v>5</v>
      </c>
      <c r="F223" s="1033">
        <v>6</v>
      </c>
      <c r="G223" s="1033">
        <f t="shared" si="127"/>
        <v>15</v>
      </c>
      <c r="H223" s="1033">
        <f t="shared" si="128"/>
        <v>0.94999999999999984</v>
      </c>
      <c r="I223" s="1033">
        <f t="shared" si="134"/>
        <v>2849.9999999999995</v>
      </c>
      <c r="J223" s="1033">
        <f t="shared" si="129"/>
        <v>1.2931034482758619</v>
      </c>
      <c r="K223" s="387">
        <v>6</v>
      </c>
      <c r="L223" s="1034">
        <f t="shared" si="130"/>
        <v>16.399999999999999</v>
      </c>
      <c r="M223" s="1034">
        <f t="shared" si="131"/>
        <v>1.0485066666666665</v>
      </c>
      <c r="N223" s="1035">
        <f t="shared" si="135"/>
        <v>3145.5199999999995</v>
      </c>
      <c r="O223" s="1036">
        <f t="shared" si="132"/>
        <v>1.4271869328493645</v>
      </c>
      <c r="P223" s="1060">
        <f t="shared" si="133"/>
        <v>0.13408348457350261</v>
      </c>
      <c r="Q223" s="3">
        <v>4.3669408795433551</v>
      </c>
      <c r="R223" s="1040">
        <v>9.3771547458113592E-3</v>
      </c>
      <c r="S223" s="48">
        <v>4.9000000000000002E-2</v>
      </c>
      <c r="T223" s="1041">
        <f t="shared" si="136"/>
        <v>2.8691197852726821E-2</v>
      </c>
      <c r="U223" s="1012"/>
      <c r="V223" s="1012"/>
      <c r="W223" s="351"/>
    </row>
    <row r="224" spans="1:31" x14ac:dyDescent="0.35">
      <c r="A224" s="1059">
        <v>1.8799977218813242</v>
      </c>
      <c r="D224" s="56" t="s">
        <v>387</v>
      </c>
      <c r="E224" s="56">
        <v>6</v>
      </c>
      <c r="F224" s="1033">
        <v>6</v>
      </c>
      <c r="G224" s="1033">
        <f t="shared" si="127"/>
        <v>15</v>
      </c>
      <c r="H224" s="1033">
        <f t="shared" si="128"/>
        <v>0.94999999999999984</v>
      </c>
      <c r="I224" s="1033">
        <f t="shared" si="134"/>
        <v>2849.9999999999995</v>
      </c>
      <c r="J224" s="1033">
        <f t="shared" si="129"/>
        <v>1.2931034482758619</v>
      </c>
      <c r="K224" s="387">
        <v>6</v>
      </c>
      <c r="L224" s="1034">
        <f t="shared" si="130"/>
        <v>16.399999999999999</v>
      </c>
      <c r="M224" s="1034">
        <f t="shared" si="131"/>
        <v>1.0485066666666665</v>
      </c>
      <c r="N224" s="1035">
        <f t="shared" si="135"/>
        <v>3145.5199999999995</v>
      </c>
      <c r="O224" s="1036">
        <f t="shared" si="132"/>
        <v>1.4271869328493645</v>
      </c>
      <c r="P224" s="1060">
        <f t="shared" si="133"/>
        <v>0.13408348457350261</v>
      </c>
      <c r="Q224" s="3">
        <v>36.121848401055303</v>
      </c>
      <c r="R224" s="1040">
        <v>7.7564631971123385E-2</v>
      </c>
      <c r="S224" s="48">
        <v>4.9000000000000002E-2</v>
      </c>
      <c r="T224" s="1041">
        <f t="shared" si="136"/>
        <v>0.23732382183961565</v>
      </c>
      <c r="U224" s="1012"/>
      <c r="V224" s="1012"/>
      <c r="W224" s="351"/>
    </row>
    <row r="225" spans="1:23" x14ac:dyDescent="0.35">
      <c r="A225" s="1059">
        <v>1.1082226000674442</v>
      </c>
      <c r="D225" s="56" t="s">
        <v>387</v>
      </c>
      <c r="E225" s="56">
        <v>7</v>
      </c>
      <c r="F225" s="1033">
        <v>6</v>
      </c>
      <c r="G225" s="1033">
        <f t="shared" si="127"/>
        <v>15</v>
      </c>
      <c r="H225" s="1033">
        <f t="shared" si="128"/>
        <v>0.94999999999999984</v>
      </c>
      <c r="I225" s="1033">
        <f t="shared" si="134"/>
        <v>2849.9999999999995</v>
      </c>
      <c r="J225" s="1033">
        <f t="shared" si="129"/>
        <v>1.2931034482758619</v>
      </c>
      <c r="K225" s="387">
        <v>6</v>
      </c>
      <c r="L225" s="1034">
        <f t="shared" si="130"/>
        <v>16.399999999999999</v>
      </c>
      <c r="M225" s="1034">
        <f t="shared" si="131"/>
        <v>1.0485066666666665</v>
      </c>
      <c r="N225" s="1035">
        <f t="shared" si="135"/>
        <v>3145.5199999999995</v>
      </c>
      <c r="O225" s="1036">
        <f t="shared" si="132"/>
        <v>1.4271869328493645</v>
      </c>
      <c r="P225" s="1060">
        <f t="shared" si="133"/>
        <v>0.13408348457350261</v>
      </c>
      <c r="Q225" s="3">
        <v>21.293136841783117</v>
      </c>
      <c r="R225" s="1040">
        <v>4.5722862914053551E-2</v>
      </c>
      <c r="S225" s="48">
        <v>4.9000000000000002E-2</v>
      </c>
      <c r="T225" s="1041">
        <f t="shared" si="136"/>
        <v>0.13989784127708862</v>
      </c>
      <c r="U225" s="1012"/>
      <c r="V225" s="1012"/>
      <c r="W225" s="351"/>
    </row>
    <row r="226" spans="1:23" x14ac:dyDescent="0.35">
      <c r="A226" s="1059">
        <v>2.7020186499352614</v>
      </c>
      <c r="D226" s="56" t="s">
        <v>387</v>
      </c>
      <c r="E226" s="56">
        <v>8</v>
      </c>
      <c r="F226" s="1033">
        <v>7</v>
      </c>
      <c r="G226" s="1033">
        <f t="shared" si="127"/>
        <v>17.5</v>
      </c>
      <c r="H226" s="1033">
        <f t="shared" si="128"/>
        <v>1.1083333333333332</v>
      </c>
      <c r="I226" s="1033">
        <f t="shared" si="134"/>
        <v>3324.9999999999995</v>
      </c>
      <c r="J226" s="1033">
        <f t="shared" si="129"/>
        <v>1.5086206896551722</v>
      </c>
      <c r="K226" s="387">
        <v>7</v>
      </c>
      <c r="L226" s="1034">
        <f t="shared" si="130"/>
        <v>19.133333333333329</v>
      </c>
      <c r="M226" s="1034">
        <f t="shared" si="131"/>
        <v>1.2232577777777773</v>
      </c>
      <c r="N226" s="1035">
        <f t="shared" si="135"/>
        <v>3669.7733333333322</v>
      </c>
      <c r="O226" s="1036">
        <f t="shared" si="132"/>
        <v>1.6650514216575918</v>
      </c>
      <c r="P226" s="1060">
        <f t="shared" si="133"/>
        <v>0.15643073200241964</v>
      </c>
      <c r="Q226" s="3">
        <v>51.915971447090293</v>
      </c>
      <c r="R226" s="1040">
        <v>0.11147943410889417</v>
      </c>
      <c r="S226" s="48">
        <v>4.9000000000000002E-2</v>
      </c>
      <c r="T226" s="1041">
        <f t="shared" si="136"/>
        <v>0.39794141738816757</v>
      </c>
      <c r="U226" s="1012"/>
      <c r="V226" s="1012"/>
      <c r="W226" s="351"/>
    </row>
    <row r="227" spans="1:23" x14ac:dyDescent="0.35">
      <c r="A227" s="1059">
        <v>4.3220366358739355</v>
      </c>
      <c r="D227" s="56" t="s">
        <v>387</v>
      </c>
      <c r="E227" s="56">
        <v>9</v>
      </c>
      <c r="F227" s="1033">
        <v>7</v>
      </c>
      <c r="G227" s="1033">
        <f t="shared" si="127"/>
        <v>17.5</v>
      </c>
      <c r="H227" s="1033">
        <f t="shared" si="128"/>
        <v>1.1083333333333332</v>
      </c>
      <c r="I227" s="1033">
        <f t="shared" si="134"/>
        <v>3324.9999999999995</v>
      </c>
      <c r="J227" s="1033">
        <f t="shared" si="129"/>
        <v>1.5086206896551722</v>
      </c>
      <c r="K227" s="387">
        <v>7</v>
      </c>
      <c r="L227" s="1034">
        <f t="shared" si="130"/>
        <v>19.133333333333329</v>
      </c>
      <c r="M227" s="1034">
        <f t="shared" si="131"/>
        <v>1.2232577777777773</v>
      </c>
      <c r="N227" s="1035">
        <f t="shared" si="135"/>
        <v>3669.7733333333322</v>
      </c>
      <c r="O227" s="1036">
        <f t="shared" si="132"/>
        <v>1.6650514216575918</v>
      </c>
      <c r="P227" s="1060">
        <f t="shared" si="133"/>
        <v>0.15643073200241964</v>
      </c>
      <c r="Q227" s="3">
        <v>83.04262836479144</v>
      </c>
      <c r="R227" s="1040">
        <v>0.17831786556198606</v>
      </c>
      <c r="S227" s="48">
        <v>4.9000000000000002E-2</v>
      </c>
      <c r="T227" s="1041">
        <f t="shared" si="136"/>
        <v>0.63653053798295189</v>
      </c>
      <c r="U227" s="1012"/>
      <c r="V227" s="1012"/>
      <c r="W227" s="351"/>
    </row>
    <row r="228" spans="1:23" x14ac:dyDescent="0.35">
      <c r="A228" s="1059">
        <v>3.4411950035389745</v>
      </c>
      <c r="D228" s="56" t="s">
        <v>387</v>
      </c>
      <c r="E228" s="56">
        <v>10</v>
      </c>
      <c r="F228" s="1033">
        <v>7</v>
      </c>
      <c r="G228" s="1033">
        <f t="shared" si="127"/>
        <v>17.5</v>
      </c>
      <c r="H228" s="1033">
        <f t="shared" si="128"/>
        <v>1.1083333333333332</v>
      </c>
      <c r="I228" s="1033">
        <f t="shared" si="134"/>
        <v>3324.9999999999995</v>
      </c>
      <c r="J228" s="1033">
        <f t="shared" si="129"/>
        <v>1.5086206896551722</v>
      </c>
      <c r="K228" s="387">
        <v>7</v>
      </c>
      <c r="L228" s="1034">
        <f t="shared" si="130"/>
        <v>19.133333333333329</v>
      </c>
      <c r="M228" s="1034">
        <f t="shared" si="131"/>
        <v>1.2232577777777773</v>
      </c>
      <c r="N228" s="1035">
        <f t="shared" si="135"/>
        <v>3669.7733333333322</v>
      </c>
      <c r="O228" s="1036">
        <f t="shared" si="132"/>
        <v>1.6650514216575918</v>
      </c>
      <c r="P228" s="1060">
        <f t="shared" si="133"/>
        <v>0.15643073200241964</v>
      </c>
      <c r="Q228" s="3">
        <v>66.118337692406229</v>
      </c>
      <c r="R228" s="1040">
        <v>0.14197624863250677</v>
      </c>
      <c r="S228" s="48">
        <v>4.9000000000000002E-2</v>
      </c>
      <c r="T228" s="1041">
        <f t="shared" si="136"/>
        <v>0.5068040582363077</v>
      </c>
      <c r="U228" s="1012"/>
      <c r="V228" s="1012"/>
      <c r="W228" s="351"/>
    </row>
    <row r="229" spans="1:23" x14ac:dyDescent="0.35">
      <c r="A229" s="1059">
        <v>0.63682484280836382</v>
      </c>
      <c r="D229" s="56" t="s">
        <v>387</v>
      </c>
      <c r="E229" s="56">
        <v>11</v>
      </c>
      <c r="F229" s="1033">
        <v>8</v>
      </c>
      <c r="G229" s="1033">
        <f t="shared" si="127"/>
        <v>20</v>
      </c>
      <c r="H229" s="1033">
        <f t="shared" si="128"/>
        <v>1.2666666666666666</v>
      </c>
      <c r="I229" s="1033">
        <f t="shared" si="134"/>
        <v>3800</v>
      </c>
      <c r="J229" s="1033">
        <f t="shared" si="129"/>
        <v>1.7241379310344827</v>
      </c>
      <c r="K229" s="387">
        <v>8</v>
      </c>
      <c r="L229" s="1034">
        <f t="shared" si="130"/>
        <v>21.866666666666664</v>
      </c>
      <c r="M229" s="1034">
        <f t="shared" si="131"/>
        <v>1.3980088888888886</v>
      </c>
      <c r="N229" s="1035">
        <f t="shared" si="135"/>
        <v>4194.0266666666657</v>
      </c>
      <c r="O229" s="1036">
        <f t="shared" si="132"/>
        <v>1.9029159104658193</v>
      </c>
      <c r="P229" s="1060">
        <f t="shared" si="133"/>
        <v>0.17877797943133666</v>
      </c>
      <c r="Q229" s="3">
        <v>12.235807608814584</v>
      </c>
      <c r="R229" s="1040">
        <v>2.6274012988201551E-2</v>
      </c>
      <c r="S229" s="48">
        <v>4.9000000000000002E-2</v>
      </c>
      <c r="T229" s="1041">
        <f t="shared" si="136"/>
        <v>0.10718715508970789</v>
      </c>
      <c r="U229" s="1012"/>
      <c r="V229" s="1012"/>
      <c r="W229" s="351"/>
    </row>
    <row r="230" spans="1:23" x14ac:dyDescent="0.35">
      <c r="A230" s="1059">
        <v>3.1866906737786787</v>
      </c>
      <c r="D230" s="56" t="s">
        <v>387</v>
      </c>
      <c r="E230" s="56">
        <v>12</v>
      </c>
      <c r="F230" s="1033">
        <v>7</v>
      </c>
      <c r="G230" s="1033">
        <f t="shared" si="127"/>
        <v>17.5</v>
      </c>
      <c r="H230" s="1033">
        <f t="shared" si="128"/>
        <v>1.1083333333333332</v>
      </c>
      <c r="I230" s="1033">
        <f t="shared" si="134"/>
        <v>3324.9999999999995</v>
      </c>
      <c r="J230" s="1033">
        <f t="shared" si="129"/>
        <v>1.5086206896551722</v>
      </c>
      <c r="K230" s="387">
        <v>7</v>
      </c>
      <c r="L230" s="1034">
        <f t="shared" si="130"/>
        <v>19.133333333333329</v>
      </c>
      <c r="M230" s="1034">
        <f t="shared" si="131"/>
        <v>1.2232577777777773</v>
      </c>
      <c r="N230" s="1035">
        <f t="shared" si="135"/>
        <v>3669.7733333333322</v>
      </c>
      <c r="O230" s="1036">
        <f t="shared" si="132"/>
        <v>1.6650514216575918</v>
      </c>
      <c r="P230" s="1060">
        <f t="shared" si="133"/>
        <v>0.15643073200241964</v>
      </c>
      <c r="Q230" s="3">
        <v>61.228349417413035</v>
      </c>
      <c r="R230" s="1040">
        <v>0.13147595150812499</v>
      </c>
      <c r="S230" s="48">
        <v>4.9000000000000002E-2</v>
      </c>
      <c r="T230" s="1041">
        <f t="shared" si="136"/>
        <v>0.46932178041462647</v>
      </c>
      <c r="U230" s="1012"/>
      <c r="V230" s="1012"/>
      <c r="W230" s="351"/>
    </row>
    <row r="231" spans="1:23" x14ac:dyDescent="0.35">
      <c r="A231" s="1059">
        <v>1.0870929877823599</v>
      </c>
      <c r="D231" s="56" t="s">
        <v>387</v>
      </c>
      <c r="E231" s="56">
        <v>13</v>
      </c>
      <c r="F231" s="1033">
        <v>8</v>
      </c>
      <c r="G231" s="1033">
        <f t="shared" si="127"/>
        <v>20</v>
      </c>
      <c r="H231" s="1033">
        <f t="shared" si="128"/>
        <v>1.2666666666666666</v>
      </c>
      <c r="I231" s="1033">
        <f t="shared" si="134"/>
        <v>3800</v>
      </c>
      <c r="J231" s="1033">
        <f t="shared" si="129"/>
        <v>1.7241379310344827</v>
      </c>
      <c r="K231" s="387">
        <v>8</v>
      </c>
      <c r="L231" s="1034">
        <f t="shared" si="130"/>
        <v>21.866666666666664</v>
      </c>
      <c r="M231" s="1034">
        <f t="shared" si="131"/>
        <v>1.3980088888888886</v>
      </c>
      <c r="N231" s="1035">
        <f t="shared" si="135"/>
        <v>4194.0266666666657</v>
      </c>
      <c r="O231" s="1036">
        <f t="shared" si="132"/>
        <v>1.9029159104658193</v>
      </c>
      <c r="P231" s="1060">
        <f t="shared" si="133"/>
        <v>0.17877797943133666</v>
      </c>
      <c r="Q231" s="3">
        <v>20.887157279759439</v>
      </c>
      <c r="R231" s="1040">
        <v>4.4851100899924605E-2</v>
      </c>
      <c r="S231" s="48">
        <v>4.9000000000000002E-2</v>
      </c>
      <c r="T231" s="1041">
        <f t="shared" si="136"/>
        <v>0.18297402495245643</v>
      </c>
      <c r="U231" s="1012"/>
      <c r="V231" s="1012"/>
      <c r="W231" s="351"/>
    </row>
    <row r="232" spans="1:23" x14ac:dyDescent="0.35">
      <c r="A232" s="1059">
        <v>0.73957439323256369</v>
      </c>
      <c r="D232" s="56" t="s">
        <v>387</v>
      </c>
      <c r="E232" s="56">
        <v>14</v>
      </c>
      <c r="F232" s="1033">
        <v>9</v>
      </c>
      <c r="G232" s="1033">
        <f t="shared" si="127"/>
        <v>22.5</v>
      </c>
      <c r="H232" s="1033">
        <f t="shared" si="128"/>
        <v>1.4249999999999998</v>
      </c>
      <c r="I232" s="1033">
        <f t="shared" si="134"/>
        <v>4274.9999999999991</v>
      </c>
      <c r="J232" s="1033">
        <f t="shared" si="129"/>
        <v>1.9396551724137927</v>
      </c>
      <c r="K232" s="387">
        <v>9</v>
      </c>
      <c r="L232" s="1034">
        <f t="shared" si="130"/>
        <v>24.599999999999998</v>
      </c>
      <c r="M232" s="1034">
        <f t="shared" si="131"/>
        <v>1.5727599999999997</v>
      </c>
      <c r="N232" s="1035">
        <f t="shared" si="135"/>
        <v>4718.2799999999988</v>
      </c>
      <c r="O232" s="1036">
        <f t="shared" si="132"/>
        <v>2.1407803992740466</v>
      </c>
      <c r="P232" s="1060">
        <f t="shared" si="133"/>
        <v>0.20112522686025391</v>
      </c>
      <c r="Q232" s="3">
        <v>14.21001408816362</v>
      </c>
      <c r="R232" s="1040">
        <v>3.0513236776130454E-2</v>
      </c>
      <c r="S232" s="48">
        <v>4.9000000000000002E-2</v>
      </c>
      <c r="T232" s="1041">
        <f t="shared" si="136"/>
        <v>0.1400416230512963</v>
      </c>
      <c r="U232" s="1012"/>
      <c r="V232" s="1012"/>
      <c r="W232" s="351"/>
    </row>
    <row r="233" spans="1:23" x14ac:dyDescent="0.35">
      <c r="A233" s="1059">
        <v>0.54042134718678925</v>
      </c>
      <c r="D233" s="56" t="s">
        <v>387</v>
      </c>
      <c r="E233" s="56">
        <v>15</v>
      </c>
      <c r="F233" s="1033">
        <v>10</v>
      </c>
      <c r="G233" s="1033">
        <f t="shared" si="127"/>
        <v>25</v>
      </c>
      <c r="H233" s="1033">
        <f t="shared" si="128"/>
        <v>1.583333333333333</v>
      </c>
      <c r="I233" s="1033">
        <f t="shared" si="134"/>
        <v>4749.9999999999991</v>
      </c>
      <c r="J233" s="1033">
        <f t="shared" si="129"/>
        <v>2.1551724137931032</v>
      </c>
      <c r="K233" s="387">
        <v>10</v>
      </c>
      <c r="L233" s="1034">
        <f t="shared" si="130"/>
        <v>27.333333333333329</v>
      </c>
      <c r="M233" s="1034">
        <f t="shared" si="131"/>
        <v>1.7475111111111106</v>
      </c>
      <c r="N233" s="1035">
        <f t="shared" si="135"/>
        <v>5242.5333333333319</v>
      </c>
      <c r="O233" s="1036">
        <f t="shared" si="132"/>
        <v>2.3786448880822739</v>
      </c>
      <c r="P233" s="1060">
        <f t="shared" si="133"/>
        <v>0.22347247428917072</v>
      </c>
      <c r="Q233" s="3">
        <v>10.383532782284696</v>
      </c>
      <c r="R233" s="1040">
        <v>2.2296613669262774E-2</v>
      </c>
      <c r="S233" s="48">
        <v>4.9000000000000002E-2</v>
      </c>
      <c r="T233" s="1041">
        <f t="shared" si="136"/>
        <v>0.11370125437327402</v>
      </c>
      <c r="U233" s="1012"/>
      <c r="V233" s="1012"/>
      <c r="W233" s="351"/>
    </row>
    <row r="234" spans="1:23" x14ac:dyDescent="0.35">
      <c r="A234" s="1059">
        <v>0.22471443699088772</v>
      </c>
      <c r="D234" s="56" t="s">
        <v>387</v>
      </c>
      <c r="E234" s="56">
        <v>16</v>
      </c>
      <c r="F234" s="1033">
        <v>8</v>
      </c>
      <c r="G234" s="1033">
        <f t="shared" si="127"/>
        <v>20</v>
      </c>
      <c r="H234" s="1033">
        <f t="shared" si="128"/>
        <v>1.2666666666666666</v>
      </c>
      <c r="I234" s="1033">
        <f t="shared" si="134"/>
        <v>3800</v>
      </c>
      <c r="J234" s="1033">
        <f t="shared" si="129"/>
        <v>1.7241379310344827</v>
      </c>
      <c r="K234" s="387">
        <v>8</v>
      </c>
      <c r="L234" s="1034">
        <f t="shared" si="130"/>
        <v>21.866666666666664</v>
      </c>
      <c r="M234" s="1034">
        <f t="shared" si="131"/>
        <v>1.3980088888888886</v>
      </c>
      <c r="N234" s="1035">
        <f t="shared" si="135"/>
        <v>4194.0266666666657</v>
      </c>
      <c r="O234" s="1036">
        <f t="shared" si="132"/>
        <v>1.9029159104658193</v>
      </c>
      <c r="P234" s="1060">
        <f t="shared" si="133"/>
        <v>0.17877797943133666</v>
      </c>
      <c r="Q234" s="3">
        <v>4.3176120545457426</v>
      </c>
      <c r="R234" s="1040">
        <v>9.2712307046596901E-3</v>
      </c>
      <c r="S234" s="48">
        <v>4.9000000000000002E-2</v>
      </c>
      <c r="T234" s="1041">
        <f t="shared" si="136"/>
        <v>3.782280399492343E-2</v>
      </c>
      <c r="U234" s="1012"/>
      <c r="V234" s="1012"/>
      <c r="W234" s="351"/>
    </row>
    <row r="235" spans="1:23" x14ac:dyDescent="0.35">
      <c r="A235" s="1061">
        <v>24.237821724999996</v>
      </c>
      <c r="D235" s="56"/>
      <c r="E235" s="362" t="s">
        <v>79</v>
      </c>
      <c r="F235" s="1045"/>
      <c r="G235" s="1045"/>
      <c r="H235" s="1045"/>
      <c r="I235" s="1045"/>
      <c r="J235" s="1046">
        <f>SUM(J219:J234)</f>
        <v>24.78448275862069</v>
      </c>
      <c r="K235" s="362"/>
      <c r="L235" s="362"/>
      <c r="M235" s="362"/>
      <c r="N235" s="362"/>
      <c r="O235" s="1047">
        <f>SUM(O219:O234)</f>
        <v>27.354416212946148</v>
      </c>
      <c r="P235" s="1046">
        <f>SUM(P219:P234)</f>
        <v>2.5699334543254655</v>
      </c>
      <c r="Q235" s="1049">
        <v>465.69999087345815</v>
      </c>
      <c r="R235" s="362">
        <v>0.99999999999999989</v>
      </c>
      <c r="S235" s="362"/>
      <c r="T235" s="1047">
        <f>SUM(T219:T234)</f>
        <v>3.6049653273546811</v>
      </c>
    </row>
    <row r="236" spans="1:23" x14ac:dyDescent="0.35">
      <c r="I236" t="s">
        <v>394</v>
      </c>
      <c r="J236" s="1093">
        <f>SUMPRODUCT(J219:J234,Q219:Q234)</f>
        <v>709.51730764179445</v>
      </c>
    </row>
    <row r="238" spans="1:23" x14ac:dyDescent="0.35">
      <c r="E238" s="333" t="s">
        <v>398</v>
      </c>
      <c r="G238" s="1115" t="s">
        <v>366</v>
      </c>
      <c r="H238" s="1115" t="s">
        <v>399</v>
      </c>
      <c r="I238" s="1115" t="s">
        <v>400</v>
      </c>
      <c r="J238" s="1115"/>
      <c r="K238" s="1115"/>
      <c r="L238" s="1115"/>
      <c r="M238" s="1115"/>
      <c r="N238" s="1115"/>
      <c r="O238" s="1115"/>
      <c r="P238" s="1115"/>
      <c r="Q238" t="s">
        <v>401</v>
      </c>
    </row>
    <row r="239" spans="1:23" x14ac:dyDescent="0.35">
      <c r="A239" s="1055" t="s">
        <v>105</v>
      </c>
      <c r="G239" s="1115">
        <v>1</v>
      </c>
      <c r="H239" s="1071">
        <v>36</v>
      </c>
      <c r="I239" s="1072">
        <v>40000</v>
      </c>
      <c r="J239" s="1073"/>
      <c r="K239" s="1073"/>
      <c r="L239" s="1073"/>
      <c r="M239" s="1073"/>
      <c r="N239" s="1073"/>
      <c r="O239" s="1073"/>
      <c r="P239" s="1073"/>
      <c r="Q239" s="337">
        <f>I239/H239</f>
        <v>1111.1111111111111</v>
      </c>
      <c r="T239" t="str">
        <f>E238</f>
        <v>Multi-family LoadedCorridor</v>
      </c>
    </row>
    <row r="240" spans="1:23" ht="29" x14ac:dyDescent="0.35">
      <c r="A240" s="1057" t="s">
        <v>109</v>
      </c>
      <c r="D240" s="56"/>
      <c r="E240" s="56"/>
      <c r="F240" s="1028" t="s">
        <v>367</v>
      </c>
      <c r="G240" s="1028"/>
      <c r="H240" s="1028"/>
      <c r="I240" s="1028"/>
      <c r="J240" s="1028"/>
      <c r="K240" s="1029" t="s">
        <v>393</v>
      </c>
      <c r="L240" s="1029"/>
      <c r="M240" s="1029"/>
      <c r="N240" s="1029"/>
      <c r="O240" s="1029"/>
      <c r="P240" s="18" t="s">
        <v>371</v>
      </c>
      <c r="Q240" s="1158" t="s">
        <v>4</v>
      </c>
      <c r="R240" s="1158"/>
      <c r="S240" s="1158"/>
      <c r="T240" s="1031" t="s">
        <v>372</v>
      </c>
      <c r="U240" s="1115"/>
      <c r="V240" s="1115"/>
      <c r="W240" s="13"/>
    </row>
    <row r="241" spans="1:23" ht="87.5" thickBot="1" x14ac:dyDescent="0.4">
      <c r="A241" s="1058" t="s">
        <v>402</v>
      </c>
      <c r="D241" s="360" t="s">
        <v>373</v>
      </c>
      <c r="E241" s="360" t="s">
        <v>96</v>
      </c>
      <c r="F241" s="18" t="s">
        <v>374</v>
      </c>
      <c r="G241" s="18" t="s">
        <v>375</v>
      </c>
      <c r="H241" s="18" t="s">
        <v>376</v>
      </c>
      <c r="I241" s="18" t="s">
        <v>377</v>
      </c>
      <c r="J241" s="18" t="s">
        <v>378</v>
      </c>
      <c r="K241" s="1032" t="s">
        <v>389</v>
      </c>
      <c r="L241" s="1032" t="s">
        <v>375</v>
      </c>
      <c r="M241" s="1032" t="s">
        <v>380</v>
      </c>
      <c r="N241" s="4" t="s">
        <v>381</v>
      </c>
      <c r="O241" s="4" t="s">
        <v>378</v>
      </c>
      <c r="P241" s="18" t="s">
        <v>383</v>
      </c>
      <c r="Q241" s="4" t="s">
        <v>384</v>
      </c>
      <c r="R241" s="4" t="s">
        <v>11</v>
      </c>
      <c r="S241" s="4" t="s">
        <v>385</v>
      </c>
      <c r="T241" s="18" t="s">
        <v>386</v>
      </c>
      <c r="U241" s="1115"/>
      <c r="V241" s="1115"/>
      <c r="W241" s="13"/>
    </row>
    <row r="242" spans="1:23" x14ac:dyDescent="0.35">
      <c r="A242" s="1074">
        <v>8.7449999999999998E-5</v>
      </c>
      <c r="D242" s="56" t="s">
        <v>387</v>
      </c>
      <c r="E242" s="56" t="s">
        <v>63</v>
      </c>
      <c r="F242" s="1033">
        <f>$M$11</f>
        <v>1.9166666666666667</v>
      </c>
      <c r="G242" s="1033">
        <f t="shared" ref="G242:G257" si="137">F242*$E$15</f>
        <v>4.791666666666667</v>
      </c>
      <c r="H242" s="1033">
        <f t="shared" ref="H242:H257" si="138">G242*$E$10</f>
        <v>0.3034722222222222</v>
      </c>
      <c r="I242" s="1033">
        <f>H242*$E$14</f>
        <v>910.41666666666663</v>
      </c>
      <c r="J242" s="1033">
        <f t="shared" ref="J242:J257" si="139">I242/$E$18</f>
        <v>0.41307471264367812</v>
      </c>
      <c r="K242" s="1033">
        <f>$M$11</f>
        <v>1.9166666666666667</v>
      </c>
      <c r="L242" s="1034">
        <f>K242*$F$15</f>
        <v>5.238888888888888</v>
      </c>
      <c r="M242" s="1034">
        <f t="shared" ref="M242:M257" si="140">L242*$F$10</f>
        <v>0.33493962962962953</v>
      </c>
      <c r="N242" s="1035">
        <f t="shared" ref="N242:N257" si="141">M242*$F$14</f>
        <v>1004.8188888888886</v>
      </c>
      <c r="O242" s="1036">
        <f t="shared" ref="O242:O257" si="142">N242/$E$18</f>
        <v>0.45590693688243589</v>
      </c>
      <c r="P242" s="1060">
        <f t="shared" ref="P242:P257" si="143">O242-J242</f>
        <v>4.2832224238757766E-2</v>
      </c>
      <c r="Q242" s="3">
        <v>87.45</v>
      </c>
      <c r="R242" s="1040">
        <v>5.0994881268521721E-3</v>
      </c>
      <c r="S242" s="48">
        <v>1</v>
      </c>
      <c r="T242" s="1041">
        <f>P242*Q242*S242</f>
        <v>3.7456780096793669</v>
      </c>
      <c r="U242" s="1012"/>
      <c r="V242" s="1012"/>
      <c r="W242" s="351"/>
    </row>
    <row r="243" spans="1:23" x14ac:dyDescent="0.35">
      <c r="A243" s="1075">
        <v>5.1909000000000005E-4</v>
      </c>
      <c r="D243" s="56" t="s">
        <v>387</v>
      </c>
      <c r="E243" s="56" t="s">
        <v>64</v>
      </c>
      <c r="F243" s="1033">
        <f t="shared" ref="F243:F257" si="144">$M$11</f>
        <v>1.9166666666666667</v>
      </c>
      <c r="G243" s="1033">
        <f t="shared" si="137"/>
        <v>4.791666666666667</v>
      </c>
      <c r="H243" s="1033">
        <f t="shared" si="138"/>
        <v>0.3034722222222222</v>
      </c>
      <c r="I243" s="1033">
        <f t="shared" ref="I243:I257" si="145">H243*$E$14</f>
        <v>910.41666666666663</v>
      </c>
      <c r="J243" s="1033">
        <f t="shared" si="139"/>
        <v>0.41307471264367812</v>
      </c>
      <c r="K243" s="1043">
        <f t="shared" ref="K243:K257" si="146">$M$11</f>
        <v>1.9166666666666667</v>
      </c>
      <c r="L243" s="1034">
        <f t="shared" ref="L243:L257" si="147">K243*$F$15</f>
        <v>5.238888888888888</v>
      </c>
      <c r="M243" s="1034">
        <f t="shared" si="140"/>
        <v>0.33493962962962953</v>
      </c>
      <c r="N243" s="1035">
        <f t="shared" si="141"/>
        <v>1004.8188888888886</v>
      </c>
      <c r="O243" s="1036">
        <f t="shared" si="142"/>
        <v>0.45590693688243589</v>
      </c>
      <c r="P243" s="1060">
        <f t="shared" si="143"/>
        <v>4.2832224238757766E-2</v>
      </c>
      <c r="Q243" s="3">
        <v>519.09</v>
      </c>
      <c r="R243" s="1040">
        <v>3.026979178693761E-2</v>
      </c>
      <c r="S243" s="48">
        <v>1</v>
      </c>
      <c r="T243" s="1041">
        <f t="shared" ref="T243:T257" si="148">P243*Q243*S243</f>
        <v>22.233779280096769</v>
      </c>
      <c r="U243" s="1012"/>
      <c r="V243" s="1012"/>
      <c r="W243" s="351"/>
    </row>
    <row r="244" spans="1:23" x14ac:dyDescent="0.35">
      <c r="A244" s="1075">
        <v>2.5179E-3</v>
      </c>
      <c r="D244" s="56" t="s">
        <v>387</v>
      </c>
      <c r="E244" s="56" t="s">
        <v>65</v>
      </c>
      <c r="F244" s="1033">
        <f t="shared" si="144"/>
        <v>1.9166666666666667</v>
      </c>
      <c r="G244" s="1033">
        <f t="shared" si="137"/>
        <v>4.791666666666667</v>
      </c>
      <c r="H244" s="1033">
        <f t="shared" si="138"/>
        <v>0.3034722222222222</v>
      </c>
      <c r="I244" s="1033">
        <f t="shared" si="145"/>
        <v>910.41666666666663</v>
      </c>
      <c r="J244" s="1033">
        <f t="shared" si="139"/>
        <v>0.41307471264367812</v>
      </c>
      <c r="K244" s="387">
        <f t="shared" si="146"/>
        <v>1.9166666666666667</v>
      </c>
      <c r="L244" s="1034">
        <f t="shared" si="147"/>
        <v>5.238888888888888</v>
      </c>
      <c r="M244" s="1034">
        <f t="shared" si="140"/>
        <v>0.33493962962962953</v>
      </c>
      <c r="N244" s="1035">
        <f t="shared" si="141"/>
        <v>1004.8188888888886</v>
      </c>
      <c r="O244" s="1036">
        <f t="shared" si="142"/>
        <v>0.45590693688243589</v>
      </c>
      <c r="P244" s="1060">
        <f t="shared" si="143"/>
        <v>4.2832224238757766E-2</v>
      </c>
      <c r="Q244" s="3">
        <v>2517.9</v>
      </c>
      <c r="R244" s="1040">
        <v>0.14682677135049838</v>
      </c>
      <c r="S244" s="48">
        <v>1</v>
      </c>
      <c r="T244" s="1041">
        <f t="shared" si="148"/>
        <v>107.84725741076818</v>
      </c>
      <c r="U244" s="1012"/>
      <c r="V244" s="1012"/>
      <c r="W244" s="351"/>
    </row>
    <row r="245" spans="1:23" x14ac:dyDescent="0.35">
      <c r="A245" s="1075">
        <v>1.3117500000000002E-3</v>
      </c>
      <c r="D245" s="56" t="s">
        <v>387</v>
      </c>
      <c r="E245" s="56" t="s">
        <v>66</v>
      </c>
      <c r="F245" s="1033">
        <f t="shared" si="144"/>
        <v>1.9166666666666667</v>
      </c>
      <c r="G245" s="1033">
        <f t="shared" si="137"/>
        <v>4.791666666666667</v>
      </c>
      <c r="H245" s="1033">
        <f t="shared" si="138"/>
        <v>0.3034722222222222</v>
      </c>
      <c r="I245" s="1033">
        <f t="shared" si="145"/>
        <v>910.41666666666663</v>
      </c>
      <c r="J245" s="1033">
        <f t="shared" si="139"/>
        <v>0.41307471264367812</v>
      </c>
      <c r="K245" s="387">
        <f t="shared" si="146"/>
        <v>1.9166666666666667</v>
      </c>
      <c r="L245" s="1034">
        <f t="shared" si="147"/>
        <v>5.238888888888888</v>
      </c>
      <c r="M245" s="1034">
        <f t="shared" si="140"/>
        <v>0.33493962962962953</v>
      </c>
      <c r="N245" s="1035">
        <f t="shared" si="141"/>
        <v>1004.8188888888886</v>
      </c>
      <c r="O245" s="1036">
        <f t="shared" si="142"/>
        <v>0.45590693688243589</v>
      </c>
      <c r="P245" s="1060">
        <f t="shared" si="143"/>
        <v>4.2832224238757766E-2</v>
      </c>
      <c r="Q245" s="3">
        <v>1311.7500000000002</v>
      </c>
      <c r="R245" s="1040">
        <v>7.6492321902782587E-2</v>
      </c>
      <c r="S245" s="48">
        <v>1</v>
      </c>
      <c r="T245" s="1041">
        <f t="shared" si="148"/>
        <v>56.185170145190511</v>
      </c>
      <c r="U245" s="1012"/>
      <c r="V245" s="1012"/>
      <c r="W245" s="351"/>
    </row>
    <row r="246" spans="1:23" x14ac:dyDescent="0.35">
      <c r="A246" s="1075">
        <v>2.3298000000000001E-4</v>
      </c>
      <c r="D246" s="56" t="s">
        <v>387</v>
      </c>
      <c r="E246" s="56" t="s">
        <v>67</v>
      </c>
      <c r="F246" s="1033">
        <f t="shared" si="144"/>
        <v>1.9166666666666667</v>
      </c>
      <c r="G246" s="1033">
        <f t="shared" si="137"/>
        <v>4.791666666666667</v>
      </c>
      <c r="H246" s="1033">
        <f t="shared" si="138"/>
        <v>0.3034722222222222</v>
      </c>
      <c r="I246" s="1033">
        <f t="shared" si="145"/>
        <v>910.41666666666663</v>
      </c>
      <c r="J246" s="1033">
        <f t="shared" si="139"/>
        <v>0.41307471264367812</v>
      </c>
      <c r="K246" s="387">
        <f t="shared" si="146"/>
        <v>1.9166666666666667</v>
      </c>
      <c r="L246" s="1034">
        <f t="shared" si="147"/>
        <v>5.238888888888888</v>
      </c>
      <c r="M246" s="1034">
        <f t="shared" si="140"/>
        <v>0.33493962962962953</v>
      </c>
      <c r="N246" s="1035">
        <f t="shared" si="141"/>
        <v>1004.8188888888886</v>
      </c>
      <c r="O246" s="1036">
        <f t="shared" si="142"/>
        <v>0.45590693688243589</v>
      </c>
      <c r="P246" s="1060">
        <f t="shared" si="143"/>
        <v>4.2832224238757766E-2</v>
      </c>
      <c r="Q246" s="3">
        <v>232.98000000000002</v>
      </c>
      <c r="R246" s="1040">
        <v>1.358580610399107E-2</v>
      </c>
      <c r="S246" s="48">
        <v>1</v>
      </c>
      <c r="T246" s="1041">
        <f t="shared" si="148"/>
        <v>9.9790516031457859</v>
      </c>
      <c r="U246" s="1012"/>
      <c r="V246" s="1012"/>
      <c r="W246" s="351"/>
    </row>
    <row r="247" spans="1:23" x14ac:dyDescent="0.35">
      <c r="A247" s="1075">
        <v>1.1121000000000002E-3</v>
      </c>
      <c r="D247" s="56" t="s">
        <v>387</v>
      </c>
      <c r="E247" s="56" t="s">
        <v>68</v>
      </c>
      <c r="F247" s="1033">
        <f t="shared" si="144"/>
        <v>1.9166666666666667</v>
      </c>
      <c r="G247" s="1033">
        <f t="shared" si="137"/>
        <v>4.791666666666667</v>
      </c>
      <c r="H247" s="1033">
        <f t="shared" si="138"/>
        <v>0.3034722222222222</v>
      </c>
      <c r="I247" s="1033">
        <f t="shared" si="145"/>
        <v>910.41666666666663</v>
      </c>
      <c r="J247" s="1033">
        <f t="shared" si="139"/>
        <v>0.41307471264367812</v>
      </c>
      <c r="K247" s="387">
        <f t="shared" si="146"/>
        <v>1.9166666666666667</v>
      </c>
      <c r="L247" s="1034">
        <f t="shared" si="147"/>
        <v>5.238888888888888</v>
      </c>
      <c r="M247" s="1034">
        <f t="shared" si="140"/>
        <v>0.33493962962962953</v>
      </c>
      <c r="N247" s="1035">
        <f t="shared" si="141"/>
        <v>1004.8188888888886</v>
      </c>
      <c r="O247" s="1036">
        <f t="shared" si="142"/>
        <v>0.45590693688243589</v>
      </c>
      <c r="P247" s="1060">
        <f t="shared" si="143"/>
        <v>4.2832224238757766E-2</v>
      </c>
      <c r="Q247" s="3">
        <v>1112.1000000000001</v>
      </c>
      <c r="R247" s="1040">
        <v>6.4850094292421973E-2</v>
      </c>
      <c r="S247" s="48">
        <v>1</v>
      </c>
      <c r="T247" s="1041">
        <f t="shared" si="148"/>
        <v>47.63371657592252</v>
      </c>
      <c r="U247" s="1012"/>
      <c r="V247" s="1012"/>
      <c r="W247" s="351"/>
    </row>
    <row r="248" spans="1:23" x14ac:dyDescent="0.35">
      <c r="A248" s="1075">
        <v>1.1955900000000001E-3</v>
      </c>
      <c r="D248" s="56" t="s">
        <v>387</v>
      </c>
      <c r="E248" s="56" t="s">
        <v>69</v>
      </c>
      <c r="F248" s="1033">
        <f t="shared" si="144"/>
        <v>1.9166666666666667</v>
      </c>
      <c r="G248" s="1033">
        <f t="shared" si="137"/>
        <v>4.791666666666667</v>
      </c>
      <c r="H248" s="1033">
        <f t="shared" si="138"/>
        <v>0.3034722222222222</v>
      </c>
      <c r="I248" s="1033">
        <f t="shared" si="145"/>
        <v>910.41666666666663</v>
      </c>
      <c r="J248" s="1033">
        <f t="shared" si="139"/>
        <v>0.41307471264367812</v>
      </c>
      <c r="K248" s="387">
        <f t="shared" si="146"/>
        <v>1.9166666666666667</v>
      </c>
      <c r="L248" s="1034">
        <f t="shared" si="147"/>
        <v>5.238888888888888</v>
      </c>
      <c r="M248" s="1034">
        <f t="shared" si="140"/>
        <v>0.33493962962962953</v>
      </c>
      <c r="N248" s="1035">
        <f t="shared" si="141"/>
        <v>1004.8188888888886</v>
      </c>
      <c r="O248" s="1036">
        <f t="shared" si="142"/>
        <v>0.45590693688243589</v>
      </c>
      <c r="P248" s="1060">
        <f t="shared" si="143"/>
        <v>4.2832224238757766E-2</v>
      </c>
      <c r="Q248" s="3">
        <v>1195.5900000000001</v>
      </c>
      <c r="R248" s="1040">
        <v>6.9718662202209139E-2</v>
      </c>
      <c r="S248" s="48">
        <v>1</v>
      </c>
      <c r="T248" s="1041">
        <f t="shared" si="148"/>
        <v>51.209778977616402</v>
      </c>
      <c r="U248" s="1012"/>
      <c r="V248" s="1012"/>
      <c r="W248" s="351"/>
    </row>
    <row r="249" spans="1:23" x14ac:dyDescent="0.35">
      <c r="A249" s="1075">
        <v>1.56354E-3</v>
      </c>
      <c r="D249" s="56" t="s">
        <v>387</v>
      </c>
      <c r="E249" s="56" t="s">
        <v>70</v>
      </c>
      <c r="F249" s="1033">
        <f t="shared" si="144"/>
        <v>1.9166666666666667</v>
      </c>
      <c r="G249" s="1033">
        <f t="shared" si="137"/>
        <v>4.791666666666667</v>
      </c>
      <c r="H249" s="1033">
        <f t="shared" si="138"/>
        <v>0.3034722222222222</v>
      </c>
      <c r="I249" s="1033">
        <f t="shared" si="145"/>
        <v>910.41666666666663</v>
      </c>
      <c r="J249" s="1033">
        <f t="shared" si="139"/>
        <v>0.41307471264367812</v>
      </c>
      <c r="K249" s="387">
        <f t="shared" si="146"/>
        <v>1.9166666666666667</v>
      </c>
      <c r="L249" s="1034">
        <f t="shared" si="147"/>
        <v>5.238888888888888</v>
      </c>
      <c r="M249" s="1034">
        <f t="shared" si="140"/>
        <v>0.33493962962962953</v>
      </c>
      <c r="N249" s="1035">
        <f t="shared" si="141"/>
        <v>1004.8188888888886</v>
      </c>
      <c r="O249" s="1036">
        <f t="shared" si="142"/>
        <v>0.45590693688243589</v>
      </c>
      <c r="P249" s="1060">
        <f t="shared" si="143"/>
        <v>4.2832224238757766E-2</v>
      </c>
      <c r="Q249" s="3">
        <v>1563.54</v>
      </c>
      <c r="R249" s="1040">
        <v>9.117499903783241E-2</v>
      </c>
      <c r="S249" s="48">
        <v>1</v>
      </c>
      <c r="T249" s="1041">
        <f t="shared" si="148"/>
        <v>66.969895886267309</v>
      </c>
      <c r="U249" s="1012"/>
      <c r="V249" s="1012"/>
      <c r="W249" s="351"/>
    </row>
    <row r="250" spans="1:23" x14ac:dyDescent="0.35">
      <c r="A250" s="1075">
        <v>3.6709200000000003E-3</v>
      </c>
      <c r="D250" s="56" t="s">
        <v>387</v>
      </c>
      <c r="E250" s="56" t="s">
        <v>71</v>
      </c>
      <c r="F250" s="1033">
        <f t="shared" si="144"/>
        <v>1.9166666666666667</v>
      </c>
      <c r="G250" s="1033">
        <f t="shared" si="137"/>
        <v>4.791666666666667</v>
      </c>
      <c r="H250" s="1033">
        <f t="shared" si="138"/>
        <v>0.3034722222222222</v>
      </c>
      <c r="I250" s="1033">
        <f t="shared" si="145"/>
        <v>910.41666666666663</v>
      </c>
      <c r="J250" s="1033">
        <f t="shared" si="139"/>
        <v>0.41307471264367812</v>
      </c>
      <c r="K250" s="387">
        <f t="shared" si="146"/>
        <v>1.9166666666666667</v>
      </c>
      <c r="L250" s="1034">
        <f t="shared" si="147"/>
        <v>5.238888888888888</v>
      </c>
      <c r="M250" s="1034">
        <f t="shared" si="140"/>
        <v>0.33493962962962953</v>
      </c>
      <c r="N250" s="1035">
        <f t="shared" si="141"/>
        <v>1004.8188888888886</v>
      </c>
      <c r="O250" s="1036">
        <f t="shared" si="142"/>
        <v>0.45590693688243589</v>
      </c>
      <c r="P250" s="1060">
        <f t="shared" si="143"/>
        <v>4.2832224238757766E-2</v>
      </c>
      <c r="Q250" s="3">
        <v>3670.92</v>
      </c>
      <c r="R250" s="1040">
        <v>0.21406304121925873</v>
      </c>
      <c r="S250" s="48">
        <v>1</v>
      </c>
      <c r="T250" s="1041">
        <f t="shared" si="148"/>
        <v>157.23366860254066</v>
      </c>
      <c r="U250" s="1012"/>
      <c r="V250" s="1012"/>
      <c r="W250" s="351"/>
    </row>
    <row r="251" spans="1:23" x14ac:dyDescent="0.35">
      <c r="A251" s="1075">
        <v>1.2969000000000001E-3</v>
      </c>
      <c r="D251" s="56" t="s">
        <v>387</v>
      </c>
      <c r="E251" s="56" t="s">
        <v>72</v>
      </c>
      <c r="F251" s="1033">
        <f t="shared" si="144"/>
        <v>1.9166666666666667</v>
      </c>
      <c r="G251" s="1033">
        <f t="shared" si="137"/>
        <v>4.791666666666667</v>
      </c>
      <c r="H251" s="1033">
        <f t="shared" si="138"/>
        <v>0.3034722222222222</v>
      </c>
      <c r="I251" s="1033">
        <f t="shared" si="145"/>
        <v>910.41666666666663</v>
      </c>
      <c r="J251" s="1033">
        <f t="shared" si="139"/>
        <v>0.41307471264367812</v>
      </c>
      <c r="K251" s="387">
        <f t="shared" si="146"/>
        <v>1.9166666666666667</v>
      </c>
      <c r="L251" s="1034">
        <f t="shared" si="147"/>
        <v>5.238888888888888</v>
      </c>
      <c r="M251" s="1034">
        <f t="shared" si="140"/>
        <v>0.33493962962962953</v>
      </c>
      <c r="N251" s="1035">
        <f t="shared" si="141"/>
        <v>1004.8188888888886</v>
      </c>
      <c r="O251" s="1036">
        <f t="shared" si="142"/>
        <v>0.45590693688243589</v>
      </c>
      <c r="P251" s="1060">
        <f t="shared" si="143"/>
        <v>4.2832224238757766E-2</v>
      </c>
      <c r="Q251" s="3">
        <v>1296.9000000000001</v>
      </c>
      <c r="R251" s="1040">
        <v>7.5626371088788821E-2</v>
      </c>
      <c r="S251" s="48">
        <v>1</v>
      </c>
      <c r="T251" s="1041">
        <f t="shared" si="148"/>
        <v>55.549111615244954</v>
      </c>
      <c r="U251" s="1012"/>
      <c r="V251" s="1012"/>
      <c r="W251" s="351"/>
    </row>
    <row r="252" spans="1:23" x14ac:dyDescent="0.35">
      <c r="A252" s="1075">
        <v>3.7026000000000002E-4</v>
      </c>
      <c r="D252" s="56" t="s">
        <v>387</v>
      </c>
      <c r="E252" s="56" t="s">
        <v>73</v>
      </c>
      <c r="F252" s="1033">
        <f t="shared" si="144"/>
        <v>1.9166666666666667</v>
      </c>
      <c r="G252" s="1033">
        <f t="shared" si="137"/>
        <v>4.791666666666667</v>
      </c>
      <c r="H252" s="1033">
        <f t="shared" si="138"/>
        <v>0.3034722222222222</v>
      </c>
      <c r="I252" s="1033">
        <f t="shared" si="145"/>
        <v>910.41666666666663</v>
      </c>
      <c r="J252" s="1033">
        <f t="shared" si="139"/>
        <v>0.41307471264367812</v>
      </c>
      <c r="K252" s="387">
        <f t="shared" si="146"/>
        <v>1.9166666666666667</v>
      </c>
      <c r="L252" s="1034">
        <f t="shared" si="147"/>
        <v>5.238888888888888</v>
      </c>
      <c r="M252" s="1034">
        <f t="shared" si="140"/>
        <v>0.33493962962962953</v>
      </c>
      <c r="N252" s="1035">
        <f t="shared" si="141"/>
        <v>1004.8188888888886</v>
      </c>
      <c r="O252" s="1036">
        <f t="shared" si="142"/>
        <v>0.45590693688243589</v>
      </c>
      <c r="P252" s="1060">
        <f t="shared" si="143"/>
        <v>4.2832224238757766E-2</v>
      </c>
      <c r="Q252" s="3">
        <v>370.26000000000005</v>
      </c>
      <c r="R252" s="1040">
        <v>2.1591040295577877E-2</v>
      </c>
      <c r="S252" s="48">
        <v>1</v>
      </c>
      <c r="T252" s="1041">
        <f t="shared" si="148"/>
        <v>15.859059346642452</v>
      </c>
      <c r="U252" s="1012"/>
      <c r="V252" s="1012"/>
      <c r="W252" s="351"/>
    </row>
    <row r="253" spans="1:23" x14ac:dyDescent="0.35">
      <c r="A253" s="1075">
        <v>2.09055E-3</v>
      </c>
      <c r="D253" s="56" t="s">
        <v>387</v>
      </c>
      <c r="E253" s="56" t="s">
        <v>74</v>
      </c>
      <c r="F253" s="1033">
        <f t="shared" si="144"/>
        <v>1.9166666666666667</v>
      </c>
      <c r="G253" s="1033">
        <f t="shared" si="137"/>
        <v>4.791666666666667</v>
      </c>
      <c r="H253" s="1033">
        <f t="shared" si="138"/>
        <v>0.3034722222222222</v>
      </c>
      <c r="I253" s="1033">
        <f t="shared" si="145"/>
        <v>910.41666666666663</v>
      </c>
      <c r="J253" s="1033">
        <f t="shared" si="139"/>
        <v>0.41307471264367812</v>
      </c>
      <c r="K253" s="387">
        <f t="shared" si="146"/>
        <v>1.9166666666666667</v>
      </c>
      <c r="L253" s="1034">
        <f t="shared" si="147"/>
        <v>5.238888888888888</v>
      </c>
      <c r="M253" s="1034">
        <f t="shared" si="140"/>
        <v>0.33493962962962953</v>
      </c>
      <c r="N253" s="1035">
        <f t="shared" si="141"/>
        <v>1004.8188888888886</v>
      </c>
      <c r="O253" s="1036">
        <f t="shared" si="142"/>
        <v>0.45590693688243589</v>
      </c>
      <c r="P253" s="1060">
        <f t="shared" si="143"/>
        <v>4.2832224238757766E-2</v>
      </c>
      <c r="Q253" s="3">
        <v>2090.5500000000002</v>
      </c>
      <c r="R253" s="1040">
        <v>0.12190663125890004</v>
      </c>
      <c r="S253" s="48">
        <v>1</v>
      </c>
      <c r="T253" s="1041">
        <f t="shared" si="148"/>
        <v>89.542906382335062</v>
      </c>
      <c r="U253" s="1012"/>
      <c r="V253" s="1012"/>
      <c r="W253" s="351"/>
    </row>
    <row r="254" spans="1:23" x14ac:dyDescent="0.35">
      <c r="A254" s="1075">
        <v>6.1017000000000005E-4</v>
      </c>
      <c r="D254" s="56" t="s">
        <v>387</v>
      </c>
      <c r="E254" s="56" t="s">
        <v>75</v>
      </c>
      <c r="F254" s="1033">
        <f t="shared" si="144"/>
        <v>1.9166666666666667</v>
      </c>
      <c r="G254" s="1033">
        <f t="shared" si="137"/>
        <v>4.791666666666667</v>
      </c>
      <c r="H254" s="1033">
        <f t="shared" si="138"/>
        <v>0.3034722222222222</v>
      </c>
      <c r="I254" s="1033">
        <f t="shared" si="145"/>
        <v>910.41666666666663</v>
      </c>
      <c r="J254" s="1033">
        <f t="shared" si="139"/>
        <v>0.41307471264367812</v>
      </c>
      <c r="K254" s="387">
        <f t="shared" si="146"/>
        <v>1.9166666666666667</v>
      </c>
      <c r="L254" s="1034">
        <f t="shared" si="147"/>
        <v>5.238888888888888</v>
      </c>
      <c r="M254" s="1034">
        <f t="shared" si="140"/>
        <v>0.33493962962962953</v>
      </c>
      <c r="N254" s="1035">
        <f t="shared" si="141"/>
        <v>1004.8188888888886</v>
      </c>
      <c r="O254" s="1036">
        <f t="shared" si="142"/>
        <v>0.45590693688243589</v>
      </c>
      <c r="P254" s="1060">
        <f t="shared" si="143"/>
        <v>4.2832224238757766E-2</v>
      </c>
      <c r="Q254" s="3">
        <v>610.17000000000007</v>
      </c>
      <c r="R254" s="1040">
        <v>3.5580956779432703E-2</v>
      </c>
      <c r="S254" s="48">
        <v>1</v>
      </c>
      <c r="T254" s="1041">
        <f t="shared" si="148"/>
        <v>26.13493826376283</v>
      </c>
      <c r="U254" s="1012"/>
      <c r="V254" s="1012"/>
      <c r="W254" s="351"/>
    </row>
    <row r="255" spans="1:23" x14ac:dyDescent="0.35">
      <c r="A255" s="1075">
        <v>2.7720000000000002E-4</v>
      </c>
      <c r="D255" s="56" t="s">
        <v>387</v>
      </c>
      <c r="E255" s="56" t="s">
        <v>76</v>
      </c>
      <c r="F255" s="1033">
        <f t="shared" si="144"/>
        <v>1.9166666666666667</v>
      </c>
      <c r="G255" s="1033">
        <f t="shared" si="137"/>
        <v>4.791666666666667</v>
      </c>
      <c r="H255" s="1033">
        <f t="shared" si="138"/>
        <v>0.3034722222222222</v>
      </c>
      <c r="I255" s="1033">
        <f t="shared" si="145"/>
        <v>910.41666666666663</v>
      </c>
      <c r="J255" s="1033">
        <f t="shared" si="139"/>
        <v>0.41307471264367812</v>
      </c>
      <c r="K255" s="387">
        <f t="shared" si="146"/>
        <v>1.9166666666666667</v>
      </c>
      <c r="L255" s="1034">
        <f t="shared" si="147"/>
        <v>5.238888888888888</v>
      </c>
      <c r="M255" s="1034">
        <f t="shared" si="140"/>
        <v>0.33493962962962953</v>
      </c>
      <c r="N255" s="1035">
        <f t="shared" si="141"/>
        <v>1004.8188888888886</v>
      </c>
      <c r="O255" s="1036">
        <f t="shared" si="142"/>
        <v>0.45590693688243589</v>
      </c>
      <c r="P255" s="1060">
        <f t="shared" si="143"/>
        <v>4.2832224238757766E-2</v>
      </c>
      <c r="Q255" s="3">
        <v>277.2</v>
      </c>
      <c r="R255" s="1040">
        <v>1.616441519455028E-2</v>
      </c>
      <c r="S255" s="48">
        <v>1</v>
      </c>
      <c r="T255" s="1041">
        <f t="shared" si="148"/>
        <v>11.873092558983652</v>
      </c>
      <c r="U255" s="1012"/>
      <c r="V255" s="1012"/>
      <c r="W255" s="351"/>
    </row>
    <row r="256" spans="1:23" x14ac:dyDescent="0.35">
      <c r="A256" s="1075">
        <v>1.8050999999999999E-4</v>
      </c>
      <c r="D256" s="56" t="s">
        <v>387</v>
      </c>
      <c r="E256" s="56" t="s">
        <v>77</v>
      </c>
      <c r="F256" s="1033">
        <f t="shared" si="144"/>
        <v>1.9166666666666667</v>
      </c>
      <c r="G256" s="1033">
        <f t="shared" si="137"/>
        <v>4.791666666666667</v>
      </c>
      <c r="H256" s="1033">
        <f t="shared" si="138"/>
        <v>0.3034722222222222</v>
      </c>
      <c r="I256" s="1033">
        <f t="shared" si="145"/>
        <v>910.41666666666663</v>
      </c>
      <c r="J256" s="1033">
        <f t="shared" si="139"/>
        <v>0.41307471264367812</v>
      </c>
      <c r="K256" s="387">
        <f t="shared" si="146"/>
        <v>1.9166666666666667</v>
      </c>
      <c r="L256" s="1034">
        <f t="shared" si="147"/>
        <v>5.238888888888888</v>
      </c>
      <c r="M256" s="1034">
        <f t="shared" si="140"/>
        <v>0.33493962962962953</v>
      </c>
      <c r="N256" s="1035">
        <f t="shared" si="141"/>
        <v>1004.8188888888886</v>
      </c>
      <c r="O256" s="1036">
        <f t="shared" si="142"/>
        <v>0.45590693688243589</v>
      </c>
      <c r="P256" s="1060">
        <f t="shared" si="143"/>
        <v>4.2832224238757766E-2</v>
      </c>
      <c r="Q256" s="3">
        <v>180.51</v>
      </c>
      <c r="R256" s="1040">
        <v>1.0526113227879766E-2</v>
      </c>
      <c r="S256" s="48">
        <v>1</v>
      </c>
      <c r="T256" s="1041">
        <f t="shared" si="148"/>
        <v>7.7316447973381637</v>
      </c>
      <c r="U256" s="1012"/>
      <c r="V256" s="1012"/>
      <c r="W256" s="351"/>
    </row>
    <row r="257" spans="1:23" ht="15" thickBot="1" x14ac:dyDescent="0.4">
      <c r="A257" s="1076">
        <v>1.1187000000000001E-4</v>
      </c>
      <c r="D257" s="56" t="s">
        <v>387</v>
      </c>
      <c r="E257" s="56" t="s">
        <v>78</v>
      </c>
      <c r="F257" s="1033">
        <f t="shared" si="144"/>
        <v>1.9166666666666667</v>
      </c>
      <c r="G257" s="1033">
        <f t="shared" si="137"/>
        <v>4.791666666666667</v>
      </c>
      <c r="H257" s="1033">
        <f t="shared" si="138"/>
        <v>0.3034722222222222</v>
      </c>
      <c r="I257" s="1033">
        <f t="shared" si="145"/>
        <v>910.41666666666663</v>
      </c>
      <c r="J257" s="1033">
        <f t="shared" si="139"/>
        <v>0.41307471264367812</v>
      </c>
      <c r="K257" s="387">
        <f t="shared" si="146"/>
        <v>1.9166666666666667</v>
      </c>
      <c r="L257" s="1034">
        <f t="shared" si="147"/>
        <v>5.238888888888888</v>
      </c>
      <c r="M257" s="1034">
        <f t="shared" si="140"/>
        <v>0.33493962962962953</v>
      </c>
      <c r="N257" s="1035">
        <f t="shared" si="141"/>
        <v>1004.8188888888886</v>
      </c>
      <c r="O257" s="1036">
        <f t="shared" si="142"/>
        <v>0.45590693688243589</v>
      </c>
      <c r="P257" s="1060">
        <f t="shared" si="143"/>
        <v>4.2832224238757766E-2</v>
      </c>
      <c r="Q257" s="3">
        <v>111.87</v>
      </c>
      <c r="R257" s="1040">
        <v>6.5234961320863637E-3</v>
      </c>
      <c r="S257" s="48">
        <v>1</v>
      </c>
      <c r="T257" s="1041">
        <f t="shared" si="148"/>
        <v>4.7916409255898316</v>
      </c>
      <c r="U257" s="1012"/>
      <c r="V257" s="1012"/>
      <c r="W257" s="351"/>
    </row>
    <row r="258" spans="1:23" x14ac:dyDescent="0.35">
      <c r="A258" s="1077">
        <f>SUM(A242:A257)</f>
        <v>1.7148779999999999E-2</v>
      </c>
      <c r="D258" s="56"/>
      <c r="E258" s="362" t="s">
        <v>79</v>
      </c>
      <c r="F258" s="1078"/>
      <c r="G258" s="1078"/>
      <c r="H258" s="1078"/>
      <c r="I258" s="1078"/>
      <c r="J258" s="1046">
        <f>SUM(J242:J257)</f>
        <v>6.6091954022988508</v>
      </c>
      <c r="K258" s="362"/>
      <c r="L258" s="362"/>
      <c r="M258" s="362"/>
      <c r="N258" s="362"/>
      <c r="O258" s="1047">
        <f>SUM(O242:O257)</f>
        <v>7.294510990118976</v>
      </c>
      <c r="P258" s="1046">
        <f>SUM(P242:P257)</f>
        <v>0.68531558782012425</v>
      </c>
      <c r="Q258" s="3">
        <v>17148.780000000002</v>
      </c>
      <c r="R258" s="56">
        <v>1</v>
      </c>
      <c r="S258" s="56"/>
      <c r="T258" s="1047">
        <f>SUM(T242:T257)</f>
        <v>734.52039038112446</v>
      </c>
    </row>
    <row r="259" spans="1:23" x14ac:dyDescent="0.35">
      <c r="E259" t="s">
        <v>91</v>
      </c>
      <c r="F259">
        <v>3.9999999999999994E-2</v>
      </c>
      <c r="I259" t="s">
        <v>394</v>
      </c>
      <c r="J259" s="1093">
        <f>SUMPRODUCT(J242:J257,Q242:Q257)</f>
        <v>7083.7273706896558</v>
      </c>
    </row>
    <row r="260" spans="1:23" x14ac:dyDescent="0.35">
      <c r="H260" s="698">
        <f>$H$262</f>
        <v>8</v>
      </c>
      <c r="Q260" s="698">
        <f>$Q$262</f>
        <v>960</v>
      </c>
    </row>
    <row r="261" spans="1:23" x14ac:dyDescent="0.35">
      <c r="E261" t="s">
        <v>91</v>
      </c>
      <c r="G261" s="1115" t="s">
        <v>366</v>
      </c>
      <c r="H261" s="1115" t="s">
        <v>399</v>
      </c>
      <c r="I261" s="1115" t="s">
        <v>403</v>
      </c>
      <c r="J261" s="1115"/>
      <c r="K261" s="1115"/>
      <c r="L261" s="1115"/>
      <c r="M261" s="1115"/>
      <c r="N261" s="1115"/>
      <c r="O261" s="1115"/>
      <c r="P261" s="1115"/>
      <c r="Q261" s="1115" t="s">
        <v>401</v>
      </c>
    </row>
    <row r="262" spans="1:23" x14ac:dyDescent="0.35">
      <c r="A262" s="1055" t="s">
        <v>105</v>
      </c>
      <c r="G262" s="1115">
        <v>1</v>
      </c>
      <c r="H262" s="1079">
        <v>8</v>
      </c>
      <c r="I262" s="1079">
        <v>7680</v>
      </c>
      <c r="J262" s="1080"/>
      <c r="K262" s="1080"/>
      <c r="L262" s="1080"/>
      <c r="M262" s="1080"/>
      <c r="N262" s="1080"/>
      <c r="O262" s="1080"/>
      <c r="P262" s="1080"/>
      <c r="Q262" s="1081">
        <f>I262/H262</f>
        <v>960</v>
      </c>
      <c r="T262" t="str">
        <f>E261</f>
        <v>LowRiseGarden</v>
      </c>
    </row>
    <row r="263" spans="1:23" ht="29" x14ac:dyDescent="0.35">
      <c r="A263" s="1057" t="s">
        <v>109</v>
      </c>
      <c r="D263" s="56"/>
      <c r="E263" s="56"/>
      <c r="F263" s="1028" t="s">
        <v>367</v>
      </c>
      <c r="G263" s="1028"/>
      <c r="H263" s="1028"/>
      <c r="I263" s="1028"/>
      <c r="J263" s="1028"/>
      <c r="K263" s="1029" t="s">
        <v>393</v>
      </c>
      <c r="L263" s="1029"/>
      <c r="M263" s="1029"/>
      <c r="N263" s="1029"/>
      <c r="O263" s="1029"/>
      <c r="P263" s="18" t="s">
        <v>371</v>
      </c>
      <c r="Q263" s="1158" t="s">
        <v>4</v>
      </c>
      <c r="R263" s="1158"/>
      <c r="S263" s="1158"/>
      <c r="T263" s="1031" t="s">
        <v>372</v>
      </c>
      <c r="U263" s="1115"/>
      <c r="V263" s="1115"/>
      <c r="W263" s="13"/>
    </row>
    <row r="264" spans="1:23" ht="87.5" thickBot="1" x14ac:dyDescent="0.4">
      <c r="A264" s="1058" t="s">
        <v>402</v>
      </c>
      <c r="D264" s="360" t="s">
        <v>373</v>
      </c>
      <c r="E264" s="360" t="s">
        <v>96</v>
      </c>
      <c r="F264" s="18" t="s">
        <v>374</v>
      </c>
      <c r="G264" s="18" t="s">
        <v>375</v>
      </c>
      <c r="H264" s="18" t="s">
        <v>376</v>
      </c>
      <c r="I264" s="18" t="s">
        <v>377</v>
      </c>
      <c r="J264" s="18" t="s">
        <v>378</v>
      </c>
      <c r="K264" s="1032" t="s">
        <v>389</v>
      </c>
      <c r="L264" s="1032" t="s">
        <v>375</v>
      </c>
      <c r="M264" s="1032" t="s">
        <v>380</v>
      </c>
      <c r="N264" s="4" t="s">
        <v>381</v>
      </c>
      <c r="O264" s="4" t="s">
        <v>378</v>
      </c>
      <c r="P264" s="18" t="s">
        <v>383</v>
      </c>
      <c r="Q264" s="4" t="s">
        <v>384</v>
      </c>
      <c r="R264" s="4" t="s">
        <v>11</v>
      </c>
      <c r="S264" s="4" t="s">
        <v>385</v>
      </c>
      <c r="T264" s="18" t="s">
        <v>386</v>
      </c>
      <c r="U264" s="1115"/>
      <c r="V264" s="1115"/>
      <c r="W264" s="13"/>
    </row>
    <row r="265" spans="1:23" x14ac:dyDescent="0.35">
      <c r="A265" s="1074">
        <v>1.06E-5</v>
      </c>
      <c r="D265" s="56" t="s">
        <v>387</v>
      </c>
      <c r="E265" s="56" t="s">
        <v>63</v>
      </c>
      <c r="F265" s="1033">
        <f t="shared" ref="F265:F280" si="149">$L$11</f>
        <v>1.75</v>
      </c>
      <c r="G265" s="1033">
        <f t="shared" ref="G265:G280" si="150">F265*$E$15</f>
        <v>4.375</v>
      </c>
      <c r="H265" s="1033">
        <f t="shared" ref="H265:H280" si="151">G265*$E$10</f>
        <v>0.27708333333333329</v>
      </c>
      <c r="I265" s="1033">
        <f>H265*$E$14</f>
        <v>831.24999999999989</v>
      </c>
      <c r="J265" s="1033">
        <f t="shared" ref="J265:J280" si="152">I265/$E$18</f>
        <v>0.37715517241379304</v>
      </c>
      <c r="K265" s="387">
        <f t="shared" ref="K265:K280" si="153">$L$11</f>
        <v>1.75</v>
      </c>
      <c r="L265" s="1034">
        <f t="shared" ref="L265:L280" si="154">K265*$F$15</f>
        <v>4.7833333333333323</v>
      </c>
      <c r="M265" s="1034">
        <f t="shared" ref="M265:M280" si="155">L265*$F$10</f>
        <v>0.30581444444444433</v>
      </c>
      <c r="N265" s="1035">
        <f>M265*$F$14</f>
        <v>917.44333333333304</v>
      </c>
      <c r="O265" s="1036">
        <f t="shared" ref="O265:O280" si="156">N265/$E$18</f>
        <v>0.41626285541439795</v>
      </c>
      <c r="P265" s="1060">
        <f t="shared" ref="P265:P280" si="157">O265-J265</f>
        <v>3.9107683000604909E-2</v>
      </c>
      <c r="Q265" s="3">
        <v>10.6</v>
      </c>
      <c r="R265" s="1040">
        <v>5.0994881268521712E-3</v>
      </c>
      <c r="S265" s="48">
        <v>1</v>
      </c>
      <c r="T265" s="1041">
        <f>P265*Q265*S265</f>
        <v>0.414541439806412</v>
      </c>
      <c r="U265" s="1012"/>
      <c r="V265" s="1012"/>
      <c r="W265" s="351"/>
    </row>
    <row r="266" spans="1:23" x14ac:dyDescent="0.35">
      <c r="A266" s="1075">
        <v>6.2920000000000001E-5</v>
      </c>
      <c r="D266" s="56" t="s">
        <v>387</v>
      </c>
      <c r="E266" s="56" t="s">
        <v>64</v>
      </c>
      <c r="F266" s="1033">
        <f t="shared" si="149"/>
        <v>1.75</v>
      </c>
      <c r="G266" s="1033">
        <f t="shared" si="150"/>
        <v>4.375</v>
      </c>
      <c r="H266" s="1033">
        <f t="shared" si="151"/>
        <v>0.27708333333333329</v>
      </c>
      <c r="I266" s="1033">
        <f t="shared" ref="I266:I280" si="158">H266*$E$14</f>
        <v>831.24999999999989</v>
      </c>
      <c r="J266" s="1033">
        <f t="shared" si="152"/>
        <v>0.37715517241379304</v>
      </c>
      <c r="K266" s="1043">
        <f t="shared" si="153"/>
        <v>1.75</v>
      </c>
      <c r="L266" s="1034">
        <f t="shared" si="154"/>
        <v>4.7833333333333323</v>
      </c>
      <c r="M266" s="1034">
        <f t="shared" si="155"/>
        <v>0.30581444444444433</v>
      </c>
      <c r="N266" s="1035">
        <f t="shared" ref="N266:N280" si="159">M266*$F$14</f>
        <v>917.44333333333304</v>
      </c>
      <c r="O266" s="1036">
        <f t="shared" si="156"/>
        <v>0.41626285541439795</v>
      </c>
      <c r="P266" s="1060">
        <f t="shared" si="157"/>
        <v>3.9107683000604909E-2</v>
      </c>
      <c r="Q266" s="3">
        <v>62.92</v>
      </c>
      <c r="R266" s="1040">
        <v>3.026979178693761E-2</v>
      </c>
      <c r="S266" s="48">
        <v>1</v>
      </c>
      <c r="T266" s="1041">
        <f t="shared" ref="T266:T280" si="160">P266*Q266*S266</f>
        <v>2.4606554143980608</v>
      </c>
      <c r="U266" s="1012"/>
      <c r="V266" s="1012"/>
      <c r="W266" s="351"/>
    </row>
    <row r="267" spans="1:23" x14ac:dyDescent="0.35">
      <c r="A267" s="1075">
        <v>3.0519999999999999E-4</v>
      </c>
      <c r="D267" s="56" t="s">
        <v>387</v>
      </c>
      <c r="E267" s="56" t="s">
        <v>65</v>
      </c>
      <c r="F267" s="1033">
        <f t="shared" si="149"/>
        <v>1.75</v>
      </c>
      <c r="G267" s="1033">
        <f t="shared" si="150"/>
        <v>4.375</v>
      </c>
      <c r="H267" s="1033">
        <f t="shared" si="151"/>
        <v>0.27708333333333329</v>
      </c>
      <c r="I267" s="1033">
        <f t="shared" si="158"/>
        <v>831.24999999999989</v>
      </c>
      <c r="J267" s="1033">
        <f t="shared" si="152"/>
        <v>0.37715517241379304</v>
      </c>
      <c r="K267" s="387">
        <f t="shared" si="153"/>
        <v>1.75</v>
      </c>
      <c r="L267" s="1034">
        <f t="shared" si="154"/>
        <v>4.7833333333333323</v>
      </c>
      <c r="M267" s="1034">
        <f t="shared" si="155"/>
        <v>0.30581444444444433</v>
      </c>
      <c r="N267" s="1035">
        <f t="shared" si="159"/>
        <v>917.44333333333304</v>
      </c>
      <c r="O267" s="1036">
        <f t="shared" si="156"/>
        <v>0.41626285541439795</v>
      </c>
      <c r="P267" s="1060">
        <f t="shared" si="157"/>
        <v>3.9107683000604909E-2</v>
      </c>
      <c r="Q267" s="3">
        <v>305.2</v>
      </c>
      <c r="R267" s="1040">
        <v>0.14682677135049838</v>
      </c>
      <c r="S267" s="48">
        <v>1</v>
      </c>
      <c r="T267" s="1041">
        <f t="shared" si="160"/>
        <v>11.935664851784617</v>
      </c>
      <c r="U267" s="1012"/>
      <c r="V267" s="1012"/>
      <c r="W267" s="351"/>
    </row>
    <row r="268" spans="1:23" x14ac:dyDescent="0.35">
      <c r="A268" s="1075">
        <v>1.5900000000000002E-4</v>
      </c>
      <c r="D268" s="56" t="s">
        <v>387</v>
      </c>
      <c r="E268" s="56" t="s">
        <v>66</v>
      </c>
      <c r="F268" s="1033">
        <f t="shared" si="149"/>
        <v>1.75</v>
      </c>
      <c r="G268" s="1033">
        <f t="shared" si="150"/>
        <v>4.375</v>
      </c>
      <c r="H268" s="1033">
        <f t="shared" si="151"/>
        <v>0.27708333333333329</v>
      </c>
      <c r="I268" s="1033">
        <f t="shared" si="158"/>
        <v>831.24999999999989</v>
      </c>
      <c r="J268" s="1033">
        <f t="shared" si="152"/>
        <v>0.37715517241379304</v>
      </c>
      <c r="K268" s="387">
        <f t="shared" si="153"/>
        <v>1.75</v>
      </c>
      <c r="L268" s="1034">
        <f t="shared" si="154"/>
        <v>4.7833333333333323</v>
      </c>
      <c r="M268" s="1034">
        <f t="shared" si="155"/>
        <v>0.30581444444444433</v>
      </c>
      <c r="N268" s="1035">
        <f t="shared" si="159"/>
        <v>917.44333333333304</v>
      </c>
      <c r="O268" s="1036">
        <f t="shared" si="156"/>
        <v>0.41626285541439795</v>
      </c>
      <c r="P268" s="1060">
        <f t="shared" si="157"/>
        <v>3.9107683000604909E-2</v>
      </c>
      <c r="Q268" s="3">
        <v>159.00000000000003</v>
      </c>
      <c r="R268" s="1040">
        <v>7.6492321902782587E-2</v>
      </c>
      <c r="S268" s="48">
        <v>1</v>
      </c>
      <c r="T268" s="1041">
        <f t="shared" si="160"/>
        <v>6.2181215970961814</v>
      </c>
      <c r="U268" s="1012"/>
      <c r="V268" s="1012"/>
      <c r="W268" s="351"/>
    </row>
    <row r="269" spans="1:23" x14ac:dyDescent="0.35">
      <c r="A269" s="1075">
        <v>2.8240000000000001E-5</v>
      </c>
      <c r="D269" s="56" t="s">
        <v>387</v>
      </c>
      <c r="E269" s="56" t="s">
        <v>67</v>
      </c>
      <c r="F269" s="1033">
        <f t="shared" si="149"/>
        <v>1.75</v>
      </c>
      <c r="G269" s="1033">
        <f t="shared" si="150"/>
        <v>4.375</v>
      </c>
      <c r="H269" s="1033">
        <f t="shared" si="151"/>
        <v>0.27708333333333329</v>
      </c>
      <c r="I269" s="1033">
        <f t="shared" si="158"/>
        <v>831.24999999999989</v>
      </c>
      <c r="J269" s="1033">
        <f t="shared" si="152"/>
        <v>0.37715517241379304</v>
      </c>
      <c r="K269" s="387">
        <f t="shared" si="153"/>
        <v>1.75</v>
      </c>
      <c r="L269" s="1034">
        <f t="shared" si="154"/>
        <v>4.7833333333333323</v>
      </c>
      <c r="M269" s="1034">
        <f t="shared" si="155"/>
        <v>0.30581444444444433</v>
      </c>
      <c r="N269" s="1035">
        <f t="shared" si="159"/>
        <v>917.44333333333304</v>
      </c>
      <c r="O269" s="1036">
        <f t="shared" si="156"/>
        <v>0.41626285541439795</v>
      </c>
      <c r="P269" s="1060">
        <f t="shared" si="157"/>
        <v>3.9107683000604909E-2</v>
      </c>
      <c r="Q269" s="3">
        <v>28.240000000000002</v>
      </c>
      <c r="R269" s="1040">
        <v>1.358580610399107E-2</v>
      </c>
      <c r="S269" s="48">
        <v>1</v>
      </c>
      <c r="T269" s="1041">
        <f t="shared" si="160"/>
        <v>1.1044009679370828</v>
      </c>
      <c r="U269" s="1012"/>
      <c r="V269" s="1012"/>
      <c r="W269" s="351"/>
    </row>
    <row r="270" spans="1:23" x14ac:dyDescent="0.35">
      <c r="A270" s="1075">
        <v>1.348E-4</v>
      </c>
      <c r="D270" s="56" t="s">
        <v>387</v>
      </c>
      <c r="E270" s="56" t="s">
        <v>68</v>
      </c>
      <c r="F270" s="1033">
        <f t="shared" si="149"/>
        <v>1.75</v>
      </c>
      <c r="G270" s="1033">
        <f t="shared" si="150"/>
        <v>4.375</v>
      </c>
      <c r="H270" s="1033">
        <f t="shared" si="151"/>
        <v>0.27708333333333329</v>
      </c>
      <c r="I270" s="1033">
        <f t="shared" si="158"/>
        <v>831.24999999999989</v>
      </c>
      <c r="J270" s="1033">
        <f t="shared" si="152"/>
        <v>0.37715517241379304</v>
      </c>
      <c r="K270" s="387">
        <f t="shared" si="153"/>
        <v>1.75</v>
      </c>
      <c r="L270" s="1034">
        <f t="shared" si="154"/>
        <v>4.7833333333333323</v>
      </c>
      <c r="M270" s="1034">
        <f t="shared" si="155"/>
        <v>0.30581444444444433</v>
      </c>
      <c r="N270" s="1035">
        <f t="shared" si="159"/>
        <v>917.44333333333304</v>
      </c>
      <c r="O270" s="1036">
        <f t="shared" si="156"/>
        <v>0.41626285541439795</v>
      </c>
      <c r="P270" s="1060">
        <f t="shared" si="157"/>
        <v>3.9107683000604909E-2</v>
      </c>
      <c r="Q270" s="3">
        <v>134.79999999999998</v>
      </c>
      <c r="R270" s="1040">
        <v>6.4850094292421945E-2</v>
      </c>
      <c r="S270" s="48">
        <v>1</v>
      </c>
      <c r="T270" s="1041">
        <f t="shared" si="160"/>
        <v>5.2717156684815407</v>
      </c>
      <c r="U270" s="1012"/>
      <c r="V270" s="1012"/>
      <c r="W270" s="351"/>
    </row>
    <row r="271" spans="1:23" x14ac:dyDescent="0.35">
      <c r="A271" s="1075">
        <v>1.4491999999999999E-4</v>
      </c>
      <c r="D271" s="56" t="s">
        <v>387</v>
      </c>
      <c r="E271" s="56" t="s">
        <v>69</v>
      </c>
      <c r="F271" s="1033">
        <f t="shared" si="149"/>
        <v>1.75</v>
      </c>
      <c r="G271" s="1033">
        <f t="shared" si="150"/>
        <v>4.375</v>
      </c>
      <c r="H271" s="1033">
        <f t="shared" si="151"/>
        <v>0.27708333333333329</v>
      </c>
      <c r="I271" s="1033">
        <f t="shared" si="158"/>
        <v>831.24999999999989</v>
      </c>
      <c r="J271" s="1033">
        <f t="shared" si="152"/>
        <v>0.37715517241379304</v>
      </c>
      <c r="K271" s="387">
        <f t="shared" si="153"/>
        <v>1.75</v>
      </c>
      <c r="L271" s="1034">
        <f t="shared" si="154"/>
        <v>4.7833333333333323</v>
      </c>
      <c r="M271" s="1034">
        <f t="shared" si="155"/>
        <v>0.30581444444444433</v>
      </c>
      <c r="N271" s="1035">
        <f t="shared" si="159"/>
        <v>917.44333333333304</v>
      </c>
      <c r="O271" s="1036">
        <f t="shared" si="156"/>
        <v>0.41626285541439795</v>
      </c>
      <c r="P271" s="1060">
        <f t="shared" si="157"/>
        <v>3.9107683000604909E-2</v>
      </c>
      <c r="Q271" s="3">
        <v>144.91999999999999</v>
      </c>
      <c r="R271" s="1040">
        <v>6.9718662202209125E-2</v>
      </c>
      <c r="S271" s="48">
        <v>1</v>
      </c>
      <c r="T271" s="1041">
        <f t="shared" si="160"/>
        <v>5.6674854204476626</v>
      </c>
      <c r="U271" s="1012"/>
      <c r="V271" s="1012"/>
      <c r="W271" s="351"/>
    </row>
    <row r="272" spans="1:23" x14ac:dyDescent="0.35">
      <c r="A272" s="1075">
        <v>1.8952000000000002E-4</v>
      </c>
      <c r="D272" s="56" t="s">
        <v>387</v>
      </c>
      <c r="E272" s="56" t="s">
        <v>70</v>
      </c>
      <c r="F272" s="1033">
        <f t="shared" si="149"/>
        <v>1.75</v>
      </c>
      <c r="G272" s="1033">
        <f t="shared" si="150"/>
        <v>4.375</v>
      </c>
      <c r="H272" s="1033">
        <f t="shared" si="151"/>
        <v>0.27708333333333329</v>
      </c>
      <c r="I272" s="1033">
        <f t="shared" si="158"/>
        <v>831.24999999999989</v>
      </c>
      <c r="J272" s="1033">
        <f t="shared" si="152"/>
        <v>0.37715517241379304</v>
      </c>
      <c r="K272" s="387">
        <f t="shared" si="153"/>
        <v>1.75</v>
      </c>
      <c r="L272" s="1034">
        <f t="shared" si="154"/>
        <v>4.7833333333333323</v>
      </c>
      <c r="M272" s="1034">
        <f t="shared" si="155"/>
        <v>0.30581444444444433</v>
      </c>
      <c r="N272" s="1035">
        <f t="shared" si="159"/>
        <v>917.44333333333304</v>
      </c>
      <c r="O272" s="1036">
        <f t="shared" si="156"/>
        <v>0.41626285541439795</v>
      </c>
      <c r="P272" s="1060">
        <f t="shared" si="157"/>
        <v>3.9107683000604909E-2</v>
      </c>
      <c r="Q272" s="3">
        <v>189.52</v>
      </c>
      <c r="R272" s="1040">
        <v>9.1174999037832424E-2</v>
      </c>
      <c r="S272" s="48">
        <v>1</v>
      </c>
      <c r="T272" s="1041">
        <f t="shared" si="160"/>
        <v>7.4116880822746429</v>
      </c>
      <c r="U272" s="1012"/>
      <c r="V272" s="1012"/>
      <c r="W272" s="351"/>
    </row>
    <row r="273" spans="1:23" x14ac:dyDescent="0.35">
      <c r="A273" s="1075">
        <v>4.4496E-4</v>
      </c>
      <c r="D273" s="56" t="s">
        <v>387</v>
      </c>
      <c r="E273" s="56" t="s">
        <v>71</v>
      </c>
      <c r="F273" s="1033">
        <f t="shared" si="149"/>
        <v>1.75</v>
      </c>
      <c r="G273" s="1033">
        <f t="shared" si="150"/>
        <v>4.375</v>
      </c>
      <c r="H273" s="1033">
        <f t="shared" si="151"/>
        <v>0.27708333333333329</v>
      </c>
      <c r="I273" s="1033">
        <f t="shared" si="158"/>
        <v>831.24999999999989</v>
      </c>
      <c r="J273" s="1033">
        <f t="shared" si="152"/>
        <v>0.37715517241379304</v>
      </c>
      <c r="K273" s="387">
        <f t="shared" si="153"/>
        <v>1.75</v>
      </c>
      <c r="L273" s="1034">
        <f t="shared" si="154"/>
        <v>4.7833333333333323</v>
      </c>
      <c r="M273" s="1034">
        <f t="shared" si="155"/>
        <v>0.30581444444444433</v>
      </c>
      <c r="N273" s="1035">
        <f t="shared" si="159"/>
        <v>917.44333333333304</v>
      </c>
      <c r="O273" s="1036">
        <f t="shared" si="156"/>
        <v>0.41626285541439795</v>
      </c>
      <c r="P273" s="1060">
        <f t="shared" si="157"/>
        <v>3.9107683000604909E-2</v>
      </c>
      <c r="Q273" s="3">
        <v>444.96</v>
      </c>
      <c r="R273" s="1040">
        <v>0.2140630412192587</v>
      </c>
      <c r="S273" s="48">
        <v>1</v>
      </c>
      <c r="T273" s="1041">
        <f t="shared" si="160"/>
        <v>17.401354627949161</v>
      </c>
      <c r="U273" s="1012"/>
      <c r="V273" s="1012"/>
      <c r="W273" s="351"/>
    </row>
    <row r="274" spans="1:23" x14ac:dyDescent="0.35">
      <c r="A274" s="1075">
        <v>1.5720000000000003E-4</v>
      </c>
      <c r="D274" s="56" t="s">
        <v>387</v>
      </c>
      <c r="E274" s="56" t="s">
        <v>72</v>
      </c>
      <c r="F274" s="1033">
        <f t="shared" si="149"/>
        <v>1.75</v>
      </c>
      <c r="G274" s="1033">
        <f t="shared" si="150"/>
        <v>4.375</v>
      </c>
      <c r="H274" s="1033">
        <f t="shared" si="151"/>
        <v>0.27708333333333329</v>
      </c>
      <c r="I274" s="1033">
        <f t="shared" si="158"/>
        <v>831.24999999999989</v>
      </c>
      <c r="J274" s="1033">
        <f t="shared" si="152"/>
        <v>0.37715517241379304</v>
      </c>
      <c r="K274" s="387">
        <f t="shared" si="153"/>
        <v>1.75</v>
      </c>
      <c r="L274" s="1034">
        <f t="shared" si="154"/>
        <v>4.7833333333333323</v>
      </c>
      <c r="M274" s="1034">
        <f t="shared" si="155"/>
        <v>0.30581444444444433</v>
      </c>
      <c r="N274" s="1035">
        <f t="shared" si="159"/>
        <v>917.44333333333304</v>
      </c>
      <c r="O274" s="1036">
        <f t="shared" si="156"/>
        <v>0.41626285541439795</v>
      </c>
      <c r="P274" s="1060">
        <f t="shared" si="157"/>
        <v>3.9107683000604909E-2</v>
      </c>
      <c r="Q274" s="3">
        <v>157.20000000000002</v>
      </c>
      <c r="R274" s="1040">
        <v>7.5626371088788821E-2</v>
      </c>
      <c r="S274" s="48">
        <v>1</v>
      </c>
      <c r="T274" s="1041">
        <f t="shared" si="160"/>
        <v>6.1477277676950921</v>
      </c>
      <c r="U274" s="1012"/>
      <c r="V274" s="1012"/>
      <c r="W274" s="351"/>
    </row>
    <row r="275" spans="1:23" x14ac:dyDescent="0.35">
      <c r="A275" s="1075">
        <v>4.4879999999999997E-5</v>
      </c>
      <c r="D275" s="56" t="s">
        <v>387</v>
      </c>
      <c r="E275" s="56" t="s">
        <v>73</v>
      </c>
      <c r="F275" s="1033">
        <f t="shared" si="149"/>
        <v>1.75</v>
      </c>
      <c r="G275" s="1033">
        <f t="shared" si="150"/>
        <v>4.375</v>
      </c>
      <c r="H275" s="1033">
        <f t="shared" si="151"/>
        <v>0.27708333333333329</v>
      </c>
      <c r="I275" s="1033">
        <f t="shared" si="158"/>
        <v>831.24999999999989</v>
      </c>
      <c r="J275" s="1033">
        <f t="shared" si="152"/>
        <v>0.37715517241379304</v>
      </c>
      <c r="K275" s="387">
        <f t="shared" si="153"/>
        <v>1.75</v>
      </c>
      <c r="L275" s="1034">
        <f t="shared" si="154"/>
        <v>4.7833333333333323</v>
      </c>
      <c r="M275" s="1034">
        <f t="shared" si="155"/>
        <v>0.30581444444444433</v>
      </c>
      <c r="N275" s="1035">
        <f t="shared" si="159"/>
        <v>917.44333333333304</v>
      </c>
      <c r="O275" s="1036">
        <f t="shared" si="156"/>
        <v>0.41626285541439795</v>
      </c>
      <c r="P275" s="1060">
        <f t="shared" si="157"/>
        <v>3.9107683000604909E-2</v>
      </c>
      <c r="Q275" s="3">
        <v>44.879999999999995</v>
      </c>
      <c r="R275" s="1040">
        <v>2.1591040295577874E-2</v>
      </c>
      <c r="S275" s="48">
        <v>1</v>
      </c>
      <c r="T275" s="1041">
        <f t="shared" si="160"/>
        <v>1.7551528130671481</v>
      </c>
      <c r="U275" s="1012"/>
      <c r="V275" s="1012"/>
      <c r="W275" s="351"/>
    </row>
    <row r="276" spans="1:23" x14ac:dyDescent="0.35">
      <c r="A276" s="1075">
        <v>2.5340000000000003E-4</v>
      </c>
      <c r="D276" s="56" t="s">
        <v>387</v>
      </c>
      <c r="E276" s="56" t="s">
        <v>74</v>
      </c>
      <c r="F276" s="1033">
        <f t="shared" si="149"/>
        <v>1.75</v>
      </c>
      <c r="G276" s="1033">
        <f t="shared" si="150"/>
        <v>4.375</v>
      </c>
      <c r="H276" s="1033">
        <f t="shared" si="151"/>
        <v>0.27708333333333329</v>
      </c>
      <c r="I276" s="1033">
        <f t="shared" si="158"/>
        <v>831.24999999999989</v>
      </c>
      <c r="J276" s="1033">
        <f t="shared" si="152"/>
        <v>0.37715517241379304</v>
      </c>
      <c r="K276" s="387">
        <f t="shared" si="153"/>
        <v>1.75</v>
      </c>
      <c r="L276" s="1034">
        <f t="shared" si="154"/>
        <v>4.7833333333333323</v>
      </c>
      <c r="M276" s="1034">
        <f t="shared" si="155"/>
        <v>0.30581444444444433</v>
      </c>
      <c r="N276" s="1035">
        <f t="shared" si="159"/>
        <v>917.44333333333304</v>
      </c>
      <c r="O276" s="1036">
        <f t="shared" si="156"/>
        <v>0.41626285541439795</v>
      </c>
      <c r="P276" s="1060">
        <f t="shared" si="157"/>
        <v>3.9107683000604909E-2</v>
      </c>
      <c r="Q276" s="3">
        <v>253.40000000000003</v>
      </c>
      <c r="R276" s="1040">
        <v>0.12190663125890004</v>
      </c>
      <c r="S276" s="48">
        <v>1</v>
      </c>
      <c r="T276" s="1041">
        <f t="shared" si="160"/>
        <v>9.9098868723532849</v>
      </c>
      <c r="U276" s="1012"/>
      <c r="V276" s="1012"/>
      <c r="W276" s="351"/>
    </row>
    <row r="277" spans="1:23" x14ac:dyDescent="0.35">
      <c r="A277" s="1075">
        <v>7.3960000000000003E-5</v>
      </c>
      <c r="D277" s="56" t="s">
        <v>387</v>
      </c>
      <c r="E277" s="56" t="s">
        <v>75</v>
      </c>
      <c r="F277" s="1033">
        <f t="shared" si="149"/>
        <v>1.75</v>
      </c>
      <c r="G277" s="1033">
        <f t="shared" si="150"/>
        <v>4.375</v>
      </c>
      <c r="H277" s="1033">
        <f t="shared" si="151"/>
        <v>0.27708333333333329</v>
      </c>
      <c r="I277" s="1033">
        <f t="shared" si="158"/>
        <v>831.24999999999989</v>
      </c>
      <c r="J277" s="1033">
        <f t="shared" si="152"/>
        <v>0.37715517241379304</v>
      </c>
      <c r="K277" s="387">
        <f t="shared" si="153"/>
        <v>1.75</v>
      </c>
      <c r="L277" s="1034">
        <f t="shared" si="154"/>
        <v>4.7833333333333323</v>
      </c>
      <c r="M277" s="1034">
        <f t="shared" si="155"/>
        <v>0.30581444444444433</v>
      </c>
      <c r="N277" s="1035">
        <f t="shared" si="159"/>
        <v>917.44333333333304</v>
      </c>
      <c r="O277" s="1036">
        <f t="shared" si="156"/>
        <v>0.41626285541439795</v>
      </c>
      <c r="P277" s="1060">
        <f t="shared" si="157"/>
        <v>3.9107683000604909E-2</v>
      </c>
      <c r="Q277" s="3">
        <v>73.960000000000008</v>
      </c>
      <c r="R277" s="1040">
        <v>3.5580956779432703E-2</v>
      </c>
      <c r="S277" s="48">
        <v>1</v>
      </c>
      <c r="T277" s="1041">
        <f t="shared" si="160"/>
        <v>2.8924042347247392</v>
      </c>
      <c r="U277" s="1012"/>
      <c r="V277" s="1012"/>
      <c r="W277" s="351"/>
    </row>
    <row r="278" spans="1:23" x14ac:dyDescent="0.35">
      <c r="A278" s="1075">
        <v>3.3600000000000004E-5</v>
      </c>
      <c r="D278" s="56" t="s">
        <v>387</v>
      </c>
      <c r="E278" s="56" t="s">
        <v>76</v>
      </c>
      <c r="F278" s="1033">
        <f t="shared" si="149"/>
        <v>1.75</v>
      </c>
      <c r="G278" s="1033">
        <f t="shared" si="150"/>
        <v>4.375</v>
      </c>
      <c r="H278" s="1033">
        <f t="shared" si="151"/>
        <v>0.27708333333333329</v>
      </c>
      <c r="I278" s="1033">
        <f t="shared" si="158"/>
        <v>831.24999999999989</v>
      </c>
      <c r="J278" s="1033">
        <f t="shared" si="152"/>
        <v>0.37715517241379304</v>
      </c>
      <c r="K278" s="387">
        <f t="shared" si="153"/>
        <v>1.75</v>
      </c>
      <c r="L278" s="1034">
        <f t="shared" si="154"/>
        <v>4.7833333333333323</v>
      </c>
      <c r="M278" s="1034">
        <f t="shared" si="155"/>
        <v>0.30581444444444433</v>
      </c>
      <c r="N278" s="1035">
        <f t="shared" si="159"/>
        <v>917.44333333333304</v>
      </c>
      <c r="O278" s="1036">
        <f t="shared" si="156"/>
        <v>0.41626285541439795</v>
      </c>
      <c r="P278" s="1060">
        <f t="shared" si="157"/>
        <v>3.9107683000604909E-2</v>
      </c>
      <c r="Q278" s="3">
        <v>33.6</v>
      </c>
      <c r="R278" s="1040">
        <v>1.616441519455028E-2</v>
      </c>
      <c r="S278" s="48">
        <v>1</v>
      </c>
      <c r="T278" s="1041">
        <f t="shared" si="160"/>
        <v>1.3140181488203251</v>
      </c>
      <c r="U278" s="1012"/>
      <c r="V278" s="1012"/>
      <c r="W278" s="351"/>
    </row>
    <row r="279" spans="1:23" x14ac:dyDescent="0.35">
      <c r="A279" s="1075">
        <v>2.1879999999999997E-5</v>
      </c>
      <c r="D279" s="56" t="s">
        <v>387</v>
      </c>
      <c r="E279" s="56" t="s">
        <v>77</v>
      </c>
      <c r="F279" s="1033">
        <f t="shared" si="149"/>
        <v>1.75</v>
      </c>
      <c r="G279" s="1033">
        <f t="shared" si="150"/>
        <v>4.375</v>
      </c>
      <c r="H279" s="1033">
        <f t="shared" si="151"/>
        <v>0.27708333333333329</v>
      </c>
      <c r="I279" s="1033">
        <f t="shared" si="158"/>
        <v>831.24999999999989</v>
      </c>
      <c r="J279" s="1033">
        <f t="shared" si="152"/>
        <v>0.37715517241379304</v>
      </c>
      <c r="K279" s="387">
        <f t="shared" si="153"/>
        <v>1.75</v>
      </c>
      <c r="L279" s="1034">
        <f t="shared" si="154"/>
        <v>4.7833333333333323</v>
      </c>
      <c r="M279" s="1034">
        <f t="shared" si="155"/>
        <v>0.30581444444444433</v>
      </c>
      <c r="N279" s="1035">
        <f t="shared" si="159"/>
        <v>917.44333333333304</v>
      </c>
      <c r="O279" s="1036">
        <f t="shared" si="156"/>
        <v>0.41626285541439795</v>
      </c>
      <c r="P279" s="1060">
        <f t="shared" si="157"/>
        <v>3.9107683000604909E-2</v>
      </c>
      <c r="Q279" s="3">
        <v>21.879999999999995</v>
      </c>
      <c r="R279" s="1040">
        <v>1.0526113227879764E-2</v>
      </c>
      <c r="S279" s="48">
        <v>1</v>
      </c>
      <c r="T279" s="1041">
        <f t="shared" si="160"/>
        <v>0.85567610405323524</v>
      </c>
      <c r="U279" s="1012"/>
      <c r="V279" s="1012"/>
      <c r="W279" s="351"/>
    </row>
    <row r="280" spans="1:23" ht="15" thickBot="1" x14ac:dyDescent="0.4">
      <c r="A280" s="1076">
        <v>1.3560000000000001E-5</v>
      </c>
      <c r="D280" s="56" t="s">
        <v>387</v>
      </c>
      <c r="E280" s="56" t="s">
        <v>78</v>
      </c>
      <c r="F280" s="1033">
        <f t="shared" si="149"/>
        <v>1.75</v>
      </c>
      <c r="G280" s="1033">
        <f t="shared" si="150"/>
        <v>4.375</v>
      </c>
      <c r="H280" s="1033">
        <f t="shared" si="151"/>
        <v>0.27708333333333329</v>
      </c>
      <c r="I280" s="1033">
        <f t="shared" si="158"/>
        <v>831.24999999999989</v>
      </c>
      <c r="J280" s="1033">
        <f t="shared" si="152"/>
        <v>0.37715517241379304</v>
      </c>
      <c r="K280" s="387">
        <f t="shared" si="153"/>
        <v>1.75</v>
      </c>
      <c r="L280" s="1034">
        <f t="shared" si="154"/>
        <v>4.7833333333333323</v>
      </c>
      <c r="M280" s="1034">
        <f t="shared" si="155"/>
        <v>0.30581444444444433</v>
      </c>
      <c r="N280" s="1035">
        <f t="shared" si="159"/>
        <v>917.44333333333304</v>
      </c>
      <c r="O280" s="1036">
        <f t="shared" si="156"/>
        <v>0.41626285541439795</v>
      </c>
      <c r="P280" s="1060">
        <f t="shared" si="157"/>
        <v>3.9107683000604909E-2</v>
      </c>
      <c r="Q280" s="3">
        <v>13.56</v>
      </c>
      <c r="R280" s="1040">
        <v>6.5234961320863637E-3</v>
      </c>
      <c r="S280" s="48">
        <v>1</v>
      </c>
      <c r="T280" s="1041">
        <f t="shared" si="160"/>
        <v>0.53030018148820257</v>
      </c>
      <c r="U280" s="1012"/>
      <c r="V280" s="1012"/>
      <c r="W280" s="351"/>
    </row>
    <row r="281" spans="1:23" x14ac:dyDescent="0.35">
      <c r="A281" s="1077">
        <f>SUM(A265:A280)</f>
        <v>2.0786400000000001E-3</v>
      </c>
      <c r="D281" s="56"/>
      <c r="E281" s="362" t="s">
        <v>79</v>
      </c>
      <c r="F281" s="1078"/>
      <c r="G281" s="1078"/>
      <c r="H281" s="1078"/>
      <c r="I281" s="1078"/>
      <c r="J281" s="1046">
        <f>SUM(J265:J280)</f>
        <v>6.0344827586206877</v>
      </c>
      <c r="K281" s="362"/>
      <c r="L281" s="362"/>
      <c r="M281" s="362"/>
      <c r="N281" s="362"/>
      <c r="O281" s="1047">
        <f>SUM(O265:O280)</f>
        <v>6.6602056866303663</v>
      </c>
      <c r="P281" s="1046">
        <f>SUM(P265:P280)</f>
        <v>0.62572292800967877</v>
      </c>
      <c r="Q281" s="3">
        <v>2078.6400000000003</v>
      </c>
      <c r="R281" s="56">
        <v>0.99999999999999989</v>
      </c>
      <c r="S281" s="56"/>
      <c r="T281" s="1047">
        <f>SUM(T265:T280)</f>
        <v>81.290794192377376</v>
      </c>
    </row>
    <row r="282" spans="1:23" x14ac:dyDescent="0.35">
      <c r="E282" t="s">
        <v>92</v>
      </c>
      <c r="F282">
        <v>0.32999999999999996</v>
      </c>
      <c r="I282" t="s">
        <v>394</v>
      </c>
      <c r="J282" s="1093">
        <f>SUMPRODUCT(J265:J280,Q265:Q280)</f>
        <v>783.96982758620675</v>
      </c>
    </row>
    <row r="283" spans="1:23" x14ac:dyDescent="0.35">
      <c r="Q283" s="698"/>
    </row>
    <row r="284" spans="1:23" x14ac:dyDescent="0.35">
      <c r="E284" t="s">
        <v>93</v>
      </c>
      <c r="G284" s="1115" t="s">
        <v>366</v>
      </c>
      <c r="H284" t="s">
        <v>399</v>
      </c>
      <c r="I284" t="s">
        <v>403</v>
      </c>
      <c r="Q284" s="1115" t="s">
        <v>401</v>
      </c>
    </row>
    <row r="285" spans="1:23" x14ac:dyDescent="0.35">
      <c r="A285" s="1055" t="s">
        <v>105</v>
      </c>
      <c r="G285" s="1115">
        <v>1</v>
      </c>
      <c r="H285" s="1082">
        <v>88</v>
      </c>
      <c r="I285" s="1083">
        <v>113100</v>
      </c>
      <c r="J285" s="1084"/>
      <c r="K285" s="1084"/>
      <c r="L285" s="1084"/>
      <c r="M285" s="1084"/>
      <c r="N285" s="1084"/>
      <c r="O285" s="1084"/>
      <c r="P285" s="1084"/>
      <c r="Q285" s="1081">
        <f>I285/H285</f>
        <v>1285.2272727272727</v>
      </c>
      <c r="T285" t="str">
        <f>E284</f>
        <v>MidRiseMixedUse</v>
      </c>
    </row>
    <row r="286" spans="1:23" ht="29" x14ac:dyDescent="0.35">
      <c r="A286" s="1057" t="s">
        <v>109</v>
      </c>
      <c r="D286" s="56"/>
      <c r="E286" s="56"/>
      <c r="F286" s="1028" t="s">
        <v>367</v>
      </c>
      <c r="G286" s="1028"/>
      <c r="H286" s="1028"/>
      <c r="I286" s="1028"/>
      <c r="J286" s="1028"/>
      <c r="K286" s="1029" t="s">
        <v>393</v>
      </c>
      <c r="L286" s="1029"/>
      <c r="M286" s="1029"/>
      <c r="N286" s="1029"/>
      <c r="O286" s="1029"/>
      <c r="P286" s="18" t="s">
        <v>371</v>
      </c>
      <c r="Q286" s="1158" t="s">
        <v>4</v>
      </c>
      <c r="R286" s="1158"/>
      <c r="S286" s="1158"/>
      <c r="T286" s="1031" t="s">
        <v>372</v>
      </c>
      <c r="U286" s="1115"/>
      <c r="V286" s="1115"/>
      <c r="W286" s="13"/>
    </row>
    <row r="287" spans="1:23" ht="87.5" thickBot="1" x14ac:dyDescent="0.4">
      <c r="A287" s="1058" t="s">
        <v>402</v>
      </c>
      <c r="D287" s="360" t="s">
        <v>373</v>
      </c>
      <c r="E287" s="360" t="s">
        <v>96</v>
      </c>
      <c r="F287" s="18" t="s">
        <v>374</v>
      </c>
      <c r="G287" s="18" t="s">
        <v>375</v>
      </c>
      <c r="H287" s="18" t="s">
        <v>376</v>
      </c>
      <c r="I287" s="18" t="s">
        <v>377</v>
      </c>
      <c r="J287" s="18" t="s">
        <v>378</v>
      </c>
      <c r="K287" s="1032" t="s">
        <v>389</v>
      </c>
      <c r="L287" s="1032" t="s">
        <v>375</v>
      </c>
      <c r="M287" s="1032" t="s">
        <v>380</v>
      </c>
      <c r="N287" s="4" t="s">
        <v>381</v>
      </c>
      <c r="O287" s="4" t="s">
        <v>378</v>
      </c>
      <c r="P287" s="18" t="s">
        <v>383</v>
      </c>
      <c r="Q287" s="4" t="s">
        <v>384</v>
      </c>
      <c r="R287" s="4" t="s">
        <v>11</v>
      </c>
      <c r="S287" s="4" t="s">
        <v>385</v>
      </c>
      <c r="T287" s="18" t="s">
        <v>386</v>
      </c>
      <c r="U287" s="1115"/>
      <c r="V287" s="1115"/>
      <c r="W287" s="13"/>
    </row>
    <row r="288" spans="1:23" x14ac:dyDescent="0.35">
      <c r="A288" s="1074">
        <v>1.537E-4</v>
      </c>
      <c r="D288" s="56" t="s">
        <v>387</v>
      </c>
      <c r="E288" s="56" t="s">
        <v>63</v>
      </c>
      <c r="F288" s="1033">
        <f t="shared" ref="F288:F303" si="161">$N$11</f>
        <v>1.8181818181818181</v>
      </c>
      <c r="G288" s="1033">
        <f t="shared" ref="G288:G303" si="162">F288*$E$15</f>
        <v>4.545454545454545</v>
      </c>
      <c r="H288" s="1033">
        <f t="shared" ref="H288:H303" si="163">G288*$E$10</f>
        <v>0.28787878787878779</v>
      </c>
      <c r="I288" s="1033">
        <f>H288*$E$14</f>
        <v>863.6363636363634</v>
      </c>
      <c r="J288" s="1033">
        <f t="shared" ref="J288:J303" si="164">I288/$E$18</f>
        <v>0.39184952978056414</v>
      </c>
      <c r="K288" s="387">
        <f t="shared" ref="K288:K303" si="165">$N$11</f>
        <v>1.8181818181818181</v>
      </c>
      <c r="L288" s="1034">
        <f t="shared" ref="L288:L303" si="166">K288*$F$15</f>
        <v>4.9696969696969688</v>
      </c>
      <c r="M288" s="1034">
        <f t="shared" ref="M288:M303" si="167">L288*$F$10</f>
        <v>0.31772929292929286</v>
      </c>
      <c r="N288" s="1035">
        <f>M288*$F$14</f>
        <v>953.18787878787862</v>
      </c>
      <c r="O288" s="1036">
        <f t="shared" ref="O288:O303" si="168">N288/$E$18</f>
        <v>0.43248088874223167</v>
      </c>
      <c r="P288" s="1060">
        <f t="shared" ref="P288:P303" si="169">O288-J288</f>
        <v>4.063135896166753E-2</v>
      </c>
      <c r="Q288" s="3">
        <v>153.69999999999999</v>
      </c>
      <c r="R288" s="1040">
        <v>5.099488126852173E-3</v>
      </c>
      <c r="S288" s="48">
        <v>1</v>
      </c>
      <c r="T288" s="1041">
        <f>P288*Q288*S288</f>
        <v>6.2450398724082987</v>
      </c>
      <c r="U288" s="1012"/>
      <c r="V288" s="1012"/>
      <c r="W288" s="351"/>
    </row>
    <row r="289" spans="1:23" x14ac:dyDescent="0.35">
      <c r="A289" s="1075">
        <v>9.1233999999999987E-4</v>
      </c>
      <c r="D289" s="56" t="s">
        <v>387</v>
      </c>
      <c r="E289" s="56" t="s">
        <v>64</v>
      </c>
      <c r="F289" s="1033">
        <f t="shared" si="161"/>
        <v>1.8181818181818181</v>
      </c>
      <c r="G289" s="1033">
        <f t="shared" si="162"/>
        <v>4.545454545454545</v>
      </c>
      <c r="H289" s="1033">
        <f t="shared" si="163"/>
        <v>0.28787878787878779</v>
      </c>
      <c r="I289" s="1033">
        <f t="shared" ref="I289:I303" si="170">H289*$E$14</f>
        <v>863.6363636363634</v>
      </c>
      <c r="J289" s="1033">
        <f t="shared" si="164"/>
        <v>0.39184952978056414</v>
      </c>
      <c r="K289" s="1043">
        <f t="shared" si="165"/>
        <v>1.8181818181818181</v>
      </c>
      <c r="L289" s="1034">
        <f t="shared" si="166"/>
        <v>4.9696969696969688</v>
      </c>
      <c r="M289" s="1034">
        <f t="shared" si="167"/>
        <v>0.31772929292929286</v>
      </c>
      <c r="N289" s="1035">
        <f t="shared" ref="N289:N303" si="171">M289*$F$14</f>
        <v>953.18787878787862</v>
      </c>
      <c r="O289" s="1036">
        <f t="shared" si="168"/>
        <v>0.43248088874223167</v>
      </c>
      <c r="P289" s="1060">
        <f t="shared" si="169"/>
        <v>4.063135896166753E-2</v>
      </c>
      <c r="Q289" s="3">
        <v>912.33999999999992</v>
      </c>
      <c r="R289" s="1040">
        <v>3.0269791786937617E-2</v>
      </c>
      <c r="S289" s="48">
        <v>1</v>
      </c>
      <c r="T289" s="1041">
        <f t="shared" ref="T289:T303" si="172">P289*Q289*S289</f>
        <v>37.069614035087753</v>
      </c>
      <c r="U289" s="1012"/>
      <c r="V289" s="1012"/>
      <c r="W289" s="351"/>
    </row>
    <row r="290" spans="1:23" x14ac:dyDescent="0.35">
      <c r="A290" s="1075">
        <v>4.4253999999999995E-3</v>
      </c>
      <c r="D290" s="56" t="s">
        <v>387</v>
      </c>
      <c r="E290" s="56" t="s">
        <v>65</v>
      </c>
      <c r="F290" s="1033">
        <f t="shared" si="161"/>
        <v>1.8181818181818181</v>
      </c>
      <c r="G290" s="1033">
        <f t="shared" si="162"/>
        <v>4.545454545454545</v>
      </c>
      <c r="H290" s="1033">
        <f t="shared" si="163"/>
        <v>0.28787878787878779</v>
      </c>
      <c r="I290" s="1033">
        <f t="shared" si="170"/>
        <v>863.6363636363634</v>
      </c>
      <c r="J290" s="1033">
        <f t="shared" si="164"/>
        <v>0.39184952978056414</v>
      </c>
      <c r="K290" s="387">
        <f t="shared" si="165"/>
        <v>1.8181818181818181</v>
      </c>
      <c r="L290" s="1034">
        <f t="shared" si="166"/>
        <v>4.9696969696969688</v>
      </c>
      <c r="M290" s="1034">
        <f t="shared" si="167"/>
        <v>0.31772929292929286</v>
      </c>
      <c r="N290" s="1035">
        <f t="shared" si="171"/>
        <v>953.18787878787862</v>
      </c>
      <c r="O290" s="1036">
        <f t="shared" si="168"/>
        <v>0.43248088874223167</v>
      </c>
      <c r="P290" s="1060">
        <f t="shared" si="169"/>
        <v>4.063135896166753E-2</v>
      </c>
      <c r="Q290" s="3">
        <v>4425.3999999999996</v>
      </c>
      <c r="R290" s="1040">
        <v>0.1468267713504984</v>
      </c>
      <c r="S290" s="48">
        <v>1</v>
      </c>
      <c r="T290" s="1041">
        <f t="shared" si="172"/>
        <v>179.81001594896347</v>
      </c>
      <c r="U290" s="1012"/>
      <c r="V290" s="1012"/>
      <c r="W290" s="351"/>
    </row>
    <row r="291" spans="1:23" x14ac:dyDescent="0.35">
      <c r="A291" s="1075">
        <v>2.3054999999999998E-3</v>
      </c>
      <c r="D291" s="56" t="s">
        <v>387</v>
      </c>
      <c r="E291" s="56" t="s">
        <v>66</v>
      </c>
      <c r="F291" s="1033">
        <f t="shared" si="161"/>
        <v>1.8181818181818181</v>
      </c>
      <c r="G291" s="1033">
        <f t="shared" si="162"/>
        <v>4.545454545454545</v>
      </c>
      <c r="H291" s="1033">
        <f t="shared" si="163"/>
        <v>0.28787878787878779</v>
      </c>
      <c r="I291" s="1033">
        <f t="shared" si="170"/>
        <v>863.6363636363634</v>
      </c>
      <c r="J291" s="1033">
        <f t="shared" si="164"/>
        <v>0.39184952978056414</v>
      </c>
      <c r="K291" s="387">
        <f t="shared" si="165"/>
        <v>1.8181818181818181</v>
      </c>
      <c r="L291" s="1034">
        <f t="shared" si="166"/>
        <v>4.9696969696969688</v>
      </c>
      <c r="M291" s="1034">
        <f t="shared" si="167"/>
        <v>0.31772929292929286</v>
      </c>
      <c r="N291" s="1035">
        <f t="shared" si="171"/>
        <v>953.18787878787862</v>
      </c>
      <c r="O291" s="1036">
        <f t="shared" si="168"/>
        <v>0.43248088874223167</v>
      </c>
      <c r="P291" s="1060">
        <f t="shared" si="169"/>
        <v>4.063135896166753E-2</v>
      </c>
      <c r="Q291" s="3">
        <v>2305.5</v>
      </c>
      <c r="R291" s="1040">
        <v>7.6492321902782601E-2</v>
      </c>
      <c r="S291" s="48">
        <v>1</v>
      </c>
      <c r="T291" s="1041">
        <f t="shared" si="172"/>
        <v>93.675598086124495</v>
      </c>
      <c r="U291" s="1012"/>
      <c r="V291" s="1012"/>
      <c r="W291" s="351"/>
    </row>
    <row r="292" spans="1:23" x14ac:dyDescent="0.35">
      <c r="A292" s="1075">
        <v>4.0947999999999999E-4</v>
      </c>
      <c r="D292" s="56" t="s">
        <v>387</v>
      </c>
      <c r="E292" s="56" t="s">
        <v>67</v>
      </c>
      <c r="F292" s="1033">
        <f t="shared" si="161"/>
        <v>1.8181818181818181</v>
      </c>
      <c r="G292" s="1033">
        <f t="shared" si="162"/>
        <v>4.545454545454545</v>
      </c>
      <c r="H292" s="1033">
        <f t="shared" si="163"/>
        <v>0.28787878787878779</v>
      </c>
      <c r="I292" s="1033">
        <f t="shared" si="170"/>
        <v>863.6363636363634</v>
      </c>
      <c r="J292" s="1033">
        <f t="shared" si="164"/>
        <v>0.39184952978056414</v>
      </c>
      <c r="K292" s="387">
        <f t="shared" si="165"/>
        <v>1.8181818181818181</v>
      </c>
      <c r="L292" s="1034">
        <f t="shared" si="166"/>
        <v>4.9696969696969688</v>
      </c>
      <c r="M292" s="1034">
        <f t="shared" si="167"/>
        <v>0.31772929292929286</v>
      </c>
      <c r="N292" s="1035">
        <f t="shared" si="171"/>
        <v>953.18787878787862</v>
      </c>
      <c r="O292" s="1036">
        <f t="shared" si="168"/>
        <v>0.43248088874223167</v>
      </c>
      <c r="P292" s="1060">
        <f t="shared" si="169"/>
        <v>4.063135896166753E-2</v>
      </c>
      <c r="Q292" s="3">
        <v>409.47999999999996</v>
      </c>
      <c r="R292" s="1040">
        <v>1.3585806103991072E-2</v>
      </c>
      <c r="S292" s="48">
        <v>1</v>
      </c>
      <c r="T292" s="1041">
        <f t="shared" si="172"/>
        <v>16.637728867623618</v>
      </c>
      <c r="U292" s="1012"/>
      <c r="V292" s="1012"/>
      <c r="W292" s="351"/>
    </row>
    <row r="293" spans="1:23" x14ac:dyDescent="0.35">
      <c r="A293" s="1075">
        <v>1.9545999999999999E-3</v>
      </c>
      <c r="D293" s="56" t="s">
        <v>387</v>
      </c>
      <c r="E293" s="56" t="s">
        <v>68</v>
      </c>
      <c r="F293" s="1033">
        <f t="shared" si="161"/>
        <v>1.8181818181818181</v>
      </c>
      <c r="G293" s="1033">
        <f t="shared" si="162"/>
        <v>4.545454545454545</v>
      </c>
      <c r="H293" s="1033">
        <f t="shared" si="163"/>
        <v>0.28787878787878779</v>
      </c>
      <c r="I293" s="1033">
        <f t="shared" si="170"/>
        <v>863.6363636363634</v>
      </c>
      <c r="J293" s="1033">
        <f t="shared" si="164"/>
        <v>0.39184952978056414</v>
      </c>
      <c r="K293" s="387">
        <f t="shared" si="165"/>
        <v>1.8181818181818181</v>
      </c>
      <c r="L293" s="1034">
        <f t="shared" si="166"/>
        <v>4.9696969696969688</v>
      </c>
      <c r="M293" s="1034">
        <f t="shared" si="167"/>
        <v>0.31772929292929286</v>
      </c>
      <c r="N293" s="1035">
        <f t="shared" si="171"/>
        <v>953.18787878787862</v>
      </c>
      <c r="O293" s="1036">
        <f t="shared" si="168"/>
        <v>0.43248088874223167</v>
      </c>
      <c r="P293" s="1060">
        <f t="shared" si="169"/>
        <v>4.063135896166753E-2</v>
      </c>
      <c r="Q293" s="3">
        <v>1954.6</v>
      </c>
      <c r="R293" s="1040">
        <v>6.4850094292421973E-2</v>
      </c>
      <c r="S293" s="48">
        <v>1</v>
      </c>
      <c r="T293" s="1041">
        <f t="shared" si="172"/>
        <v>79.418054226475348</v>
      </c>
      <c r="U293" s="1012"/>
      <c r="V293" s="1012"/>
      <c r="W293" s="351"/>
    </row>
    <row r="294" spans="1:23" x14ac:dyDescent="0.35">
      <c r="A294" s="1075">
        <v>2.1013399999999997E-3</v>
      </c>
      <c r="D294" s="56" t="s">
        <v>387</v>
      </c>
      <c r="E294" s="56" t="s">
        <v>69</v>
      </c>
      <c r="F294" s="1033">
        <f t="shared" si="161"/>
        <v>1.8181818181818181</v>
      </c>
      <c r="G294" s="1033">
        <f t="shared" si="162"/>
        <v>4.545454545454545</v>
      </c>
      <c r="H294" s="1033">
        <f t="shared" si="163"/>
        <v>0.28787878787878779</v>
      </c>
      <c r="I294" s="1033">
        <f t="shared" si="170"/>
        <v>863.6363636363634</v>
      </c>
      <c r="J294" s="1033">
        <f t="shared" si="164"/>
        <v>0.39184952978056414</v>
      </c>
      <c r="K294" s="387">
        <f t="shared" si="165"/>
        <v>1.8181818181818181</v>
      </c>
      <c r="L294" s="1034">
        <f t="shared" si="166"/>
        <v>4.9696969696969688</v>
      </c>
      <c r="M294" s="1034">
        <f t="shared" si="167"/>
        <v>0.31772929292929286</v>
      </c>
      <c r="N294" s="1035">
        <f t="shared" si="171"/>
        <v>953.18787878787862</v>
      </c>
      <c r="O294" s="1036">
        <f t="shared" si="168"/>
        <v>0.43248088874223167</v>
      </c>
      <c r="P294" s="1060">
        <f t="shared" si="169"/>
        <v>4.063135896166753E-2</v>
      </c>
      <c r="Q294" s="3">
        <v>2101.3399999999997</v>
      </c>
      <c r="R294" s="1040">
        <v>6.9718662202209139E-2</v>
      </c>
      <c r="S294" s="48">
        <v>1</v>
      </c>
      <c r="T294" s="1041">
        <f t="shared" si="172"/>
        <v>85.380299840510432</v>
      </c>
      <c r="U294" s="1012"/>
      <c r="V294" s="1012"/>
      <c r="W294" s="351"/>
    </row>
    <row r="295" spans="1:23" x14ac:dyDescent="0.35">
      <c r="A295" s="1075">
        <v>2.7480399999999998E-3</v>
      </c>
      <c r="D295" s="56" t="s">
        <v>387</v>
      </c>
      <c r="E295" s="56" t="s">
        <v>70</v>
      </c>
      <c r="F295" s="1033">
        <f t="shared" si="161"/>
        <v>1.8181818181818181</v>
      </c>
      <c r="G295" s="1033">
        <f t="shared" si="162"/>
        <v>4.545454545454545</v>
      </c>
      <c r="H295" s="1033">
        <f t="shared" si="163"/>
        <v>0.28787878787878779</v>
      </c>
      <c r="I295" s="1033">
        <f t="shared" si="170"/>
        <v>863.6363636363634</v>
      </c>
      <c r="J295" s="1033">
        <f t="shared" si="164"/>
        <v>0.39184952978056414</v>
      </c>
      <c r="K295" s="387">
        <f t="shared" si="165"/>
        <v>1.8181818181818181</v>
      </c>
      <c r="L295" s="1034">
        <f t="shared" si="166"/>
        <v>4.9696969696969688</v>
      </c>
      <c r="M295" s="1034">
        <f t="shared" si="167"/>
        <v>0.31772929292929286</v>
      </c>
      <c r="N295" s="1035">
        <f t="shared" si="171"/>
        <v>953.18787878787862</v>
      </c>
      <c r="O295" s="1036">
        <f t="shared" si="168"/>
        <v>0.43248088874223167</v>
      </c>
      <c r="P295" s="1060">
        <f t="shared" si="169"/>
        <v>4.063135896166753E-2</v>
      </c>
      <c r="Q295" s="3">
        <v>2748.04</v>
      </c>
      <c r="R295" s="1040">
        <v>9.1174999037832438E-2</v>
      </c>
      <c r="S295" s="48">
        <v>1</v>
      </c>
      <c r="T295" s="1041">
        <f t="shared" si="172"/>
        <v>111.65659968102084</v>
      </c>
      <c r="U295" s="1012"/>
      <c r="V295" s="1012"/>
      <c r="W295" s="351"/>
    </row>
    <row r="296" spans="1:23" x14ac:dyDescent="0.35">
      <c r="A296" s="1075">
        <v>6.4519199999999999E-3</v>
      </c>
      <c r="D296" s="56" t="s">
        <v>387</v>
      </c>
      <c r="E296" s="56" t="s">
        <v>71</v>
      </c>
      <c r="F296" s="1033">
        <f t="shared" si="161"/>
        <v>1.8181818181818181</v>
      </c>
      <c r="G296" s="1033">
        <f t="shared" si="162"/>
        <v>4.545454545454545</v>
      </c>
      <c r="H296" s="1033">
        <f t="shared" si="163"/>
        <v>0.28787878787878779</v>
      </c>
      <c r="I296" s="1033">
        <f t="shared" si="170"/>
        <v>863.6363636363634</v>
      </c>
      <c r="J296" s="1033">
        <f t="shared" si="164"/>
        <v>0.39184952978056414</v>
      </c>
      <c r="K296" s="387">
        <f t="shared" si="165"/>
        <v>1.8181818181818181</v>
      </c>
      <c r="L296" s="1034">
        <f t="shared" si="166"/>
        <v>4.9696969696969688</v>
      </c>
      <c r="M296" s="1034">
        <f t="shared" si="167"/>
        <v>0.31772929292929286</v>
      </c>
      <c r="N296" s="1035">
        <f t="shared" si="171"/>
        <v>953.18787878787862</v>
      </c>
      <c r="O296" s="1036">
        <f t="shared" si="168"/>
        <v>0.43248088874223167</v>
      </c>
      <c r="P296" s="1060">
        <f t="shared" si="169"/>
        <v>4.063135896166753E-2</v>
      </c>
      <c r="Q296" s="3">
        <v>6451.92</v>
      </c>
      <c r="R296" s="1040">
        <v>0.21406304121925879</v>
      </c>
      <c r="S296" s="48">
        <v>1</v>
      </c>
      <c r="T296" s="1041">
        <f t="shared" si="172"/>
        <v>262.15027751196197</v>
      </c>
      <c r="U296" s="1012"/>
      <c r="V296" s="1012"/>
      <c r="W296" s="351"/>
    </row>
    <row r="297" spans="1:23" x14ac:dyDescent="0.35">
      <c r="A297" s="1075">
        <v>2.2794E-3</v>
      </c>
      <c r="D297" s="56" t="s">
        <v>387</v>
      </c>
      <c r="E297" s="56" t="s">
        <v>72</v>
      </c>
      <c r="F297" s="1033">
        <f t="shared" si="161"/>
        <v>1.8181818181818181</v>
      </c>
      <c r="G297" s="1033">
        <f t="shared" si="162"/>
        <v>4.545454545454545</v>
      </c>
      <c r="H297" s="1033">
        <f t="shared" si="163"/>
        <v>0.28787878787878779</v>
      </c>
      <c r="I297" s="1033">
        <f t="shared" si="170"/>
        <v>863.6363636363634</v>
      </c>
      <c r="J297" s="1033">
        <f t="shared" si="164"/>
        <v>0.39184952978056414</v>
      </c>
      <c r="K297" s="387">
        <f t="shared" si="165"/>
        <v>1.8181818181818181</v>
      </c>
      <c r="L297" s="1034">
        <f t="shared" si="166"/>
        <v>4.9696969696969688</v>
      </c>
      <c r="M297" s="1034">
        <f t="shared" si="167"/>
        <v>0.31772929292929286</v>
      </c>
      <c r="N297" s="1035">
        <f t="shared" si="171"/>
        <v>953.18787878787862</v>
      </c>
      <c r="O297" s="1036">
        <f t="shared" si="168"/>
        <v>0.43248088874223167</v>
      </c>
      <c r="P297" s="1060">
        <f t="shared" si="169"/>
        <v>4.063135896166753E-2</v>
      </c>
      <c r="Q297" s="3">
        <v>2279.4</v>
      </c>
      <c r="R297" s="1040">
        <v>7.5626371088788835E-2</v>
      </c>
      <c r="S297" s="48">
        <v>1</v>
      </c>
      <c r="T297" s="1041">
        <f t="shared" si="172"/>
        <v>92.615119617224977</v>
      </c>
      <c r="U297" s="1012"/>
      <c r="V297" s="1012"/>
      <c r="W297" s="351"/>
    </row>
    <row r="298" spans="1:23" x14ac:dyDescent="0.35">
      <c r="A298" s="1075">
        <v>6.507599999999999E-4</v>
      </c>
      <c r="D298" s="56" t="s">
        <v>387</v>
      </c>
      <c r="E298" s="56" t="s">
        <v>73</v>
      </c>
      <c r="F298" s="1033">
        <f t="shared" si="161"/>
        <v>1.8181818181818181</v>
      </c>
      <c r="G298" s="1033">
        <f t="shared" si="162"/>
        <v>4.545454545454545</v>
      </c>
      <c r="H298" s="1033">
        <f t="shared" si="163"/>
        <v>0.28787878787878779</v>
      </c>
      <c r="I298" s="1033">
        <f t="shared" si="170"/>
        <v>863.6363636363634</v>
      </c>
      <c r="J298" s="1033">
        <f t="shared" si="164"/>
        <v>0.39184952978056414</v>
      </c>
      <c r="K298" s="387">
        <f t="shared" si="165"/>
        <v>1.8181818181818181</v>
      </c>
      <c r="L298" s="1034">
        <f t="shared" si="166"/>
        <v>4.9696969696969688</v>
      </c>
      <c r="M298" s="1034">
        <f t="shared" si="167"/>
        <v>0.31772929292929286</v>
      </c>
      <c r="N298" s="1035">
        <f t="shared" si="171"/>
        <v>953.18787878787862</v>
      </c>
      <c r="O298" s="1036">
        <f t="shared" si="168"/>
        <v>0.43248088874223167</v>
      </c>
      <c r="P298" s="1060">
        <f t="shared" si="169"/>
        <v>4.063135896166753E-2</v>
      </c>
      <c r="Q298" s="3">
        <v>650.75999999999988</v>
      </c>
      <c r="R298" s="1040">
        <v>2.1591040295577877E-2</v>
      </c>
      <c r="S298" s="48">
        <v>1</v>
      </c>
      <c r="T298" s="1041">
        <f t="shared" si="172"/>
        <v>26.441263157894756</v>
      </c>
      <c r="U298" s="1012"/>
      <c r="V298" s="1012"/>
      <c r="W298" s="351"/>
    </row>
    <row r="299" spans="1:23" x14ac:dyDescent="0.35">
      <c r="A299" s="1075">
        <v>3.6743000000000001E-3</v>
      </c>
      <c r="D299" s="56" t="s">
        <v>387</v>
      </c>
      <c r="E299" s="56" t="s">
        <v>74</v>
      </c>
      <c r="F299" s="1033">
        <f t="shared" si="161"/>
        <v>1.8181818181818181</v>
      </c>
      <c r="G299" s="1033">
        <f t="shared" si="162"/>
        <v>4.545454545454545</v>
      </c>
      <c r="H299" s="1033">
        <f t="shared" si="163"/>
        <v>0.28787878787878779</v>
      </c>
      <c r="I299" s="1033">
        <f t="shared" si="170"/>
        <v>863.6363636363634</v>
      </c>
      <c r="J299" s="1033">
        <f t="shared" si="164"/>
        <v>0.39184952978056414</v>
      </c>
      <c r="K299" s="387">
        <f t="shared" si="165"/>
        <v>1.8181818181818181</v>
      </c>
      <c r="L299" s="1034">
        <f t="shared" si="166"/>
        <v>4.9696969696969688</v>
      </c>
      <c r="M299" s="1034">
        <f t="shared" si="167"/>
        <v>0.31772929292929286</v>
      </c>
      <c r="N299" s="1035">
        <f t="shared" si="171"/>
        <v>953.18787878787862</v>
      </c>
      <c r="O299" s="1036">
        <f t="shared" si="168"/>
        <v>0.43248088874223167</v>
      </c>
      <c r="P299" s="1060">
        <f t="shared" si="169"/>
        <v>4.063135896166753E-2</v>
      </c>
      <c r="Q299" s="3">
        <v>3674.3</v>
      </c>
      <c r="R299" s="1040">
        <v>0.12190663125890007</v>
      </c>
      <c r="S299" s="48">
        <v>1</v>
      </c>
      <c r="T299" s="1041">
        <f t="shared" si="172"/>
        <v>149.29180223285502</v>
      </c>
      <c r="U299" s="1012"/>
      <c r="V299" s="1012"/>
      <c r="W299" s="351"/>
    </row>
    <row r="300" spans="1:23" x14ac:dyDescent="0.35">
      <c r="A300" s="1075">
        <v>1.0724199999999999E-3</v>
      </c>
      <c r="D300" s="56" t="s">
        <v>387</v>
      </c>
      <c r="E300" s="56" t="s">
        <v>75</v>
      </c>
      <c r="F300" s="1033">
        <f t="shared" si="161"/>
        <v>1.8181818181818181</v>
      </c>
      <c r="G300" s="1033">
        <f t="shared" si="162"/>
        <v>4.545454545454545</v>
      </c>
      <c r="H300" s="1033">
        <f t="shared" si="163"/>
        <v>0.28787878787878779</v>
      </c>
      <c r="I300" s="1033">
        <f t="shared" si="170"/>
        <v>863.6363636363634</v>
      </c>
      <c r="J300" s="1033">
        <f t="shared" si="164"/>
        <v>0.39184952978056414</v>
      </c>
      <c r="K300" s="387">
        <f t="shared" si="165"/>
        <v>1.8181818181818181</v>
      </c>
      <c r="L300" s="1034">
        <f t="shared" si="166"/>
        <v>4.9696969696969688</v>
      </c>
      <c r="M300" s="1034">
        <f t="shared" si="167"/>
        <v>0.31772929292929286</v>
      </c>
      <c r="N300" s="1035">
        <f t="shared" si="171"/>
        <v>953.18787878787862</v>
      </c>
      <c r="O300" s="1036">
        <f t="shared" si="168"/>
        <v>0.43248088874223167</v>
      </c>
      <c r="P300" s="1060">
        <f t="shared" si="169"/>
        <v>4.063135896166753E-2</v>
      </c>
      <c r="Q300" s="3">
        <v>1072.4199999999998</v>
      </c>
      <c r="R300" s="1040">
        <v>3.558095677943271E-2</v>
      </c>
      <c r="S300" s="48">
        <v>1</v>
      </c>
      <c r="T300" s="1041">
        <f t="shared" si="172"/>
        <v>43.573881977671483</v>
      </c>
      <c r="U300" s="1012"/>
      <c r="V300" s="1012"/>
      <c r="W300" s="351"/>
    </row>
    <row r="301" spans="1:23" x14ac:dyDescent="0.35">
      <c r="A301" s="1075">
        <v>4.8719999999999997E-4</v>
      </c>
      <c r="D301" s="56" t="s">
        <v>387</v>
      </c>
      <c r="E301" s="56" t="s">
        <v>76</v>
      </c>
      <c r="F301" s="1033">
        <f t="shared" si="161"/>
        <v>1.8181818181818181</v>
      </c>
      <c r="G301" s="1033">
        <f t="shared" si="162"/>
        <v>4.545454545454545</v>
      </c>
      <c r="H301" s="1033">
        <f t="shared" si="163"/>
        <v>0.28787878787878779</v>
      </c>
      <c r="I301" s="1033">
        <f t="shared" si="170"/>
        <v>863.6363636363634</v>
      </c>
      <c r="J301" s="1033">
        <f t="shared" si="164"/>
        <v>0.39184952978056414</v>
      </c>
      <c r="K301" s="387">
        <f t="shared" si="165"/>
        <v>1.8181818181818181</v>
      </c>
      <c r="L301" s="1034">
        <f t="shared" si="166"/>
        <v>4.9696969696969688</v>
      </c>
      <c r="M301" s="1034">
        <f t="shared" si="167"/>
        <v>0.31772929292929286</v>
      </c>
      <c r="N301" s="1035">
        <f t="shared" si="171"/>
        <v>953.18787878787862</v>
      </c>
      <c r="O301" s="1036">
        <f t="shared" si="168"/>
        <v>0.43248088874223167</v>
      </c>
      <c r="P301" s="1060">
        <f t="shared" si="169"/>
        <v>4.063135896166753E-2</v>
      </c>
      <c r="Q301" s="3">
        <v>487.2</v>
      </c>
      <c r="R301" s="1040">
        <v>1.6164415194550284E-2</v>
      </c>
      <c r="S301" s="48">
        <v>1</v>
      </c>
      <c r="T301" s="1041">
        <f t="shared" si="172"/>
        <v>19.795598086124421</v>
      </c>
      <c r="U301" s="1012"/>
      <c r="V301" s="1012"/>
      <c r="W301" s="351"/>
    </row>
    <row r="302" spans="1:23" x14ac:dyDescent="0.35">
      <c r="A302" s="1075">
        <v>3.1725999999999998E-4</v>
      </c>
      <c r="D302" s="56" t="s">
        <v>387</v>
      </c>
      <c r="E302" s="56" t="s">
        <v>77</v>
      </c>
      <c r="F302" s="1033">
        <f t="shared" si="161"/>
        <v>1.8181818181818181</v>
      </c>
      <c r="G302" s="1033">
        <f t="shared" si="162"/>
        <v>4.545454545454545</v>
      </c>
      <c r="H302" s="1033">
        <f t="shared" si="163"/>
        <v>0.28787878787878779</v>
      </c>
      <c r="I302" s="1033">
        <f t="shared" si="170"/>
        <v>863.6363636363634</v>
      </c>
      <c r="J302" s="1033">
        <f t="shared" si="164"/>
        <v>0.39184952978056414</v>
      </c>
      <c r="K302" s="387">
        <f t="shared" si="165"/>
        <v>1.8181818181818181</v>
      </c>
      <c r="L302" s="1034">
        <f t="shared" si="166"/>
        <v>4.9696969696969688</v>
      </c>
      <c r="M302" s="1034">
        <f t="shared" si="167"/>
        <v>0.31772929292929286</v>
      </c>
      <c r="N302" s="1035">
        <f t="shared" si="171"/>
        <v>953.18787878787862</v>
      </c>
      <c r="O302" s="1036">
        <f t="shared" si="168"/>
        <v>0.43248088874223167</v>
      </c>
      <c r="P302" s="1060">
        <f t="shared" si="169"/>
        <v>4.063135896166753E-2</v>
      </c>
      <c r="Q302" s="3">
        <v>317.26</v>
      </c>
      <c r="R302" s="1040">
        <v>1.0526113227879769E-2</v>
      </c>
      <c r="S302" s="48">
        <v>1</v>
      </c>
      <c r="T302" s="1041">
        <f t="shared" si="172"/>
        <v>12.890704944178641</v>
      </c>
      <c r="U302" s="1012"/>
      <c r="V302" s="1012"/>
      <c r="W302" s="351"/>
    </row>
    <row r="303" spans="1:23" ht="15" thickBot="1" x14ac:dyDescent="0.4">
      <c r="A303" s="1076">
        <v>1.9662E-4</v>
      </c>
      <c r="D303" s="56" t="s">
        <v>387</v>
      </c>
      <c r="E303" s="56" t="s">
        <v>78</v>
      </c>
      <c r="F303" s="1033">
        <f t="shared" si="161"/>
        <v>1.8181818181818181</v>
      </c>
      <c r="G303" s="1033">
        <f t="shared" si="162"/>
        <v>4.545454545454545</v>
      </c>
      <c r="H303" s="1033">
        <f t="shared" si="163"/>
        <v>0.28787878787878779</v>
      </c>
      <c r="I303" s="1033">
        <f t="shared" si="170"/>
        <v>863.6363636363634</v>
      </c>
      <c r="J303" s="1033">
        <f t="shared" si="164"/>
        <v>0.39184952978056414</v>
      </c>
      <c r="K303" s="387">
        <f t="shared" si="165"/>
        <v>1.8181818181818181</v>
      </c>
      <c r="L303" s="1034">
        <f t="shared" si="166"/>
        <v>4.9696969696969688</v>
      </c>
      <c r="M303" s="1034">
        <f t="shared" si="167"/>
        <v>0.31772929292929286</v>
      </c>
      <c r="N303" s="1035">
        <f t="shared" si="171"/>
        <v>953.18787878787862</v>
      </c>
      <c r="O303" s="1036">
        <f t="shared" si="168"/>
        <v>0.43248088874223167</v>
      </c>
      <c r="P303" s="1060">
        <f t="shared" si="169"/>
        <v>4.063135896166753E-2</v>
      </c>
      <c r="Q303" s="3">
        <v>196.62</v>
      </c>
      <c r="R303" s="1040">
        <v>6.5234961320863654E-3</v>
      </c>
      <c r="S303" s="48">
        <v>1</v>
      </c>
      <c r="T303" s="1041">
        <f t="shared" si="172"/>
        <v>7.9889377990430699</v>
      </c>
      <c r="U303" s="1012"/>
      <c r="V303" s="1012"/>
      <c r="W303" s="351"/>
    </row>
    <row r="304" spans="1:23" x14ac:dyDescent="0.35">
      <c r="A304" s="1077">
        <f>SUM(A288:A303)</f>
        <v>3.0140280000000002E-2</v>
      </c>
      <c r="D304" s="56"/>
      <c r="E304" s="362" t="s">
        <v>79</v>
      </c>
      <c r="F304" s="1078"/>
      <c r="G304" s="1078"/>
      <c r="H304" s="1078"/>
      <c r="I304" s="1078"/>
      <c r="J304" s="1046">
        <f>SUM(J288:J303)</f>
        <v>6.2695924764890245</v>
      </c>
      <c r="K304" s="362"/>
      <c r="L304" s="362"/>
      <c r="M304" s="362"/>
      <c r="N304" s="362"/>
      <c r="O304" s="1047">
        <f>SUM(O288:O303)</f>
        <v>6.9196942198757077</v>
      </c>
      <c r="P304" s="1046">
        <f>SUM(P288:P303)</f>
        <v>0.6501017433866807</v>
      </c>
      <c r="Q304" s="3">
        <v>30140.279999999995</v>
      </c>
      <c r="R304" s="56">
        <v>1.0000000000000002</v>
      </c>
      <c r="S304" s="56"/>
      <c r="T304" s="1047">
        <f>SUM(T288:T303)</f>
        <v>1224.6405358851687</v>
      </c>
    </row>
    <row r="305" spans="1:48" x14ac:dyDescent="0.35">
      <c r="E305" t="s">
        <v>93</v>
      </c>
      <c r="F305">
        <v>0.57999999999999985</v>
      </c>
      <c r="I305" t="s">
        <v>394</v>
      </c>
      <c r="J305" s="1093">
        <f>SUMPRODUCT(J288:J303,Q288:Q303)</f>
        <v>11810.45454545454</v>
      </c>
    </row>
    <row r="306" spans="1:48" x14ac:dyDescent="0.35">
      <c r="Q306" s="698"/>
    </row>
    <row r="307" spans="1:48" x14ac:dyDescent="0.35">
      <c r="E307" t="s">
        <v>94</v>
      </c>
      <c r="G307" s="1115" t="s">
        <v>366</v>
      </c>
      <c r="H307" t="s">
        <v>399</v>
      </c>
      <c r="I307" t="s">
        <v>403</v>
      </c>
      <c r="Q307" s="1115" t="s">
        <v>401</v>
      </c>
    </row>
    <row r="308" spans="1:48" x14ac:dyDescent="0.35">
      <c r="A308" s="1055" t="s">
        <v>105</v>
      </c>
      <c r="G308" s="1115">
        <v>1</v>
      </c>
      <c r="H308" s="1082">
        <v>117</v>
      </c>
      <c r="I308" s="1083">
        <v>125400</v>
      </c>
      <c r="J308" s="1084"/>
      <c r="K308" s="1084"/>
      <c r="L308" s="1084"/>
      <c r="M308" s="1084"/>
      <c r="N308" s="1084"/>
      <c r="O308" s="1084"/>
      <c r="P308" s="1084"/>
      <c r="Q308" s="1081">
        <f>I308/H308</f>
        <v>1071.7948717948718</v>
      </c>
      <c r="T308" t="str">
        <f>E307</f>
        <v>HighRiseMixedUse</v>
      </c>
    </row>
    <row r="309" spans="1:48" ht="29" x14ac:dyDescent="0.35">
      <c r="A309" s="1057" t="s">
        <v>109</v>
      </c>
      <c r="D309" s="56"/>
      <c r="E309" s="56"/>
      <c r="F309" s="1028" t="s">
        <v>367</v>
      </c>
      <c r="G309" s="1028"/>
      <c r="H309" s="1028"/>
      <c r="I309" s="1028"/>
      <c r="J309" s="1028"/>
      <c r="K309" s="1029" t="s">
        <v>393</v>
      </c>
      <c r="L309" s="1029"/>
      <c r="M309" s="1029"/>
      <c r="N309" s="1029"/>
      <c r="O309" s="1029"/>
      <c r="P309" s="18" t="s">
        <v>371</v>
      </c>
      <c r="Q309" s="1158" t="s">
        <v>4</v>
      </c>
      <c r="R309" s="1158"/>
      <c r="S309" s="1158"/>
      <c r="T309" s="1031" t="s">
        <v>372</v>
      </c>
      <c r="U309" s="1115"/>
      <c r="V309" s="1115"/>
      <c r="W309" s="13"/>
      <c r="AF309" s="1115"/>
      <c r="AG309" s="1115"/>
      <c r="AH309" s="1115"/>
      <c r="AI309" s="1115"/>
      <c r="AJ309" s="1115"/>
      <c r="AK309" s="1115"/>
      <c r="AL309" s="1115"/>
      <c r="AM309" s="1115"/>
      <c r="AN309" s="1115"/>
      <c r="AO309" s="1115"/>
      <c r="AP309" s="1115"/>
      <c r="AQ309" s="1115"/>
      <c r="AR309" s="1115"/>
      <c r="AS309" s="1056"/>
      <c r="AT309" s="1115"/>
      <c r="AU309" s="1115"/>
      <c r="AV309" s="1115"/>
    </row>
    <row r="310" spans="1:48" ht="87.5" thickBot="1" x14ac:dyDescent="0.4">
      <c r="A310" s="1058" t="s">
        <v>402</v>
      </c>
      <c r="D310" s="360" t="s">
        <v>373</v>
      </c>
      <c r="E310" s="360" t="s">
        <v>96</v>
      </c>
      <c r="F310" s="18" t="s">
        <v>374</v>
      </c>
      <c r="G310" s="18" t="s">
        <v>375</v>
      </c>
      <c r="H310" s="18" t="s">
        <v>376</v>
      </c>
      <c r="I310" s="18" t="s">
        <v>377</v>
      </c>
      <c r="J310" s="18" t="s">
        <v>378</v>
      </c>
      <c r="K310" s="1032" t="s">
        <v>389</v>
      </c>
      <c r="L310" s="1032" t="s">
        <v>375</v>
      </c>
      <c r="M310" s="1032" t="s">
        <v>380</v>
      </c>
      <c r="N310" s="4" t="s">
        <v>381</v>
      </c>
      <c r="O310" s="4" t="s">
        <v>378</v>
      </c>
      <c r="P310" s="18" t="s">
        <v>383</v>
      </c>
      <c r="Q310" s="4" t="s">
        <v>384</v>
      </c>
      <c r="R310" s="4" t="s">
        <v>11</v>
      </c>
      <c r="S310" s="4" t="s">
        <v>385</v>
      </c>
      <c r="T310" s="18" t="s">
        <v>386</v>
      </c>
      <c r="U310" s="1115"/>
      <c r="V310" s="1115"/>
      <c r="W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</row>
    <row r="311" spans="1:48" x14ac:dyDescent="0.35">
      <c r="A311" s="1085">
        <v>1.325E-5</v>
      </c>
      <c r="D311" s="56" t="s">
        <v>387</v>
      </c>
      <c r="E311" s="56" t="s">
        <v>63</v>
      </c>
      <c r="F311" s="1033">
        <f t="shared" ref="F311:F326" si="173">$O$11</f>
        <v>1.6923076923076923</v>
      </c>
      <c r="G311" s="1033">
        <f t="shared" ref="G311:G326" si="174">F311*$E$15</f>
        <v>4.2307692307692308</v>
      </c>
      <c r="H311" s="1033">
        <f t="shared" ref="H311:H326" si="175">G311*$E$10</f>
        <v>0.26794871794871794</v>
      </c>
      <c r="I311" s="1033">
        <f>H311*$E$14</f>
        <v>803.84615384615381</v>
      </c>
      <c r="J311" s="1033">
        <f t="shared" ref="J311:J326" si="176">I311/$E$18</f>
        <v>0.36472148541114058</v>
      </c>
      <c r="K311" s="387">
        <f t="shared" ref="K311:K326" si="177">$O$11</f>
        <v>1.6923076923076923</v>
      </c>
      <c r="L311" s="1034">
        <f t="shared" ref="L311:L326" si="178">K311*$F$15</f>
        <v>4.6256410256410252</v>
      </c>
      <c r="M311" s="1034">
        <f t="shared" ref="M311:M326" si="179">L311*$F$10</f>
        <v>0.2957326495726495</v>
      </c>
      <c r="N311" s="1035">
        <f>M311*$F$14</f>
        <v>887.19794871794852</v>
      </c>
      <c r="O311" s="1036">
        <f t="shared" ref="O311:O326" si="180">N311/$E$18</f>
        <v>0.40253990413700025</v>
      </c>
      <c r="P311" s="1060">
        <f t="shared" ref="P311:P326" si="181">O311-J311</f>
        <v>3.781841872585967E-2</v>
      </c>
      <c r="Q311" s="3">
        <v>13.25</v>
      </c>
      <c r="R311" s="1040">
        <v>5.099488126852173E-3</v>
      </c>
      <c r="S311" s="48">
        <v>1</v>
      </c>
      <c r="T311" s="1041">
        <f>P311*Q311*S311</f>
        <v>0.50109404811764069</v>
      </c>
      <c r="U311" s="1012"/>
      <c r="V311" s="1012"/>
      <c r="W311" s="351"/>
      <c r="AC311" s="1086"/>
      <c r="AD311" s="1086"/>
      <c r="AE311" s="1086"/>
      <c r="AF311" s="1087"/>
      <c r="AG311" s="1087"/>
      <c r="AH311" s="1087"/>
      <c r="AI311" s="1087"/>
      <c r="AJ311" s="1086"/>
      <c r="AK311" s="919"/>
      <c r="AL311" s="1088"/>
      <c r="AM311" s="1086"/>
      <c r="AN311" s="698"/>
      <c r="AO311" s="698"/>
      <c r="AP311" s="698"/>
      <c r="AQ311" s="352"/>
      <c r="AR311" s="352"/>
      <c r="AS311" s="1089"/>
      <c r="AT311" s="1089"/>
      <c r="AU311" s="1089"/>
      <c r="AV311" s="1086"/>
    </row>
    <row r="312" spans="1:48" x14ac:dyDescent="0.35">
      <c r="A312" s="1090">
        <v>7.8650000000000001E-5</v>
      </c>
      <c r="D312" s="56" t="s">
        <v>387</v>
      </c>
      <c r="E312" s="56" t="s">
        <v>64</v>
      </c>
      <c r="F312" s="1033">
        <f t="shared" si="173"/>
        <v>1.6923076923076923</v>
      </c>
      <c r="G312" s="1033">
        <f t="shared" si="174"/>
        <v>4.2307692307692308</v>
      </c>
      <c r="H312" s="1033">
        <f t="shared" si="175"/>
        <v>0.26794871794871794</v>
      </c>
      <c r="I312" s="1033">
        <f t="shared" ref="I312:I326" si="182">H312*$E$14</f>
        <v>803.84615384615381</v>
      </c>
      <c r="J312" s="1033">
        <f t="shared" si="176"/>
        <v>0.36472148541114058</v>
      </c>
      <c r="K312" s="1043">
        <f t="shared" si="177"/>
        <v>1.6923076923076923</v>
      </c>
      <c r="L312" s="1034">
        <f t="shared" si="178"/>
        <v>4.6256410256410252</v>
      </c>
      <c r="M312" s="1034">
        <f t="shared" si="179"/>
        <v>0.2957326495726495</v>
      </c>
      <c r="N312" s="1035">
        <f t="shared" ref="N312:N326" si="183">M312*$F$14</f>
        <v>887.19794871794852</v>
      </c>
      <c r="O312" s="1036">
        <f t="shared" si="180"/>
        <v>0.40253990413700025</v>
      </c>
      <c r="P312" s="1060">
        <f t="shared" si="181"/>
        <v>3.781841872585967E-2</v>
      </c>
      <c r="Q312" s="3">
        <v>78.650000000000006</v>
      </c>
      <c r="R312" s="1040">
        <v>3.026979178693762E-2</v>
      </c>
      <c r="S312" s="48">
        <v>1</v>
      </c>
      <c r="T312" s="1041">
        <f t="shared" ref="T312:T326" si="184">P312*Q312*S312</f>
        <v>2.9744186327888631</v>
      </c>
      <c r="U312" s="1012"/>
      <c r="V312" s="1012"/>
      <c r="W312" s="351"/>
      <c r="AC312" s="1086"/>
      <c r="AD312" s="1086"/>
      <c r="AE312" s="1086"/>
      <c r="AF312" s="1087"/>
      <c r="AG312" s="1087"/>
      <c r="AH312" s="1087"/>
      <c r="AI312" s="1087"/>
      <c r="AJ312" s="1086"/>
      <c r="AK312" s="919"/>
      <c r="AL312" s="1088"/>
      <c r="AM312" s="1086"/>
      <c r="AN312" s="698"/>
      <c r="AO312" s="698"/>
      <c r="AP312" s="698"/>
      <c r="AQ312" s="352"/>
      <c r="AR312" s="352"/>
      <c r="AS312" s="1089"/>
      <c r="AT312" s="1089"/>
      <c r="AU312" s="1089"/>
      <c r="AV312" s="1086"/>
    </row>
    <row r="313" spans="1:48" x14ac:dyDescent="0.35">
      <c r="A313" s="1090">
        <v>3.815E-4</v>
      </c>
      <c r="D313" s="56" t="s">
        <v>387</v>
      </c>
      <c r="E313" s="56" t="s">
        <v>65</v>
      </c>
      <c r="F313" s="1033">
        <f t="shared" si="173"/>
        <v>1.6923076923076923</v>
      </c>
      <c r="G313" s="1033">
        <f t="shared" si="174"/>
        <v>4.2307692307692308</v>
      </c>
      <c r="H313" s="1033">
        <f t="shared" si="175"/>
        <v>0.26794871794871794</v>
      </c>
      <c r="I313" s="1033">
        <f t="shared" si="182"/>
        <v>803.84615384615381</v>
      </c>
      <c r="J313" s="1033">
        <f t="shared" si="176"/>
        <v>0.36472148541114058</v>
      </c>
      <c r="K313" s="387">
        <f t="shared" si="177"/>
        <v>1.6923076923076923</v>
      </c>
      <c r="L313" s="1034">
        <f t="shared" si="178"/>
        <v>4.6256410256410252</v>
      </c>
      <c r="M313" s="1034">
        <f t="shared" si="179"/>
        <v>0.2957326495726495</v>
      </c>
      <c r="N313" s="1035">
        <f t="shared" si="183"/>
        <v>887.19794871794852</v>
      </c>
      <c r="O313" s="1036">
        <f t="shared" si="180"/>
        <v>0.40253990413700025</v>
      </c>
      <c r="P313" s="1060">
        <f t="shared" si="181"/>
        <v>3.781841872585967E-2</v>
      </c>
      <c r="Q313" s="3">
        <v>381.5</v>
      </c>
      <c r="R313" s="1040">
        <v>0.14682677135049843</v>
      </c>
      <c r="S313" s="48">
        <v>1</v>
      </c>
      <c r="T313" s="1041">
        <f t="shared" si="184"/>
        <v>14.427726743915464</v>
      </c>
      <c r="U313" s="1012"/>
      <c r="V313" s="1012"/>
      <c r="W313" s="351"/>
      <c r="AC313" s="1086"/>
      <c r="AD313" s="1086"/>
      <c r="AE313" s="1086"/>
      <c r="AF313" s="1087"/>
      <c r="AG313" s="1087"/>
      <c r="AH313" s="1087"/>
      <c r="AI313" s="1087"/>
      <c r="AJ313" s="1086"/>
      <c r="AK313" s="919"/>
      <c r="AL313" s="1088"/>
      <c r="AM313" s="1086"/>
      <c r="AN313" s="698"/>
      <c r="AO313" s="698"/>
      <c r="AP313" s="698"/>
      <c r="AQ313" s="352"/>
      <c r="AR313" s="352"/>
      <c r="AS313" s="1089"/>
      <c r="AT313" s="1089"/>
      <c r="AU313" s="1089"/>
      <c r="AV313" s="1086"/>
    </row>
    <row r="314" spans="1:48" x14ac:dyDescent="0.35">
      <c r="A314" s="1090">
        <v>1.9875000000000003E-4</v>
      </c>
      <c r="D314" s="56" t="s">
        <v>387</v>
      </c>
      <c r="E314" s="56" t="s">
        <v>66</v>
      </c>
      <c r="F314" s="1033">
        <f t="shared" si="173"/>
        <v>1.6923076923076923</v>
      </c>
      <c r="G314" s="1033">
        <f t="shared" si="174"/>
        <v>4.2307692307692308</v>
      </c>
      <c r="H314" s="1033">
        <f t="shared" si="175"/>
        <v>0.26794871794871794</v>
      </c>
      <c r="I314" s="1033">
        <f t="shared" si="182"/>
        <v>803.84615384615381</v>
      </c>
      <c r="J314" s="1033">
        <f t="shared" si="176"/>
        <v>0.36472148541114058</v>
      </c>
      <c r="K314" s="387">
        <f t="shared" si="177"/>
        <v>1.6923076923076923</v>
      </c>
      <c r="L314" s="1034">
        <f t="shared" si="178"/>
        <v>4.6256410256410252</v>
      </c>
      <c r="M314" s="1034">
        <f t="shared" si="179"/>
        <v>0.2957326495726495</v>
      </c>
      <c r="N314" s="1035">
        <f t="shared" si="183"/>
        <v>887.19794871794852</v>
      </c>
      <c r="O314" s="1036">
        <f t="shared" si="180"/>
        <v>0.40253990413700025</v>
      </c>
      <c r="P314" s="1060">
        <f t="shared" si="181"/>
        <v>3.781841872585967E-2</v>
      </c>
      <c r="Q314" s="3">
        <v>198.75000000000003</v>
      </c>
      <c r="R314" s="1040">
        <v>7.6492321902782601E-2</v>
      </c>
      <c r="S314" s="48">
        <v>1</v>
      </c>
      <c r="T314" s="1041">
        <f t="shared" si="184"/>
        <v>7.5164107217646103</v>
      </c>
      <c r="U314" s="1012"/>
      <c r="V314" s="1012"/>
      <c r="W314" s="351"/>
      <c r="AC314" s="1086"/>
      <c r="AD314" s="1086"/>
      <c r="AE314" s="1086"/>
      <c r="AF314" s="1087"/>
      <c r="AG314" s="1087"/>
      <c r="AH314" s="1087"/>
      <c r="AI314" s="1087"/>
      <c r="AJ314" s="1086"/>
      <c r="AK314" s="919"/>
      <c r="AL314" s="1088"/>
      <c r="AM314" s="1086"/>
      <c r="AN314" s="698"/>
      <c r="AO314" s="698"/>
      <c r="AP314" s="698"/>
      <c r="AQ314" s="352"/>
      <c r="AR314" s="352"/>
      <c r="AS314" s="1089"/>
      <c r="AT314" s="1089"/>
      <c r="AU314" s="1089"/>
      <c r="AV314" s="1086"/>
    </row>
    <row r="315" spans="1:48" x14ac:dyDescent="0.35">
      <c r="A315" s="1090">
        <v>3.5300000000000004E-5</v>
      </c>
      <c r="D315" s="56" t="s">
        <v>387</v>
      </c>
      <c r="E315" s="56" t="s">
        <v>67</v>
      </c>
      <c r="F315" s="1033">
        <f t="shared" si="173"/>
        <v>1.6923076923076923</v>
      </c>
      <c r="G315" s="1033">
        <f t="shared" si="174"/>
        <v>4.2307692307692308</v>
      </c>
      <c r="H315" s="1033">
        <f t="shared" si="175"/>
        <v>0.26794871794871794</v>
      </c>
      <c r="I315" s="1033">
        <f t="shared" si="182"/>
        <v>803.84615384615381</v>
      </c>
      <c r="J315" s="1033">
        <f t="shared" si="176"/>
        <v>0.36472148541114058</v>
      </c>
      <c r="K315" s="387">
        <f t="shared" si="177"/>
        <v>1.6923076923076923</v>
      </c>
      <c r="L315" s="1034">
        <f t="shared" si="178"/>
        <v>4.6256410256410252</v>
      </c>
      <c r="M315" s="1034">
        <f t="shared" si="179"/>
        <v>0.2957326495726495</v>
      </c>
      <c r="N315" s="1035">
        <f t="shared" si="183"/>
        <v>887.19794871794852</v>
      </c>
      <c r="O315" s="1036">
        <f t="shared" si="180"/>
        <v>0.40253990413700025</v>
      </c>
      <c r="P315" s="1060">
        <f t="shared" si="181"/>
        <v>3.781841872585967E-2</v>
      </c>
      <c r="Q315" s="3">
        <v>35.300000000000004</v>
      </c>
      <c r="R315" s="1040">
        <v>1.3585806103991073E-2</v>
      </c>
      <c r="S315" s="48">
        <v>1</v>
      </c>
      <c r="T315" s="1041">
        <f t="shared" si="184"/>
        <v>1.3349901810228466</v>
      </c>
      <c r="U315" s="1012"/>
      <c r="V315" s="1012"/>
      <c r="W315" s="351"/>
      <c r="AC315" s="1086"/>
      <c r="AD315" s="1086"/>
      <c r="AE315" s="1086"/>
      <c r="AF315" s="1087"/>
      <c r="AG315" s="1087"/>
      <c r="AH315" s="1087"/>
      <c r="AI315" s="1087"/>
      <c r="AJ315" s="1086"/>
      <c r="AK315" s="919"/>
      <c r="AL315" s="1088"/>
      <c r="AM315" s="1086"/>
      <c r="AN315" s="698"/>
      <c r="AO315" s="698"/>
      <c r="AP315" s="698"/>
      <c r="AQ315" s="352"/>
      <c r="AR315" s="352"/>
      <c r="AS315" s="1089"/>
      <c r="AT315" s="1089"/>
      <c r="AU315" s="1089"/>
      <c r="AV315" s="1086"/>
    </row>
    <row r="316" spans="1:48" x14ac:dyDescent="0.35">
      <c r="A316" s="1090">
        <v>1.6850000000000003E-4</v>
      </c>
      <c r="D316" s="56" t="s">
        <v>387</v>
      </c>
      <c r="E316" s="56" t="s">
        <v>68</v>
      </c>
      <c r="F316" s="1033">
        <f t="shared" si="173"/>
        <v>1.6923076923076923</v>
      </c>
      <c r="G316" s="1033">
        <f t="shared" si="174"/>
        <v>4.2307692307692308</v>
      </c>
      <c r="H316" s="1033">
        <f t="shared" si="175"/>
        <v>0.26794871794871794</v>
      </c>
      <c r="I316" s="1033">
        <f t="shared" si="182"/>
        <v>803.84615384615381</v>
      </c>
      <c r="J316" s="1033">
        <f t="shared" si="176"/>
        <v>0.36472148541114058</v>
      </c>
      <c r="K316" s="387">
        <f t="shared" si="177"/>
        <v>1.6923076923076923</v>
      </c>
      <c r="L316" s="1034">
        <f t="shared" si="178"/>
        <v>4.6256410256410252</v>
      </c>
      <c r="M316" s="1034">
        <f t="shared" si="179"/>
        <v>0.2957326495726495</v>
      </c>
      <c r="N316" s="1035">
        <f t="shared" si="183"/>
        <v>887.19794871794852</v>
      </c>
      <c r="O316" s="1036">
        <f t="shared" si="180"/>
        <v>0.40253990413700025</v>
      </c>
      <c r="P316" s="1060">
        <f t="shared" si="181"/>
        <v>3.781841872585967E-2</v>
      </c>
      <c r="Q316" s="3">
        <v>168.50000000000003</v>
      </c>
      <c r="R316" s="1040">
        <v>6.4850094292421986E-2</v>
      </c>
      <c r="S316" s="48">
        <v>1</v>
      </c>
      <c r="T316" s="1041">
        <f t="shared" si="184"/>
        <v>6.3724035553073559</v>
      </c>
      <c r="U316" s="1012"/>
      <c r="V316" s="1012"/>
      <c r="W316" s="351"/>
      <c r="AC316" s="1086"/>
      <c r="AD316" s="1086"/>
      <c r="AE316" s="1086"/>
      <c r="AF316" s="1087"/>
      <c r="AG316" s="1087"/>
      <c r="AH316" s="1087"/>
      <c r="AI316" s="1087"/>
      <c r="AJ316" s="1086"/>
      <c r="AK316" s="919"/>
      <c r="AL316" s="1088"/>
      <c r="AM316" s="1086"/>
      <c r="AN316" s="698"/>
      <c r="AO316" s="698"/>
      <c r="AP316" s="698"/>
      <c r="AQ316" s="352"/>
      <c r="AR316" s="352"/>
      <c r="AS316" s="1089"/>
      <c r="AT316" s="1089"/>
      <c r="AU316" s="1089"/>
      <c r="AV316" s="1086"/>
    </row>
    <row r="317" spans="1:48" x14ac:dyDescent="0.35">
      <c r="A317" s="1090">
        <v>1.8115000000000001E-4</v>
      </c>
      <c r="D317" s="56" t="s">
        <v>387</v>
      </c>
      <c r="E317" s="56" t="s">
        <v>69</v>
      </c>
      <c r="F317" s="1033">
        <f t="shared" si="173"/>
        <v>1.6923076923076923</v>
      </c>
      <c r="G317" s="1033">
        <f t="shared" si="174"/>
        <v>4.2307692307692308</v>
      </c>
      <c r="H317" s="1033">
        <f t="shared" si="175"/>
        <v>0.26794871794871794</v>
      </c>
      <c r="I317" s="1033">
        <f t="shared" si="182"/>
        <v>803.84615384615381</v>
      </c>
      <c r="J317" s="1033">
        <f t="shared" si="176"/>
        <v>0.36472148541114058</v>
      </c>
      <c r="K317" s="387">
        <f t="shared" si="177"/>
        <v>1.6923076923076923</v>
      </c>
      <c r="L317" s="1034">
        <f t="shared" si="178"/>
        <v>4.6256410256410252</v>
      </c>
      <c r="M317" s="1034">
        <f t="shared" si="179"/>
        <v>0.2957326495726495</v>
      </c>
      <c r="N317" s="1035">
        <f t="shared" si="183"/>
        <v>887.19794871794852</v>
      </c>
      <c r="O317" s="1036">
        <f t="shared" si="180"/>
        <v>0.40253990413700025</v>
      </c>
      <c r="P317" s="1060">
        <f t="shared" si="181"/>
        <v>3.781841872585967E-2</v>
      </c>
      <c r="Q317" s="3">
        <v>181.15</v>
      </c>
      <c r="R317" s="1040">
        <v>6.9718662202209153E-2</v>
      </c>
      <c r="S317" s="48">
        <v>1</v>
      </c>
      <c r="T317" s="1041">
        <f t="shared" si="184"/>
        <v>6.8508065521894794</v>
      </c>
      <c r="U317" s="1012"/>
      <c r="V317" s="1012"/>
      <c r="W317" s="351"/>
      <c r="AC317" s="1086"/>
      <c r="AD317" s="1086"/>
      <c r="AE317" s="1086"/>
      <c r="AF317" s="1087"/>
      <c r="AG317" s="1087"/>
      <c r="AH317" s="1087"/>
      <c r="AI317" s="1087"/>
      <c r="AJ317" s="1086"/>
      <c r="AK317" s="919"/>
      <c r="AL317" s="1088"/>
      <c r="AM317" s="1086"/>
      <c r="AN317" s="698"/>
      <c r="AO317" s="698"/>
      <c r="AP317" s="698"/>
      <c r="AQ317" s="352"/>
      <c r="AR317" s="352"/>
      <c r="AS317" s="1089"/>
      <c r="AT317" s="1089"/>
      <c r="AU317" s="1089"/>
      <c r="AV317" s="1086"/>
    </row>
    <row r="318" spans="1:48" x14ac:dyDescent="0.35">
      <c r="A318" s="1090">
        <v>2.3690000000000001E-4</v>
      </c>
      <c r="D318" s="56" t="s">
        <v>387</v>
      </c>
      <c r="E318" s="56" t="s">
        <v>70</v>
      </c>
      <c r="F318" s="1033">
        <f t="shared" si="173"/>
        <v>1.6923076923076923</v>
      </c>
      <c r="G318" s="1033">
        <f t="shared" si="174"/>
        <v>4.2307692307692308</v>
      </c>
      <c r="H318" s="1033">
        <f t="shared" si="175"/>
        <v>0.26794871794871794</v>
      </c>
      <c r="I318" s="1033">
        <f t="shared" si="182"/>
        <v>803.84615384615381</v>
      </c>
      <c r="J318" s="1033">
        <f t="shared" si="176"/>
        <v>0.36472148541114058</v>
      </c>
      <c r="K318" s="387">
        <f t="shared" si="177"/>
        <v>1.6923076923076923</v>
      </c>
      <c r="L318" s="1034">
        <f t="shared" si="178"/>
        <v>4.6256410256410252</v>
      </c>
      <c r="M318" s="1034">
        <f t="shared" si="179"/>
        <v>0.2957326495726495</v>
      </c>
      <c r="N318" s="1035">
        <f t="shared" si="183"/>
        <v>887.19794871794852</v>
      </c>
      <c r="O318" s="1036">
        <f t="shared" si="180"/>
        <v>0.40253990413700025</v>
      </c>
      <c r="P318" s="1060">
        <f t="shared" si="181"/>
        <v>3.781841872585967E-2</v>
      </c>
      <c r="Q318" s="3">
        <v>236.9</v>
      </c>
      <c r="R318" s="1040">
        <v>9.1174999037832438E-2</v>
      </c>
      <c r="S318" s="48">
        <v>1</v>
      </c>
      <c r="T318" s="1041">
        <f t="shared" si="184"/>
        <v>8.9591833961561562</v>
      </c>
      <c r="U318" s="1012"/>
      <c r="V318" s="1012"/>
      <c r="W318" s="351"/>
      <c r="AC318" s="1086"/>
      <c r="AD318" s="1086"/>
      <c r="AE318" s="1086"/>
      <c r="AF318" s="1087"/>
      <c r="AG318" s="1087"/>
      <c r="AH318" s="1087"/>
      <c r="AI318" s="1087"/>
      <c r="AJ318" s="1086"/>
      <c r="AK318" s="919"/>
      <c r="AL318" s="1088"/>
      <c r="AM318" s="1086"/>
      <c r="AN318" s="698"/>
      <c r="AO318" s="698"/>
      <c r="AP318" s="698"/>
      <c r="AQ318" s="352"/>
      <c r="AR318" s="352"/>
      <c r="AS318" s="1089"/>
      <c r="AT318" s="1089"/>
      <c r="AU318" s="1089"/>
      <c r="AV318" s="1086"/>
    </row>
    <row r="319" spans="1:48" x14ac:dyDescent="0.35">
      <c r="A319" s="1090">
        <v>5.5620000000000008E-4</v>
      </c>
      <c r="D319" s="56" t="s">
        <v>387</v>
      </c>
      <c r="E319" s="56" t="s">
        <v>71</v>
      </c>
      <c r="F319" s="1033">
        <f t="shared" si="173"/>
        <v>1.6923076923076923</v>
      </c>
      <c r="G319" s="1033">
        <f t="shared" si="174"/>
        <v>4.2307692307692308</v>
      </c>
      <c r="H319" s="1033">
        <f t="shared" si="175"/>
        <v>0.26794871794871794</v>
      </c>
      <c r="I319" s="1033">
        <f t="shared" si="182"/>
        <v>803.84615384615381</v>
      </c>
      <c r="J319" s="1033">
        <f t="shared" si="176"/>
        <v>0.36472148541114058</v>
      </c>
      <c r="K319" s="387">
        <f t="shared" si="177"/>
        <v>1.6923076923076923</v>
      </c>
      <c r="L319" s="1034">
        <f t="shared" si="178"/>
        <v>4.6256410256410252</v>
      </c>
      <c r="M319" s="1034">
        <f t="shared" si="179"/>
        <v>0.2957326495726495</v>
      </c>
      <c r="N319" s="1035">
        <f t="shared" si="183"/>
        <v>887.19794871794852</v>
      </c>
      <c r="O319" s="1036">
        <f t="shared" si="180"/>
        <v>0.40253990413700025</v>
      </c>
      <c r="P319" s="1060">
        <f t="shared" si="181"/>
        <v>3.781841872585967E-2</v>
      </c>
      <c r="Q319" s="3">
        <v>556.20000000000005</v>
      </c>
      <c r="R319" s="1040">
        <v>0.21406304121925879</v>
      </c>
      <c r="S319" s="48">
        <v>1</v>
      </c>
      <c r="T319" s="1041">
        <f t="shared" si="184"/>
        <v>21.034604495323151</v>
      </c>
      <c r="U319" s="1012"/>
      <c r="V319" s="1012"/>
      <c r="W319" s="351"/>
      <c r="AC319" s="1086"/>
      <c r="AD319" s="1086"/>
      <c r="AE319" s="1086"/>
      <c r="AF319" s="1087"/>
      <c r="AG319" s="1087"/>
      <c r="AH319" s="1087"/>
      <c r="AI319" s="1087"/>
      <c r="AJ319" s="1086"/>
      <c r="AK319" s="919"/>
      <c r="AL319" s="1088"/>
      <c r="AM319" s="1086"/>
      <c r="AN319" s="698"/>
      <c r="AO319" s="698"/>
      <c r="AP319" s="698"/>
      <c r="AQ319" s="352"/>
      <c r="AR319" s="352"/>
      <c r="AS319" s="1089"/>
      <c r="AT319" s="1089"/>
      <c r="AU319" s="1089"/>
      <c r="AV319" s="1086"/>
    </row>
    <row r="320" spans="1:48" x14ac:dyDescent="0.35">
      <c r="A320" s="1090">
        <v>1.9650000000000003E-4</v>
      </c>
      <c r="D320" s="56" t="s">
        <v>387</v>
      </c>
      <c r="E320" s="56" t="s">
        <v>72</v>
      </c>
      <c r="F320" s="1033">
        <f t="shared" si="173"/>
        <v>1.6923076923076923</v>
      </c>
      <c r="G320" s="1033">
        <f t="shared" si="174"/>
        <v>4.2307692307692308</v>
      </c>
      <c r="H320" s="1033">
        <f t="shared" si="175"/>
        <v>0.26794871794871794</v>
      </c>
      <c r="I320" s="1033">
        <f t="shared" si="182"/>
        <v>803.84615384615381</v>
      </c>
      <c r="J320" s="1033">
        <f t="shared" si="176"/>
        <v>0.36472148541114058</v>
      </c>
      <c r="K320" s="387">
        <f t="shared" si="177"/>
        <v>1.6923076923076923</v>
      </c>
      <c r="L320" s="1034">
        <f t="shared" si="178"/>
        <v>4.6256410256410252</v>
      </c>
      <c r="M320" s="1034">
        <f t="shared" si="179"/>
        <v>0.2957326495726495</v>
      </c>
      <c r="N320" s="1035">
        <f t="shared" si="183"/>
        <v>887.19794871794852</v>
      </c>
      <c r="O320" s="1036">
        <f t="shared" si="180"/>
        <v>0.40253990413700025</v>
      </c>
      <c r="P320" s="1060">
        <f t="shared" si="181"/>
        <v>3.781841872585967E-2</v>
      </c>
      <c r="Q320" s="3">
        <v>196.50000000000003</v>
      </c>
      <c r="R320" s="1040">
        <v>7.5626371088788849E-2</v>
      </c>
      <c r="S320" s="48">
        <v>1</v>
      </c>
      <c r="T320" s="1041">
        <f t="shared" si="184"/>
        <v>7.4313192796314267</v>
      </c>
      <c r="U320" s="1012"/>
      <c r="V320" s="1012"/>
      <c r="W320" s="351"/>
      <c r="AC320" s="1086"/>
      <c r="AD320" s="1086"/>
      <c r="AE320" s="1086"/>
      <c r="AF320" s="1087"/>
      <c r="AG320" s="1087"/>
      <c r="AH320" s="1087"/>
      <c r="AI320" s="1087"/>
      <c r="AJ320" s="1086"/>
      <c r="AK320" s="919"/>
      <c r="AL320" s="1088"/>
      <c r="AM320" s="1086"/>
      <c r="AN320" s="698"/>
      <c r="AO320" s="698"/>
      <c r="AP320" s="698"/>
      <c r="AQ320" s="352"/>
      <c r="AR320" s="352"/>
      <c r="AS320" s="1089"/>
      <c r="AT320" s="1089"/>
      <c r="AU320" s="1089"/>
      <c r="AV320" s="1086"/>
    </row>
    <row r="321" spans="1:48" x14ac:dyDescent="0.35">
      <c r="A321" s="1090">
        <v>5.6100000000000002E-5</v>
      </c>
      <c r="D321" s="56" t="s">
        <v>387</v>
      </c>
      <c r="E321" s="56" t="s">
        <v>73</v>
      </c>
      <c r="F321" s="1033">
        <f t="shared" si="173"/>
        <v>1.6923076923076923</v>
      </c>
      <c r="G321" s="1033">
        <f t="shared" si="174"/>
        <v>4.2307692307692308</v>
      </c>
      <c r="H321" s="1033">
        <f t="shared" si="175"/>
        <v>0.26794871794871794</v>
      </c>
      <c r="I321" s="1033">
        <f t="shared" si="182"/>
        <v>803.84615384615381</v>
      </c>
      <c r="J321" s="1033">
        <f t="shared" si="176"/>
        <v>0.36472148541114058</v>
      </c>
      <c r="K321" s="387">
        <f t="shared" si="177"/>
        <v>1.6923076923076923</v>
      </c>
      <c r="L321" s="1034">
        <f t="shared" si="178"/>
        <v>4.6256410256410252</v>
      </c>
      <c r="M321" s="1034">
        <f t="shared" si="179"/>
        <v>0.2957326495726495</v>
      </c>
      <c r="N321" s="1035">
        <f t="shared" si="183"/>
        <v>887.19794871794852</v>
      </c>
      <c r="O321" s="1036">
        <f t="shared" si="180"/>
        <v>0.40253990413700025</v>
      </c>
      <c r="P321" s="1060">
        <f t="shared" si="181"/>
        <v>3.781841872585967E-2</v>
      </c>
      <c r="Q321" s="3">
        <v>56.1</v>
      </c>
      <c r="R321" s="1040">
        <v>2.159104029557788E-2</v>
      </c>
      <c r="S321" s="48">
        <v>1</v>
      </c>
      <c r="T321" s="1041">
        <f t="shared" si="184"/>
        <v>2.1216132905207274</v>
      </c>
      <c r="U321" s="1012"/>
      <c r="V321" s="1012"/>
      <c r="W321" s="351"/>
      <c r="AC321" s="1086"/>
      <c r="AD321" s="1086"/>
      <c r="AE321" s="1086"/>
      <c r="AF321" s="1087"/>
      <c r="AG321" s="1087"/>
      <c r="AH321" s="1087"/>
      <c r="AI321" s="1087"/>
      <c r="AJ321" s="1086"/>
      <c r="AK321" s="919"/>
      <c r="AL321" s="1088"/>
      <c r="AM321" s="1086"/>
      <c r="AN321" s="698"/>
      <c r="AO321" s="698"/>
      <c r="AP321" s="698"/>
      <c r="AQ321" s="352"/>
      <c r="AR321" s="352"/>
      <c r="AS321" s="1089"/>
      <c r="AT321" s="1089"/>
      <c r="AU321" s="1089"/>
      <c r="AV321" s="1086"/>
    </row>
    <row r="322" spans="1:48" x14ac:dyDescent="0.35">
      <c r="A322" s="1090">
        <v>3.1675000000000003E-4</v>
      </c>
      <c r="D322" s="56" t="s">
        <v>387</v>
      </c>
      <c r="E322" s="56" t="s">
        <v>74</v>
      </c>
      <c r="F322" s="1033">
        <f t="shared" si="173"/>
        <v>1.6923076923076923</v>
      </c>
      <c r="G322" s="1033">
        <f t="shared" si="174"/>
        <v>4.2307692307692308</v>
      </c>
      <c r="H322" s="1033">
        <f t="shared" si="175"/>
        <v>0.26794871794871794</v>
      </c>
      <c r="I322" s="1033">
        <f t="shared" si="182"/>
        <v>803.84615384615381</v>
      </c>
      <c r="J322" s="1033">
        <f t="shared" si="176"/>
        <v>0.36472148541114058</v>
      </c>
      <c r="K322" s="387">
        <f t="shared" si="177"/>
        <v>1.6923076923076923</v>
      </c>
      <c r="L322" s="1034">
        <f t="shared" si="178"/>
        <v>4.6256410256410252</v>
      </c>
      <c r="M322" s="1034">
        <f t="shared" si="179"/>
        <v>0.2957326495726495</v>
      </c>
      <c r="N322" s="1035">
        <f t="shared" si="183"/>
        <v>887.19794871794852</v>
      </c>
      <c r="O322" s="1036">
        <f t="shared" si="180"/>
        <v>0.40253990413700025</v>
      </c>
      <c r="P322" s="1060">
        <f t="shared" si="181"/>
        <v>3.781841872585967E-2</v>
      </c>
      <c r="Q322" s="3">
        <v>316.75000000000006</v>
      </c>
      <c r="R322" s="1040">
        <v>0.12190663125890008</v>
      </c>
      <c r="S322" s="48">
        <v>1</v>
      </c>
      <c r="T322" s="1041">
        <f t="shared" si="184"/>
        <v>11.978984131416052</v>
      </c>
      <c r="U322" s="1012"/>
      <c r="V322" s="1012"/>
      <c r="W322" s="351"/>
      <c r="AC322" s="1086"/>
      <c r="AD322" s="1086"/>
      <c r="AE322" s="1086"/>
      <c r="AF322" s="1087"/>
      <c r="AG322" s="1087"/>
      <c r="AH322" s="1087"/>
      <c r="AI322" s="1087"/>
      <c r="AJ322" s="1086"/>
      <c r="AK322" s="919"/>
      <c r="AL322" s="1088"/>
      <c r="AM322" s="1086"/>
      <c r="AN322" s="698"/>
      <c r="AO322" s="698"/>
      <c r="AP322" s="698"/>
      <c r="AQ322" s="352"/>
      <c r="AR322" s="352"/>
      <c r="AS322" s="1089"/>
      <c r="AT322" s="1089"/>
      <c r="AU322" s="1089"/>
      <c r="AV322" s="1086"/>
    </row>
    <row r="323" spans="1:48" x14ac:dyDescent="0.35">
      <c r="A323" s="1090">
        <v>9.2449999999999997E-5</v>
      </c>
      <c r="D323" s="56" t="s">
        <v>387</v>
      </c>
      <c r="E323" s="56" t="s">
        <v>75</v>
      </c>
      <c r="F323" s="1033">
        <f t="shared" si="173"/>
        <v>1.6923076923076923</v>
      </c>
      <c r="G323" s="1033">
        <f t="shared" si="174"/>
        <v>4.2307692307692308</v>
      </c>
      <c r="H323" s="1033">
        <f t="shared" si="175"/>
        <v>0.26794871794871794</v>
      </c>
      <c r="I323" s="1033">
        <f t="shared" si="182"/>
        <v>803.84615384615381</v>
      </c>
      <c r="J323" s="1033">
        <f t="shared" si="176"/>
        <v>0.36472148541114058</v>
      </c>
      <c r="K323" s="387">
        <f t="shared" si="177"/>
        <v>1.6923076923076923</v>
      </c>
      <c r="L323" s="1034">
        <f t="shared" si="178"/>
        <v>4.6256410256410252</v>
      </c>
      <c r="M323" s="1034">
        <f t="shared" si="179"/>
        <v>0.2957326495726495</v>
      </c>
      <c r="N323" s="1035">
        <f t="shared" si="183"/>
        <v>887.19794871794852</v>
      </c>
      <c r="O323" s="1036">
        <f t="shared" si="180"/>
        <v>0.40253990413700025</v>
      </c>
      <c r="P323" s="1060">
        <f t="shared" si="181"/>
        <v>3.781841872585967E-2</v>
      </c>
      <c r="Q323" s="3">
        <v>92.45</v>
      </c>
      <c r="R323" s="1040">
        <v>3.558095677943271E-2</v>
      </c>
      <c r="S323" s="48">
        <v>1</v>
      </c>
      <c r="T323" s="1041">
        <f t="shared" si="184"/>
        <v>3.4963128112057267</v>
      </c>
      <c r="U323" s="1012"/>
      <c r="V323" s="1012"/>
      <c r="W323" s="351"/>
      <c r="AC323" s="1086"/>
      <c r="AD323" s="1086"/>
      <c r="AE323" s="1086"/>
      <c r="AF323" s="1087"/>
      <c r="AG323" s="1087"/>
      <c r="AH323" s="1087"/>
      <c r="AI323" s="1087"/>
      <c r="AJ323" s="1086"/>
      <c r="AK323" s="919"/>
      <c r="AL323" s="1088"/>
      <c r="AM323" s="1086"/>
      <c r="AN323" s="698"/>
      <c r="AO323" s="698"/>
      <c r="AP323" s="698"/>
      <c r="AQ323" s="352"/>
      <c r="AR323" s="352"/>
      <c r="AS323" s="1089"/>
      <c r="AT323" s="1089"/>
      <c r="AU323" s="1089"/>
      <c r="AV323" s="1086"/>
    </row>
    <row r="324" spans="1:48" x14ac:dyDescent="0.35">
      <c r="A324" s="1090">
        <v>4.2000000000000004E-5</v>
      </c>
      <c r="D324" s="56" t="s">
        <v>387</v>
      </c>
      <c r="E324" s="56" t="s">
        <v>76</v>
      </c>
      <c r="F324" s="1033">
        <f t="shared" si="173"/>
        <v>1.6923076923076923</v>
      </c>
      <c r="G324" s="1033">
        <f t="shared" si="174"/>
        <v>4.2307692307692308</v>
      </c>
      <c r="H324" s="1033">
        <f t="shared" si="175"/>
        <v>0.26794871794871794</v>
      </c>
      <c r="I324" s="1033">
        <f t="shared" si="182"/>
        <v>803.84615384615381</v>
      </c>
      <c r="J324" s="1033">
        <f t="shared" si="176"/>
        <v>0.36472148541114058</v>
      </c>
      <c r="K324" s="387">
        <f t="shared" si="177"/>
        <v>1.6923076923076923</v>
      </c>
      <c r="L324" s="1034">
        <f t="shared" si="178"/>
        <v>4.6256410256410252</v>
      </c>
      <c r="M324" s="1034">
        <f t="shared" si="179"/>
        <v>0.2957326495726495</v>
      </c>
      <c r="N324" s="1035">
        <f t="shared" si="183"/>
        <v>887.19794871794852</v>
      </c>
      <c r="O324" s="1036">
        <f t="shared" si="180"/>
        <v>0.40253990413700025</v>
      </c>
      <c r="P324" s="1060">
        <f t="shared" si="181"/>
        <v>3.781841872585967E-2</v>
      </c>
      <c r="Q324" s="3">
        <v>42.000000000000007</v>
      </c>
      <c r="R324" s="1040">
        <v>1.6164415194550287E-2</v>
      </c>
      <c r="S324" s="48">
        <v>1</v>
      </c>
      <c r="T324" s="1041">
        <f t="shared" si="184"/>
        <v>1.5883735864861064</v>
      </c>
      <c r="U324" s="1012"/>
      <c r="V324" s="1012"/>
      <c r="W324" s="351"/>
      <c r="AC324" s="1086"/>
      <c r="AD324" s="1086"/>
      <c r="AE324" s="1086"/>
      <c r="AF324" s="1087"/>
      <c r="AG324" s="1087"/>
      <c r="AH324" s="1087"/>
      <c r="AI324" s="1087"/>
      <c r="AJ324" s="1086"/>
      <c r="AK324" s="919"/>
      <c r="AL324" s="1088"/>
      <c r="AM324" s="1086"/>
      <c r="AN324" s="698"/>
      <c r="AO324" s="698"/>
      <c r="AP324" s="698"/>
      <c r="AQ324" s="352"/>
      <c r="AR324" s="352"/>
      <c r="AS324" s="1089"/>
      <c r="AT324" s="1089"/>
      <c r="AU324" s="1089"/>
      <c r="AV324" s="1086"/>
    </row>
    <row r="325" spans="1:48" x14ac:dyDescent="0.35">
      <c r="A325" s="1090">
        <v>2.7350000000000001E-5</v>
      </c>
      <c r="D325" s="56" t="s">
        <v>387</v>
      </c>
      <c r="E325" s="56" t="s">
        <v>77</v>
      </c>
      <c r="F325" s="1033">
        <f t="shared" si="173"/>
        <v>1.6923076923076923</v>
      </c>
      <c r="G325" s="1033">
        <f t="shared" si="174"/>
        <v>4.2307692307692308</v>
      </c>
      <c r="H325" s="1033">
        <f t="shared" si="175"/>
        <v>0.26794871794871794</v>
      </c>
      <c r="I325" s="1033">
        <f t="shared" si="182"/>
        <v>803.84615384615381</v>
      </c>
      <c r="J325" s="1033">
        <f t="shared" si="176"/>
        <v>0.36472148541114058</v>
      </c>
      <c r="K325" s="387">
        <f t="shared" si="177"/>
        <v>1.6923076923076923</v>
      </c>
      <c r="L325" s="1034">
        <f t="shared" si="178"/>
        <v>4.6256410256410252</v>
      </c>
      <c r="M325" s="1034">
        <f t="shared" si="179"/>
        <v>0.2957326495726495</v>
      </c>
      <c r="N325" s="1035">
        <f t="shared" si="183"/>
        <v>887.19794871794852</v>
      </c>
      <c r="O325" s="1036">
        <f t="shared" si="180"/>
        <v>0.40253990413700025</v>
      </c>
      <c r="P325" s="1060">
        <f t="shared" si="181"/>
        <v>3.781841872585967E-2</v>
      </c>
      <c r="Q325" s="3">
        <v>27.35</v>
      </c>
      <c r="R325" s="1040">
        <v>1.0526113227879769E-2</v>
      </c>
      <c r="S325" s="48">
        <v>1</v>
      </c>
      <c r="T325" s="1041">
        <f t="shared" si="184"/>
        <v>1.034333752152262</v>
      </c>
      <c r="U325" s="1012"/>
      <c r="V325" s="1012"/>
      <c r="W325" s="351"/>
      <c r="AC325" s="1086"/>
      <c r="AD325" s="1086"/>
      <c r="AE325" s="1086"/>
      <c r="AF325" s="1087"/>
      <c r="AG325" s="1087"/>
      <c r="AH325" s="1087"/>
      <c r="AI325" s="1087"/>
      <c r="AJ325" s="1086"/>
      <c r="AK325" s="919"/>
      <c r="AL325" s="1088"/>
      <c r="AM325" s="1086"/>
      <c r="AN325" s="698"/>
      <c r="AO325" s="698"/>
      <c r="AP325" s="698"/>
      <c r="AQ325" s="352"/>
      <c r="AR325" s="352"/>
      <c r="AS325" s="1089"/>
      <c r="AT325" s="1089"/>
      <c r="AU325" s="1089"/>
      <c r="AV325" s="1086"/>
    </row>
    <row r="326" spans="1:48" ht="15" thickBot="1" x14ac:dyDescent="0.4">
      <c r="A326" s="1091">
        <v>1.6950000000000002E-5</v>
      </c>
      <c r="D326" s="56" t="s">
        <v>387</v>
      </c>
      <c r="E326" s="56" t="s">
        <v>78</v>
      </c>
      <c r="F326" s="1033">
        <f t="shared" si="173"/>
        <v>1.6923076923076923</v>
      </c>
      <c r="G326" s="1033">
        <f t="shared" si="174"/>
        <v>4.2307692307692308</v>
      </c>
      <c r="H326" s="1033">
        <f t="shared" si="175"/>
        <v>0.26794871794871794</v>
      </c>
      <c r="I326" s="1033">
        <f t="shared" si="182"/>
        <v>803.84615384615381</v>
      </c>
      <c r="J326" s="1033">
        <f t="shared" si="176"/>
        <v>0.36472148541114058</v>
      </c>
      <c r="K326" s="387">
        <f t="shared" si="177"/>
        <v>1.6923076923076923</v>
      </c>
      <c r="L326" s="1034">
        <f t="shared" si="178"/>
        <v>4.6256410256410252</v>
      </c>
      <c r="M326" s="1034">
        <f t="shared" si="179"/>
        <v>0.2957326495726495</v>
      </c>
      <c r="N326" s="1035">
        <f t="shared" si="183"/>
        <v>887.19794871794852</v>
      </c>
      <c r="O326" s="1036">
        <f t="shared" si="180"/>
        <v>0.40253990413700025</v>
      </c>
      <c r="P326" s="1060">
        <f t="shared" si="181"/>
        <v>3.781841872585967E-2</v>
      </c>
      <c r="Q326" s="3">
        <v>16.950000000000003</v>
      </c>
      <c r="R326" s="1040">
        <v>6.5234961320863663E-3</v>
      </c>
      <c r="S326" s="48">
        <v>1</v>
      </c>
      <c r="T326" s="1041">
        <f t="shared" si="184"/>
        <v>0.64102219740332156</v>
      </c>
      <c r="U326" s="1012"/>
      <c r="V326" s="1012"/>
      <c r="W326" s="351"/>
      <c r="AC326" s="1086"/>
      <c r="AD326" s="1086"/>
      <c r="AE326" s="1086"/>
      <c r="AF326" s="1087"/>
      <c r="AG326" s="1087"/>
      <c r="AH326" s="1087"/>
      <c r="AI326" s="1087"/>
      <c r="AJ326" s="1086"/>
      <c r="AK326" s="919"/>
      <c r="AL326" s="1088"/>
      <c r="AM326" s="1086"/>
      <c r="AN326" s="698"/>
      <c r="AO326" s="698"/>
      <c r="AP326" s="698"/>
      <c r="AQ326" s="352"/>
      <c r="AR326" s="352"/>
      <c r="AS326" s="1089"/>
      <c r="AT326" s="1089"/>
      <c r="AU326" s="1089"/>
      <c r="AV326" s="1086"/>
    </row>
    <row r="327" spans="1:48" x14ac:dyDescent="0.35">
      <c r="A327" s="1077">
        <f>SUM(A311:A326)</f>
        <v>2.5983000000000004E-3</v>
      </c>
      <c r="D327" s="56"/>
      <c r="E327" s="362" t="s">
        <v>79</v>
      </c>
      <c r="F327" s="1078"/>
      <c r="G327" s="1078"/>
      <c r="H327" s="1078"/>
      <c r="I327" s="1078"/>
      <c r="J327" s="1046">
        <f>SUM(J311:J326)</f>
        <v>5.8355437665782501</v>
      </c>
      <c r="K327" s="362"/>
      <c r="L327" s="362"/>
      <c r="M327" s="362"/>
      <c r="N327" s="362"/>
      <c r="O327" s="1047">
        <f>SUM(O311:O326)</f>
        <v>6.4406384661920022</v>
      </c>
      <c r="P327" s="1046">
        <f>SUM(P311:P326)</f>
        <v>0.60509469961375473</v>
      </c>
      <c r="Q327" s="3">
        <v>2598.2999999999997</v>
      </c>
      <c r="R327" s="56">
        <v>1.0000000000000004</v>
      </c>
      <c r="S327" s="56"/>
      <c r="T327" s="1047">
        <f>SUM(T311:T326)</f>
        <v>98.26359737540119</v>
      </c>
      <c r="AK327" s="498"/>
      <c r="AL327" s="354"/>
      <c r="AM327" s="698"/>
      <c r="AN327" s="698"/>
      <c r="AO327" s="698"/>
      <c r="AP327" s="350"/>
      <c r="AQ327" s="352"/>
      <c r="AR327" s="352"/>
      <c r="AS327" s="1086"/>
      <c r="AT327" s="1086"/>
      <c r="AU327" s="1086"/>
      <c r="AV327" s="1086"/>
    </row>
    <row r="328" spans="1:48" x14ac:dyDescent="0.35">
      <c r="E328" t="s">
        <v>94</v>
      </c>
      <c r="F328">
        <v>4.9999999999999989E-2</v>
      </c>
      <c r="I328" t="s">
        <v>394</v>
      </c>
      <c r="J328" s="1093">
        <f>SUMPRODUCT(J311:J326,Q311:Q326)</f>
        <v>947.65583554376656</v>
      </c>
    </row>
    <row r="330" spans="1:48" x14ac:dyDescent="0.35">
      <c r="E330" s="333" t="s">
        <v>404</v>
      </c>
      <c r="G330" s="1115" t="s">
        <v>366</v>
      </c>
    </row>
    <row r="331" spans="1:48" x14ac:dyDescent="0.35">
      <c r="A331" s="1055" t="s">
        <v>105</v>
      </c>
      <c r="G331" s="1115">
        <v>1</v>
      </c>
      <c r="T331" t="str">
        <f>E330</f>
        <v>Weighted Average Multifamily Dwelling</v>
      </c>
    </row>
    <row r="332" spans="1:48" ht="29" x14ac:dyDescent="0.35">
      <c r="A332" s="1057" t="s">
        <v>109</v>
      </c>
      <c r="D332" s="56"/>
      <c r="E332" s="56"/>
      <c r="F332" s="1028" t="s">
        <v>367</v>
      </c>
      <c r="G332" s="1028"/>
      <c r="H332" s="1028"/>
      <c r="I332" s="1028"/>
      <c r="J332" s="1028"/>
      <c r="K332" s="1029" t="s">
        <v>393</v>
      </c>
      <c r="L332" s="1029"/>
      <c r="M332" s="1029"/>
      <c r="N332" s="1029"/>
      <c r="O332" s="1029"/>
      <c r="P332" s="18" t="s">
        <v>371</v>
      </c>
      <c r="Q332" s="1158" t="s">
        <v>4</v>
      </c>
      <c r="R332" s="1158"/>
      <c r="S332" s="1158"/>
      <c r="T332" s="1031" t="s">
        <v>372</v>
      </c>
      <c r="U332" s="1115"/>
      <c r="V332" s="1115"/>
      <c r="W332" s="13"/>
    </row>
    <row r="333" spans="1:48" ht="87" x14ac:dyDescent="0.35">
      <c r="A333" s="1058" t="s">
        <v>402</v>
      </c>
      <c r="D333" s="360" t="s">
        <v>373</v>
      </c>
      <c r="E333" s="360" t="s">
        <v>96</v>
      </c>
      <c r="F333" s="18" t="s">
        <v>374</v>
      </c>
      <c r="G333" s="18" t="s">
        <v>375</v>
      </c>
      <c r="H333" s="18" t="s">
        <v>376</v>
      </c>
      <c r="I333" s="18" t="s">
        <v>377</v>
      </c>
      <c r="J333" s="18" t="s">
        <v>378</v>
      </c>
      <c r="K333" s="1032" t="s">
        <v>389</v>
      </c>
      <c r="L333" s="1032" t="s">
        <v>375</v>
      </c>
      <c r="M333" s="1032" t="s">
        <v>380</v>
      </c>
      <c r="N333" s="4" t="s">
        <v>381</v>
      </c>
      <c r="O333" s="4" t="s">
        <v>378</v>
      </c>
      <c r="P333" s="18" t="s">
        <v>383</v>
      </c>
      <c r="Q333" s="4" t="s">
        <v>384</v>
      </c>
      <c r="R333" s="4" t="s">
        <v>11</v>
      </c>
      <c r="S333" s="4" t="s">
        <v>385</v>
      </c>
      <c r="T333" s="18" t="s">
        <v>386</v>
      </c>
      <c r="U333" s="1115"/>
      <c r="V333" s="1115"/>
      <c r="W333" s="13"/>
    </row>
    <row r="334" spans="1:48" x14ac:dyDescent="0.35">
      <c r="A334" s="1092">
        <f>A242+A265+A288+A311</f>
        <v>2.6500000000000004E-4</v>
      </c>
      <c r="D334" s="56" t="s">
        <v>387</v>
      </c>
      <c r="E334" s="56" t="s">
        <v>63</v>
      </c>
      <c r="F334" s="1033">
        <f>(F242*$Q242+F265*$Q265+F288*$Q288+F311*$Q311)/$Q334</f>
        <v>1.8416608391608387</v>
      </c>
      <c r="G334" s="1033">
        <f t="shared" ref="F334:I349" si="185">(G242*$Q242+G265*$Q265+G288*$Q288+G311*$Q311)/$Q334</f>
        <v>4.6041520979020971</v>
      </c>
      <c r="H334" s="1033">
        <f t="shared" si="185"/>
        <v>0.2915962995337994</v>
      </c>
      <c r="I334" s="1033">
        <f>(I242*$Q242+I265*$Q265+I288*$Q288+I311*$Q311)/$Q334</f>
        <v>874.78889860139816</v>
      </c>
      <c r="J334" s="1033">
        <f t="shared" ref="J334:J349" si="186">I334/$E$18</f>
        <v>0.39690966361224961</v>
      </c>
      <c r="K334" s="387">
        <f>(K242*$Q242+K265*$Q265+K288*$Q288+K311*$Q311)/$Q334</f>
        <v>1.8416608391608387</v>
      </c>
      <c r="L334" s="1034">
        <f t="shared" ref="K334:N349" si="187">(L242*$Q242+L265*$Q265+L288*$Q288+L311*$Q311)/$Q334</f>
        <v>5.0338729603729586</v>
      </c>
      <c r="M334" s="1034">
        <f t="shared" si="187"/>
        <v>0.32183227793317781</v>
      </c>
      <c r="N334" s="1035">
        <f t="shared" si="187"/>
        <v>965.49683379953342</v>
      </c>
      <c r="O334" s="1036">
        <f>N334/$E$18</f>
        <v>0.43806571406512407</v>
      </c>
      <c r="P334" s="1122">
        <f t="shared" ref="P334:P349" si="188">O334-J334</f>
        <v>4.115605045287446E-2</v>
      </c>
      <c r="Q334" s="3">
        <v>265.00000000000006</v>
      </c>
      <c r="R334" s="1040">
        <v>5.0994881268521738E-3</v>
      </c>
      <c r="S334" s="48">
        <v>1</v>
      </c>
      <c r="T334" s="1041">
        <f>P334*Q334*S334</f>
        <v>10.906353370011734</v>
      </c>
      <c r="U334" s="1012"/>
      <c r="V334" s="1012"/>
      <c r="W334" s="351"/>
    </row>
    <row r="335" spans="1:48" x14ac:dyDescent="0.35">
      <c r="A335" s="1092">
        <f t="shared" ref="A335:A349" si="189">A243+A266+A289+A312</f>
        <v>1.5729999999999997E-3</v>
      </c>
      <c r="D335" s="56" t="s">
        <v>387</v>
      </c>
      <c r="E335" s="56" t="s">
        <v>64</v>
      </c>
      <c r="F335" s="1033">
        <f t="shared" si="185"/>
        <v>1.8416608391608391</v>
      </c>
      <c r="G335" s="1033">
        <f t="shared" si="185"/>
        <v>4.604152097902098</v>
      </c>
      <c r="H335" s="1033">
        <f t="shared" si="185"/>
        <v>0.29159629953379945</v>
      </c>
      <c r="I335" s="1033">
        <f t="shared" si="185"/>
        <v>874.78889860139861</v>
      </c>
      <c r="J335" s="1033">
        <f t="shared" si="186"/>
        <v>0.39690966361224983</v>
      </c>
      <c r="K335" s="1043">
        <f t="shared" si="187"/>
        <v>1.8416608391608391</v>
      </c>
      <c r="L335" s="1034">
        <f t="shared" si="187"/>
        <v>5.0338729603729604</v>
      </c>
      <c r="M335" s="1034">
        <f t="shared" si="187"/>
        <v>0.32183227793317792</v>
      </c>
      <c r="N335" s="1035">
        <f t="shared" si="187"/>
        <v>965.49683379953353</v>
      </c>
      <c r="O335" s="1036">
        <f t="shared" ref="O335:O349" si="190">N335/$E$18</f>
        <v>0.43806571406512412</v>
      </c>
      <c r="P335" s="1122">
        <f t="shared" si="188"/>
        <v>4.1156050452874293E-2</v>
      </c>
      <c r="Q335" s="3">
        <v>1572.9999999999998</v>
      </c>
      <c r="R335" s="1040">
        <v>3.026979178693761E-2</v>
      </c>
      <c r="S335" s="48">
        <v>1</v>
      </c>
      <c r="T335" s="1041">
        <f t="shared" ref="T335:T349" si="191">P335*Q335*S335</f>
        <v>64.738467362371253</v>
      </c>
      <c r="U335" s="1012"/>
      <c r="V335" s="1012"/>
      <c r="W335" s="351"/>
    </row>
    <row r="336" spans="1:48" x14ac:dyDescent="0.35">
      <c r="A336" s="1092">
        <f t="shared" si="189"/>
        <v>7.6299999999999996E-3</v>
      </c>
      <c r="D336" s="56" t="s">
        <v>387</v>
      </c>
      <c r="E336" s="56" t="s">
        <v>65</v>
      </c>
      <c r="F336" s="1033">
        <f t="shared" si="185"/>
        <v>1.8416608391608391</v>
      </c>
      <c r="G336" s="1033">
        <f t="shared" si="185"/>
        <v>4.604152097902098</v>
      </c>
      <c r="H336" s="1033">
        <f t="shared" si="185"/>
        <v>0.29159629953379945</v>
      </c>
      <c r="I336" s="1033">
        <f t="shared" si="185"/>
        <v>874.7888986013985</v>
      </c>
      <c r="J336" s="1033">
        <f t="shared" si="186"/>
        <v>0.39690966361224977</v>
      </c>
      <c r="K336" s="387">
        <f t="shared" si="187"/>
        <v>1.8416608391608391</v>
      </c>
      <c r="L336" s="1034">
        <f t="shared" si="187"/>
        <v>5.0338729603729595</v>
      </c>
      <c r="M336" s="1034">
        <f t="shared" si="187"/>
        <v>0.32183227793317787</v>
      </c>
      <c r="N336" s="1035">
        <f t="shared" si="187"/>
        <v>965.49683379953353</v>
      </c>
      <c r="O336" s="1036">
        <f t="shared" si="190"/>
        <v>0.43806571406512412</v>
      </c>
      <c r="P336" s="1122">
        <f t="shared" si="188"/>
        <v>4.1156050452874349E-2</v>
      </c>
      <c r="Q336" s="3">
        <v>7630</v>
      </c>
      <c r="R336" s="1040">
        <v>0.1468267713504984</v>
      </c>
      <c r="S336" s="48">
        <v>1</v>
      </c>
      <c r="T336" s="1041">
        <f t="shared" si="191"/>
        <v>314.0206649554313</v>
      </c>
      <c r="U336" s="1012"/>
      <c r="V336" s="1012"/>
      <c r="W336" s="351"/>
    </row>
    <row r="337" spans="1:23" x14ac:dyDescent="0.35">
      <c r="A337" s="1092">
        <f t="shared" si="189"/>
        <v>3.9750000000000002E-3</v>
      </c>
      <c r="D337" s="56" t="s">
        <v>387</v>
      </c>
      <c r="E337" s="56" t="s">
        <v>66</v>
      </c>
      <c r="F337" s="1033">
        <f t="shared" si="185"/>
        <v>1.8416608391608391</v>
      </c>
      <c r="G337" s="1033">
        <f t="shared" si="185"/>
        <v>4.6041520979020971</v>
      </c>
      <c r="H337" s="1033">
        <f t="shared" si="185"/>
        <v>0.29159629953379945</v>
      </c>
      <c r="I337" s="1033">
        <f t="shared" si="185"/>
        <v>874.78889860139839</v>
      </c>
      <c r="J337" s="1033">
        <f t="shared" si="186"/>
        <v>0.39690966361224972</v>
      </c>
      <c r="K337" s="387">
        <f t="shared" si="187"/>
        <v>1.8416608391608391</v>
      </c>
      <c r="L337" s="1034">
        <f t="shared" si="187"/>
        <v>5.0338729603729595</v>
      </c>
      <c r="M337" s="1034">
        <f t="shared" si="187"/>
        <v>0.32183227793317781</v>
      </c>
      <c r="N337" s="1035">
        <f t="shared" si="187"/>
        <v>965.49683379953365</v>
      </c>
      <c r="O337" s="1036">
        <f t="shared" si="190"/>
        <v>0.43806571406512418</v>
      </c>
      <c r="P337" s="1122">
        <f t="shared" si="188"/>
        <v>4.115605045287446E-2</v>
      </c>
      <c r="Q337" s="3">
        <v>3975.0000000000005</v>
      </c>
      <c r="R337" s="1040">
        <v>7.6492321902782601E-2</v>
      </c>
      <c r="S337" s="48">
        <v>1</v>
      </c>
      <c r="T337" s="1041">
        <f t="shared" si="191"/>
        <v>163.59530055017601</v>
      </c>
      <c r="U337" s="1012"/>
      <c r="V337" s="1012"/>
      <c r="W337" s="351"/>
    </row>
    <row r="338" spans="1:23" x14ac:dyDescent="0.35">
      <c r="A338" s="1092">
        <f t="shared" si="189"/>
        <v>7.0600000000000003E-4</v>
      </c>
      <c r="D338" s="56" t="s">
        <v>387</v>
      </c>
      <c r="E338" s="56" t="s">
        <v>67</v>
      </c>
      <c r="F338" s="1033">
        <f t="shared" si="185"/>
        <v>1.8416608391608389</v>
      </c>
      <c r="G338" s="1033">
        <f t="shared" si="185"/>
        <v>4.6041520979020971</v>
      </c>
      <c r="H338" s="1033">
        <f t="shared" si="185"/>
        <v>0.29159629953379945</v>
      </c>
      <c r="I338" s="1033">
        <f t="shared" si="185"/>
        <v>874.7888986013985</v>
      </c>
      <c r="J338" s="1033">
        <f t="shared" si="186"/>
        <v>0.39690966361224977</v>
      </c>
      <c r="K338" s="387">
        <f t="shared" si="187"/>
        <v>1.8416608391608389</v>
      </c>
      <c r="L338" s="1034">
        <f t="shared" si="187"/>
        <v>5.0338729603729595</v>
      </c>
      <c r="M338" s="1034">
        <f t="shared" si="187"/>
        <v>0.32183227793317781</v>
      </c>
      <c r="N338" s="1035">
        <f t="shared" si="187"/>
        <v>965.49683379953353</v>
      </c>
      <c r="O338" s="1036">
        <f t="shared" si="190"/>
        <v>0.43806571406512412</v>
      </c>
      <c r="P338" s="1122">
        <f>O338-J338</f>
        <v>4.1156050452874349E-2</v>
      </c>
      <c r="Q338" s="3">
        <v>706</v>
      </c>
      <c r="R338" s="1040">
        <v>1.3585806103991072E-2</v>
      </c>
      <c r="S338" s="48">
        <v>1</v>
      </c>
      <c r="T338" s="1041">
        <f t="shared" si="191"/>
        <v>29.056171619729291</v>
      </c>
      <c r="U338" s="1012"/>
      <c r="V338" s="1012"/>
      <c r="W338" s="351"/>
    </row>
    <row r="339" spans="1:23" x14ac:dyDescent="0.35">
      <c r="A339" s="1092">
        <f t="shared" si="189"/>
        <v>3.3700000000000006E-3</v>
      </c>
      <c r="D339" s="56" t="s">
        <v>387</v>
      </c>
      <c r="E339" s="56" t="s">
        <v>68</v>
      </c>
      <c r="F339" s="1033">
        <f t="shared" si="185"/>
        <v>1.8416608391608391</v>
      </c>
      <c r="G339" s="1033">
        <f t="shared" si="185"/>
        <v>4.604152097902098</v>
      </c>
      <c r="H339" s="1033">
        <f t="shared" si="185"/>
        <v>0.2915962995337994</v>
      </c>
      <c r="I339" s="1033">
        <f t="shared" si="185"/>
        <v>874.78889860139827</v>
      </c>
      <c r="J339" s="1033">
        <f t="shared" si="186"/>
        <v>0.39690966361224966</v>
      </c>
      <c r="K339" s="387">
        <f t="shared" si="187"/>
        <v>1.8416608391608391</v>
      </c>
      <c r="L339" s="1034">
        <f t="shared" si="187"/>
        <v>5.0338729603729595</v>
      </c>
      <c r="M339" s="1034">
        <f t="shared" si="187"/>
        <v>0.32183227793317787</v>
      </c>
      <c r="N339" s="1035">
        <f t="shared" si="187"/>
        <v>965.49683379953342</v>
      </c>
      <c r="O339" s="1036">
        <f t="shared" si="190"/>
        <v>0.43806571406512407</v>
      </c>
      <c r="P339" s="1122">
        <f t="shared" si="188"/>
        <v>4.1156050452874404E-2</v>
      </c>
      <c r="Q339" s="3">
        <v>3370.0000000000005</v>
      </c>
      <c r="R339" s="1040">
        <v>6.4850094292421973E-2</v>
      </c>
      <c r="S339" s="48">
        <v>1</v>
      </c>
      <c r="T339" s="1041">
        <f t="shared" si="191"/>
        <v>138.69589002618676</v>
      </c>
      <c r="U339" s="1012"/>
      <c r="V339" s="1012"/>
      <c r="W339" s="351"/>
    </row>
    <row r="340" spans="1:23" x14ac:dyDescent="0.35">
      <c r="A340" s="1092">
        <f t="shared" si="189"/>
        <v>3.6229999999999999E-3</v>
      </c>
      <c r="D340" s="56" t="s">
        <v>387</v>
      </c>
      <c r="E340" s="56" t="s">
        <v>69</v>
      </c>
      <c r="F340" s="1033">
        <f t="shared" si="185"/>
        <v>1.8416608391608393</v>
      </c>
      <c r="G340" s="1033">
        <f t="shared" si="185"/>
        <v>4.6041520979020971</v>
      </c>
      <c r="H340" s="1033">
        <f t="shared" si="185"/>
        <v>0.29159629953379945</v>
      </c>
      <c r="I340" s="1033">
        <f t="shared" si="185"/>
        <v>874.7888986013985</v>
      </c>
      <c r="J340" s="1033">
        <f t="shared" si="186"/>
        <v>0.39690966361224977</v>
      </c>
      <c r="K340" s="387">
        <f t="shared" si="187"/>
        <v>1.8416608391608393</v>
      </c>
      <c r="L340" s="1034">
        <f t="shared" si="187"/>
        <v>5.0338729603729586</v>
      </c>
      <c r="M340" s="1034">
        <f t="shared" si="187"/>
        <v>0.32183227793317781</v>
      </c>
      <c r="N340" s="1035">
        <f t="shared" si="187"/>
        <v>965.49683379953353</v>
      </c>
      <c r="O340" s="1036">
        <f t="shared" si="190"/>
        <v>0.43806571406512412</v>
      </c>
      <c r="P340" s="1122">
        <f t="shared" si="188"/>
        <v>4.1156050452874349E-2</v>
      </c>
      <c r="Q340" s="3">
        <v>3623</v>
      </c>
      <c r="R340" s="1040">
        <v>6.9718662202209139E-2</v>
      </c>
      <c r="S340" s="48">
        <v>1</v>
      </c>
      <c r="T340" s="1041">
        <f t="shared" si="191"/>
        <v>149.10837079076376</v>
      </c>
      <c r="U340" s="1012"/>
      <c r="V340" s="1012"/>
      <c r="W340" s="351"/>
    </row>
    <row r="341" spans="1:23" x14ac:dyDescent="0.35">
      <c r="A341" s="1092">
        <f t="shared" si="189"/>
        <v>4.738E-3</v>
      </c>
      <c r="D341" s="56" t="s">
        <v>387</v>
      </c>
      <c r="E341" s="56" t="s">
        <v>70</v>
      </c>
      <c r="F341" s="1033">
        <f t="shared" si="185"/>
        <v>1.8416608391608389</v>
      </c>
      <c r="G341" s="1033">
        <f t="shared" si="185"/>
        <v>4.6041520979020971</v>
      </c>
      <c r="H341" s="1033">
        <f t="shared" si="185"/>
        <v>0.29159629953379945</v>
      </c>
      <c r="I341" s="1033">
        <f t="shared" si="185"/>
        <v>874.7888986013985</v>
      </c>
      <c r="J341" s="1033">
        <f t="shared" si="186"/>
        <v>0.39690966361224977</v>
      </c>
      <c r="K341" s="387">
        <f t="shared" si="187"/>
        <v>1.8416608391608389</v>
      </c>
      <c r="L341" s="1034">
        <f t="shared" si="187"/>
        <v>5.0338729603729595</v>
      </c>
      <c r="M341" s="1034">
        <f t="shared" si="187"/>
        <v>0.32183227793317787</v>
      </c>
      <c r="N341" s="1035">
        <f t="shared" si="187"/>
        <v>965.49683379953342</v>
      </c>
      <c r="O341" s="1036">
        <f t="shared" si="190"/>
        <v>0.43806571406512407</v>
      </c>
      <c r="P341" s="1122">
        <f t="shared" si="188"/>
        <v>4.1156050452874293E-2</v>
      </c>
      <c r="Q341" s="3">
        <v>4738</v>
      </c>
      <c r="R341" s="1040">
        <v>9.1174999037832424E-2</v>
      </c>
      <c r="S341" s="48">
        <v>1</v>
      </c>
      <c r="T341" s="1041">
        <f t="shared" si="191"/>
        <v>194.99736704571839</v>
      </c>
      <c r="U341" s="1012"/>
      <c r="V341" s="1012"/>
      <c r="W341" s="351"/>
    </row>
    <row r="342" spans="1:23" x14ac:dyDescent="0.35">
      <c r="A342" s="1092">
        <f t="shared" si="189"/>
        <v>1.1124E-2</v>
      </c>
      <c r="D342" s="56" t="s">
        <v>387</v>
      </c>
      <c r="E342" s="56" t="s">
        <v>71</v>
      </c>
      <c r="F342" s="1033">
        <f t="shared" si="185"/>
        <v>1.8416608391608389</v>
      </c>
      <c r="G342" s="1033">
        <f t="shared" si="185"/>
        <v>4.604152097902098</v>
      </c>
      <c r="H342" s="1033">
        <f t="shared" si="185"/>
        <v>0.29159629953379945</v>
      </c>
      <c r="I342" s="1033">
        <f t="shared" si="185"/>
        <v>874.7888986013985</v>
      </c>
      <c r="J342" s="1033">
        <f t="shared" si="186"/>
        <v>0.39690966361224977</v>
      </c>
      <c r="K342" s="387">
        <f t="shared" si="187"/>
        <v>1.8416608391608389</v>
      </c>
      <c r="L342" s="1034">
        <f t="shared" si="187"/>
        <v>5.0338729603729595</v>
      </c>
      <c r="M342" s="1034">
        <f t="shared" si="187"/>
        <v>0.32183227793317781</v>
      </c>
      <c r="N342" s="1035">
        <f t="shared" si="187"/>
        <v>965.49683379953365</v>
      </c>
      <c r="O342" s="1036">
        <f t="shared" si="190"/>
        <v>0.43806571406512418</v>
      </c>
      <c r="P342" s="1122">
        <f t="shared" si="188"/>
        <v>4.1156050452874404E-2</v>
      </c>
      <c r="Q342" s="3">
        <v>11124</v>
      </c>
      <c r="R342" s="1040">
        <v>0.21406304121925876</v>
      </c>
      <c r="S342" s="48">
        <v>1</v>
      </c>
      <c r="T342" s="1041">
        <f t="shared" si="191"/>
        <v>457.81990523777489</v>
      </c>
      <c r="U342" s="1012"/>
      <c r="V342" s="1012"/>
      <c r="W342" s="351"/>
    </row>
    <row r="343" spans="1:23" x14ac:dyDescent="0.35">
      <c r="A343" s="1092">
        <f t="shared" si="189"/>
        <v>3.9300000000000003E-3</v>
      </c>
      <c r="D343" s="56" t="s">
        <v>387</v>
      </c>
      <c r="E343" s="56" t="s">
        <v>72</v>
      </c>
      <c r="F343" s="1033">
        <f t="shared" si="185"/>
        <v>1.8416608391608391</v>
      </c>
      <c r="G343" s="1033">
        <f t="shared" si="185"/>
        <v>4.6041520979020971</v>
      </c>
      <c r="H343" s="1033">
        <f t="shared" si="185"/>
        <v>0.29159629953379945</v>
      </c>
      <c r="I343" s="1033">
        <f t="shared" si="185"/>
        <v>874.78889860139827</v>
      </c>
      <c r="J343" s="1033">
        <f t="shared" si="186"/>
        <v>0.39690966361224966</v>
      </c>
      <c r="K343" s="387">
        <f t="shared" si="187"/>
        <v>1.8416608391608391</v>
      </c>
      <c r="L343" s="1034">
        <f t="shared" si="187"/>
        <v>5.0338729603729595</v>
      </c>
      <c r="M343" s="1034">
        <f t="shared" si="187"/>
        <v>0.32183227793317787</v>
      </c>
      <c r="N343" s="1035">
        <f t="shared" si="187"/>
        <v>965.49683379953353</v>
      </c>
      <c r="O343" s="1036">
        <f t="shared" si="190"/>
        <v>0.43806571406512412</v>
      </c>
      <c r="P343" s="1122">
        <f t="shared" si="188"/>
        <v>4.115605045287446E-2</v>
      </c>
      <c r="Q343" s="3">
        <v>3930.0000000000005</v>
      </c>
      <c r="R343" s="1040">
        <v>7.5626371088788835E-2</v>
      </c>
      <c r="S343" s="48">
        <v>1</v>
      </c>
      <c r="T343" s="1041">
        <f t="shared" si="191"/>
        <v>161.74327827979664</v>
      </c>
      <c r="U343" s="1012"/>
      <c r="V343" s="1012"/>
      <c r="W343" s="351"/>
    </row>
    <row r="344" spans="1:23" x14ac:dyDescent="0.35">
      <c r="A344" s="1092">
        <f t="shared" si="189"/>
        <v>1.1219999999999997E-3</v>
      </c>
      <c r="D344" s="56" t="s">
        <v>387</v>
      </c>
      <c r="E344" s="56" t="s">
        <v>73</v>
      </c>
      <c r="F344" s="1033">
        <f t="shared" si="185"/>
        <v>1.8416608391608393</v>
      </c>
      <c r="G344" s="1033">
        <f t="shared" si="185"/>
        <v>4.604152097902098</v>
      </c>
      <c r="H344" s="1033">
        <f t="shared" si="185"/>
        <v>0.29159629953379951</v>
      </c>
      <c r="I344" s="1033">
        <f t="shared" si="185"/>
        <v>874.78889860139861</v>
      </c>
      <c r="J344" s="1033">
        <f t="shared" si="186"/>
        <v>0.39690966361224983</v>
      </c>
      <c r="K344" s="387">
        <f t="shared" si="187"/>
        <v>1.8416608391608393</v>
      </c>
      <c r="L344" s="1034">
        <f t="shared" si="187"/>
        <v>5.0338729603729604</v>
      </c>
      <c r="M344" s="1034">
        <f t="shared" si="187"/>
        <v>0.32183227793317781</v>
      </c>
      <c r="N344" s="1035">
        <f t="shared" si="187"/>
        <v>965.49683379953365</v>
      </c>
      <c r="O344" s="1036">
        <f t="shared" si="190"/>
        <v>0.43806571406512418</v>
      </c>
      <c r="P344" s="1122">
        <f t="shared" si="188"/>
        <v>4.1156050452874349E-2</v>
      </c>
      <c r="Q344" s="3">
        <v>1121.9999999999998</v>
      </c>
      <c r="R344" s="1040">
        <v>2.1591040295577874E-2</v>
      </c>
      <c r="S344" s="48">
        <v>1</v>
      </c>
      <c r="T344" s="1041">
        <f t="shared" si="191"/>
        <v>46.177088608125011</v>
      </c>
      <c r="U344" s="1012"/>
      <c r="V344" s="1012"/>
      <c r="W344" s="351"/>
    </row>
    <row r="345" spans="1:23" x14ac:dyDescent="0.35">
      <c r="A345" s="1092">
        <f t="shared" si="189"/>
        <v>6.3350000000000004E-3</v>
      </c>
      <c r="D345" s="56" t="s">
        <v>387</v>
      </c>
      <c r="E345" s="56" t="s">
        <v>74</v>
      </c>
      <c r="F345" s="1033">
        <f t="shared" si="185"/>
        <v>1.8416608391608391</v>
      </c>
      <c r="G345" s="1033">
        <f t="shared" si="185"/>
        <v>4.604152097902098</v>
      </c>
      <c r="H345" s="1033">
        <f t="shared" si="185"/>
        <v>0.29159629953379951</v>
      </c>
      <c r="I345" s="1033">
        <f t="shared" si="185"/>
        <v>874.78889860139839</v>
      </c>
      <c r="J345" s="1033">
        <f t="shared" si="186"/>
        <v>0.39690966361224972</v>
      </c>
      <c r="K345" s="387">
        <f t="shared" si="187"/>
        <v>1.8416608391608391</v>
      </c>
      <c r="L345" s="1034">
        <f t="shared" si="187"/>
        <v>5.0338729603729604</v>
      </c>
      <c r="M345" s="1034">
        <f t="shared" si="187"/>
        <v>0.32183227793317792</v>
      </c>
      <c r="N345" s="1035">
        <f t="shared" si="187"/>
        <v>965.49683379953365</v>
      </c>
      <c r="O345" s="1036">
        <f t="shared" si="190"/>
        <v>0.43806571406512418</v>
      </c>
      <c r="P345" s="1122">
        <f t="shared" si="188"/>
        <v>4.115605045287446E-2</v>
      </c>
      <c r="Q345" s="3">
        <v>6335</v>
      </c>
      <c r="R345" s="1040">
        <v>0.12190663125890006</v>
      </c>
      <c r="S345" s="48">
        <v>1</v>
      </c>
      <c r="T345" s="1041">
        <f t="shared" si="191"/>
        <v>260.72357961895972</v>
      </c>
      <c r="U345" s="1012"/>
      <c r="V345" s="1012"/>
      <c r="W345" s="351"/>
    </row>
    <row r="346" spans="1:23" x14ac:dyDescent="0.35">
      <c r="A346" s="1092">
        <f t="shared" si="189"/>
        <v>1.8489999999999999E-3</v>
      </c>
      <c r="D346" s="56" t="s">
        <v>387</v>
      </c>
      <c r="E346" s="56" t="s">
        <v>75</v>
      </c>
      <c r="F346" s="1033">
        <f t="shared" si="185"/>
        <v>1.8416608391608389</v>
      </c>
      <c r="G346" s="1033">
        <f t="shared" si="185"/>
        <v>4.604152097902098</v>
      </c>
      <c r="H346" s="1033">
        <f t="shared" si="185"/>
        <v>0.29159629953379951</v>
      </c>
      <c r="I346" s="1033">
        <f t="shared" si="185"/>
        <v>874.78889860139839</v>
      </c>
      <c r="J346" s="1033">
        <f t="shared" si="186"/>
        <v>0.39690966361224972</v>
      </c>
      <c r="K346" s="387">
        <f t="shared" si="187"/>
        <v>1.8416608391608389</v>
      </c>
      <c r="L346" s="1034">
        <f t="shared" si="187"/>
        <v>5.0338729603729595</v>
      </c>
      <c r="M346" s="1034">
        <f t="shared" si="187"/>
        <v>0.32183227793317781</v>
      </c>
      <c r="N346" s="1035">
        <f t="shared" si="187"/>
        <v>965.49683379953353</v>
      </c>
      <c r="O346" s="1036">
        <f t="shared" si="190"/>
        <v>0.43806571406512412</v>
      </c>
      <c r="P346" s="1122">
        <f t="shared" si="188"/>
        <v>4.1156050452874404E-2</v>
      </c>
      <c r="Q346" s="3">
        <v>1849</v>
      </c>
      <c r="R346" s="1040">
        <v>3.5580956779432703E-2</v>
      </c>
      <c r="S346" s="48">
        <v>1</v>
      </c>
      <c r="T346" s="1041">
        <f t="shared" si="191"/>
        <v>76.097537287364773</v>
      </c>
      <c r="U346" s="1012"/>
      <c r="V346" s="1012"/>
      <c r="W346" s="351"/>
    </row>
    <row r="347" spans="1:23" x14ac:dyDescent="0.35">
      <c r="A347" s="1092">
        <f t="shared" si="189"/>
        <v>8.4000000000000003E-4</v>
      </c>
      <c r="D347" s="56" t="s">
        <v>387</v>
      </c>
      <c r="E347" s="56" t="s">
        <v>76</v>
      </c>
      <c r="F347" s="1033">
        <f t="shared" si="185"/>
        <v>1.8416608391608389</v>
      </c>
      <c r="G347" s="1033">
        <f t="shared" si="185"/>
        <v>4.6041520979020971</v>
      </c>
      <c r="H347" s="1033">
        <f t="shared" si="185"/>
        <v>0.29159629953379945</v>
      </c>
      <c r="I347" s="1033">
        <f t="shared" si="185"/>
        <v>874.7888986013985</v>
      </c>
      <c r="J347" s="1033">
        <f t="shared" si="186"/>
        <v>0.39690966361224977</v>
      </c>
      <c r="K347" s="387">
        <f t="shared" si="187"/>
        <v>1.8416608391608389</v>
      </c>
      <c r="L347" s="1034">
        <f t="shared" si="187"/>
        <v>5.0338729603729595</v>
      </c>
      <c r="M347" s="1034">
        <f t="shared" si="187"/>
        <v>0.32183227793317787</v>
      </c>
      <c r="N347" s="1035">
        <f t="shared" si="187"/>
        <v>965.49683379953353</v>
      </c>
      <c r="O347" s="1036">
        <f t="shared" si="190"/>
        <v>0.43806571406512412</v>
      </c>
      <c r="P347" s="1122">
        <f t="shared" si="188"/>
        <v>4.1156050452874349E-2</v>
      </c>
      <c r="Q347" s="3">
        <v>840</v>
      </c>
      <c r="R347" s="1040">
        <v>1.6164415194550284E-2</v>
      </c>
      <c r="S347" s="48">
        <v>1</v>
      </c>
      <c r="T347" s="1041">
        <f t="shared" si="191"/>
        <v>34.571082380414452</v>
      </c>
      <c r="U347" s="1012"/>
      <c r="V347" s="1012"/>
      <c r="W347" s="351"/>
    </row>
    <row r="348" spans="1:23" x14ac:dyDescent="0.35">
      <c r="A348" s="1092">
        <f t="shared" si="189"/>
        <v>5.4699999999999996E-4</v>
      </c>
      <c r="D348" s="56" t="s">
        <v>387</v>
      </c>
      <c r="E348" s="56" t="s">
        <v>77</v>
      </c>
      <c r="F348" s="1033">
        <f t="shared" si="185"/>
        <v>1.8416608391608389</v>
      </c>
      <c r="G348" s="1033">
        <f t="shared" si="185"/>
        <v>4.604152097902098</v>
      </c>
      <c r="H348" s="1033">
        <f t="shared" si="185"/>
        <v>0.29159629953379945</v>
      </c>
      <c r="I348" s="1033">
        <f t="shared" si="185"/>
        <v>874.78889860139839</v>
      </c>
      <c r="J348" s="1033">
        <f t="shared" si="186"/>
        <v>0.39690966361224972</v>
      </c>
      <c r="K348" s="387">
        <f t="shared" si="187"/>
        <v>1.8416608391608389</v>
      </c>
      <c r="L348" s="1034">
        <f t="shared" si="187"/>
        <v>5.0338729603729595</v>
      </c>
      <c r="M348" s="1034">
        <f t="shared" si="187"/>
        <v>0.32183227793317787</v>
      </c>
      <c r="N348" s="1035">
        <f t="shared" si="187"/>
        <v>965.49683379953353</v>
      </c>
      <c r="O348" s="1036">
        <f t="shared" si="190"/>
        <v>0.43806571406512412</v>
      </c>
      <c r="P348" s="1122">
        <f t="shared" si="188"/>
        <v>4.1156050452874404E-2</v>
      </c>
      <c r="Q348" s="3">
        <v>547</v>
      </c>
      <c r="R348" s="1040">
        <v>1.0526113227879767E-2</v>
      </c>
      <c r="S348" s="48">
        <v>1</v>
      </c>
      <c r="T348" s="1041">
        <f t="shared" si="191"/>
        <v>22.512359597722298</v>
      </c>
      <c r="U348" s="1012"/>
      <c r="V348" s="1012"/>
      <c r="W348" s="351"/>
    </row>
    <row r="349" spans="1:23" x14ac:dyDescent="0.35">
      <c r="A349" s="1092">
        <f t="shared" si="189"/>
        <v>3.3900000000000005E-4</v>
      </c>
      <c r="D349" s="56" t="s">
        <v>387</v>
      </c>
      <c r="E349" s="56" t="s">
        <v>78</v>
      </c>
      <c r="F349" s="1033">
        <f t="shared" si="185"/>
        <v>1.8416608391608391</v>
      </c>
      <c r="G349" s="1033">
        <f t="shared" si="185"/>
        <v>4.6041520979020971</v>
      </c>
      <c r="H349" s="1033">
        <f t="shared" si="185"/>
        <v>0.2915962995337994</v>
      </c>
      <c r="I349" s="1033">
        <f t="shared" si="185"/>
        <v>874.78889860139827</v>
      </c>
      <c r="J349" s="1033">
        <f t="shared" si="186"/>
        <v>0.39690966361224966</v>
      </c>
      <c r="K349" s="387">
        <f t="shared" si="187"/>
        <v>1.8416608391608391</v>
      </c>
      <c r="L349" s="1034">
        <f t="shared" si="187"/>
        <v>5.0338729603729586</v>
      </c>
      <c r="M349" s="1034">
        <f t="shared" si="187"/>
        <v>0.32183227793317781</v>
      </c>
      <c r="N349" s="1035">
        <f t="shared" si="187"/>
        <v>965.49683379953342</v>
      </c>
      <c r="O349" s="1036">
        <f t="shared" si="190"/>
        <v>0.43806571406512407</v>
      </c>
      <c r="P349" s="1122">
        <f t="shared" si="188"/>
        <v>4.1156050452874404E-2</v>
      </c>
      <c r="Q349" s="3">
        <v>339.00000000000006</v>
      </c>
      <c r="R349" s="1040">
        <v>6.5234961320863654E-3</v>
      </c>
      <c r="S349" s="48">
        <v>1</v>
      </c>
      <c r="T349" s="1041">
        <f t="shared" si="191"/>
        <v>13.951901103524426</v>
      </c>
      <c r="U349" s="1012"/>
      <c r="V349" s="1012"/>
      <c r="W349" s="351"/>
    </row>
    <row r="350" spans="1:23" x14ac:dyDescent="0.35">
      <c r="A350" s="1077">
        <f>SUM(A334:A349)</f>
        <v>5.1966000000000005E-2</v>
      </c>
      <c r="D350" s="56"/>
      <c r="E350" s="362" t="s">
        <v>79</v>
      </c>
      <c r="F350" s="1078"/>
      <c r="G350" s="1078"/>
      <c r="H350" s="1078"/>
      <c r="I350" s="1078"/>
      <c r="J350" s="1046">
        <f>SUM(J334:J349)</f>
        <v>6.3505546177959937</v>
      </c>
      <c r="K350" s="362"/>
      <c r="L350" s="362"/>
      <c r="M350" s="362"/>
      <c r="N350" s="362"/>
      <c r="O350" s="1047">
        <f>SUM(O334:O349)</f>
        <v>7.0090514250419877</v>
      </c>
      <c r="P350" s="1123">
        <f>SUM(P334:P349)</f>
        <v>0.65849680724599025</v>
      </c>
      <c r="Q350" s="3">
        <v>51966</v>
      </c>
      <c r="R350" s="56">
        <v>1.0000000000000002</v>
      </c>
      <c r="S350" s="56"/>
      <c r="T350" s="1047">
        <f>SUM(T334:T349)</f>
        <v>2138.7153178340709</v>
      </c>
    </row>
    <row r="351" spans="1:23" x14ac:dyDescent="0.35">
      <c r="I351" t="s">
        <v>394</v>
      </c>
      <c r="J351" s="1093">
        <f>SUMPRODUCT(J334:J349,Q334:Q349)</f>
        <v>20625.807579274173</v>
      </c>
    </row>
    <row r="355" spans="9:11" x14ac:dyDescent="0.35">
      <c r="I355" s="231"/>
      <c r="J355" s="231"/>
      <c r="K355" s="231"/>
    </row>
    <row r="356" spans="9:11" x14ac:dyDescent="0.35">
      <c r="I356" s="231"/>
      <c r="J356" s="231"/>
      <c r="K356" s="231"/>
    </row>
    <row r="357" spans="9:11" x14ac:dyDescent="0.35">
      <c r="I357" s="231"/>
      <c r="J357" s="231"/>
      <c r="K357" s="231"/>
    </row>
    <row r="358" spans="9:11" x14ac:dyDescent="0.35">
      <c r="I358" s="231"/>
      <c r="J358" s="231"/>
      <c r="K358" s="231"/>
    </row>
    <row r="359" spans="9:11" x14ac:dyDescent="0.35">
      <c r="I359" s="231"/>
      <c r="J359" s="231"/>
      <c r="K359" s="231"/>
    </row>
    <row r="360" spans="9:11" x14ac:dyDescent="0.35">
      <c r="I360" s="231"/>
      <c r="J360" s="231"/>
      <c r="K360" s="231"/>
    </row>
    <row r="361" spans="9:11" x14ac:dyDescent="0.35">
      <c r="I361" s="231"/>
      <c r="J361" s="231"/>
      <c r="K361" s="231"/>
    </row>
    <row r="362" spans="9:11" x14ac:dyDescent="0.35">
      <c r="I362" s="231"/>
      <c r="J362" s="231"/>
      <c r="K362" s="231"/>
    </row>
    <row r="363" spans="9:11" x14ac:dyDescent="0.35">
      <c r="I363" s="231"/>
      <c r="J363" s="231"/>
      <c r="K363" s="231"/>
    </row>
    <row r="364" spans="9:11" x14ac:dyDescent="0.35">
      <c r="I364" s="231"/>
      <c r="J364" s="231"/>
      <c r="K364" s="231"/>
    </row>
    <row r="365" spans="9:11" x14ac:dyDescent="0.35">
      <c r="I365" s="231"/>
      <c r="J365" s="231"/>
      <c r="K365" s="231"/>
    </row>
    <row r="366" spans="9:11" x14ac:dyDescent="0.35">
      <c r="I366" s="231"/>
      <c r="J366" s="231"/>
      <c r="K366" s="231"/>
    </row>
    <row r="367" spans="9:11" x14ac:dyDescent="0.35">
      <c r="I367" s="231"/>
      <c r="J367" s="231"/>
      <c r="K367" s="231"/>
    </row>
    <row r="368" spans="9:11" x14ac:dyDescent="0.35">
      <c r="I368" s="231"/>
      <c r="J368" s="231"/>
      <c r="K368" s="231"/>
    </row>
    <row r="369" spans="9:11" x14ac:dyDescent="0.35">
      <c r="I369" s="231"/>
      <c r="J369" s="231"/>
      <c r="K369" s="231"/>
    </row>
    <row r="370" spans="9:11" x14ac:dyDescent="0.35">
      <c r="I370" s="231"/>
      <c r="J370" s="231"/>
      <c r="K370" s="231"/>
    </row>
  </sheetData>
  <mergeCells count="17">
    <mergeCell ref="Q240:S240"/>
    <mergeCell ref="Q263:S263"/>
    <mergeCell ref="Q286:S286"/>
    <mergeCell ref="Q309:S309"/>
    <mergeCell ref="Q332:S332"/>
    <mergeCell ref="Q217:S217"/>
    <mergeCell ref="P33:T33"/>
    <mergeCell ref="W33:Y33"/>
    <mergeCell ref="P56:T56"/>
    <mergeCell ref="W56:Y56"/>
    <mergeCell ref="P79:T79"/>
    <mergeCell ref="W79:Y79"/>
    <mergeCell ref="Q102:S102"/>
    <mergeCell ref="Q125:S125"/>
    <mergeCell ref="Q148:S148"/>
    <mergeCell ref="Q171:S171"/>
    <mergeCell ref="W194:Y19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7785-02D0-4C85-BF4E-2BD8F557D021}">
  <dimension ref="A1:AB5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.1796875" defaultRowHeight="14.5" x14ac:dyDescent="0.35"/>
  <cols>
    <col min="1" max="1" width="3.1796875" customWidth="1"/>
    <col min="2" max="2" width="13.1796875" customWidth="1"/>
    <col min="3" max="3" width="64.81640625" customWidth="1"/>
    <col min="4" max="4" width="19.7265625" customWidth="1"/>
    <col min="5" max="5" width="19" customWidth="1"/>
    <col min="6" max="6" width="21.81640625" customWidth="1"/>
    <col min="7" max="7" width="19.54296875" customWidth="1"/>
    <col min="8" max="8" width="15.26953125" customWidth="1"/>
    <col min="9" max="9" width="14.1796875" customWidth="1"/>
    <col min="10" max="10" width="18.26953125" customWidth="1"/>
    <col min="11" max="12" width="19" customWidth="1"/>
    <col min="13" max="13" width="18.81640625" customWidth="1"/>
    <col min="14" max="14" width="16.7265625" customWidth="1"/>
    <col min="15" max="15" width="15.54296875" bestFit="1" customWidth="1"/>
    <col min="16" max="16" width="22.453125" bestFit="1" customWidth="1"/>
    <col min="17" max="17" width="15.54296875" hidden="1" customWidth="1"/>
    <col min="18" max="19" width="19.26953125" customWidth="1"/>
    <col min="20" max="20" width="18.81640625" bestFit="1" customWidth="1"/>
    <col min="21" max="22" width="13.54296875" customWidth="1"/>
    <col min="23" max="23" width="11.453125" customWidth="1"/>
    <col min="24" max="24" width="12.453125" customWidth="1"/>
  </cols>
  <sheetData>
    <row r="1" spans="2:28" ht="15" thickBot="1" x14ac:dyDescent="0.4">
      <c r="C1" t="s">
        <v>251</v>
      </c>
    </row>
    <row r="2" spans="2:28" ht="15" thickBot="1" x14ac:dyDescent="0.4">
      <c r="B2" s="1255"/>
      <c r="C2" s="1256"/>
      <c r="D2" s="1257" t="s">
        <v>405</v>
      </c>
      <c r="E2" s="1258"/>
      <c r="F2" s="1258"/>
      <c r="G2" s="1259"/>
      <c r="H2" s="739"/>
      <c r="I2" s="739"/>
      <c r="J2" s="1151" t="s">
        <v>406</v>
      </c>
      <c r="K2" s="1152"/>
      <c r="L2" s="1152"/>
      <c r="M2" s="1154"/>
      <c r="N2" s="1275" t="s">
        <v>407</v>
      </c>
      <c r="O2" s="1276"/>
      <c r="P2" s="1276"/>
      <c r="Q2" s="1276"/>
      <c r="R2" s="1276"/>
      <c r="S2" s="1276"/>
      <c r="T2" s="1276"/>
      <c r="U2" s="1276"/>
      <c r="V2" s="1276"/>
      <c r="W2" s="1244" t="s">
        <v>255</v>
      </c>
      <c r="X2" s="1245"/>
      <c r="Y2" s="1245"/>
      <c r="Z2" s="1246"/>
      <c r="AA2" s="1246"/>
      <c r="AB2" s="1247"/>
    </row>
    <row r="3" spans="2:28" ht="46.5" customHeight="1" thickBot="1" x14ac:dyDescent="0.4">
      <c r="B3" s="1253" t="s">
        <v>408</v>
      </c>
      <c r="C3" s="1254"/>
      <c r="D3" s="672" t="s">
        <v>565</v>
      </c>
      <c r="E3" s="671" t="s">
        <v>566</v>
      </c>
      <c r="F3" s="671" t="s">
        <v>602</v>
      </c>
      <c r="G3" s="671" t="s">
        <v>603</v>
      </c>
      <c r="H3" s="671" t="s">
        <v>596</v>
      </c>
      <c r="I3" s="747" t="s">
        <v>597</v>
      </c>
      <c r="J3" s="834" t="s">
        <v>598</v>
      </c>
      <c r="K3" s="661" t="s">
        <v>599</v>
      </c>
      <c r="L3" s="661" t="s">
        <v>600</v>
      </c>
      <c r="M3" s="662" t="s">
        <v>601</v>
      </c>
      <c r="N3" s="672" t="s">
        <v>6</v>
      </c>
      <c r="O3" s="671" t="s">
        <v>7</v>
      </c>
      <c r="P3" s="747" t="s">
        <v>409</v>
      </c>
      <c r="Q3" s="754" t="s">
        <v>410</v>
      </c>
      <c r="R3" s="751" t="s">
        <v>568</v>
      </c>
      <c r="S3" s="751" t="s">
        <v>569</v>
      </c>
      <c r="T3" s="751" t="s">
        <v>571</v>
      </c>
      <c r="U3" s="665" t="s">
        <v>411</v>
      </c>
      <c r="V3" s="683" t="s">
        <v>412</v>
      </c>
      <c r="W3" s="685" t="s">
        <v>17</v>
      </c>
      <c r="X3" s="371" t="s">
        <v>259</v>
      </c>
      <c r="Y3" s="371" t="s">
        <v>19</v>
      </c>
      <c r="Z3" s="695" t="s">
        <v>413</v>
      </c>
      <c r="AA3" s="371" t="s">
        <v>414</v>
      </c>
      <c r="AB3" s="686" t="s">
        <v>415</v>
      </c>
    </row>
    <row r="4" spans="2:28" x14ac:dyDescent="0.35">
      <c r="B4" s="1264" t="s">
        <v>416</v>
      </c>
      <c r="C4" s="732" t="s">
        <v>562</v>
      </c>
      <c r="D4" s="657">
        <f>'SF-HPSD'!U68</f>
        <v>30665987.399999999</v>
      </c>
      <c r="E4" s="658">
        <f>'SF-HPSD'!W68</f>
        <v>612434748.24196506</v>
      </c>
      <c r="F4" s="658">
        <f>'SF-HPSD'!Y68</f>
        <v>8500311.5910000019</v>
      </c>
      <c r="G4" s="658">
        <f>'SF-HPSD'!AA68+'GWP Impact By Building Type'!J23</f>
        <v>350175.01450000005</v>
      </c>
      <c r="H4" s="658">
        <f>D4*'Criteria Pollutants'!$C$9+(G4-D4*'CO2 Emissions'!$D$7)*'Criteria Pollutants'!$C$4</f>
        <v>231467.2040428693</v>
      </c>
      <c r="I4" s="659">
        <f>D4*'Criteria Pollutants'!$C$10+(G4-D4*'CO2 Emissions'!$D$7)*'Criteria Pollutants'!$C$5</f>
        <v>180960.77566537948</v>
      </c>
      <c r="J4" s="657">
        <f>D4-N4</f>
        <v>17980048.784999996</v>
      </c>
      <c r="K4" s="658">
        <f>E4-O4</f>
        <v>737662192.56870008</v>
      </c>
      <c r="L4" s="658">
        <f t="shared" ref="L4:L5" si="0">F4-P4</f>
        <v>7968762.3300000019</v>
      </c>
      <c r="M4" s="659">
        <f>G4-R4</f>
        <v>300294.98600000003</v>
      </c>
      <c r="N4" s="660">
        <f>'SF-HPSD'!Q68</f>
        <v>12685938.615000002</v>
      </c>
      <c r="O4" s="658">
        <f>'SF-HPSD'!R68</f>
        <v>-125227444.32673505</v>
      </c>
      <c r="P4" s="659">
        <f>'SF-HPSD'!S68</f>
        <v>531549.26100000041</v>
      </c>
      <c r="Q4" s="825"/>
      <c r="R4" s="657">
        <f>'SF-HPSD'!T68</f>
        <v>49880.0285</v>
      </c>
      <c r="S4" s="660">
        <f>-'GWP Impact By Building Type'!G23</f>
        <v>-16597.248388606255</v>
      </c>
      <c r="T4" s="1126">
        <f>R4+S4</f>
        <v>33282.780111393746</v>
      </c>
      <c r="U4" s="658">
        <f>N4*'Criteria Pollutants'!$C$9+(R4-N4*'CO2 Emissions'!$D$7)*'Criteria Pollutants'!$C$4</f>
        <v>73148.183697120403</v>
      </c>
      <c r="V4" s="659">
        <f>N4*'Criteria Pollutants'!$C$10+(R4-N4*'CO2 Emissions'!$D$7)*'Criteria Pollutants'!$C$5</f>
        <v>73758.271426911291</v>
      </c>
      <c r="W4" s="667">
        <f>N4/D4</f>
        <v>0.41368107439449359</v>
      </c>
      <c r="X4" s="668">
        <f>O4/E4</f>
        <v>-0.2044747537369635</v>
      </c>
      <c r="Y4" s="668">
        <f>P4/F4</f>
        <v>6.2532914859591324E-2</v>
      </c>
      <c r="Z4" s="668">
        <f>T4/G4</f>
        <v>9.5046130458270428E-2</v>
      </c>
      <c r="AA4" s="687">
        <f>U4/H4</f>
        <v>0.31601964520024556</v>
      </c>
      <c r="AB4" s="688">
        <f>V4/I4</f>
        <v>0.40759259102259893</v>
      </c>
    </row>
    <row r="5" spans="2:28" x14ac:dyDescent="0.35">
      <c r="B5" s="1252"/>
      <c r="C5" s="648" t="s">
        <v>563</v>
      </c>
      <c r="D5" s="392">
        <f>'MF-HPSD'!U118</f>
        <v>8563872.2983758301</v>
      </c>
      <c r="E5" s="393">
        <f>'MF-HPSD'!W118</f>
        <v>291666501.65416574</v>
      </c>
      <c r="F5" s="394">
        <f>'MF-HPSD'!AA118</f>
        <v>11541718673.170973</v>
      </c>
      <c r="G5" s="393">
        <f>'MF-HPSD'!Y118+'GWP Impact By Building Type'!J24</f>
        <v>110924.89437730622</v>
      </c>
      <c r="H5" s="394">
        <f>D5*'Criteria Pollutants'!$C$9+(G5-D5*'CO2 Emissions'!$D$7)*'Criteria Pollutants'!$C$4</f>
        <v>67766.094359176845</v>
      </c>
      <c r="I5" s="824">
        <f>D5*'Criteria Pollutants'!$C$10+(G5-D5*'CO2 Emissions'!$D$7)*'Criteria Pollutants'!$C$5</f>
        <v>50687.983866296534</v>
      </c>
      <c r="J5" s="395">
        <f t="shared" ref="J5" si="1">D5-N5</f>
        <v>7867052.337097141</v>
      </c>
      <c r="K5" s="396">
        <f t="shared" ref="K5" si="2">E5-O5</f>
        <v>298381856.86707258</v>
      </c>
      <c r="L5" s="396">
        <f t="shared" si="0"/>
        <v>11503537402.100336</v>
      </c>
      <c r="M5" s="663">
        <f>G5-R5</f>
        <v>108536.92924465728</v>
      </c>
      <c r="N5" s="655">
        <f>'MF-HPSD'!Q118</f>
        <v>696819.96127868898</v>
      </c>
      <c r="O5" s="396">
        <v>-6715355.2129068365</v>
      </c>
      <c r="P5" s="748">
        <f>'MF-HPSD'!S118</f>
        <v>38181271.070637539</v>
      </c>
      <c r="Q5" s="826"/>
      <c r="R5" s="395">
        <f>'MF-HPSD'!T118</f>
        <v>2387.9651326489388</v>
      </c>
      <c r="S5" s="655">
        <f>-'GWP Impact By Building Type'!G24</f>
        <v>-2138.7153178340709</v>
      </c>
      <c r="T5" s="655">
        <f>R5+S5</f>
        <v>249.24981481486793</v>
      </c>
      <c r="U5" s="396">
        <f>N5*'Criteria Pollutants'!$C$9+(R5-N5*'CO2 Emissions'!$D$7)*'Criteria Pollutants'!$C$4</f>
        <v>3934.1767906400542</v>
      </c>
      <c r="V5" s="663">
        <f>N5*'Criteria Pollutants'!$C$10+(R5-N5*'CO2 Emissions'!$D$7)*'Criteria Pollutants'!$C$5</f>
        <v>4047.3517238893446</v>
      </c>
      <c r="W5" s="397">
        <f t="shared" ref="W5" si="3">N5/D5</f>
        <v>8.1367392810241163E-2</v>
      </c>
      <c r="X5" s="398">
        <f t="shared" ref="X5" si="4">O5/E5</f>
        <v>-2.3024088041722922E-2</v>
      </c>
      <c r="Y5" s="398">
        <f t="shared" ref="Y5" si="5">P5/F5</f>
        <v>3.3081096630253951E-3</v>
      </c>
      <c r="Z5" s="398">
        <f>T5/G5</f>
        <v>2.2470142181704993E-3</v>
      </c>
      <c r="AA5" s="689">
        <f t="shared" ref="AA5:AA10" si="6">U5/H5</f>
        <v>5.8055238801102464E-2</v>
      </c>
      <c r="AB5" s="690">
        <f t="shared" ref="AB5:AB10" si="7">V5/I5</f>
        <v>7.9848346988220034E-2</v>
      </c>
    </row>
    <row r="6" spans="2:28" x14ac:dyDescent="0.35">
      <c r="B6" s="1252"/>
      <c r="C6" s="649" t="s">
        <v>564</v>
      </c>
      <c r="D6" s="1263" t="s">
        <v>417</v>
      </c>
      <c r="E6" s="1261"/>
      <c r="F6" s="1261"/>
      <c r="G6" s="1261"/>
      <c r="H6" s="1261"/>
      <c r="I6" s="1262"/>
      <c r="J6" s="770">
        <v>0</v>
      </c>
      <c r="K6" s="51">
        <v>0</v>
      </c>
      <c r="L6" s="51">
        <v>0</v>
      </c>
      <c r="M6" s="474">
        <v>0</v>
      </c>
      <c r="N6" s="656">
        <f>'NR-HPSD'!E22</f>
        <v>2003424.2793463194</v>
      </c>
      <c r="O6" s="51">
        <f>'NR-HPSD'!D22</f>
        <v>-15451366.739763731</v>
      </c>
      <c r="P6" s="749">
        <f>'NR-HPSD'!F22</f>
        <v>90885902.107920185</v>
      </c>
      <c r="Q6" s="827"/>
      <c r="R6" s="770">
        <f>'MF-HPSD'!T119</f>
        <v>7163.895397946817</v>
      </c>
      <c r="S6" s="475">
        <f>-'GWP Impact By Building Type'!G25</f>
        <v>-1830.7778901938261</v>
      </c>
      <c r="T6" s="475">
        <f>R6+S6</f>
        <v>5333.1175077529906</v>
      </c>
      <c r="U6" s="391">
        <f>N6*'Criteria Pollutants'!$C$9+(R6-N6*'CO2 Emissions'!$D$7)*'Criteria Pollutants'!$C$4</f>
        <v>11382.12333698673</v>
      </c>
      <c r="V6" s="749">
        <f>N6*'Criteria Pollutants'!$C$10+(R6-N6*'CO2 Emissions'!$D$7)*'Criteria Pollutants'!$C$5</f>
        <v>11639.984618810993</v>
      </c>
      <c r="W6" s="388">
        <f>N6/D10</f>
        <v>0.13571512494253618</v>
      </c>
      <c r="X6" s="389">
        <f>O6/E10</f>
        <v>-1.3726940518113247E-2</v>
      </c>
      <c r="Y6" s="389">
        <f>P6/F10</f>
        <v>2.7701719535773973E-3</v>
      </c>
      <c r="Z6" s="389">
        <f>T6/G10</f>
        <v>1.3752801711287611E-2</v>
      </c>
      <c r="AA6" s="48">
        <f>U6/H10</f>
        <v>8.6153298095118777E-2</v>
      </c>
      <c r="AB6" s="684">
        <f>V6/I10</f>
        <v>0.13209345709120893</v>
      </c>
    </row>
    <row r="7" spans="2:28" x14ac:dyDescent="0.35">
      <c r="B7" s="1252"/>
      <c r="C7" s="648" t="s">
        <v>418</v>
      </c>
      <c r="D7" s="1260" t="s">
        <v>419</v>
      </c>
      <c r="E7" s="1261"/>
      <c r="F7" s="1261"/>
      <c r="G7" s="1261"/>
      <c r="H7" s="1261"/>
      <c r="I7" s="1262"/>
      <c r="J7" s="641">
        <v>0</v>
      </c>
      <c r="K7" s="394">
        <v>0</v>
      </c>
      <c r="L7" s="394">
        <v>0</v>
      </c>
      <c r="M7" s="663">
        <v>0</v>
      </c>
      <c r="N7" s="887">
        <v>0</v>
      </c>
      <c r="O7" s="394">
        <f>'MF&amp;NR-PV&amp;Batt'!V44</f>
        <v>89670588.448820382</v>
      </c>
      <c r="P7" s="748">
        <f>'MF&amp;NR-PV&amp;Batt'!W44</f>
        <v>2067940104.208946</v>
      </c>
      <c r="Q7" s="826"/>
      <c r="R7" s="641">
        <f>'MF&amp;NR-PV&amp;Batt'!X44</f>
        <v>6756.7186554392292</v>
      </c>
      <c r="S7" s="752">
        <v>0</v>
      </c>
      <c r="T7" s="1127">
        <f>R7</f>
        <v>6756.7186554392292</v>
      </c>
      <c r="U7" s="394">
        <f>N7*'Criteria Pollutants'!$C$9+(R7-N7*'CO2 Emissions'!$D$7)*'Criteria Pollutants'!$C$4</f>
        <v>1608.0990399945365</v>
      </c>
      <c r="V7" s="748">
        <f>N7*'Criteria Pollutants'!$C$10+(R7-N7*'CO2 Emissions'!$D$7)*'Criteria Pollutants'!$C$5</f>
        <v>78.377936403095049</v>
      </c>
      <c r="W7" s="397">
        <f>N7/D5</f>
        <v>0</v>
      </c>
      <c r="X7" s="398">
        <f>O7/E5</f>
        <v>0.30744219147642954</v>
      </c>
      <c r="Y7" s="398">
        <f>P7/F5</f>
        <v>0.17917089843958223</v>
      </c>
      <c r="Z7" s="398">
        <f>R7/G5</f>
        <v>6.0912554331190472E-2</v>
      </c>
      <c r="AA7" s="689">
        <f>U7/H5</f>
        <v>2.373014197145875E-2</v>
      </c>
      <c r="AB7" s="859">
        <f>V7/I5</f>
        <v>1.546282381438535E-3</v>
      </c>
    </row>
    <row r="8" spans="2:28" x14ac:dyDescent="0.35">
      <c r="B8" s="1252"/>
      <c r="C8" s="649" t="s">
        <v>420</v>
      </c>
      <c r="D8" s="1263" t="s">
        <v>417</v>
      </c>
      <c r="E8" s="1261"/>
      <c r="F8" s="1261"/>
      <c r="G8" s="1261"/>
      <c r="H8" s="1261"/>
      <c r="I8" s="1262"/>
      <c r="J8" s="339">
        <v>0</v>
      </c>
      <c r="K8" s="340">
        <v>0</v>
      </c>
      <c r="L8" s="340">
        <v>0</v>
      </c>
      <c r="M8" s="474">
        <v>0</v>
      </c>
      <c r="N8" s="888">
        <v>0</v>
      </c>
      <c r="O8" s="340">
        <f>'MF&amp;NR-PV&amp;Batt'!V22</f>
        <v>363116456.21127141</v>
      </c>
      <c r="P8" s="357">
        <f>'MF&amp;NR-PV&amp;Batt'!W22</f>
        <v>8398509627.8168125</v>
      </c>
      <c r="Q8" s="828"/>
      <c r="R8" s="339">
        <f>'MF&amp;NR-PV&amp;Batt'!X22</f>
        <v>29207.707467300483</v>
      </c>
      <c r="S8" s="68">
        <v>0</v>
      </c>
      <c r="T8" s="68">
        <f t="shared" ref="T8:T17" si="8">R8</f>
        <v>29207.707467300483</v>
      </c>
      <c r="U8" s="340">
        <f>N8*'Criteria Pollutants'!$C$9+(R8-N8*'CO2 Emissions'!$D$7)*'Criteria Pollutants'!$C$4</f>
        <v>6951.4343772175143</v>
      </c>
      <c r="V8" s="357">
        <f>N8*'Criteria Pollutants'!$C$10+(R8-N8*'CO2 Emissions'!$D$7)*'Criteria Pollutants'!$C$5</f>
        <v>338.80940662068559</v>
      </c>
      <c r="W8" s="388">
        <f>N8/D10</f>
        <v>0</v>
      </c>
      <c r="X8" s="389">
        <f>O8/E10</f>
        <v>0.32259139786856256</v>
      </c>
      <c r="Y8" s="389">
        <f>P8/F10</f>
        <v>0.25598376957519842</v>
      </c>
      <c r="Z8" s="389">
        <f>R8/G10</f>
        <v>7.5319512209345948E-2</v>
      </c>
      <c r="AA8" s="48">
        <f>U8/H10</f>
        <v>5.2616632271323197E-2</v>
      </c>
      <c r="AB8" s="860">
        <f>V8/I10</f>
        <v>3.8448938964422007E-3</v>
      </c>
    </row>
    <row r="9" spans="2:28" x14ac:dyDescent="0.35">
      <c r="B9" s="1252"/>
      <c r="C9" s="648" t="s">
        <v>421</v>
      </c>
      <c r="D9" s="1260" t="s">
        <v>419</v>
      </c>
      <c r="E9" s="1261"/>
      <c r="F9" s="1261"/>
      <c r="G9" s="1261"/>
      <c r="H9" s="1261"/>
      <c r="I9" s="1262"/>
      <c r="J9" s="891">
        <v>0</v>
      </c>
      <c r="K9" s="892">
        <v>0</v>
      </c>
      <c r="L9" s="892">
        <v>0</v>
      </c>
      <c r="M9" s="893">
        <v>0</v>
      </c>
      <c r="N9" s="894">
        <f>'MF-EE'!Q118</f>
        <v>420348.44277037896</v>
      </c>
      <c r="O9" s="892">
        <f>'MF-EE'!R118</f>
        <v>3393407.0114257419</v>
      </c>
      <c r="P9" s="893">
        <f>'MF-EE'!S118</f>
        <v>276449300.35059094</v>
      </c>
      <c r="Q9" s="895">
        <f>'MF-EE'!T118</f>
        <v>3108.3844008747101</v>
      </c>
      <c r="R9" s="891">
        <f>N9*'CO2 Emissions'!$D$7+'Combined All Buildings'!O9*'CO2 Emissions'!$D$4</f>
        <v>2973.8493141022145</v>
      </c>
      <c r="S9" s="894">
        <v>0</v>
      </c>
      <c r="T9" s="894">
        <f t="shared" si="8"/>
        <v>2973.8493141022145</v>
      </c>
      <c r="U9" s="892">
        <f>N9*'Criteria Pollutants'!$C$9+'Combined All Buildings'!O9*'Criteria Pollutants'!$D$19</f>
        <v>2738.1801708295047</v>
      </c>
      <c r="V9" s="893">
        <f>N9*'Criteria Pollutants'!$C$10+'Combined All Buildings'!O9*'Criteria Pollutants'!$D$20</f>
        <v>2459.3040201498216</v>
      </c>
      <c r="W9" s="896">
        <f>N9/D5</f>
        <v>4.9083922333837182E-2</v>
      </c>
      <c r="X9" s="897">
        <f>O9/E5</f>
        <v>1.163454490721518E-2</v>
      </c>
      <c r="Y9" s="897">
        <f>P9/F5</f>
        <v>2.3952178022949439E-2</v>
      </c>
      <c r="Z9" s="897">
        <f>Q9/G5</f>
        <v>2.802242380598241E-2</v>
      </c>
      <c r="AA9" s="898">
        <f>U9/H5</f>
        <v>4.0406344746924346E-2</v>
      </c>
      <c r="AB9" s="899">
        <f>V9/I5</f>
        <v>4.8518481749775466E-2</v>
      </c>
    </row>
    <row r="10" spans="2:28" ht="15" thickBot="1" x14ac:dyDescent="0.4">
      <c r="B10" s="1265"/>
      <c r="C10" s="649" t="s">
        <v>422</v>
      </c>
      <c r="D10" s="339">
        <f>'EE-Alts'!C6</f>
        <v>14761982.352332501</v>
      </c>
      <c r="E10" s="340">
        <f>'EE-Alts'!D6</f>
        <v>1125623493.405179</v>
      </c>
      <c r="F10" s="340">
        <f>'EE-Alts'!E6</f>
        <v>32808758312.114964</v>
      </c>
      <c r="G10" s="340">
        <f>('EE-Alts'!F6*E30)+'GWP Impact By Building Type'!J25</f>
        <v>387784.07627122517</v>
      </c>
      <c r="H10" s="340">
        <f>D10*'Criteria Pollutants'!$C$9+E10*'Criteria Pollutants'!$D$19</f>
        <v>132114.77202439928</v>
      </c>
      <c r="I10" s="357">
        <f>D10*'Criteria Pollutants'!$C$10+E10*'Criteria Pollutants'!$D$20</f>
        <v>88119.312455981271</v>
      </c>
      <c r="J10" s="339">
        <f>'EE-Alts'!G6</f>
        <v>13140192.497451859</v>
      </c>
      <c r="K10" s="340">
        <f>'EE-Alts'!H6</f>
        <v>1018241991.0776309</v>
      </c>
      <c r="L10" s="340">
        <f>'EE-Alts'!I6</f>
        <v>30704146865.511772</v>
      </c>
      <c r="M10" s="357">
        <f>'EE-Alts'!J6</f>
        <v>316049.94381673285</v>
      </c>
      <c r="N10" s="68">
        <f>D10-J10</f>
        <v>1621789.8548806421</v>
      </c>
      <c r="O10" s="340">
        <f t="shared" ref="O10:P10" si="9">E10-K10</f>
        <v>107381502.32754815</v>
      </c>
      <c r="P10" s="357">
        <f t="shared" si="9"/>
        <v>2104611446.6031914</v>
      </c>
      <c r="Q10" s="828">
        <f>'EE-Alts'!N6</f>
        <v>34617.451143072511</v>
      </c>
      <c r="R10" s="339">
        <f>N10*'CO2 Emissions'!$D$7+'Combined All Buildings'!O10*'CO2 Emissions'!$D$4</f>
        <v>25626.442650067147</v>
      </c>
      <c r="S10" s="68">
        <v>0</v>
      </c>
      <c r="T10" s="68">
        <f t="shared" si="8"/>
        <v>25626.442650067147</v>
      </c>
      <c r="U10" s="340">
        <f>N10*'Criteria Pollutants'!$C$9+'Combined All Buildings'!O10*'Criteria Pollutants'!$D$19</f>
        <v>13932.805406519632</v>
      </c>
      <c r="V10" s="357">
        <f>N10*'Criteria Pollutants'!$C$10+'Combined All Buildings'!O10*'Criteria Pollutants'!$D$20</f>
        <v>9652.6671347435004</v>
      </c>
      <c r="W10" s="388">
        <f t="shared" ref="W10:Z11" si="10">N10/D10</f>
        <v>0.10986260626604716</v>
      </c>
      <c r="X10" s="389">
        <f t="shared" si="10"/>
        <v>9.5397353517118838E-2</v>
      </c>
      <c r="Y10" s="389">
        <f t="shared" si="10"/>
        <v>6.4147854258356451E-2</v>
      </c>
      <c r="Z10" s="389">
        <f t="shared" si="10"/>
        <v>8.9269914009723964E-2</v>
      </c>
      <c r="AA10" s="889">
        <f t="shared" si="6"/>
        <v>0.1054598603398149</v>
      </c>
      <c r="AB10" s="890">
        <f t="shared" si="7"/>
        <v>0.10954088117250518</v>
      </c>
    </row>
    <row r="11" spans="2:28" ht="15" thickBot="1" x14ac:dyDescent="0.4">
      <c r="B11" s="901" t="s">
        <v>423</v>
      </c>
      <c r="C11" s="673" t="s">
        <v>263</v>
      </c>
      <c r="D11" s="674">
        <f>'EE-Alts'!C9</f>
        <v>148893313.6655921</v>
      </c>
      <c r="E11" s="675">
        <f>'EE-Alts'!D9</f>
        <v>4389205644.4536362</v>
      </c>
      <c r="F11" s="675">
        <f>'EE-Alts'!E9</f>
        <v>168525641326.08981</v>
      </c>
      <c r="G11" s="675">
        <f>'EE-Alts'!F9*E30</f>
        <v>1863742.1330035408</v>
      </c>
      <c r="H11" s="675">
        <f>D11*'Criteria Pollutants'!$C$9+E11*'Criteria Pollutants'!$D$19</f>
        <v>1083760.7112122809</v>
      </c>
      <c r="I11" s="677">
        <f>D11*'Criteria Pollutants'!$C$10+E11*'Criteria Pollutants'!$D$20</f>
        <v>876669.39981769351</v>
      </c>
      <c r="J11" s="674">
        <f>'EE-Alts'!G9</f>
        <v>143707313.6655921</v>
      </c>
      <c r="K11" s="675">
        <f>'EE-Alts'!H9</f>
        <v>4040867644.4536362</v>
      </c>
      <c r="L11" s="675">
        <f>'EE-Alts'!I9</f>
        <v>158256886480.08981</v>
      </c>
      <c r="M11" s="677">
        <f>'EE-Alts'!J9</f>
        <v>1753645.4063264781</v>
      </c>
      <c r="N11" s="885">
        <f>D11-J11</f>
        <v>5186000</v>
      </c>
      <c r="O11" s="675">
        <f t="shared" ref="O11:O15" si="11">E11-K11</f>
        <v>348338000</v>
      </c>
      <c r="P11" s="675">
        <f t="shared" ref="P11:P15" si="12">F11-L11</f>
        <v>10268754846</v>
      </c>
      <c r="Q11" s="830">
        <f>'EE-Alts'!N9</f>
        <v>111887.63840000005</v>
      </c>
      <c r="R11" s="866">
        <f>N11*'CO2 Emissions'!$D$7+'Combined All Buildings'!O11*'CO2 Emissions'!$D$4</f>
        <v>82690.809588595468</v>
      </c>
      <c r="S11" s="753">
        <v>0</v>
      </c>
      <c r="T11" s="753">
        <f t="shared" si="8"/>
        <v>82690.809588595468</v>
      </c>
      <c r="U11" s="676">
        <f>N11*'Criteria Pollutants'!$C$9+'Combined All Buildings'!O11*'Criteria Pollutants'!$D$19</f>
        <v>44730.286190135033</v>
      </c>
      <c r="V11" s="794">
        <f>N11*'Criteria Pollutants'!$C$10+'Combined All Buildings'!O11*'Criteria Pollutants'!$D$20</f>
        <v>30874.992139260874</v>
      </c>
      <c r="W11" s="679">
        <f t="shared" si="10"/>
        <v>3.483030817386152E-2</v>
      </c>
      <c r="X11" s="680">
        <f t="shared" si="10"/>
        <v>7.9362424141637772E-2</v>
      </c>
      <c r="Y11" s="680">
        <f t="shared" si="10"/>
        <v>6.0932892853559323E-2</v>
      </c>
      <c r="Z11" s="680">
        <f t="shared" si="10"/>
        <v>6.0033862205865304E-2</v>
      </c>
      <c r="AA11" s="680">
        <f t="shared" ref="AA11:AB13" si="13">U11/H11</f>
        <v>4.1273212552704837E-2</v>
      </c>
      <c r="AB11" s="709">
        <f t="shared" si="13"/>
        <v>3.5218512412639742E-2</v>
      </c>
    </row>
    <row r="12" spans="2:28" x14ac:dyDescent="0.35">
      <c r="B12" s="1252" t="s">
        <v>424</v>
      </c>
      <c r="C12" s="822" t="s">
        <v>425</v>
      </c>
      <c r="D12" s="861">
        <f>'EE-Alts'!C10</f>
        <v>3212289102</v>
      </c>
      <c r="E12" s="862">
        <f>'EE-Alts'!D10</f>
        <v>57131559848</v>
      </c>
      <c r="F12" s="862">
        <f>'EE-Alts'!E10</f>
        <v>2806194078687.7529</v>
      </c>
      <c r="G12" s="862">
        <f>'EE-Alts'!F10*E30</f>
        <v>31202700.664788991</v>
      </c>
      <c r="H12" s="862">
        <f>D12*'Criteria Pollutants'!$C$9+E12*'Criteria Pollutants'!$D$19</f>
        <v>22039634.876357652</v>
      </c>
      <c r="I12" s="863">
        <f>D12*'Criteria Pollutants'!$C$10+E12*'Criteria Pollutants'!$D$20</f>
        <v>18848243.847468816</v>
      </c>
      <c r="J12" s="861">
        <f>'EE-Alts'!G10</f>
        <v>3211588102</v>
      </c>
      <c r="K12" s="862">
        <f>'EE-Alts'!H10</f>
        <v>56941839848</v>
      </c>
      <c r="L12" s="862">
        <f>'EE-Alts'!I10</f>
        <v>2798825178687.7529</v>
      </c>
      <c r="M12" s="863">
        <f>'EE-Alts'!J10</f>
        <v>31183327.707068801</v>
      </c>
      <c r="N12" s="864">
        <f>D12-J12</f>
        <v>701000</v>
      </c>
      <c r="O12" s="862">
        <f t="shared" si="11"/>
        <v>189720000</v>
      </c>
      <c r="P12" s="862">
        <f t="shared" si="12"/>
        <v>7368900000</v>
      </c>
      <c r="Q12" s="831">
        <f>'EE-Alts'!N10</f>
        <v>49356.334399998188</v>
      </c>
      <c r="R12" s="861">
        <f>N12*'CO2 Emissions'!$D$7+'Combined All Buildings'!O12*'CO2 Emissions'!$D$4</f>
        <v>32586.812490559667</v>
      </c>
      <c r="S12" s="864">
        <v>0</v>
      </c>
      <c r="T12" s="864">
        <f t="shared" si="8"/>
        <v>32586.812490559667</v>
      </c>
      <c r="U12" s="862">
        <f>N12*'Criteria Pollutants'!$C$9+'Combined All Buildings'!O12*'Criteria Pollutants'!$D$19</f>
        <v>11141.693252649569</v>
      </c>
      <c r="V12" s="865">
        <f>N12*'Criteria Pollutants'!$C$10+'Combined All Buildings'!O12*'Criteria Pollutants'!$D$20</f>
        <v>4421.7711788378983</v>
      </c>
      <c r="W12" s="867">
        <f>N12/D12</f>
        <v>2.1822444298788397E-4</v>
      </c>
      <c r="X12" s="868">
        <f>O12/E12</f>
        <v>3.3207565223976904E-3</v>
      </c>
      <c r="Y12" s="868">
        <f>P12/F12</f>
        <v>2.6259409696445099E-3</v>
      </c>
      <c r="Z12" s="868">
        <f t="shared" ref="Z12" si="14">Q12/G12</f>
        <v>1.5817968748998337E-3</v>
      </c>
      <c r="AA12" s="868">
        <f t="shared" si="13"/>
        <v>5.0552984725720125E-4</v>
      </c>
      <c r="AB12" s="869">
        <f t="shared" si="13"/>
        <v>2.345985766430813E-4</v>
      </c>
    </row>
    <row r="13" spans="2:28" ht="15" thickBot="1" x14ac:dyDescent="0.4">
      <c r="B13" s="1252"/>
      <c r="C13" s="823" t="s">
        <v>426</v>
      </c>
      <c r="D13" s="611">
        <f>'EE-Alts'!C11</f>
        <v>214152606.80000001</v>
      </c>
      <c r="E13" s="652">
        <f>'EE-Alts'!D11</f>
        <v>3808770656.5333333</v>
      </c>
      <c r="F13" s="652">
        <f>'EE-Alts'!E11</f>
        <v>187079605245.85016</v>
      </c>
      <c r="G13" s="652">
        <f>'EE-Alts'!F11*E30</f>
        <v>2080180.044319266</v>
      </c>
      <c r="H13" s="652">
        <f>D13*'Criteria Pollutants'!$C$9+E13*'Criteria Pollutants'!$D$19</f>
        <v>1469308.991757177</v>
      </c>
      <c r="I13" s="654">
        <f>D13*'Criteria Pollutants'!$C$10+E13*'Criteria Pollutants'!$D$20</f>
        <v>1256549.5898312542</v>
      </c>
      <c r="J13" s="611">
        <f>'EE-Alts'!G11</f>
        <v>213451606.80000001</v>
      </c>
      <c r="K13" s="652">
        <f>'EE-Alts'!H11</f>
        <v>3619050656.5333333</v>
      </c>
      <c r="L13" s="652">
        <f>'EE-Alts'!I11</f>
        <v>179710705245.85016</v>
      </c>
      <c r="M13" s="654">
        <f>'EE-Alts'!J11</f>
        <v>2032822.6016979199</v>
      </c>
      <c r="N13" s="624">
        <f>D13-J13</f>
        <v>701000</v>
      </c>
      <c r="O13" s="652">
        <f t="shared" si="11"/>
        <v>189720000</v>
      </c>
      <c r="P13" s="652">
        <f t="shared" si="12"/>
        <v>7368900000</v>
      </c>
      <c r="Q13" s="832">
        <f>'EE-Alts'!N11</f>
        <v>49356.334400000051</v>
      </c>
      <c r="R13" s="611">
        <f>R12</f>
        <v>32586.812490559667</v>
      </c>
      <c r="S13" s="624">
        <v>0</v>
      </c>
      <c r="T13" s="624">
        <f t="shared" si="8"/>
        <v>32586.812490559667</v>
      </c>
      <c r="U13" s="652">
        <f>N13*'Criteria Pollutants'!$C$9+'Combined All Buildings'!O13*'Criteria Pollutants'!$D$19</f>
        <v>11141.693252649569</v>
      </c>
      <c r="V13" s="767">
        <f>N13*'Criteria Pollutants'!$C$10+'Combined All Buildings'!O13*'Criteria Pollutants'!$D$20</f>
        <v>4421.7711788378983</v>
      </c>
      <c r="W13" s="647">
        <f t="shared" ref="W13" si="15">N13/D13</f>
        <v>3.2733666448182593E-3</v>
      </c>
      <c r="X13" s="666">
        <f t="shared" ref="X13:X18" si="16">O13/E13</f>
        <v>4.9811347835965358E-2</v>
      </c>
      <c r="Y13" s="666">
        <f t="shared" ref="Y13" si="17">P13/F13</f>
        <v>3.9389114544667654E-2</v>
      </c>
      <c r="Z13" s="666">
        <f t="shared" ref="Z13:Z14" si="18">Q13/G13</f>
        <v>2.3726953123498401E-2</v>
      </c>
      <c r="AA13" s="666">
        <f t="shared" si="13"/>
        <v>7.582947708858017E-3</v>
      </c>
      <c r="AB13" s="669">
        <f t="shared" si="13"/>
        <v>3.5189786496462199E-3</v>
      </c>
    </row>
    <row r="14" spans="2:28" x14ac:dyDescent="0.35">
      <c r="B14" s="1252"/>
      <c r="C14" s="820" t="s">
        <v>427</v>
      </c>
      <c r="D14" s="462">
        <f>'EE-Alts'!C12</f>
        <v>791660157.40378785</v>
      </c>
      <c r="E14" s="463">
        <f>'EE-Alts'!D12</f>
        <v>11009512493.016138</v>
      </c>
      <c r="F14" s="463">
        <f>'EE-Alts'!E12</f>
        <v>612416720172.89966</v>
      </c>
      <c r="G14" s="463">
        <f>'EE-Alts'!F12*E30</f>
        <v>6957567.2622350454</v>
      </c>
      <c r="H14" s="463">
        <f>D14*'Criteria Pollutants'!$C$9+E14*'Criteria Pollutants'!$D$19</f>
        <v>5321923.5213326104</v>
      </c>
      <c r="I14" s="608">
        <f>D14*'Criteria Pollutants'!$C$10+E14*'Criteria Pollutants'!$D$20</f>
        <v>4639753.8186825151</v>
      </c>
      <c r="J14" s="462">
        <f>'EE-Alts'!G12</f>
        <v>791441045.32692194</v>
      </c>
      <c r="K14" s="463">
        <f>'EE-Alts'!H12</f>
        <v>10996464965.374292</v>
      </c>
      <c r="L14" s="463">
        <f>'EE-Alts'!I12</f>
        <v>611905741257.50073</v>
      </c>
      <c r="M14" s="608">
        <f>'EE-Alts'!J12</f>
        <v>6959921.7624908751</v>
      </c>
      <c r="N14" s="464">
        <f t="shared" ref="N14:N15" si="19">D14-J14</f>
        <v>219112.07686591148</v>
      </c>
      <c r="O14" s="463">
        <f t="shared" si="11"/>
        <v>13047527.641845703</v>
      </c>
      <c r="P14" s="608">
        <f t="shared" si="12"/>
        <v>510978915.39892578</v>
      </c>
      <c r="Q14" s="829"/>
      <c r="R14" s="462">
        <f>'EE-Alts'!N12</f>
        <v>4331.1825714297593</v>
      </c>
      <c r="S14" s="464">
        <v>0</v>
      </c>
      <c r="T14" s="464">
        <f t="shared" si="8"/>
        <v>4331.1825714297593</v>
      </c>
      <c r="U14" s="463">
        <f>N14*'Criteria Pollutants'!$C$9+'Combined All Buildings'!O14*'Criteria Pollutants'!$D$19</f>
        <v>1830.2271929156946</v>
      </c>
      <c r="V14" s="484">
        <f>N14*'Criteria Pollutants'!$C$10+'Combined All Buildings'!O14*'Criteria Pollutants'!$D$20</f>
        <v>1301.581999836827</v>
      </c>
      <c r="W14" s="854">
        <f>N14/D14</f>
        <v>2.7677542543568087E-4</v>
      </c>
      <c r="X14" s="848">
        <f t="shared" si="16"/>
        <v>1.1851140229980552E-3</v>
      </c>
      <c r="Y14" s="848">
        <f>P14/F14</f>
        <v>8.3436473657130784E-4</v>
      </c>
      <c r="Z14" s="848">
        <f t="shared" si="18"/>
        <v>0</v>
      </c>
      <c r="AA14" s="848">
        <f t="shared" ref="AA14:AA15" si="20">U14/H14</f>
        <v>3.4390332472447957E-4</v>
      </c>
      <c r="AB14" s="849">
        <f t="shared" ref="AB14:AB15" si="21">V14/I14</f>
        <v>2.8052824582973644E-4</v>
      </c>
    </row>
    <row r="15" spans="2:28" x14ac:dyDescent="0.35">
      <c r="B15" s="1252"/>
      <c r="C15" s="821" t="str">
        <f>'EE-Alts'!B13</f>
        <v>MF Expected Alterations (3.6% of existing buildings)</v>
      </c>
      <c r="D15" s="462">
        <f>'EE-Alts'!C13</f>
        <v>28273577.050135277</v>
      </c>
      <c r="E15" s="463">
        <f>'EE-Alts'!D13</f>
        <v>393196874.75057638</v>
      </c>
      <c r="F15" s="463">
        <f>'EE-Alts'!E13</f>
        <v>21872025720.460701</v>
      </c>
      <c r="G15" s="463">
        <f>'EE-Alts'!F13*E30</f>
        <v>248484.54507982315</v>
      </c>
      <c r="H15" s="463">
        <f>D15*'Criteria Pollutants'!$C$9+E15*'Criteria Pollutants'!$D$19</f>
        <v>190068.69719045039</v>
      </c>
      <c r="I15" s="608">
        <f>D15*'Criteria Pollutants'!$C$10+E15*'Criteria Pollutants'!$D$20</f>
        <v>165705.49352437555</v>
      </c>
      <c r="J15" s="462">
        <f>'EE-Alts'!G13</f>
        <v>28054464.973269317</v>
      </c>
      <c r="K15" s="463">
        <f>'EE-Alts'!H13</f>
        <v>380149347.10873139</v>
      </c>
      <c r="L15" s="463">
        <f>'EE-Alts'!I13</f>
        <v>21361046805.061752</v>
      </c>
      <c r="M15" s="608">
        <f>'EE-Alts'!J13</f>
        <v>244392.13689508167</v>
      </c>
      <c r="N15" s="464">
        <f t="shared" si="19"/>
        <v>219112.07686595991</v>
      </c>
      <c r="O15" s="463">
        <f t="shared" si="11"/>
        <v>13047527.641844988</v>
      </c>
      <c r="P15" s="608">
        <f t="shared" si="12"/>
        <v>510978915.39894867</v>
      </c>
      <c r="Q15" s="829"/>
      <c r="R15" s="462">
        <f>'EE-Alts'!N13</f>
        <v>4331.1825714293227</v>
      </c>
      <c r="S15" s="464">
        <v>0</v>
      </c>
      <c r="T15" s="464">
        <f t="shared" si="8"/>
        <v>4331.1825714293227</v>
      </c>
      <c r="U15" s="463">
        <f>N15*'Criteria Pollutants'!$C$9+'Combined All Buildings'!O15*'Criteria Pollutants'!$D$19</f>
        <v>1830.2271929159706</v>
      </c>
      <c r="V15" s="484">
        <f>N15*'Criteria Pollutants'!$C$10+'Combined All Buildings'!O15*'Criteria Pollutants'!$D$20</f>
        <v>1301.5819998371082</v>
      </c>
      <c r="W15" s="854">
        <f t="shared" ref="W15" si="22">N15/D15</f>
        <v>7.7497119122007787E-3</v>
      </c>
      <c r="X15" s="848">
        <f t="shared" si="16"/>
        <v>3.3183192643943725E-2</v>
      </c>
      <c r="Y15" s="848">
        <f t="shared" ref="Y15" si="23">P15/F15</f>
        <v>2.3362212623997666E-2</v>
      </c>
      <c r="Z15" s="848">
        <f t="shared" ref="Z15" si="24">Q15/G15</f>
        <v>0</v>
      </c>
      <c r="AA15" s="848">
        <f t="shared" si="20"/>
        <v>9.6292930922868801E-3</v>
      </c>
      <c r="AB15" s="849">
        <f t="shared" si="21"/>
        <v>7.8547908832343177E-3</v>
      </c>
    </row>
    <row r="16" spans="2:28" x14ac:dyDescent="0.35">
      <c r="B16" s="1252"/>
      <c r="C16" s="782" t="s">
        <v>428</v>
      </c>
      <c r="D16" s="609">
        <f>'EE-Alts'!C7</f>
        <v>1959768060.6645002</v>
      </c>
      <c r="E16" s="651">
        <f>'EE-Alts'!D7</f>
        <v>124965440732.01454</v>
      </c>
      <c r="F16" s="651">
        <f>'EE-Alts'!E7</f>
        <v>4453476550688.6338</v>
      </c>
      <c r="G16" s="651">
        <f>'EE-Alts'!F7*E30</f>
        <v>40642010.863673598</v>
      </c>
      <c r="H16" s="651">
        <f>D16*'Criteria Pollutants'!$C$9+E16*'Criteria Pollutants'!$D$19</f>
        <v>16665112.343217596</v>
      </c>
      <c r="I16" s="653">
        <f>D16*'Criteria Pollutants'!$C$10+E16*'Criteria Pollutants'!$D$20</f>
        <v>11655918.898879994</v>
      </c>
      <c r="J16" s="609">
        <f>'EE-Alts'!G7</f>
        <v>1949998765.9157081</v>
      </c>
      <c r="K16" s="651">
        <f>E16-O16</f>
        <v>124584044522.29637</v>
      </c>
      <c r="L16" s="651">
        <f>'EE-Alts'!I7</f>
        <v>4439524155332.8809</v>
      </c>
      <c r="M16" s="653">
        <f>'EE-Alts'!J7</f>
        <v>40536243.954161763</v>
      </c>
      <c r="N16" s="623">
        <f>'EE-Alts'!K7</f>
        <v>9769294.7487921715</v>
      </c>
      <c r="O16" s="651">
        <v>381396209.71816319</v>
      </c>
      <c r="P16" s="653">
        <f>'EE-Alts'!M7</f>
        <v>13952395355.752562</v>
      </c>
      <c r="Q16" s="833">
        <f>'EE-Alts'!N7</f>
        <v>144826</v>
      </c>
      <c r="R16" s="609">
        <f>N16*'CO2 Emissions'!$D$7+'Combined All Buildings'!O16*'CO2 Emissions'!$D$4</f>
        <v>114524.66286498652</v>
      </c>
      <c r="S16" s="623">
        <v>0</v>
      </c>
      <c r="T16" s="623">
        <f t="shared" si="8"/>
        <v>114524.66286498652</v>
      </c>
      <c r="U16" s="651">
        <f>N16*'Criteria Pollutants'!$C$9+'Combined All Buildings'!O16*'Criteria Pollutants'!$D$19</f>
        <v>74445.376842486599</v>
      </c>
      <c r="V16" s="766">
        <f>N16*'Criteria Pollutants'!$C$10+'Combined All Buildings'!O16*'Criteria Pollutants'!$D$20</f>
        <v>57683.299091391353</v>
      </c>
      <c r="W16" s="645">
        <f>N16/D16</f>
        <v>4.9849239534395145E-3</v>
      </c>
      <c r="X16" s="646">
        <f t="shared" si="16"/>
        <v>3.0520134805594647E-3</v>
      </c>
      <c r="Y16" s="646">
        <f>P16/F16</f>
        <v>3.132922155747093E-3</v>
      </c>
      <c r="Z16" s="646">
        <f>Q16/G16</f>
        <v>3.5634555702913685E-3</v>
      </c>
      <c r="AA16" s="696">
        <f t="shared" ref="AA16:AB19" si="25">U16/H16</f>
        <v>4.4671392133029657E-3</v>
      </c>
      <c r="AB16" s="697">
        <f t="shared" si="25"/>
        <v>4.9488418366512559E-3</v>
      </c>
    </row>
    <row r="17" spans="2:28" ht="15" thickBot="1" x14ac:dyDescent="0.4">
      <c r="B17" s="1252"/>
      <c r="C17" s="840" t="s">
        <v>429</v>
      </c>
      <c r="D17" s="835">
        <f>'EE-Alts'!C8</f>
        <v>130651204.04429999</v>
      </c>
      <c r="E17" s="836">
        <f>'EE-Alts'!D8</f>
        <v>8331029382.1343002</v>
      </c>
      <c r="F17" s="836">
        <f>'EE-Alts'!E8</f>
        <v>296898436712.5755</v>
      </c>
      <c r="G17" s="836">
        <f>'EE-Alts'!F8*E30</f>
        <v>2709467.3909115726</v>
      </c>
      <c r="H17" s="836">
        <f>D17*'Criteria Pollutants'!$C$9+E17*'Criteria Pollutants'!$D$19</f>
        <v>1111007.4895478394</v>
      </c>
      <c r="I17" s="837">
        <f>D17*'Criteria Pollutants'!$C$10+E17*'Criteria Pollutants'!$D$20</f>
        <v>777061.25992533285</v>
      </c>
      <c r="J17" s="835">
        <f>'EE-Alts'!G8</f>
        <v>120881909.29550774</v>
      </c>
      <c r="K17" s="836">
        <f>'EE-Alts'!H8</f>
        <v>7949633172.4161367</v>
      </c>
      <c r="L17" s="836">
        <f>'EE-Alts'!I8</f>
        <v>282946041356.82294</v>
      </c>
      <c r="M17" s="837">
        <f>'EE-Alts'!J8</f>
        <v>2567250.2474412899</v>
      </c>
      <c r="N17" s="946">
        <f>'EE-Alts'!K8</f>
        <v>9769294.748792246</v>
      </c>
      <c r="O17" s="836">
        <f>'EE-Alts'!L8</f>
        <v>381396209.71816349</v>
      </c>
      <c r="P17" s="837">
        <f>'EE-Alts'!M8</f>
        <v>13952395355.752563</v>
      </c>
      <c r="Q17" s="839">
        <f>'EE-Alts'!N8</f>
        <v>144820.73161017196</v>
      </c>
      <c r="R17" s="835">
        <f>R16</f>
        <v>114524.66286498652</v>
      </c>
      <c r="S17" s="946">
        <v>0</v>
      </c>
      <c r="T17" s="946">
        <f t="shared" si="8"/>
        <v>114524.66286498652</v>
      </c>
      <c r="U17" s="836">
        <f>N17*'Criteria Pollutants'!$C$9+'Combined All Buildings'!O17*'Criteria Pollutants'!$D$19</f>
        <v>74445.376842487065</v>
      </c>
      <c r="V17" s="838">
        <f>N17*'Criteria Pollutants'!$C$10+'Combined All Buildings'!O17*'Criteria Pollutants'!$D$20</f>
        <v>57683.299091391789</v>
      </c>
      <c r="W17" s="855">
        <f>N17/D17</f>
        <v>7.4773859301593304E-2</v>
      </c>
      <c r="X17" s="856">
        <f t="shared" si="16"/>
        <v>4.5780202208392018E-2</v>
      </c>
      <c r="Y17" s="856">
        <f>P17/F17</f>
        <v>4.6993832336206409E-2</v>
      </c>
      <c r="Z17" s="856">
        <f>Q17/G17</f>
        <v>5.3449889116933977E-2</v>
      </c>
      <c r="AA17" s="857">
        <f t="shared" si="25"/>
        <v>6.7007088199544929E-2</v>
      </c>
      <c r="AB17" s="858">
        <f t="shared" si="25"/>
        <v>7.4232627549769406E-2</v>
      </c>
    </row>
    <row r="18" spans="2:28" x14ac:dyDescent="0.35">
      <c r="B18" s="1248" t="s">
        <v>430</v>
      </c>
      <c r="C18" s="1249"/>
      <c r="D18" s="942">
        <f>D4+D5+D10+D11+D13+D15+D17</f>
        <v>575962543.61073565</v>
      </c>
      <c r="E18" s="943">
        <f t="shared" ref="E18:M18" si="26">E4+E5+E10+E11+E13+E15+E17</f>
        <v>18951927301.173157</v>
      </c>
      <c r="F18" s="943">
        <f t="shared" si="26"/>
        <v>718734686301.85303</v>
      </c>
      <c r="G18" s="943">
        <f t="shared" si="26"/>
        <v>7750758.0984627344</v>
      </c>
      <c r="H18" s="943">
        <f t="shared" si="26"/>
        <v>4285493.9601341933</v>
      </c>
      <c r="I18" s="944">
        <f t="shared" si="26"/>
        <v>3395753.8150863135</v>
      </c>
      <c r="J18" s="942">
        <f t="shared" si="26"/>
        <v>545082588.35391819</v>
      </c>
      <c r="K18" s="943">
        <f t="shared" si="26"/>
        <v>18043986861.025242</v>
      </c>
      <c r="L18" s="943">
        <f t="shared" si="26"/>
        <v>684490332917.76685</v>
      </c>
      <c r="M18" s="944">
        <f t="shared" si="26"/>
        <v>7322992.2514221603</v>
      </c>
      <c r="N18" s="1098">
        <f>N4+N5+N6+N7+N8+N9+N10+N11+N17+N13+N15</f>
        <v>33303727.978934236</v>
      </c>
      <c r="O18" s="1099">
        <f t="shared" ref="O18:V18" si="27">O4+O5+O6+O7+O8+O9+O10+O11+O17+O13+O15</f>
        <v>1348669525.0796685</v>
      </c>
      <c r="P18" s="1100">
        <f t="shared" si="27"/>
        <v>45078138318.57061</v>
      </c>
      <c r="Q18" s="947">
        <f t="shared" si="27"/>
        <v>343790.5399541193</v>
      </c>
      <c r="R18" s="949">
        <f>R4+R5+R6+R7+R8+R9+R10+R11+R17+R13+R15</f>
        <v>358130.07463307574</v>
      </c>
      <c r="S18" s="886">
        <f>S4+S5+S6</f>
        <v>-20566.74159663415</v>
      </c>
      <c r="T18" s="886">
        <f>T4+T5+T6+T7+T8+T9+T10+T11+T17+T13+T15</f>
        <v>337563.33303644159</v>
      </c>
      <c r="U18" s="886">
        <f t="shared" si="27"/>
        <v>245842.58629749599</v>
      </c>
      <c r="V18" s="948">
        <f t="shared" si="27"/>
        <v>196256.41067685638</v>
      </c>
      <c r="W18" s="850">
        <f>N18/D18</f>
        <v>5.7822732308513737E-2</v>
      </c>
      <c r="X18" s="851">
        <f t="shared" si="16"/>
        <v>7.1162658216622834E-2</v>
      </c>
      <c r="Y18" s="851">
        <f>P18/F18</f>
        <v>6.271874612106694E-2</v>
      </c>
      <c r="Z18" s="852">
        <f>T18/G18</f>
        <v>4.3552298852339751E-2</v>
      </c>
      <c r="AA18" s="851">
        <f t="shared" si="25"/>
        <v>5.7366219293375889E-2</v>
      </c>
      <c r="AB18" s="853">
        <f t="shared" si="25"/>
        <v>5.779465219326211E-2</v>
      </c>
    </row>
    <row r="19" spans="2:28" ht="15" thickBot="1" x14ac:dyDescent="0.4">
      <c r="B19" s="1250" t="s">
        <v>431</v>
      </c>
      <c r="C19" s="1251"/>
      <c r="D19" s="844">
        <f>D4+D5+D10+D11+D12+D14+D16</f>
        <v>6166602475.7845888</v>
      </c>
      <c r="E19" s="841">
        <f t="shared" ref="E19:M19" si="28">E4+E5+E10+E11+E12+E14+E16</f>
        <v>199525443460.78564</v>
      </c>
      <c r="F19" s="841">
        <f t="shared" si="28"/>
        <v>8084971968172.2529</v>
      </c>
      <c r="G19" s="841">
        <f t="shared" si="28"/>
        <v>81514904.908849716</v>
      </c>
      <c r="H19" s="841">
        <f t="shared" si="28"/>
        <v>45541779.522546589</v>
      </c>
      <c r="I19" s="945">
        <f t="shared" si="28"/>
        <v>36340354.036836669</v>
      </c>
      <c r="J19" s="844">
        <f t="shared" si="28"/>
        <v>6135722520.527771</v>
      </c>
      <c r="K19" s="841">
        <f t="shared" si="28"/>
        <v>198617503020.6377</v>
      </c>
      <c r="L19" s="841">
        <f t="shared" si="28"/>
        <v>8050727614788.166</v>
      </c>
      <c r="M19" s="945">
        <f t="shared" si="28"/>
        <v>81158020.689109311</v>
      </c>
      <c r="N19" s="844">
        <f>N4+N5+N6+N7+N8+N9+N10+N16+N12+N11+N14</f>
        <v>33303727.978934113</v>
      </c>
      <c r="O19" s="841">
        <f t="shared" ref="O19:V19" si="29">O4+O5+O6+O7+O8+O9+O10+O16+O12+O11+O14</f>
        <v>1348669525.079669</v>
      </c>
      <c r="P19" s="845">
        <f>P4+P5+P6+P7+P8+P9+P10+P16+P12+P11+P14</f>
        <v>45078138318.570587</v>
      </c>
      <c r="Q19" s="846">
        <f t="shared" si="29"/>
        <v>343795.80834394548</v>
      </c>
      <c r="R19" s="844">
        <f>R4+R5+R6+R7+R8+R9+R10+R16+R12+R11+R14</f>
        <v>358130.07463307626</v>
      </c>
      <c r="S19" s="1125">
        <f>S4+S5+S6</f>
        <v>-20566.74159663415</v>
      </c>
      <c r="T19" s="1125">
        <f>T4+T5+T6+T7+T8+T9+T10+T16+T12+T11+T14</f>
        <v>337563.33303644211</v>
      </c>
      <c r="U19" s="841">
        <f t="shared" si="29"/>
        <v>245842.58629749526</v>
      </c>
      <c r="V19" s="845">
        <f t="shared" si="29"/>
        <v>196256.41067685568</v>
      </c>
      <c r="W19" s="847">
        <f>N19/D19</f>
        <v>5.4006607543964982E-3</v>
      </c>
      <c r="X19" s="842">
        <f t="shared" ref="X19" si="30">O19/E19</f>
        <v>6.7593861799622257E-3</v>
      </c>
      <c r="Y19" s="842">
        <f>P19/L19</f>
        <v>5.5992626350651539E-3</v>
      </c>
      <c r="Z19" s="884">
        <f>R19/G19</f>
        <v>4.3934305638157669E-3</v>
      </c>
      <c r="AA19" s="842">
        <f t="shared" si="25"/>
        <v>5.3981769898952849E-3</v>
      </c>
      <c r="AB19" s="843">
        <f t="shared" si="25"/>
        <v>5.4005090450665099E-3</v>
      </c>
    </row>
    <row r="20" spans="2:28" x14ac:dyDescent="0.35">
      <c r="G20" s="231"/>
      <c r="M20" s="698"/>
      <c r="N20" s="698"/>
      <c r="O20" s="698"/>
      <c r="P20" s="698"/>
      <c r="R20" s="698"/>
      <c r="S20" s="698"/>
      <c r="T20" s="698"/>
    </row>
    <row r="21" spans="2:28" ht="19" hidden="1" thickBot="1" x14ac:dyDescent="0.5">
      <c r="B21" s="870" t="s">
        <v>432</v>
      </c>
      <c r="G21" s="231"/>
      <c r="N21" s="698">
        <f>N19-N20</f>
        <v>33303727.978934113</v>
      </c>
      <c r="O21" s="698">
        <f t="shared" ref="O21:P21" si="31">O19-O20</f>
        <v>1348669525.079669</v>
      </c>
      <c r="P21" s="698">
        <f t="shared" si="31"/>
        <v>45078138318.570587</v>
      </c>
      <c r="R21" s="698"/>
      <c r="S21" s="698"/>
      <c r="T21" s="698"/>
      <c r="U21" t="s">
        <v>433</v>
      </c>
    </row>
    <row r="22" spans="2:28" hidden="1" x14ac:dyDescent="0.35">
      <c r="B22" s="1272" t="s">
        <v>434</v>
      </c>
      <c r="C22" s="871" t="s">
        <v>435</v>
      </c>
      <c r="D22" s="872">
        <f t="shared" ref="D22:M23" si="32">D4</f>
        <v>30665987.399999999</v>
      </c>
      <c r="E22" s="873">
        <f t="shared" si="32"/>
        <v>612434748.24196506</v>
      </c>
      <c r="F22" s="873">
        <f t="shared" si="32"/>
        <v>8500311.5910000019</v>
      </c>
      <c r="G22" s="873">
        <f t="shared" si="32"/>
        <v>350175.01450000005</v>
      </c>
      <c r="H22" s="873">
        <f t="shared" si="32"/>
        <v>231467.2040428693</v>
      </c>
      <c r="I22" s="874">
        <f t="shared" si="32"/>
        <v>180960.77566537948</v>
      </c>
      <c r="J22" s="872">
        <f t="shared" si="32"/>
        <v>17980048.784999996</v>
      </c>
      <c r="K22" s="873">
        <f t="shared" si="32"/>
        <v>737662192.56870008</v>
      </c>
      <c r="L22" s="873">
        <f t="shared" si="32"/>
        <v>7968762.3300000019</v>
      </c>
      <c r="M22" s="874">
        <f t="shared" si="32"/>
        <v>300294.98600000003</v>
      </c>
      <c r="N22" s="698">
        <f>N6+N7+N8+N9</f>
        <v>2423772.7221166985</v>
      </c>
      <c r="O22" s="698">
        <f>O6+O7+O8+O9</f>
        <v>440729084.93175375</v>
      </c>
      <c r="P22" s="698">
        <f>P6+P7+P8+P9</f>
        <v>10833784934.48427</v>
      </c>
      <c r="R22" s="698"/>
      <c r="S22" s="698"/>
      <c r="T22" s="698"/>
      <c r="U22" t="s">
        <v>436</v>
      </c>
    </row>
    <row r="23" spans="2:28" hidden="1" x14ac:dyDescent="0.35">
      <c r="B23" s="1273"/>
      <c r="C23" s="728" t="s">
        <v>437</v>
      </c>
      <c r="D23" s="770">
        <f t="shared" si="32"/>
        <v>8563872.2983758301</v>
      </c>
      <c r="E23" s="51">
        <f t="shared" si="32"/>
        <v>291666501.65416574</v>
      </c>
      <c r="F23" s="51">
        <f t="shared" si="32"/>
        <v>11541718673.170973</v>
      </c>
      <c r="G23" s="51">
        <f t="shared" si="32"/>
        <v>110924.89437730622</v>
      </c>
      <c r="H23" s="51">
        <f t="shared" si="32"/>
        <v>67766.094359176845</v>
      </c>
      <c r="I23" s="474">
        <f t="shared" si="32"/>
        <v>50687.983866296534</v>
      </c>
      <c r="J23" s="770">
        <f t="shared" si="32"/>
        <v>7867052.337097141</v>
      </c>
      <c r="K23" s="51">
        <f t="shared" si="32"/>
        <v>298381856.86707258</v>
      </c>
      <c r="L23" s="51">
        <f t="shared" si="32"/>
        <v>11503537402.100336</v>
      </c>
      <c r="M23" s="474">
        <f t="shared" si="32"/>
        <v>108536.92924465728</v>
      </c>
      <c r="R23" s="698"/>
      <c r="S23" s="698"/>
      <c r="T23" s="698"/>
    </row>
    <row r="24" spans="2:28" ht="15" hidden="1" thickBot="1" x14ac:dyDescent="0.4">
      <c r="B24" s="1274"/>
      <c r="C24" s="875" t="s">
        <v>438</v>
      </c>
      <c r="D24" s="876">
        <f>D10</f>
        <v>14761982.352332501</v>
      </c>
      <c r="E24" s="877">
        <f t="shared" ref="E24:M24" si="33">E10</f>
        <v>1125623493.405179</v>
      </c>
      <c r="F24" s="877">
        <f t="shared" si="33"/>
        <v>32808758312.114964</v>
      </c>
      <c r="G24" s="877">
        <f t="shared" si="33"/>
        <v>387784.07627122517</v>
      </c>
      <c r="H24" s="877">
        <f t="shared" si="33"/>
        <v>132114.77202439928</v>
      </c>
      <c r="I24" s="878">
        <f t="shared" si="33"/>
        <v>88119.312455981271</v>
      </c>
      <c r="J24" s="876">
        <f t="shared" si="33"/>
        <v>13140192.497451859</v>
      </c>
      <c r="K24" s="877">
        <f t="shared" si="33"/>
        <v>1018241991.0776309</v>
      </c>
      <c r="L24" s="877">
        <f t="shared" si="33"/>
        <v>30704146865.511772</v>
      </c>
      <c r="M24" s="878">
        <f t="shared" si="33"/>
        <v>316049.94381673285</v>
      </c>
      <c r="Q24">
        <f>2974/3108</f>
        <v>0.9568854568854569</v>
      </c>
    </row>
    <row r="25" spans="2:28" ht="15" hidden="1" thickBot="1" x14ac:dyDescent="0.4">
      <c r="B25" s="771" t="s">
        <v>439</v>
      </c>
      <c r="C25" s="775"/>
      <c r="D25" s="879">
        <f>D22+D23+D24</f>
        <v>53991842.050708331</v>
      </c>
      <c r="E25" s="879">
        <f t="shared" ref="E25:M25" si="34">E22+E23+E24</f>
        <v>2029724743.3013098</v>
      </c>
      <c r="F25" s="879">
        <f t="shared" si="34"/>
        <v>44358977296.876938</v>
      </c>
      <c r="G25" s="879">
        <f t="shared" si="34"/>
        <v>848883.98514853138</v>
      </c>
      <c r="H25" s="879">
        <f t="shared" si="34"/>
        <v>431348.07042644545</v>
      </c>
      <c r="I25" s="879">
        <f t="shared" si="34"/>
        <v>319768.07198765728</v>
      </c>
      <c r="J25" s="879">
        <f t="shared" si="34"/>
        <v>38987293.619548999</v>
      </c>
      <c r="K25" s="879">
        <f t="shared" si="34"/>
        <v>2054286040.5134034</v>
      </c>
      <c r="L25" s="879">
        <f t="shared" si="34"/>
        <v>42215653029.942108</v>
      </c>
      <c r="M25" s="879">
        <f t="shared" si="34"/>
        <v>724881.85906139016</v>
      </c>
      <c r="Q25">
        <f>2974/3108</f>
        <v>0.9568854568854569</v>
      </c>
    </row>
    <row r="26" spans="2:28" ht="15" hidden="1" thickBot="1" x14ac:dyDescent="0.4">
      <c r="B26" s="771" t="s">
        <v>440</v>
      </c>
      <c r="C26" s="775"/>
      <c r="D26" s="880">
        <f>D25+D13+D15+D17</f>
        <v>427069229.94514358</v>
      </c>
      <c r="E26" s="880">
        <f t="shared" ref="E26:M26" si="35">E25+E13+E15+E17</f>
        <v>14562721656.719521</v>
      </c>
      <c r="F26" s="880">
        <f t="shared" si="35"/>
        <v>550209044975.76331</v>
      </c>
      <c r="G26" s="880">
        <f t="shared" si="35"/>
        <v>5887015.9654591931</v>
      </c>
      <c r="H26" s="880">
        <f t="shared" si="35"/>
        <v>3201733.2489219122</v>
      </c>
      <c r="I26" s="880">
        <f t="shared" si="35"/>
        <v>2519084.41526862</v>
      </c>
      <c r="J26" s="880">
        <f t="shared" si="35"/>
        <v>401375274.68832606</v>
      </c>
      <c r="K26" s="880">
        <f t="shared" si="35"/>
        <v>14003119216.571606</v>
      </c>
      <c r="L26" s="880">
        <f t="shared" si="35"/>
        <v>526233446437.67694</v>
      </c>
      <c r="M26" s="880">
        <f t="shared" si="35"/>
        <v>5569346.845095681</v>
      </c>
    </row>
    <row r="27" spans="2:28" ht="15" hidden="1" thickBot="1" x14ac:dyDescent="0.4">
      <c r="B27" s="881" t="s">
        <v>441</v>
      </c>
      <c r="C27" s="882"/>
      <c r="D27" s="883">
        <f>D25+D11+D12+D14+D16</f>
        <v>6166602475.7845888</v>
      </c>
      <c r="E27" s="883">
        <f t="shared" ref="E27:M27" si="36">E25+E11+E12+E14+E16</f>
        <v>199525443460.78564</v>
      </c>
      <c r="F27" s="883">
        <f t="shared" si="36"/>
        <v>8084971968172.2529</v>
      </c>
      <c r="G27" s="883">
        <f t="shared" si="36"/>
        <v>81514904.908849716</v>
      </c>
      <c r="H27" s="883">
        <f t="shared" si="36"/>
        <v>45541779.522546589</v>
      </c>
      <c r="I27" s="883">
        <f t="shared" si="36"/>
        <v>36340354.036836669</v>
      </c>
      <c r="J27" s="883">
        <f t="shared" si="36"/>
        <v>6135722520.527771</v>
      </c>
      <c r="K27" s="883">
        <f t="shared" si="36"/>
        <v>198617503020.6377</v>
      </c>
      <c r="L27" s="883">
        <f t="shared" si="36"/>
        <v>8050727614788.166</v>
      </c>
      <c r="M27" s="883">
        <f t="shared" si="36"/>
        <v>81158020.689109311</v>
      </c>
    </row>
    <row r="28" spans="2:28" x14ac:dyDescent="0.35">
      <c r="D28" s="698"/>
      <c r="G28" s="231"/>
      <c r="R28" s="698"/>
      <c r="S28" s="698"/>
      <c r="T28" s="698"/>
    </row>
    <row r="29" spans="2:28" x14ac:dyDescent="0.35">
      <c r="D29" s="698"/>
      <c r="G29" s="231"/>
      <c r="R29" s="698"/>
      <c r="S29" s="698"/>
      <c r="T29" s="698"/>
    </row>
    <row r="30" spans="2:28" hidden="1" x14ac:dyDescent="0.35">
      <c r="C30" t="s">
        <v>442</v>
      </c>
      <c r="E30" s="231">
        <v>0.99904000000000004</v>
      </c>
    </row>
    <row r="31" spans="2:28" x14ac:dyDescent="0.35">
      <c r="D31" s="698"/>
      <c r="G31" s="231"/>
    </row>
    <row r="32" spans="2:28" x14ac:dyDescent="0.35">
      <c r="D32" s="698"/>
      <c r="G32" s="231"/>
    </row>
    <row r="33" spans="1:14" x14ac:dyDescent="0.35">
      <c r="D33" s="1266" t="s">
        <v>443</v>
      </c>
      <c r="E33" s="1267"/>
      <c r="F33" s="1268"/>
      <c r="G33" s="231"/>
      <c r="H33" s="1266" t="s">
        <v>444</v>
      </c>
      <c r="I33" s="1267"/>
      <c r="J33" s="1268"/>
      <c r="L33" s="1269" t="s">
        <v>445</v>
      </c>
      <c r="M33" s="1270"/>
      <c r="N33" s="1271"/>
    </row>
    <row r="34" spans="1:14" x14ac:dyDescent="0.35">
      <c r="D34" s="902" t="s">
        <v>446</v>
      </c>
      <c r="E34" s="903" t="s">
        <v>447</v>
      </c>
      <c r="F34" s="904" t="s">
        <v>448</v>
      </c>
      <c r="G34" s="231"/>
      <c r="H34" s="905" t="s">
        <v>446</v>
      </c>
      <c r="I34" s="906" t="s">
        <v>447</v>
      </c>
      <c r="J34" s="907" t="s">
        <v>448</v>
      </c>
      <c r="L34" s="902" t="s">
        <v>446</v>
      </c>
      <c r="M34" s="903" t="s">
        <v>447</v>
      </c>
      <c r="N34" s="904" t="s">
        <v>448</v>
      </c>
    </row>
    <row r="35" spans="1:14" x14ac:dyDescent="0.35">
      <c r="A35" s="333" t="s">
        <v>449</v>
      </c>
      <c r="D35" s="910">
        <f>SUM(D36:D43)</f>
        <v>2712626.1181520722</v>
      </c>
      <c r="E35" s="911">
        <f t="shared" ref="E35:F35" si="37">SUM(E36:E43)</f>
        <v>2505938.7014459716</v>
      </c>
      <c r="F35" s="912">
        <f t="shared" si="37"/>
        <v>206687.41670610028</v>
      </c>
      <c r="G35" s="231"/>
      <c r="H35" s="910">
        <f>SUM(H36:H43)</f>
        <v>1515108.7816387264</v>
      </c>
      <c r="I35" s="910">
        <f t="shared" ref="I35:J35" si="38">SUM(I36:I43)</f>
        <v>1356683.4926292829</v>
      </c>
      <c r="J35" s="917">
        <f t="shared" si="38"/>
        <v>158425.2890094434</v>
      </c>
      <c r="L35" s="910">
        <f>SUM(L36:L43)</f>
        <v>1196437.4718053509</v>
      </c>
      <c r="M35" s="910">
        <f t="shared" ref="M35" si="39">SUM(M36:M43)</f>
        <v>1063587.7133985611</v>
      </c>
      <c r="N35" s="917">
        <f t="shared" ref="N35" si="40">SUM(N36:N43)</f>
        <v>132849.7584067896</v>
      </c>
    </row>
    <row r="36" spans="1:14" x14ac:dyDescent="0.35">
      <c r="B36" t="s">
        <v>450</v>
      </c>
      <c r="D36" s="913">
        <f>G4</f>
        <v>350175.01450000005</v>
      </c>
      <c r="E36" s="698">
        <f>D36-F36</f>
        <v>300294.98600000003</v>
      </c>
      <c r="F36" s="914">
        <f>R4</f>
        <v>49880.0285</v>
      </c>
      <c r="G36" s="231"/>
      <c r="H36" s="913">
        <f>H4</f>
        <v>231467.2040428693</v>
      </c>
      <c r="I36" s="698">
        <f>H36-J36</f>
        <v>158319.0203457489</v>
      </c>
      <c r="J36" s="914">
        <f>U4</f>
        <v>73148.183697120403</v>
      </c>
      <c r="L36" s="913">
        <f>I4</f>
        <v>180960.77566537948</v>
      </c>
      <c r="M36" s="698">
        <f>L36-N36</f>
        <v>107202.50423846819</v>
      </c>
      <c r="N36" s="914">
        <f>V4</f>
        <v>73758.271426911291</v>
      </c>
    </row>
    <row r="37" spans="1:14" x14ac:dyDescent="0.35">
      <c r="B37" t="s">
        <v>451</v>
      </c>
      <c r="D37" s="913">
        <f>G5</f>
        <v>110924.89437730622</v>
      </c>
      <c r="E37" s="698">
        <f t="shared" ref="E37:E43" si="41">D37-F37</f>
        <v>98806.361275115836</v>
      </c>
      <c r="F37" s="914">
        <f>R5+R7+R9</f>
        <v>12118.533102190384</v>
      </c>
      <c r="G37" s="231"/>
      <c r="H37" s="913">
        <f>H5</f>
        <v>67766.094359176845</v>
      </c>
      <c r="I37" s="698">
        <f t="shared" ref="I37:I43" si="42">H37-J37</f>
        <v>59485.638357712749</v>
      </c>
      <c r="J37" s="914">
        <f>U5+U7+U9</f>
        <v>8280.4560014640956</v>
      </c>
      <c r="L37" s="913">
        <f t="shared" ref="L37:L43" si="43">I5</f>
        <v>50687.983866296534</v>
      </c>
      <c r="M37" s="698">
        <f>L37-N37</f>
        <v>44102.950185854272</v>
      </c>
      <c r="N37" s="914">
        <f>V5+V7+V9</f>
        <v>6585.0336804422614</v>
      </c>
    </row>
    <row r="38" spans="1:14" x14ac:dyDescent="0.35">
      <c r="B38" t="s">
        <v>452</v>
      </c>
      <c r="D38" s="913"/>
      <c r="E38" s="698"/>
      <c r="F38" s="914"/>
      <c r="G38" s="231"/>
      <c r="H38" s="913"/>
      <c r="I38" s="698"/>
      <c r="J38" s="914"/>
      <c r="L38" s="913"/>
      <c r="N38" s="914"/>
    </row>
    <row r="39" spans="1:14" x14ac:dyDescent="0.35">
      <c r="B39" t="s">
        <v>453</v>
      </c>
      <c r="D39" s="913"/>
      <c r="E39" s="698"/>
      <c r="F39" s="914"/>
      <c r="G39" s="231"/>
      <c r="H39" s="913"/>
      <c r="I39" s="698"/>
      <c r="J39" s="914"/>
      <c r="L39" s="913"/>
      <c r="N39" s="914"/>
    </row>
    <row r="40" spans="1:14" x14ac:dyDescent="0.35">
      <c r="B40" t="s">
        <v>454</v>
      </c>
      <c r="D40" s="913"/>
      <c r="E40" s="698"/>
      <c r="F40" s="914"/>
      <c r="G40" s="231"/>
      <c r="H40" s="913"/>
      <c r="I40" s="698"/>
      <c r="J40" s="914"/>
      <c r="L40" s="913"/>
      <c r="N40" s="914"/>
    </row>
    <row r="41" spans="1:14" x14ac:dyDescent="0.35">
      <c r="B41" t="s">
        <v>455</v>
      </c>
      <c r="D41" s="913"/>
      <c r="E41" s="698"/>
      <c r="F41" s="914"/>
      <c r="G41" s="231"/>
      <c r="H41" s="913"/>
      <c r="I41" s="698"/>
      <c r="J41" s="914"/>
      <c r="L41" s="913"/>
      <c r="N41" s="914"/>
    </row>
    <row r="42" spans="1:14" x14ac:dyDescent="0.35">
      <c r="B42" t="s">
        <v>456</v>
      </c>
      <c r="D42" s="913">
        <f>G10</f>
        <v>387784.07627122517</v>
      </c>
      <c r="E42" s="698">
        <f t="shared" si="41"/>
        <v>325786.03075591073</v>
      </c>
      <c r="F42" s="914">
        <f>R10+R6+R8</f>
        <v>61998.045515314443</v>
      </c>
      <c r="G42" s="231"/>
      <c r="H42" s="913">
        <f>H10</f>
        <v>132114.77202439928</v>
      </c>
      <c r="I42" s="698">
        <f t="shared" si="42"/>
        <v>99848.408903675416</v>
      </c>
      <c r="J42" s="914">
        <f>U10+U6+U8</f>
        <v>32266.363120723872</v>
      </c>
      <c r="L42" s="913">
        <f t="shared" si="43"/>
        <v>88119.312455981271</v>
      </c>
      <c r="M42" s="698">
        <f>L42-N42</f>
        <v>66487.851295806089</v>
      </c>
      <c r="N42" s="914">
        <f>V10+V6+V8</f>
        <v>21631.461160175179</v>
      </c>
    </row>
    <row r="43" spans="1:14" x14ac:dyDescent="0.35">
      <c r="B43" t="s">
        <v>263</v>
      </c>
      <c r="D43" s="913">
        <f>G11</f>
        <v>1863742.1330035408</v>
      </c>
      <c r="E43" s="698">
        <f t="shared" si="41"/>
        <v>1781051.3234149453</v>
      </c>
      <c r="F43" s="914">
        <f t="shared" ref="F43" si="44">R11</f>
        <v>82690.809588595468</v>
      </c>
      <c r="G43" s="231"/>
      <c r="H43" s="913">
        <f>H11</f>
        <v>1083760.7112122809</v>
      </c>
      <c r="I43" s="698">
        <f t="shared" si="42"/>
        <v>1039030.4250221458</v>
      </c>
      <c r="J43" s="914">
        <f t="shared" ref="J43" si="45">U11</f>
        <v>44730.286190135033</v>
      </c>
      <c r="L43" s="913">
        <f t="shared" si="43"/>
        <v>876669.39981769351</v>
      </c>
      <c r="M43" s="698">
        <f>L43-N43</f>
        <v>845794.40767843265</v>
      </c>
      <c r="N43" s="914">
        <f t="shared" ref="N43" si="46">V11</f>
        <v>30874.992139260874</v>
      </c>
    </row>
    <row r="44" spans="1:14" x14ac:dyDescent="0.35">
      <c r="D44" s="913"/>
      <c r="F44" s="504"/>
      <c r="G44" s="231"/>
      <c r="H44" s="492"/>
      <c r="J44" s="504"/>
      <c r="L44" s="492"/>
      <c r="N44" s="504"/>
    </row>
    <row r="45" spans="1:14" x14ac:dyDescent="0.35">
      <c r="A45" s="333" t="s">
        <v>457</v>
      </c>
      <c r="D45" s="910">
        <f>SUM(D46:D48)</f>
        <v>78802278.790697634</v>
      </c>
      <c r="E45" s="911">
        <f t="shared" ref="E45:F45" si="47">SUM(E46:E48)</f>
        <v>78650836.132770658</v>
      </c>
      <c r="F45" s="912">
        <f t="shared" si="47"/>
        <v>151442.65792697552</v>
      </c>
      <c r="G45" s="231"/>
      <c r="H45" s="910">
        <f>SUM(H46:H48)</f>
        <v>44026670.740907863</v>
      </c>
      <c r="I45" s="910">
        <f t="shared" ref="I45:J45" si="48">SUM(I46:I48)</f>
        <v>43939253.443619803</v>
      </c>
      <c r="J45" s="917">
        <f t="shared" si="48"/>
        <v>87417.297288052607</v>
      </c>
      <c r="L45" s="910">
        <f>SUM(L46:L48)</f>
        <v>35143916.56503132</v>
      </c>
      <c r="M45" s="910">
        <f t="shared" ref="M45" si="49">SUM(M46:M48)</f>
        <v>35080509.912761256</v>
      </c>
      <c r="N45" s="917">
        <f t="shared" ref="N45" si="50">SUM(N46:N48)</f>
        <v>63406.652270066799</v>
      </c>
    </row>
    <row r="46" spans="1:14" x14ac:dyDescent="0.35">
      <c r="B46" t="s">
        <v>458</v>
      </c>
      <c r="D46" s="913">
        <f>G12</f>
        <v>31202700.664788991</v>
      </c>
      <c r="E46" s="698">
        <f>D46-F46</f>
        <v>31170113.852298431</v>
      </c>
      <c r="F46" s="914">
        <f>R13</f>
        <v>32586.812490559667</v>
      </c>
      <c r="G46" s="231"/>
      <c r="H46" s="913">
        <f>H12</f>
        <v>22039634.876357652</v>
      </c>
      <c r="I46" s="698">
        <f>H46-J46</f>
        <v>22028493.183105003</v>
      </c>
      <c r="J46" s="914">
        <f>U13</f>
        <v>11141.693252649569</v>
      </c>
      <c r="L46" s="913">
        <f>I12</f>
        <v>18848243.847468816</v>
      </c>
      <c r="M46" s="698">
        <f>L46-N46</f>
        <v>18843822.076289978</v>
      </c>
      <c r="N46" s="914">
        <f>V13</f>
        <v>4421.7711788378983</v>
      </c>
    </row>
    <row r="47" spans="1:14" x14ac:dyDescent="0.35">
      <c r="B47" t="s">
        <v>459</v>
      </c>
      <c r="D47" s="913">
        <f>G14</f>
        <v>6957567.2622350454</v>
      </c>
      <c r="E47" s="698">
        <f t="shared" ref="E47:E48" si="51">D47-F47</f>
        <v>6953236.0796636157</v>
      </c>
      <c r="F47" s="914">
        <f>R15</f>
        <v>4331.1825714293227</v>
      </c>
      <c r="G47" s="231"/>
      <c r="H47" s="913">
        <f>H14</f>
        <v>5321923.5213326104</v>
      </c>
      <c r="I47" s="698">
        <f>H47-J47</f>
        <v>5320093.2941396944</v>
      </c>
      <c r="J47" s="914">
        <f>U15</f>
        <v>1830.2271929159706</v>
      </c>
      <c r="L47" s="913">
        <f>I14</f>
        <v>4639753.8186825151</v>
      </c>
      <c r="M47" s="698">
        <f>L47-N47</f>
        <v>4638452.2366826776</v>
      </c>
      <c r="N47" s="914">
        <f>V15</f>
        <v>1301.5819998371082</v>
      </c>
    </row>
    <row r="48" spans="1:14" x14ac:dyDescent="0.35">
      <c r="B48" t="s">
        <v>460</v>
      </c>
      <c r="D48" s="913">
        <f>G16</f>
        <v>40642010.863673598</v>
      </c>
      <c r="E48" s="698">
        <f t="shared" si="51"/>
        <v>40527486.200808614</v>
      </c>
      <c r="F48" s="914">
        <f>R17</f>
        <v>114524.66286498652</v>
      </c>
      <c r="G48" s="231"/>
      <c r="H48" s="913">
        <f>H16</f>
        <v>16665112.343217596</v>
      </c>
      <c r="I48" s="698">
        <f>H48-J48</f>
        <v>16590666.966375109</v>
      </c>
      <c r="J48" s="914">
        <f>U17</f>
        <v>74445.376842487065</v>
      </c>
      <c r="L48" s="913">
        <f>I16</f>
        <v>11655918.898879994</v>
      </c>
      <c r="M48" s="698">
        <f>L48-N48</f>
        <v>11598235.599788602</v>
      </c>
      <c r="N48" s="914">
        <f>V17</f>
        <v>57683.299091391789</v>
      </c>
    </row>
    <row r="49" spans="2:17" x14ac:dyDescent="0.35">
      <c r="B49" s="908" t="s">
        <v>461</v>
      </c>
      <c r="D49" s="915">
        <f>D35+D45</f>
        <v>81514904.908849701</v>
      </c>
      <c r="E49" s="916">
        <f t="shared" ref="E49" si="52">E35+E45</f>
        <v>81156774.834216624</v>
      </c>
      <c r="F49" s="922">
        <f>F35+F45</f>
        <v>358130.0746330758</v>
      </c>
      <c r="G49" s="231"/>
      <c r="H49" s="915">
        <f>H35+H45</f>
        <v>45541779.522546589</v>
      </c>
      <c r="I49" s="915">
        <f>I35+I45</f>
        <v>45295936.936249085</v>
      </c>
      <c r="J49" s="921">
        <f>J35+J45</f>
        <v>245842.58629749599</v>
      </c>
      <c r="K49" s="698">
        <f>H49-I49</f>
        <v>245842.5862975046</v>
      </c>
      <c r="L49" s="915">
        <f>L35+L45</f>
        <v>36340354.036836669</v>
      </c>
      <c r="M49" s="915">
        <f>M35+M45</f>
        <v>36144097.626159817</v>
      </c>
      <c r="N49" s="921">
        <f>N35+N45</f>
        <v>196256.41067685641</v>
      </c>
    </row>
    <row r="50" spans="2:17" x14ac:dyDescent="0.35">
      <c r="B50" s="909" t="s">
        <v>462</v>
      </c>
      <c r="D50" s="231">
        <f>D49/1000000</f>
        <v>81.514904908849701</v>
      </c>
      <c r="E50" s="231">
        <f t="shared" ref="E50:F50" si="53">E49/1000000</f>
        <v>81.15677483421662</v>
      </c>
      <c r="F50" s="231">
        <f t="shared" si="53"/>
        <v>0.35813007463307578</v>
      </c>
      <c r="G50" s="231"/>
      <c r="H50" s="698">
        <f>H49/2000</f>
        <v>22770.889761273294</v>
      </c>
      <c r="I50" s="698">
        <f t="shared" ref="I50:N50" si="54">I49/2000</f>
        <v>22647.968468124542</v>
      </c>
      <c r="J50" s="698">
        <f t="shared" si="54"/>
        <v>122.92129314874799</v>
      </c>
      <c r="L50" s="698">
        <f t="shared" si="54"/>
        <v>18170.177018418333</v>
      </c>
      <c r="M50" s="698">
        <f t="shared" si="54"/>
        <v>18072.048813079909</v>
      </c>
      <c r="N50" s="698">
        <f t="shared" si="54"/>
        <v>98.128205338428202</v>
      </c>
    </row>
    <row r="51" spans="2:17" x14ac:dyDescent="0.35">
      <c r="D51" s="698"/>
      <c r="F51" s="698"/>
      <c r="G51" s="231"/>
      <c r="H51" s="698"/>
      <c r="L51" s="698" t="s">
        <v>463</v>
      </c>
    </row>
    <row r="52" spans="2:17" x14ac:dyDescent="0.35">
      <c r="D52" s="698"/>
      <c r="G52" s="231"/>
      <c r="H52" s="698"/>
      <c r="L52" s="698" t="s">
        <v>464</v>
      </c>
    </row>
    <row r="53" spans="2:17" x14ac:dyDescent="0.35">
      <c r="D53" s="698"/>
      <c r="G53" s="231"/>
    </row>
    <row r="54" spans="2:17" x14ac:dyDescent="0.35">
      <c r="D54" s="698"/>
      <c r="F54" s="1139"/>
      <c r="G54" s="1140"/>
      <c r="H54" s="1141"/>
      <c r="I54" s="1141"/>
      <c r="J54" s="1139"/>
      <c r="K54" s="1141"/>
      <c r="L54" s="1141"/>
      <c r="M54" s="1141"/>
      <c r="N54" s="1139"/>
      <c r="O54" s="1141"/>
    </row>
    <row r="55" spans="2:17" x14ac:dyDescent="0.35">
      <c r="F55" s="231"/>
      <c r="G55" s="231"/>
      <c r="Q55">
        <f>2974/3108</f>
        <v>0.9568854568854569</v>
      </c>
    </row>
    <row r="56" spans="2:17" ht="21" x14ac:dyDescent="0.5">
      <c r="C56" s="313" t="s">
        <v>465</v>
      </c>
      <c r="G56" s="231"/>
      <c r="Q56">
        <f>R10/Q10</f>
        <v>0.74027526013264544</v>
      </c>
    </row>
    <row r="57" spans="2:17" x14ac:dyDescent="0.35">
      <c r="G57" s="698"/>
      <c r="Q57">
        <f>R11/Q11</f>
        <v>0.7390522382193333</v>
      </c>
    </row>
  </sheetData>
  <mergeCells count="18">
    <mergeCell ref="D33:F33"/>
    <mergeCell ref="H33:J33"/>
    <mergeCell ref="L33:N33"/>
    <mergeCell ref="B22:B24"/>
    <mergeCell ref="N2:V2"/>
    <mergeCell ref="W2:AB2"/>
    <mergeCell ref="B18:C18"/>
    <mergeCell ref="B19:C19"/>
    <mergeCell ref="B12:B17"/>
    <mergeCell ref="B3:C3"/>
    <mergeCell ref="B2:C2"/>
    <mergeCell ref="D2:G2"/>
    <mergeCell ref="J2:M2"/>
    <mergeCell ref="D7:I7"/>
    <mergeCell ref="D8:I8"/>
    <mergeCell ref="D9:I9"/>
    <mergeCell ref="D6:I6"/>
    <mergeCell ref="B4:B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C090-07CD-4616-8404-998BCFE347B6}">
  <dimension ref="B1:AA23"/>
  <sheetViews>
    <sheetView zoomScaleNormal="100" workbookViewId="0"/>
  </sheetViews>
  <sheetFormatPr defaultColWidth="9.1796875" defaultRowHeight="14.5" x14ac:dyDescent="0.35"/>
  <cols>
    <col min="1" max="1" width="3.1796875" customWidth="1"/>
    <col min="2" max="2" width="13.1796875" customWidth="1"/>
    <col min="3" max="3" width="40.7265625" customWidth="1"/>
    <col min="4" max="4" width="17.81640625" hidden="1" customWidth="1"/>
    <col min="5" max="6" width="19" hidden="1" customWidth="1"/>
    <col min="7" max="8" width="13.453125" hidden="1" customWidth="1"/>
    <col min="9" max="9" width="12.26953125" hidden="1" customWidth="1"/>
    <col min="10" max="10" width="15.453125" hidden="1" customWidth="1"/>
    <col min="11" max="12" width="19" hidden="1" customWidth="1"/>
    <col min="13" max="13" width="13.1796875" hidden="1" customWidth="1"/>
    <col min="14" max="14" width="13.26953125" bestFit="1" customWidth="1"/>
    <col min="15" max="15" width="15" bestFit="1" customWidth="1"/>
    <col min="16" max="16" width="16.1796875" bestFit="1" customWidth="1"/>
    <col min="17" max="17" width="15.54296875" hidden="1" customWidth="1"/>
    <col min="18" max="19" width="15.1796875" customWidth="1"/>
    <col min="20" max="21" width="13.54296875" customWidth="1"/>
    <col min="22" max="22" width="11.453125" hidden="1" customWidth="1"/>
    <col min="23" max="23" width="12.453125" hidden="1" customWidth="1"/>
    <col min="24" max="27" width="0" hidden="1" customWidth="1"/>
  </cols>
  <sheetData>
    <row r="1" spans="2:27" ht="15" thickBot="1" x14ac:dyDescent="0.4">
      <c r="C1" t="s">
        <v>251</v>
      </c>
    </row>
    <row r="2" spans="2:27" ht="15" thickBot="1" x14ac:dyDescent="0.4">
      <c r="B2" s="1255"/>
      <c r="C2" s="1256"/>
      <c r="D2" s="1257" t="s">
        <v>252</v>
      </c>
      <c r="E2" s="1258"/>
      <c r="F2" s="1258"/>
      <c r="G2" s="1259"/>
      <c r="H2" s="739"/>
      <c r="I2" s="739"/>
      <c r="J2" s="1151" t="s">
        <v>253</v>
      </c>
      <c r="K2" s="1152"/>
      <c r="L2" s="1152"/>
      <c r="M2" s="1154"/>
      <c r="N2" s="1275" t="s">
        <v>649</v>
      </c>
      <c r="O2" s="1276"/>
      <c r="P2" s="1276"/>
      <c r="Q2" s="1276"/>
      <c r="R2" s="1276"/>
      <c r="S2" s="1276"/>
      <c r="T2" s="1276"/>
      <c r="U2" s="1279"/>
      <c r="V2" s="1244" t="s">
        <v>255</v>
      </c>
      <c r="W2" s="1245"/>
      <c r="X2" s="1245"/>
      <c r="Y2" s="1246"/>
      <c r="Z2" s="1246"/>
      <c r="AA2" s="1247"/>
    </row>
    <row r="3" spans="2:27" ht="62.25" customHeight="1" thickBot="1" x14ac:dyDescent="0.4">
      <c r="B3" s="1253" t="s">
        <v>408</v>
      </c>
      <c r="C3" s="1278"/>
      <c r="D3" s="672" t="str">
        <f>'Combined All Buildings'!D3</f>
        <v>2019 Code  Statewide Therms</v>
      </c>
      <c r="E3" s="671" t="str">
        <f>'Combined All Buildings'!E3</f>
        <v>2019 Code Statewide kWh</v>
      </c>
      <c r="F3" s="671" t="str">
        <f>'Combined All Buildings'!F3</f>
        <v>2019 Energy Code Statewide TDV - kBTU</v>
      </c>
      <c r="G3" s="671" t="str">
        <f>'Combined All Buildings'!G3</f>
        <v>2019 Energy Code CO2e Emissions - mTon/yr</v>
      </c>
      <c r="H3" s="671" t="str">
        <f>'Combined All Buildings'!H3</f>
        <v>2019 Energy Code NOx lb/yr</v>
      </c>
      <c r="I3" s="764" t="str">
        <f>'Combined All Buildings'!I3</f>
        <v>2019 Energy Code SOx lb/yr</v>
      </c>
      <c r="J3" s="769" t="str">
        <f>'Combined All Buildings'!J3</f>
        <v>2022 Energy Code Statewide - Therms</v>
      </c>
      <c r="K3" s="661" t="str">
        <f>'Combined All Buildings'!K3</f>
        <v>2022 Energy Code Statewide - kWh</v>
      </c>
      <c r="L3" s="661" t="str">
        <f>'Combined All Buildings'!L3</f>
        <v>2022 Energy Code  - TDV, kBTU</v>
      </c>
      <c r="M3" s="662" t="str">
        <f>'Combined All Buildings'!M3</f>
        <v>2022 Energy Code CO2e Emissions - mTon/yr</v>
      </c>
      <c r="N3" s="672" t="str">
        <f>'Combined All Buildings'!N3</f>
        <v>Therms</v>
      </c>
      <c r="O3" s="671" t="str">
        <f>'Combined All Buildings'!O3</f>
        <v>kWh</v>
      </c>
      <c r="P3" s="747" t="str">
        <f>'Combined All Buildings'!P3</f>
        <v>TDV, kBTU</v>
      </c>
      <c r="Q3" s="754" t="str">
        <f>'Combined All Buildings'!Q3</f>
        <v>CO2e Emissions, mTon/yr - Shorterm, E-Grid</v>
      </c>
      <c r="R3" s="751" t="str">
        <f>'Combined All Buildings'!R3</f>
        <v>Direct CO2e Emissions, mTon/yr - Longrun, CBECC</v>
      </c>
      <c r="S3" s="751" t="str">
        <f>'Combined All Buildings'!T3</f>
        <v>Net CO2e Emissions Savings Including GWP, mTons/yr</v>
      </c>
      <c r="T3" s="665" t="str">
        <f>'Combined All Buildings'!U3</f>
        <v>NOx lbs/yr</v>
      </c>
      <c r="U3" s="793" t="str">
        <f>'Combined All Buildings'!V3</f>
        <v>SO2 lbs/yr</v>
      </c>
      <c r="V3" s="685" t="str">
        <f>'Combined All Buildings'!W3</f>
        <v>Therms Decrease</v>
      </c>
      <c r="W3" s="371" t="str">
        <f>'Combined All Buildings'!X3</f>
        <v>kWh Decrease (Increase)</v>
      </c>
      <c r="X3" s="371" t="str">
        <f>'Combined All Buildings'!Y3</f>
        <v>TDV Decrease</v>
      </c>
      <c r="Y3" s="695" t="str">
        <f>'Combined All Buildings'!Z3</f>
        <v>CO2e Decrease</v>
      </c>
      <c r="Z3" s="371" t="str">
        <f>'Combined All Buildings'!AA3</f>
        <v>NOx Decrease</v>
      </c>
      <c r="AA3" s="686" t="str">
        <f>'Combined All Buildings'!AB3</f>
        <v>SOx Decrease</v>
      </c>
    </row>
    <row r="4" spans="2:27" x14ac:dyDescent="0.35">
      <c r="B4" s="1264" t="s">
        <v>416</v>
      </c>
      <c r="C4" s="732" t="str">
        <f>'Combined All Buildings'!C4</f>
        <v>Single Family Heat Pump Standard Design</v>
      </c>
      <c r="D4" s="657">
        <f>'Combined All Buildings'!D4</f>
        <v>30665987.399999999</v>
      </c>
      <c r="E4" s="658">
        <f>'Combined All Buildings'!E4</f>
        <v>612434748.24196506</v>
      </c>
      <c r="F4" s="658">
        <f>'Combined All Buildings'!F4</f>
        <v>8500311.5910000019</v>
      </c>
      <c r="G4" s="658">
        <f>'Combined All Buildings'!G4</f>
        <v>350175.01450000005</v>
      </c>
      <c r="H4" s="658">
        <f>'Combined All Buildings'!H4</f>
        <v>231467.2040428693</v>
      </c>
      <c r="I4" s="664">
        <f>'Combined All Buildings'!I4</f>
        <v>180960.77566537948</v>
      </c>
      <c r="J4" s="657">
        <f>'Combined All Buildings'!J4</f>
        <v>17980048.784999996</v>
      </c>
      <c r="K4" s="658">
        <f>'Combined All Buildings'!K4</f>
        <v>737662192.56870008</v>
      </c>
      <c r="L4" s="658">
        <f>'Combined All Buildings'!L4</f>
        <v>7968762.3300000019</v>
      </c>
      <c r="M4" s="659">
        <f>'Combined All Buildings'!M4</f>
        <v>300294.98600000003</v>
      </c>
      <c r="N4" s="657">
        <f>'Combined All Buildings'!N4</f>
        <v>12685938.615000002</v>
      </c>
      <c r="O4" s="658">
        <f>'Combined All Buildings'!O4</f>
        <v>-125227444.32673505</v>
      </c>
      <c r="P4" s="659">
        <f>'Combined All Buildings'!P4</f>
        <v>531549.26100000041</v>
      </c>
      <c r="Q4" s="755">
        <f>'Combined All Buildings'!Q4</f>
        <v>0</v>
      </c>
      <c r="R4" s="660">
        <f>'Combined All Buildings'!R4</f>
        <v>49880.0285</v>
      </c>
      <c r="S4" s="660">
        <f>'Combined All Buildings'!T4</f>
        <v>33282.780111393746</v>
      </c>
      <c r="T4" s="658">
        <f>'Combined All Buildings'!U4</f>
        <v>73148.183697120403</v>
      </c>
      <c r="U4" s="659">
        <f>'Combined All Buildings'!V4</f>
        <v>73758.271426911291</v>
      </c>
      <c r="V4" s="667">
        <f>'Combined All Buildings'!W4</f>
        <v>0.41368107439449359</v>
      </c>
      <c r="W4" s="668">
        <f>'Combined All Buildings'!X4</f>
        <v>-0.2044747537369635</v>
      </c>
      <c r="X4" s="668">
        <f>'Combined All Buildings'!Y4</f>
        <v>6.2532914859591324E-2</v>
      </c>
      <c r="Y4" s="668">
        <f>'Combined All Buildings'!Z4</f>
        <v>9.5046130458270428E-2</v>
      </c>
      <c r="Z4" s="687">
        <f>'Combined All Buildings'!AA4</f>
        <v>0.31601964520024556</v>
      </c>
      <c r="AA4" s="688">
        <f>'Combined All Buildings'!AB4</f>
        <v>0.40759259102259893</v>
      </c>
    </row>
    <row r="5" spans="2:27" x14ac:dyDescent="0.35">
      <c r="B5" s="1252"/>
      <c r="C5" s="395" t="str">
        <f>'Combined All Buildings'!C5</f>
        <v>Multifamily Heat Pump Standard Design</v>
      </c>
      <c r="D5" s="392">
        <f>'Combined All Buildings'!D5</f>
        <v>8563872.2983758301</v>
      </c>
      <c r="E5" s="393">
        <f>'Combined All Buildings'!E5</f>
        <v>291666501.65416574</v>
      </c>
      <c r="F5" s="394">
        <f>'Combined All Buildings'!F5</f>
        <v>11541718673.170973</v>
      </c>
      <c r="G5" s="393">
        <f>'Combined All Buildings'!G5</f>
        <v>110924.89437730622</v>
      </c>
      <c r="H5" s="394">
        <f>'Combined All Buildings'!H5</f>
        <v>67766.094359176845</v>
      </c>
      <c r="I5" s="765">
        <f>'Combined All Buildings'!I5</f>
        <v>50687.983866296534</v>
      </c>
      <c r="J5" s="395">
        <f>'Combined All Buildings'!J5</f>
        <v>7867052.337097141</v>
      </c>
      <c r="K5" s="396">
        <f>'Combined All Buildings'!K5</f>
        <v>298381856.86707258</v>
      </c>
      <c r="L5" s="396">
        <f>'Combined All Buildings'!L5</f>
        <v>11503537402.100336</v>
      </c>
      <c r="M5" s="663">
        <f>'Combined All Buildings'!M5</f>
        <v>108536.92924465728</v>
      </c>
      <c r="N5" s="395">
        <f>'Combined All Buildings'!N5</f>
        <v>696819.96127868898</v>
      </c>
      <c r="O5" s="396">
        <f>'Combined All Buildings'!O5</f>
        <v>-6715355.2129068365</v>
      </c>
      <c r="P5" s="748">
        <f>'Combined All Buildings'!P5</f>
        <v>38181271.070637539</v>
      </c>
      <c r="Q5" s="756">
        <f>'Combined All Buildings'!Q5</f>
        <v>0</v>
      </c>
      <c r="R5" s="655">
        <f>'Combined All Buildings'!R5</f>
        <v>2387.9651326489388</v>
      </c>
      <c r="S5" s="655">
        <f>'Combined All Buildings'!T5</f>
        <v>249.24981481486793</v>
      </c>
      <c r="T5" s="396">
        <f>'Combined All Buildings'!U5</f>
        <v>3934.1767906400542</v>
      </c>
      <c r="U5" s="663">
        <f>'Combined All Buildings'!V5</f>
        <v>4047.3517238893446</v>
      </c>
      <c r="V5" s="397">
        <f>'Combined All Buildings'!W5</f>
        <v>8.1367392810241163E-2</v>
      </c>
      <c r="W5" s="398">
        <f>'Combined All Buildings'!X5</f>
        <v>-2.3024088041722922E-2</v>
      </c>
      <c r="X5" s="398">
        <f>'Combined All Buildings'!Y5</f>
        <v>3.3081096630253951E-3</v>
      </c>
      <c r="Y5" s="398">
        <f>'Combined All Buildings'!Z5</f>
        <v>2.2470142181704993E-3</v>
      </c>
      <c r="Z5" s="689">
        <f>'Combined All Buildings'!AA5</f>
        <v>5.8055238801102464E-2</v>
      </c>
      <c r="AA5" s="690">
        <f>'Combined All Buildings'!AB5</f>
        <v>7.9848346988220034E-2</v>
      </c>
    </row>
    <row r="6" spans="2:27" x14ac:dyDescent="0.35">
      <c r="B6" s="1252"/>
      <c r="C6" s="390" t="str">
        <f>'Combined All Buildings'!C6</f>
        <v>Nonres Heat Pump Standard Design</v>
      </c>
      <c r="D6" s="390" t="str">
        <f>'Combined All Buildings'!D6</f>
        <v>Included in Nonres Efficiency New Construction  Baseline below</v>
      </c>
      <c r="E6" s="391">
        <f>'Combined All Buildings'!E6</f>
        <v>0</v>
      </c>
      <c r="F6" s="391">
        <f>'Combined All Buildings'!F6</f>
        <v>0</v>
      </c>
      <c r="G6" s="391">
        <f>'Combined All Buildings'!G6</f>
        <v>0</v>
      </c>
      <c r="H6" s="391">
        <f>'Combined All Buildings'!H6</f>
        <v>0</v>
      </c>
      <c r="I6" s="482">
        <f>'Combined All Buildings'!I6</f>
        <v>0</v>
      </c>
      <c r="J6" s="770">
        <f>'Combined All Buildings'!J6</f>
        <v>0</v>
      </c>
      <c r="K6" s="51">
        <f>'Combined All Buildings'!K6</f>
        <v>0</v>
      </c>
      <c r="L6" s="51">
        <f>'Combined All Buildings'!L6</f>
        <v>0</v>
      </c>
      <c r="M6" s="474">
        <f>'Combined All Buildings'!M6</f>
        <v>0</v>
      </c>
      <c r="N6" s="390">
        <f>'Combined All Buildings'!N6</f>
        <v>2003424.2793463194</v>
      </c>
      <c r="O6" s="51">
        <f>'Combined All Buildings'!O6</f>
        <v>-15451366.739763731</v>
      </c>
      <c r="P6" s="749">
        <f>'Combined All Buildings'!P6</f>
        <v>90885902.107920185</v>
      </c>
      <c r="Q6" s="757">
        <f>'Combined All Buildings'!Q6</f>
        <v>0</v>
      </c>
      <c r="R6" s="656">
        <f>'Combined All Buildings'!R6</f>
        <v>7163.895397946817</v>
      </c>
      <c r="S6" s="656">
        <f>'Combined All Buildings'!T6</f>
        <v>5333.1175077529906</v>
      </c>
      <c r="T6" s="391">
        <f>'Combined All Buildings'!U6</f>
        <v>11382.12333698673</v>
      </c>
      <c r="U6" s="749">
        <f>'Combined All Buildings'!V6</f>
        <v>11639.984618810993</v>
      </c>
      <c r="V6" s="388">
        <f>'Combined All Buildings'!W6</f>
        <v>0.13571512494253618</v>
      </c>
      <c r="W6" s="389">
        <f>'Combined All Buildings'!X6</f>
        <v>-1.3726940518113247E-2</v>
      </c>
      <c r="X6" s="389">
        <f>'Combined All Buildings'!Y6</f>
        <v>2.7701719535773973E-3</v>
      </c>
      <c r="Y6" s="389">
        <f>'Combined All Buildings'!Z6</f>
        <v>1.3752801711287611E-2</v>
      </c>
      <c r="Z6" s="48">
        <f>'Combined All Buildings'!AA6</f>
        <v>8.6153298095118777E-2</v>
      </c>
      <c r="AA6" s="684">
        <f>'Combined All Buildings'!AB6</f>
        <v>0.13209345709120893</v>
      </c>
    </row>
    <row r="7" spans="2:27" x14ac:dyDescent="0.35">
      <c r="B7" s="1252"/>
      <c r="C7" s="648" t="s">
        <v>418</v>
      </c>
      <c r="D7" s="641" t="str">
        <f>'Combined All Buildings'!D7</f>
        <v>Included in Multifamily HP Baseline above</v>
      </c>
      <c r="E7" s="394">
        <f>'Combined All Buildings'!E7</f>
        <v>0</v>
      </c>
      <c r="F7" s="394">
        <f>'Combined All Buildings'!F7</f>
        <v>0</v>
      </c>
      <c r="G7" s="394">
        <f>'Combined All Buildings'!G7</f>
        <v>0</v>
      </c>
      <c r="H7" s="394">
        <f>'Combined All Buildings'!H7</f>
        <v>0</v>
      </c>
      <c r="I7" s="642">
        <f>'Combined All Buildings'!I7</f>
        <v>0</v>
      </c>
      <c r="J7" s="395">
        <f>'Combined All Buildings'!J7</f>
        <v>0</v>
      </c>
      <c r="K7" s="396">
        <f>'Combined All Buildings'!K7</f>
        <v>0</v>
      </c>
      <c r="L7" s="396">
        <f>'Combined All Buildings'!L7</f>
        <v>0</v>
      </c>
      <c r="M7" s="663">
        <f>'Combined All Buildings'!M7</f>
        <v>0</v>
      </c>
      <c r="N7" s="750">
        <f>'Combined All Buildings'!N7</f>
        <v>0</v>
      </c>
      <c r="O7" s="394">
        <f>'Combined All Buildings'!O7</f>
        <v>89670588.448820382</v>
      </c>
      <c r="P7" s="748">
        <f>'Combined All Buildings'!P7</f>
        <v>2067940104.208946</v>
      </c>
      <c r="Q7" s="756">
        <f>'Combined All Buildings'!Q7</f>
        <v>0</v>
      </c>
      <c r="R7" s="752">
        <f>'Combined All Buildings'!R7</f>
        <v>6756.7186554392292</v>
      </c>
      <c r="S7" s="752">
        <f>'Combined All Buildings'!T7</f>
        <v>6756.7186554392292</v>
      </c>
      <c r="T7" s="394">
        <f>'Combined All Buildings'!U7</f>
        <v>1608.0990399945365</v>
      </c>
      <c r="U7" s="748">
        <f>'Combined All Buildings'!V7</f>
        <v>78.377936403095049</v>
      </c>
      <c r="V7" s="397">
        <f>'Combined All Buildings'!W7</f>
        <v>0</v>
      </c>
      <c r="W7" s="398">
        <f>'Combined All Buildings'!X7</f>
        <v>0.30744219147642954</v>
      </c>
      <c r="X7" s="398">
        <f>'Combined All Buildings'!Y7</f>
        <v>0.17917089843958223</v>
      </c>
      <c r="Y7" s="398">
        <f>'Combined All Buildings'!Z7</f>
        <v>6.0912554331190472E-2</v>
      </c>
      <c r="Z7" s="689">
        <f>'Combined All Buildings'!AA7</f>
        <v>2.373014197145875E-2</v>
      </c>
      <c r="AA7" s="690">
        <f>'Combined All Buildings'!AB7</f>
        <v>1.546282381438535E-3</v>
      </c>
    </row>
    <row r="8" spans="2:27" x14ac:dyDescent="0.35">
      <c r="B8" s="1252"/>
      <c r="C8" s="649" t="s">
        <v>420</v>
      </c>
      <c r="D8" s="339" t="str">
        <f>'Combined All Buildings'!D8</f>
        <v>Included in Nonres Efficiency New Construction  Baseline below</v>
      </c>
      <c r="E8" s="340">
        <f>'Combined All Buildings'!E8</f>
        <v>0</v>
      </c>
      <c r="F8" s="340">
        <f>'Combined All Buildings'!F8</f>
        <v>0</v>
      </c>
      <c r="G8" s="340">
        <f>'Combined All Buildings'!G8</f>
        <v>0</v>
      </c>
      <c r="H8" s="340">
        <f>'Combined All Buildings'!H8</f>
        <v>0</v>
      </c>
      <c r="I8" s="483">
        <f>'Combined All Buildings'!I8</f>
        <v>0</v>
      </c>
      <c r="J8" s="770">
        <f>'Combined All Buildings'!J8</f>
        <v>0</v>
      </c>
      <c r="K8" s="51">
        <f>'Combined All Buildings'!K8</f>
        <v>0</v>
      </c>
      <c r="L8" s="51">
        <f>'Combined All Buildings'!L8</f>
        <v>0</v>
      </c>
      <c r="M8" s="474">
        <f>'Combined All Buildings'!M8</f>
        <v>0</v>
      </c>
      <c r="N8" s="1">
        <f>'Combined All Buildings'!N8</f>
        <v>0</v>
      </c>
      <c r="O8" s="340">
        <f>'Combined All Buildings'!O8</f>
        <v>363116456.21127141</v>
      </c>
      <c r="P8" s="357">
        <f>'Combined All Buildings'!P8</f>
        <v>8398509627.8168125</v>
      </c>
      <c r="Q8" s="758">
        <f>'Combined All Buildings'!Q8</f>
        <v>0</v>
      </c>
      <c r="R8" s="68">
        <f>'Combined All Buildings'!R8</f>
        <v>29207.707467300483</v>
      </c>
      <c r="S8" s="68">
        <f>'Combined All Buildings'!T8</f>
        <v>29207.707467300483</v>
      </c>
      <c r="T8" s="340">
        <f>'Combined All Buildings'!U8</f>
        <v>6951.4343772175143</v>
      </c>
      <c r="U8" s="357">
        <f>'Combined All Buildings'!V8</f>
        <v>338.80940662068559</v>
      </c>
      <c r="V8" s="388">
        <f>'Combined All Buildings'!W8</f>
        <v>0</v>
      </c>
      <c r="W8" s="389">
        <f>'Combined All Buildings'!X8</f>
        <v>0.32259139786856256</v>
      </c>
      <c r="X8" s="389">
        <f>'Combined All Buildings'!Y8</f>
        <v>0.25598376957519842</v>
      </c>
      <c r="Y8" s="389">
        <f>'Combined All Buildings'!Z8</f>
        <v>7.5319512209345948E-2</v>
      </c>
      <c r="Z8" s="48">
        <f>'Combined All Buildings'!AA8</f>
        <v>5.2616632271323197E-2</v>
      </c>
      <c r="AA8" s="684">
        <f>'Combined All Buildings'!AB8</f>
        <v>3.8448938964422007E-3</v>
      </c>
    </row>
    <row r="9" spans="2:27" x14ac:dyDescent="0.35">
      <c r="B9" s="1252"/>
      <c r="C9" s="648" t="s">
        <v>421</v>
      </c>
      <c r="D9" s="462" t="str">
        <f>'Combined All Buildings'!D9</f>
        <v>Included in Multifamily HP Baseline above</v>
      </c>
      <c r="E9" s="463">
        <f>'Combined All Buildings'!E9</f>
        <v>0</v>
      </c>
      <c r="F9" s="463">
        <f>'Combined All Buildings'!F9</f>
        <v>0</v>
      </c>
      <c r="G9" s="463">
        <f>'Combined All Buildings'!G9</f>
        <v>0</v>
      </c>
      <c r="H9" s="463">
        <f>'Combined All Buildings'!H9</f>
        <v>0</v>
      </c>
      <c r="I9" s="484">
        <f>'Combined All Buildings'!I9</f>
        <v>0</v>
      </c>
      <c r="J9" s="462">
        <f>'Combined All Buildings'!J9</f>
        <v>0</v>
      </c>
      <c r="K9" s="463">
        <f>'Combined All Buildings'!K9</f>
        <v>0</v>
      </c>
      <c r="L9" s="463">
        <f>'Combined All Buildings'!L9</f>
        <v>0</v>
      </c>
      <c r="M9" s="608">
        <f>'Combined All Buildings'!M9</f>
        <v>0</v>
      </c>
      <c r="N9" s="462">
        <f>'Combined All Buildings'!N9</f>
        <v>420348.44277037896</v>
      </c>
      <c r="O9" s="463">
        <f>'Combined All Buildings'!O9</f>
        <v>3393407.0114257419</v>
      </c>
      <c r="P9" s="608">
        <f>'Combined All Buildings'!P9</f>
        <v>276449300.35059094</v>
      </c>
      <c r="Q9" s="759">
        <f>'Combined All Buildings'!Q9</f>
        <v>3108.3844008747101</v>
      </c>
      <c r="R9" s="475">
        <f>'Combined All Buildings'!R9</f>
        <v>2973.8493141022145</v>
      </c>
      <c r="S9" s="475">
        <f>'Combined All Buildings'!T9</f>
        <v>2973.8493141022145</v>
      </c>
      <c r="T9" s="51">
        <f>'Combined All Buildings'!U9</f>
        <v>2738.1801708295047</v>
      </c>
      <c r="U9" s="474">
        <f>'Combined All Buildings'!V9</f>
        <v>2459.3040201498216</v>
      </c>
      <c r="V9" s="465">
        <f>'Combined All Buildings'!W9</f>
        <v>4.9083922333837182E-2</v>
      </c>
      <c r="W9" s="466">
        <f>'Combined All Buildings'!X9</f>
        <v>1.163454490721518E-2</v>
      </c>
      <c r="X9" s="466">
        <f>'Combined All Buildings'!Y9</f>
        <v>2.3952178022949439E-2</v>
      </c>
      <c r="Y9" s="466">
        <f>'Combined All Buildings'!Z9</f>
        <v>2.802242380598241E-2</v>
      </c>
      <c r="Z9" s="691">
        <f>'Combined All Buildings'!AA9</f>
        <v>4.0406344746924346E-2</v>
      </c>
      <c r="AA9" s="692">
        <f>'Combined All Buildings'!AB9</f>
        <v>4.8518481749775466E-2</v>
      </c>
    </row>
    <row r="10" spans="2:27" ht="15" thickBot="1" x14ac:dyDescent="0.4">
      <c r="B10" s="1252"/>
      <c r="C10" s="649" t="s">
        <v>422</v>
      </c>
      <c r="D10" s="462">
        <f>'Combined All Buildings'!D10</f>
        <v>14761982.352332501</v>
      </c>
      <c r="E10" s="463">
        <f>'Combined All Buildings'!E10</f>
        <v>1125623493.405179</v>
      </c>
      <c r="F10" s="463">
        <f>'Combined All Buildings'!F10</f>
        <v>32808758312.114964</v>
      </c>
      <c r="G10" s="463">
        <f>'Combined All Buildings'!G10</f>
        <v>387784.07627122517</v>
      </c>
      <c r="H10" s="463">
        <f>'Combined All Buildings'!H10</f>
        <v>132114.77202439928</v>
      </c>
      <c r="I10" s="484">
        <f>'Combined All Buildings'!I10</f>
        <v>88119.312455981271</v>
      </c>
      <c r="J10" s="462">
        <f>'Combined All Buildings'!J10</f>
        <v>13140192.497451859</v>
      </c>
      <c r="K10" s="463">
        <f>'Combined All Buildings'!K10</f>
        <v>1018241991.0776309</v>
      </c>
      <c r="L10" s="463">
        <f>'Combined All Buildings'!L10</f>
        <v>30704146865.511772</v>
      </c>
      <c r="M10" s="608">
        <f>'Combined All Buildings'!M10</f>
        <v>316049.94381673285</v>
      </c>
      <c r="N10" s="462">
        <f>'Combined All Buildings'!N10</f>
        <v>1621789.8548806421</v>
      </c>
      <c r="O10" s="463">
        <f>'Combined All Buildings'!O10</f>
        <v>107381502.32754815</v>
      </c>
      <c r="P10" s="608">
        <f>'Combined All Buildings'!P10</f>
        <v>2104611446.6031914</v>
      </c>
      <c r="Q10" s="759">
        <f>'Combined All Buildings'!Q10</f>
        <v>34617.451143072511</v>
      </c>
      <c r="R10" s="475">
        <f>'Combined All Buildings'!R10</f>
        <v>25626.442650067147</v>
      </c>
      <c r="S10" s="475">
        <f>'Combined All Buildings'!T10</f>
        <v>25626.442650067147</v>
      </c>
      <c r="T10" s="51">
        <f>'Combined All Buildings'!U10</f>
        <v>13932.805406519632</v>
      </c>
      <c r="U10" s="474">
        <f>'Combined All Buildings'!V10</f>
        <v>9652.6671347435004</v>
      </c>
      <c r="V10" s="465">
        <f>'Combined All Buildings'!W10</f>
        <v>0.10986260626604716</v>
      </c>
      <c r="W10" s="466">
        <f>'Combined All Buildings'!X10</f>
        <v>9.5397353517118838E-2</v>
      </c>
      <c r="X10" s="466">
        <f>'Combined All Buildings'!Y10</f>
        <v>6.4147854258356451E-2</v>
      </c>
      <c r="Y10" s="466">
        <f>'Combined All Buildings'!Z10</f>
        <v>8.9269914009723964E-2</v>
      </c>
      <c r="Z10" s="691">
        <f>'Combined All Buildings'!AA10</f>
        <v>0.1054598603398149</v>
      </c>
      <c r="AA10" s="692">
        <f>'Combined All Buildings'!AB10</f>
        <v>0.10954088117250518</v>
      </c>
    </row>
    <row r="11" spans="2:27" ht="15" thickBot="1" x14ac:dyDescent="0.4">
      <c r="B11" s="950" t="s">
        <v>423</v>
      </c>
      <c r="C11" s="673" t="s">
        <v>263</v>
      </c>
      <c r="D11" s="674">
        <f>'Combined All Buildings'!D11</f>
        <v>148893313.6655921</v>
      </c>
      <c r="E11" s="675">
        <f>'Combined All Buildings'!E11</f>
        <v>4389205644.4536362</v>
      </c>
      <c r="F11" s="675">
        <f>'Combined All Buildings'!F11</f>
        <v>168525641326.08981</v>
      </c>
      <c r="G11" s="675">
        <f>'Combined All Buildings'!G11</f>
        <v>1863742.1330035408</v>
      </c>
      <c r="H11" s="675">
        <f>'Combined All Buildings'!H11</f>
        <v>1083760.7112122809</v>
      </c>
      <c r="I11" s="678">
        <f>'Combined All Buildings'!I11</f>
        <v>876669.39981769351</v>
      </c>
      <c r="J11" s="674">
        <f>'Combined All Buildings'!J11</f>
        <v>143707313.6655921</v>
      </c>
      <c r="K11" s="675">
        <f>'Combined All Buildings'!K11</f>
        <v>4040867644.4536362</v>
      </c>
      <c r="L11" s="675">
        <f>'Combined All Buildings'!L11</f>
        <v>158256886480.08981</v>
      </c>
      <c r="M11" s="677">
        <f>'Combined All Buildings'!M11</f>
        <v>1753645.4063264781</v>
      </c>
      <c r="N11" s="674">
        <f>'Combined All Buildings'!N11</f>
        <v>5186000</v>
      </c>
      <c r="O11" s="675">
        <f>'Combined All Buildings'!O11</f>
        <v>348338000</v>
      </c>
      <c r="P11" s="677">
        <f>'Combined All Buildings'!P11</f>
        <v>10268754846</v>
      </c>
      <c r="Q11" s="760">
        <f>'Combined All Buildings'!Q11</f>
        <v>111887.63840000005</v>
      </c>
      <c r="R11" s="753">
        <f>'Combined All Buildings'!R11</f>
        <v>82690.809588595468</v>
      </c>
      <c r="S11" s="753">
        <f>'Combined All Buildings'!T11</f>
        <v>82690.809588595468</v>
      </c>
      <c r="T11" s="676">
        <f>'Combined All Buildings'!U11</f>
        <v>44730.286190135033</v>
      </c>
      <c r="U11" s="794">
        <f>'Combined All Buildings'!V11</f>
        <v>30874.992139260874</v>
      </c>
      <c r="V11" s="679">
        <f>'Combined All Buildings'!W11</f>
        <v>3.483030817386152E-2</v>
      </c>
      <c r="W11" s="680">
        <f>'Combined All Buildings'!X11</f>
        <v>7.9362424141637772E-2</v>
      </c>
      <c r="X11" s="680">
        <f>'Combined All Buildings'!Y11</f>
        <v>6.0932892853559323E-2</v>
      </c>
      <c r="Y11" s="680">
        <f>'Combined All Buildings'!Z11</f>
        <v>6.0033862205865304E-2</v>
      </c>
      <c r="Z11" s="680">
        <f>'Combined All Buildings'!AA11</f>
        <v>4.1273212552704837E-2</v>
      </c>
      <c r="AA11" s="709">
        <f>'Combined All Buildings'!AB11</f>
        <v>3.5218512412639742E-2</v>
      </c>
    </row>
    <row r="12" spans="2:27" x14ac:dyDescent="0.35">
      <c r="B12" s="1252" t="s">
        <v>424</v>
      </c>
      <c r="C12" s="611" t="s">
        <v>466</v>
      </c>
      <c r="D12" s="611">
        <f>'Combined All Buildings'!D12</f>
        <v>3212289102</v>
      </c>
      <c r="E12" s="652">
        <f>'Combined All Buildings'!E12</f>
        <v>57131559848</v>
      </c>
      <c r="F12" s="652">
        <f>'Combined All Buildings'!F12</f>
        <v>2806194078687.7529</v>
      </c>
      <c r="G12" s="652">
        <f>'Combined All Buildings'!G12</f>
        <v>31202700.664788991</v>
      </c>
      <c r="H12" s="652">
        <f>'Combined All Buildings'!H12</f>
        <v>22039634.876357652</v>
      </c>
      <c r="I12" s="767">
        <f>'Combined All Buildings'!I12</f>
        <v>18848243.847468816</v>
      </c>
      <c r="J12" s="611">
        <f>'Combined All Buildings'!J12</f>
        <v>3211588102</v>
      </c>
      <c r="K12" s="652">
        <f>'Combined All Buildings'!K12</f>
        <v>56941839848</v>
      </c>
      <c r="L12" s="652">
        <f>'Combined All Buildings'!L12</f>
        <v>2798825178687.7529</v>
      </c>
      <c r="M12" s="654">
        <f>'Combined All Buildings'!M12</f>
        <v>31183327.707068801</v>
      </c>
      <c r="N12" s="611">
        <f>'Combined All Buildings'!N12</f>
        <v>701000</v>
      </c>
      <c r="O12" s="652">
        <f>'Combined All Buildings'!O12</f>
        <v>189720000</v>
      </c>
      <c r="P12" s="654">
        <f>'Combined All Buildings'!P12</f>
        <v>7368900000</v>
      </c>
      <c r="Q12" s="762">
        <f>'Combined All Buildings'!Q12</f>
        <v>49356.334399998188</v>
      </c>
      <c r="R12" s="624">
        <f>'Combined All Buildings'!R12</f>
        <v>32586.812490559667</v>
      </c>
      <c r="S12" s="624">
        <f>'Combined All Buildings'!T12</f>
        <v>32586.812490559667</v>
      </c>
      <c r="T12" s="652">
        <f>'Combined All Buildings'!U12</f>
        <v>11141.693252649569</v>
      </c>
      <c r="U12" s="654">
        <f>'Combined All Buildings'!V12</f>
        <v>4421.7711788378983</v>
      </c>
      <c r="V12" s="647">
        <f>'Combined All Buildings'!W12</f>
        <v>2.1822444298788397E-4</v>
      </c>
      <c r="W12" s="666">
        <f>'Combined All Buildings'!X12</f>
        <v>3.3207565223976904E-3</v>
      </c>
      <c r="X12" s="666">
        <f>'Combined All Buildings'!Y12</f>
        <v>2.6259409696445099E-3</v>
      </c>
      <c r="Y12" s="666">
        <f>'Combined All Buildings'!Z12</f>
        <v>1.5817968748998337E-3</v>
      </c>
      <c r="Z12" s="666">
        <f>'Combined All Buildings'!AA12</f>
        <v>5.0552984725720125E-4</v>
      </c>
      <c r="AA12" s="669">
        <f>'Combined All Buildings'!AB12</f>
        <v>2.345985766430813E-4</v>
      </c>
    </row>
    <row r="13" spans="2:27" ht="15" hidden="1" thickBot="1" x14ac:dyDescent="0.4">
      <c r="B13" s="1252"/>
      <c r="C13" s="740" t="s">
        <v>426</v>
      </c>
      <c r="D13" s="740">
        <f>'Combined All Buildings'!D13</f>
        <v>214152606.80000001</v>
      </c>
      <c r="E13" s="741">
        <f>'Combined All Buildings'!E13</f>
        <v>3808770656.5333333</v>
      </c>
      <c r="F13" s="741">
        <f>'Combined All Buildings'!F13</f>
        <v>187079605245.85016</v>
      </c>
      <c r="G13" s="741">
        <f>'Combined All Buildings'!G13</f>
        <v>2080180.044319266</v>
      </c>
      <c r="H13" s="741">
        <f>'Combined All Buildings'!H13</f>
        <v>1469308.991757177</v>
      </c>
      <c r="I13" s="768">
        <f>'Combined All Buildings'!I13</f>
        <v>1256549.5898312542</v>
      </c>
      <c r="J13" s="740">
        <f>'Combined All Buildings'!J13</f>
        <v>213451606.80000001</v>
      </c>
      <c r="K13" s="741">
        <f>'Combined All Buildings'!K13</f>
        <v>3619050656.5333333</v>
      </c>
      <c r="L13" s="741">
        <f>'Combined All Buildings'!L13</f>
        <v>179710705245.85016</v>
      </c>
      <c r="M13" s="743">
        <f>'Combined All Buildings'!M13</f>
        <v>2032822.6016979199</v>
      </c>
      <c r="N13" s="740">
        <f>'Combined All Buildings'!N13</f>
        <v>701000</v>
      </c>
      <c r="O13" s="741">
        <f>'Combined All Buildings'!O13</f>
        <v>189720000</v>
      </c>
      <c r="P13" s="743">
        <f>'Combined All Buildings'!P13</f>
        <v>7368900000</v>
      </c>
      <c r="Q13" s="763">
        <f>'Combined All Buildings'!Q13</f>
        <v>49356.334400000051</v>
      </c>
      <c r="R13" s="742">
        <f>'Combined All Buildings'!R13</f>
        <v>32586.812490559667</v>
      </c>
      <c r="S13" s="742">
        <f>'Combined All Buildings'!T13</f>
        <v>32586.812490559667</v>
      </c>
      <c r="T13" s="741">
        <f>'Combined All Buildings'!U13</f>
        <v>11141.693252649569</v>
      </c>
      <c r="U13" s="743">
        <f>'Combined All Buildings'!V13</f>
        <v>4421.7711788378983</v>
      </c>
      <c r="V13" s="744">
        <f>'Combined All Buildings'!W13</f>
        <v>3.2733666448182593E-3</v>
      </c>
      <c r="W13" s="745">
        <f>'Combined All Buildings'!X13</f>
        <v>4.9811347835965358E-2</v>
      </c>
      <c r="X13" s="745">
        <f>'Combined All Buildings'!Y13</f>
        <v>3.9389114544667654E-2</v>
      </c>
      <c r="Y13" s="745">
        <f>'Combined All Buildings'!Z13</f>
        <v>2.3726953123498401E-2</v>
      </c>
      <c r="Z13" s="745">
        <f>'Combined All Buildings'!AA13</f>
        <v>7.582947708858017E-3</v>
      </c>
      <c r="AA13" s="746">
        <f>'Combined All Buildings'!AB13</f>
        <v>3.5189786496462199E-3</v>
      </c>
    </row>
    <row r="14" spans="2:27" x14ac:dyDescent="0.35">
      <c r="B14" s="1252"/>
      <c r="C14" s="781" t="s">
        <v>467</v>
      </c>
      <c r="D14" s="462">
        <f>'Combined All Buildings'!D14</f>
        <v>791660157.40378785</v>
      </c>
      <c r="E14" s="463">
        <f>'Combined All Buildings'!E14</f>
        <v>11009512493.016138</v>
      </c>
      <c r="F14" s="463">
        <f>'Combined All Buildings'!F14</f>
        <v>612416720172.89966</v>
      </c>
      <c r="G14" s="463">
        <f>'Combined All Buildings'!G14</f>
        <v>6957567.2622350454</v>
      </c>
      <c r="H14" s="463">
        <f>'Combined All Buildings'!H14</f>
        <v>5321923.5213326104</v>
      </c>
      <c r="I14" s="484">
        <f>'Combined All Buildings'!I14</f>
        <v>4639753.8186825151</v>
      </c>
      <c r="J14" s="462">
        <f>'Combined All Buildings'!J14</f>
        <v>791441045.32692194</v>
      </c>
      <c r="K14" s="463">
        <f>'Combined All Buildings'!K14</f>
        <v>10996464965.374292</v>
      </c>
      <c r="L14" s="463">
        <f>'Combined All Buildings'!L14</f>
        <v>611905741257.50073</v>
      </c>
      <c r="M14" s="608">
        <f>'Combined All Buildings'!M14</f>
        <v>6959921.7624908751</v>
      </c>
      <c r="N14" s="462">
        <f>'Combined All Buildings'!N14</f>
        <v>219112.07686591148</v>
      </c>
      <c r="O14" s="463">
        <f>'Combined All Buildings'!O14</f>
        <v>13047527.641845703</v>
      </c>
      <c r="P14" s="608">
        <f>'Combined All Buildings'!P14</f>
        <v>510978915.39892578</v>
      </c>
      <c r="Q14" s="759">
        <f>'Combined All Buildings'!Q14</f>
        <v>0</v>
      </c>
      <c r="R14" s="464">
        <f>'Combined All Buildings'!R14</f>
        <v>4331.1825714297593</v>
      </c>
      <c r="S14" s="464">
        <f>'Combined All Buildings'!T14</f>
        <v>4331.1825714297593</v>
      </c>
      <c r="T14" s="463">
        <f>'Combined All Buildings'!U14</f>
        <v>1830.2271929156946</v>
      </c>
      <c r="U14" s="608">
        <f>'Combined All Buildings'!V14</f>
        <v>1301.581999836827</v>
      </c>
      <c r="V14" s="465">
        <f>'Combined All Buildings'!W14</f>
        <v>2.7677542543568087E-4</v>
      </c>
      <c r="W14" s="466">
        <f>'Combined All Buildings'!X14</f>
        <v>1.1851140229980552E-3</v>
      </c>
      <c r="X14" s="466">
        <f>'Combined All Buildings'!Y14</f>
        <v>8.3436473657130784E-4</v>
      </c>
      <c r="Y14" s="466">
        <f>'Combined All Buildings'!Z14</f>
        <v>0</v>
      </c>
      <c r="Z14" s="691">
        <f>'Combined All Buildings'!AA14</f>
        <v>3.4390332472447957E-4</v>
      </c>
      <c r="AA14" s="692">
        <f>'Combined All Buildings'!AB14</f>
        <v>2.8052824582973644E-4</v>
      </c>
    </row>
    <row r="15" spans="2:27" hidden="1" x14ac:dyDescent="0.35">
      <c r="B15" s="1252"/>
      <c r="C15" s="462" t="s">
        <v>468</v>
      </c>
      <c r="D15" s="462">
        <f>'Combined All Buildings'!D15</f>
        <v>28273577.050135277</v>
      </c>
      <c r="E15" s="463">
        <f>'Combined All Buildings'!E15</f>
        <v>393196874.75057638</v>
      </c>
      <c r="F15" s="463">
        <f>'Combined All Buildings'!F15</f>
        <v>21872025720.460701</v>
      </c>
      <c r="G15" s="463">
        <f>'Combined All Buildings'!G15</f>
        <v>248484.54507982315</v>
      </c>
      <c r="H15" s="463">
        <f>'Combined All Buildings'!H15</f>
        <v>190068.69719045039</v>
      </c>
      <c r="I15" s="484">
        <f>'Combined All Buildings'!I15</f>
        <v>165705.49352437555</v>
      </c>
      <c r="J15" s="462">
        <f>'Combined All Buildings'!J15</f>
        <v>28054464.973269317</v>
      </c>
      <c r="K15" s="463">
        <f>'Combined All Buildings'!K15</f>
        <v>380149347.10873139</v>
      </c>
      <c r="L15" s="463">
        <f>'Combined All Buildings'!L15</f>
        <v>21361046805.061752</v>
      </c>
      <c r="M15" s="608">
        <f>'Combined All Buildings'!M15</f>
        <v>244392.13689508167</v>
      </c>
      <c r="N15" s="462">
        <f>'Combined All Buildings'!N15</f>
        <v>219112.07686595991</v>
      </c>
      <c r="O15" s="463">
        <f>'Combined All Buildings'!O15</f>
        <v>13047527.641844988</v>
      </c>
      <c r="P15" s="608">
        <f>'Combined All Buildings'!P15</f>
        <v>510978915.39894867</v>
      </c>
      <c r="Q15" s="759">
        <f>'Combined All Buildings'!Q15</f>
        <v>0</v>
      </c>
      <c r="R15" s="464">
        <f>'Combined All Buildings'!R15</f>
        <v>4331.1825714293227</v>
      </c>
      <c r="S15" s="464">
        <f>'Combined All Buildings'!T15</f>
        <v>4331.1825714293227</v>
      </c>
      <c r="T15" s="463">
        <f>'Combined All Buildings'!U15</f>
        <v>1830.2271929159706</v>
      </c>
      <c r="U15" s="608">
        <f>'Combined All Buildings'!V15</f>
        <v>1301.5819998371082</v>
      </c>
      <c r="V15" s="465">
        <f>'Combined All Buildings'!W15</f>
        <v>7.7497119122007787E-3</v>
      </c>
      <c r="W15" s="466">
        <f>'Combined All Buildings'!X15</f>
        <v>3.3183192643943725E-2</v>
      </c>
      <c r="X15" s="466">
        <f>'Combined All Buildings'!Y15</f>
        <v>2.3362212623997666E-2</v>
      </c>
      <c r="Y15" s="466">
        <f>'Combined All Buildings'!Z15</f>
        <v>0</v>
      </c>
      <c r="Z15" s="691">
        <f>'Combined All Buildings'!AA15</f>
        <v>9.6292930922868801E-3</v>
      </c>
      <c r="AA15" s="692">
        <f>'Combined All Buildings'!AB15</f>
        <v>7.8547908832343177E-3</v>
      </c>
    </row>
    <row r="16" spans="2:27" ht="15" thickBot="1" x14ac:dyDescent="0.4">
      <c r="B16" s="1252"/>
      <c r="C16" s="782" t="s">
        <v>469</v>
      </c>
      <c r="D16" s="609">
        <f>'Combined All Buildings'!D16</f>
        <v>1959768060.6645002</v>
      </c>
      <c r="E16" s="651">
        <f>'Combined All Buildings'!E16</f>
        <v>124965440732.01454</v>
      </c>
      <c r="F16" s="651">
        <f>'Combined All Buildings'!F16</f>
        <v>4453476550688.6338</v>
      </c>
      <c r="G16" s="651">
        <f>'Combined All Buildings'!G16</f>
        <v>40642010.863673598</v>
      </c>
      <c r="H16" s="651">
        <f>'Combined All Buildings'!H16</f>
        <v>16665112.343217596</v>
      </c>
      <c r="I16" s="766">
        <f>'Combined All Buildings'!I16</f>
        <v>11655918.898879994</v>
      </c>
      <c r="J16" s="609">
        <f>'Combined All Buildings'!J16</f>
        <v>1949998765.9157081</v>
      </c>
      <c r="K16" s="651">
        <f>'Combined All Buildings'!K16</f>
        <v>124584044522.29637</v>
      </c>
      <c r="L16" s="651">
        <f>'Combined All Buildings'!L16</f>
        <v>4439524155332.8809</v>
      </c>
      <c r="M16" s="653">
        <f>'Combined All Buildings'!M16</f>
        <v>40536243.954161763</v>
      </c>
      <c r="N16" s="609">
        <f>'Combined All Buildings'!N16</f>
        <v>9769294.7487921715</v>
      </c>
      <c r="O16" s="651">
        <f>'Combined All Buildings'!O16</f>
        <v>381396209.71816319</v>
      </c>
      <c r="P16" s="653">
        <f>'Combined All Buildings'!P16</f>
        <v>13952395355.752562</v>
      </c>
      <c r="Q16" s="761">
        <f>'Combined All Buildings'!Q16</f>
        <v>144826</v>
      </c>
      <c r="R16" s="623">
        <f>'Combined All Buildings'!R16</f>
        <v>114524.66286498652</v>
      </c>
      <c r="S16" s="623">
        <f>'Combined All Buildings'!T16</f>
        <v>114524.66286498652</v>
      </c>
      <c r="T16" s="651">
        <f>'Combined All Buildings'!U16</f>
        <v>74445.376842486599</v>
      </c>
      <c r="U16" s="653">
        <f>'Combined All Buildings'!V16</f>
        <v>57683.299091391353</v>
      </c>
      <c r="V16" s="645">
        <f>'Combined All Buildings'!W16</f>
        <v>4.9849239534395145E-3</v>
      </c>
      <c r="W16" s="646">
        <f>'Combined All Buildings'!X16</f>
        <v>3.0520134805594647E-3</v>
      </c>
      <c r="X16" s="646">
        <f>'Combined All Buildings'!Y16</f>
        <v>3.132922155747093E-3</v>
      </c>
      <c r="Y16" s="646">
        <f>'Combined All Buildings'!Z16</f>
        <v>3.5634555702913685E-3</v>
      </c>
      <c r="Z16" s="696">
        <f>'Combined All Buildings'!AA16</f>
        <v>4.4671392133029657E-3</v>
      </c>
      <c r="AA16" s="697">
        <f>'Combined All Buildings'!AB16</f>
        <v>4.9488418366512559E-3</v>
      </c>
    </row>
    <row r="17" spans="2:27" ht="15" hidden="1" thickBot="1" x14ac:dyDescent="0.4">
      <c r="B17" s="1265"/>
      <c r="C17" s="780" t="s">
        <v>429</v>
      </c>
      <c r="D17" s="609">
        <f>'Combined All Buildings'!D17</f>
        <v>130651204.04429999</v>
      </c>
      <c r="E17" s="651">
        <f>'Combined All Buildings'!E17</f>
        <v>8331029382.1343002</v>
      </c>
      <c r="F17" s="651">
        <f>'Combined All Buildings'!F17</f>
        <v>296898436712.5755</v>
      </c>
      <c r="G17" s="651">
        <f>'Combined All Buildings'!G17</f>
        <v>2709467.3909115726</v>
      </c>
      <c r="H17" s="651">
        <f>'Combined All Buildings'!H17</f>
        <v>1111007.4895478394</v>
      </c>
      <c r="I17" s="766">
        <f>'Combined All Buildings'!I17</f>
        <v>777061.25992533285</v>
      </c>
      <c r="J17" s="609">
        <f>'Combined All Buildings'!J17</f>
        <v>120881909.29550774</v>
      </c>
      <c r="K17" s="651">
        <f>'Combined All Buildings'!K17</f>
        <v>7949633172.4161367</v>
      </c>
      <c r="L17" s="651">
        <f>'Combined All Buildings'!L17</f>
        <v>282946041356.82294</v>
      </c>
      <c r="M17" s="653">
        <f>'Combined All Buildings'!M17</f>
        <v>2567250.2474412899</v>
      </c>
      <c r="N17" s="609">
        <f>'Combined All Buildings'!N17</f>
        <v>9769294.748792246</v>
      </c>
      <c r="O17" s="651">
        <f>'Combined All Buildings'!O17</f>
        <v>381396209.71816349</v>
      </c>
      <c r="P17" s="653">
        <f>'Combined All Buildings'!P17</f>
        <v>13952395355.752563</v>
      </c>
      <c r="Q17" s="761">
        <f>'Combined All Buildings'!Q17</f>
        <v>144820.73161017196</v>
      </c>
      <c r="R17" s="623">
        <f>'Combined All Buildings'!R17</f>
        <v>114524.66286498652</v>
      </c>
      <c r="S17" s="623">
        <f>'Combined All Buildings'!T17</f>
        <v>114524.66286498652</v>
      </c>
      <c r="T17" s="651">
        <f>'Combined All Buildings'!U17</f>
        <v>74445.376842487065</v>
      </c>
      <c r="U17" s="653">
        <f>'Combined All Buildings'!V17</f>
        <v>57683.299091391789</v>
      </c>
      <c r="V17" s="645">
        <f>'Combined All Buildings'!W17</f>
        <v>7.4773859301593304E-2</v>
      </c>
      <c r="W17" s="646">
        <f>'Combined All Buildings'!X17</f>
        <v>4.5780202208392018E-2</v>
      </c>
      <c r="X17" s="646">
        <f>'Combined All Buildings'!Y17</f>
        <v>4.6993832336206409E-2</v>
      </c>
      <c r="Y17" s="646">
        <f>'Combined All Buildings'!Z17</f>
        <v>5.3449889116933977E-2</v>
      </c>
      <c r="Z17" s="693">
        <f>'Combined All Buildings'!AA17</f>
        <v>6.7007088199544929E-2</v>
      </c>
      <c r="AA17" s="694">
        <f>'Combined All Buildings'!AB17</f>
        <v>7.4232627549769406E-2</v>
      </c>
    </row>
    <row r="18" spans="2:27" ht="15" hidden="1" thickBot="1" x14ac:dyDescent="0.4">
      <c r="B18" s="771" t="s">
        <v>440</v>
      </c>
      <c r="C18" s="771"/>
      <c r="D18" s="771" t="e">
        <f>'Combined All Buildings'!#REF!</f>
        <v>#REF!</v>
      </c>
      <c r="E18" s="772">
        <f>'Combined All Buildings'!E18</f>
        <v>18951927301.173157</v>
      </c>
      <c r="F18" s="772">
        <f>'Combined All Buildings'!F18</f>
        <v>718734686301.85303</v>
      </c>
      <c r="G18" s="773">
        <f>'Combined All Buildings'!G18</f>
        <v>7750758.0984627344</v>
      </c>
      <c r="H18" s="772">
        <f>'Combined All Buildings'!H18</f>
        <v>4285493.9601341933</v>
      </c>
      <c r="I18" s="773">
        <f>'Combined All Buildings'!I18</f>
        <v>3395753.8150863135</v>
      </c>
      <c r="J18" s="771">
        <f>'Combined All Buildings'!J18</f>
        <v>545082588.35391819</v>
      </c>
      <c r="K18" s="772">
        <f>'Combined All Buildings'!K18</f>
        <v>18043986861.025242</v>
      </c>
      <c r="L18" s="772">
        <f>'Combined All Buildings'!L18</f>
        <v>684490332917.76685</v>
      </c>
      <c r="M18" s="774">
        <f>'Combined All Buildings'!M18</f>
        <v>7322992.2514221603</v>
      </c>
      <c r="N18" s="771">
        <f>'Combined All Buildings'!N18</f>
        <v>33303727.978934236</v>
      </c>
      <c r="O18" s="771">
        <f>'Combined All Buildings'!O18</f>
        <v>1348669525.0796685</v>
      </c>
      <c r="P18" s="771">
        <f>'Combined All Buildings'!P18</f>
        <v>45078138318.57061</v>
      </c>
      <c r="Q18" s="775">
        <f>'Combined All Buildings'!Q18</f>
        <v>343790.5399541193</v>
      </c>
      <c r="R18" s="771">
        <f>'Combined All Buildings'!R18</f>
        <v>358130.07463307574</v>
      </c>
      <c r="S18" s="1129">
        <f>'Combined All Buildings'!T18</f>
        <v>337563.33303644159</v>
      </c>
      <c r="T18" s="772">
        <f>'Combined All Buildings'!U18</f>
        <v>245842.58629749599</v>
      </c>
      <c r="U18" s="774">
        <f>'Combined All Buildings'!V18</f>
        <v>196256.41067685638</v>
      </c>
      <c r="V18" s="776">
        <f>'Combined All Buildings'!W18</f>
        <v>5.7822732308513737E-2</v>
      </c>
      <c r="W18" s="777">
        <f>'Combined All Buildings'!X18</f>
        <v>7.1162658216622834E-2</v>
      </c>
      <c r="X18" s="777">
        <f>'Combined All Buildings'!Y18</f>
        <v>6.271874612106694E-2</v>
      </c>
      <c r="Y18" s="778">
        <f>'Combined All Buildings'!Z18</f>
        <v>4.3552298852339751E-2</v>
      </c>
      <c r="Z18" s="779">
        <f>'Combined All Buildings'!AA18</f>
        <v>5.7366219293375889E-2</v>
      </c>
      <c r="AA18" s="779">
        <f>'Combined All Buildings'!AB18</f>
        <v>5.779465219326211E-2</v>
      </c>
    </row>
    <row r="19" spans="2:27" ht="15" thickBot="1" x14ac:dyDescent="0.4">
      <c r="B19" s="1277" t="s">
        <v>431</v>
      </c>
      <c r="C19" s="1278"/>
      <c r="D19" s="783" t="e">
        <f>'Combined All Buildings'!#REF!</f>
        <v>#REF!</v>
      </c>
      <c r="E19" s="785">
        <f>'Combined All Buildings'!E19</f>
        <v>199525443460.78564</v>
      </c>
      <c r="F19" s="785">
        <f>'Combined All Buildings'!F19</f>
        <v>8084971968172.2529</v>
      </c>
      <c r="G19" s="786">
        <f>'Combined All Buildings'!G19</f>
        <v>81514904.908849716</v>
      </c>
      <c r="H19" s="785">
        <f>'Combined All Buildings'!H19</f>
        <v>45541779.522546589</v>
      </c>
      <c r="I19" s="787">
        <f>'Combined All Buildings'!I19</f>
        <v>36340354.036836669</v>
      </c>
      <c r="J19" s="783">
        <f>'Combined All Buildings'!J19</f>
        <v>6135722520.527771</v>
      </c>
      <c r="K19" s="785">
        <f>'Combined All Buildings'!K19</f>
        <v>198617503020.6377</v>
      </c>
      <c r="L19" s="785">
        <f>'Combined All Buildings'!L19</f>
        <v>8050727614788.166</v>
      </c>
      <c r="M19" s="787">
        <f>'Combined All Buildings'!M19</f>
        <v>81158020.689109311</v>
      </c>
      <c r="N19" s="783">
        <f>'Combined All Buildings'!N19</f>
        <v>33303727.978934113</v>
      </c>
      <c r="O19" s="783">
        <f>'Combined All Buildings'!O19</f>
        <v>1348669525.079669</v>
      </c>
      <c r="P19" s="784">
        <f>'Combined All Buildings'!P19</f>
        <v>45078138318.570587</v>
      </c>
      <c r="Q19" s="788">
        <f>'Combined All Buildings'!Q19</f>
        <v>343795.80834394548</v>
      </c>
      <c r="R19" s="783">
        <f>'Combined All Buildings'!R19</f>
        <v>358130.07463307626</v>
      </c>
      <c r="S19" s="1130">
        <f>'Combined All Buildings'!T19</f>
        <v>337563.33303644211</v>
      </c>
      <c r="T19" s="785">
        <f>'Combined All Buildings'!U19</f>
        <v>245842.58629749526</v>
      </c>
      <c r="U19" s="787">
        <f>'Combined All Buildings'!V19</f>
        <v>196256.41067685568</v>
      </c>
      <c r="V19" s="789">
        <f>'Combined All Buildings'!W19</f>
        <v>5.4006607543964982E-3</v>
      </c>
      <c r="W19" s="790">
        <f>'Combined All Buildings'!X19</f>
        <v>6.7593861799622257E-3</v>
      </c>
      <c r="X19" s="790">
        <f>'Combined All Buildings'!Y19</f>
        <v>5.5992626350651539E-3</v>
      </c>
      <c r="Y19" s="791">
        <f>'Combined All Buildings'!Z19</f>
        <v>4.3934305638157669E-3</v>
      </c>
      <c r="Z19" s="792">
        <f>'Combined All Buildings'!AA19</f>
        <v>5.3981769898952849E-3</v>
      </c>
      <c r="AA19" s="792">
        <f>'Combined All Buildings'!AB19</f>
        <v>5.4005090450665099E-3</v>
      </c>
    </row>
    <row r="20" spans="2:27" x14ac:dyDescent="0.35">
      <c r="G20" s="231"/>
    </row>
    <row r="21" spans="2:27" x14ac:dyDescent="0.35">
      <c r="G21" s="231"/>
      <c r="Q21">
        <f>2974/3108</f>
        <v>0.9568854568854569</v>
      </c>
    </row>
    <row r="22" spans="2:27" ht="21" x14ac:dyDescent="0.5">
      <c r="C22" s="313"/>
      <c r="G22" s="231"/>
      <c r="Q22">
        <f>R10/Q10</f>
        <v>0.74027526013264544</v>
      </c>
    </row>
    <row r="23" spans="2:27" x14ac:dyDescent="0.35">
      <c r="G23" s="698"/>
      <c r="Q23">
        <f>R11/Q11</f>
        <v>0.7390522382193333</v>
      </c>
    </row>
  </sheetData>
  <mergeCells count="9">
    <mergeCell ref="B19:C19"/>
    <mergeCell ref="N2:U2"/>
    <mergeCell ref="V2:AA2"/>
    <mergeCell ref="B3:C3"/>
    <mergeCell ref="B12:B17"/>
    <mergeCell ref="B2:C2"/>
    <mergeCell ref="D2:G2"/>
    <mergeCell ref="J2:M2"/>
    <mergeCell ref="B4:B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6B0494C788D4D94D329168B27652B" ma:contentTypeVersion="13" ma:contentTypeDescription="Create a new document." ma:contentTypeScope="" ma:versionID="035ba8ea97a4da709a470ae6731ae7db">
  <xsd:schema xmlns:xsd="http://www.w3.org/2001/XMLSchema" xmlns:xs="http://www.w3.org/2001/XMLSchema" xmlns:p="http://schemas.microsoft.com/office/2006/metadata/properties" xmlns:ns3="f03a1973-9a98-40fe-a557-39f8aac809d5" xmlns:ns4="cfc59c0f-34c1-4603-9f13-035ab19d3747" targetNamespace="http://schemas.microsoft.com/office/2006/metadata/properties" ma:root="true" ma:fieldsID="d99726548ed8b6e3cabcfffa681f3abb" ns3:_="" ns4:_="">
    <xsd:import namespace="f03a1973-9a98-40fe-a557-39f8aac809d5"/>
    <xsd:import namespace="cfc59c0f-34c1-4603-9f13-035ab19d37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a1973-9a98-40fe-a557-39f8aac80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59c0f-34c1-4603-9f13-035ab19d37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300CF-F0E7-45EF-ABAE-4091DA61EDD7}">
  <ds:schemaRefs>
    <ds:schemaRef ds:uri="http://purl.org/dc/terms/"/>
    <ds:schemaRef ds:uri="f03a1973-9a98-40fe-a557-39f8aac80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fc59c0f-34c1-4603-9f13-035ab19d374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0BDF66-7F11-4BFF-A271-CD7CE8CC5A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1B20EE-7222-404D-919D-518F9CBC1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a1973-9a98-40fe-a557-39f8aac809d5"/>
    <ds:schemaRef ds:uri="cfc59c0f-34c1-4603-9f13-035ab19d37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SF-HPSD</vt:lpstr>
      <vt:lpstr>MF-HPSD</vt:lpstr>
      <vt:lpstr>NR-HPSD</vt:lpstr>
      <vt:lpstr>MF&amp;NR-PV&amp;Batt</vt:lpstr>
      <vt:lpstr>MF-EE</vt:lpstr>
      <vt:lpstr>EE-Alts</vt:lpstr>
      <vt:lpstr>GWP Impact By Building Type</vt:lpstr>
      <vt:lpstr>Combined All Buildings</vt:lpstr>
      <vt:lpstr>Combined All Buildings-Compact</vt:lpstr>
      <vt:lpstr>CO2 Emissions</vt:lpstr>
      <vt:lpstr>CO2 Dollar Benefit</vt:lpstr>
      <vt:lpstr>Criteria Pollutants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TheMaz</dc:creator>
  <cp:keywords/>
  <dc:description/>
  <cp:lastModifiedBy>Mike Hodgson</cp:lastModifiedBy>
  <cp:revision/>
  <dcterms:created xsi:type="dcterms:W3CDTF">2020-04-28T21:26:49Z</dcterms:created>
  <dcterms:modified xsi:type="dcterms:W3CDTF">2021-06-10T21:32:54Z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0x010100DFC6B0494C788D4D94D329168B27652B</vt:lpwstr>
  </property>
</Properties>
</file>