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IES VE T24 2019\Backup Material To Docket\"/>
    </mc:Choice>
  </mc:AlternateContent>
  <xr:revisionPtr revIDLastSave="0" documentId="13_ncr:1_{1017626C-D972-473B-AF20-6A872F035126}" xr6:coauthVersionLast="45" xr6:coauthVersionMax="47" xr10:uidLastSave="{00000000-0000-0000-0000-000000000000}"/>
  <bookViews>
    <workbookView xWindow="6732" yWindow="1800" windowWidth="28812" windowHeight="12264" tabRatio="888" firstSheet="5" activeTab="5" xr2:uid="{00000000-000D-0000-FFFF-FFFF00000000}"/>
  </bookViews>
  <sheets>
    <sheet name="Documentation Main Sheet" sheetId="22" r:id="rId1"/>
    <sheet name="Test Status Summary" sheetId="53" r:id="rId2"/>
    <sheet name="020006-OffSml-Run01" sheetId="4" r:id="rId3"/>
    <sheet name="020015-OffSml-Run02" sheetId="6" r:id="rId4"/>
    <sheet name="070015-HotSml-Run03" sheetId="7" state="hidden" r:id="rId5"/>
    <sheet name="030006-OffMed-Run04" sheetId="55" r:id="rId6"/>
    <sheet name="040006-OffLrg-Run05" sheetId="8" r:id="rId7"/>
    <sheet name="040006-OffLrg-Run06" sheetId="10" r:id="rId8"/>
    <sheet name="080006-Whse-Run07" sheetId="11" r:id="rId9"/>
    <sheet name="080006-Whse-Run08" sheetId="12" r:id="rId10"/>
    <sheet name="040006-OffLrg-Run11" sheetId="46" state="hidden" r:id="rId11"/>
    <sheet name="030006-OffMed-Run12" sheetId="16" r:id="rId12"/>
    <sheet name="030006-OffMed-Run13" sheetId="18" r:id="rId13"/>
    <sheet name="020006-OffSml-Run14" sheetId="19" r:id="rId14"/>
    <sheet name="080006-Whse-Run15" sheetId="20" r:id="rId15"/>
    <sheet name="050006-RetlMed-Run16" sheetId="24" r:id="rId16"/>
    <sheet name="020006-OffSml-Run18" sheetId="28" state="hidden" r:id="rId17"/>
    <sheet name="030006-OffMed-Run19" sheetId="48" r:id="rId18"/>
    <sheet name="080006-Whse-Run21" sheetId="26" state="hidden" r:id="rId19"/>
    <sheet name="070015-HotSml-Run22" sheetId="50" state="hidden" r:id="rId20"/>
    <sheet name="030006-OffMed-Run23" sheetId="47" state="hidden" r:id="rId21"/>
    <sheet name="050006-RetlMed-Run27" sheetId="42" state="hidden" r:id="rId22"/>
  </sheets>
  <definedNames>
    <definedName name="_xlnm._FilterDatabase" localSheetId="2" hidden="1">'020006-OffSml-Run01'!$B$10:$XFD$56</definedName>
    <definedName name="_xlnm._FilterDatabase" localSheetId="13" hidden="1">'020006-OffSml-Run14'!$26:$30</definedName>
    <definedName name="_xlnm._FilterDatabase" localSheetId="3" hidden="1">'020015-OffSml-Run02'!$B$10:$XFD$67</definedName>
    <definedName name="_xlnm._FilterDatabase" localSheetId="5" hidden="1">'030006-OffMed-Run04'!#REF!</definedName>
    <definedName name="_xlnm._FilterDatabase" localSheetId="11" hidden="1">'030006-OffMed-Run12'!$14:$32</definedName>
    <definedName name="_xlnm._FilterDatabase" localSheetId="12" hidden="1">'030006-OffMed-Run13'!$39:$57</definedName>
    <definedName name="_xlnm._FilterDatabase" localSheetId="6" hidden="1">'040006-OffLrg-Run05'!#REF!</definedName>
    <definedName name="_xlnm._FilterDatabase" localSheetId="7" hidden="1">'040006-OffLrg-Run06'!#REF!</definedName>
    <definedName name="_xlnm._FilterDatabase" localSheetId="10" hidden="1">'040006-OffLrg-Run11'!$A$14:$DO$39</definedName>
    <definedName name="_xlnm._FilterDatabase" localSheetId="15" hidden="1">'050006-RetlMed-Run16'!$A$54:$P$59</definedName>
    <definedName name="_xlnm._FilterDatabase" localSheetId="4" hidden="1">'070015-HotSml-Run03'!$A$14:$BD$17</definedName>
    <definedName name="_xlnm._FilterDatabase" localSheetId="19" hidden="1">'070015-HotSml-Run22'!$A$243:$AB$249</definedName>
    <definedName name="_xlnm._FilterDatabase" localSheetId="8" hidden="1">'080006-Whse-Run07'!#REF!</definedName>
    <definedName name="_xlnm._FilterDatabase" localSheetId="9" hidden="1">'080006-Whse-Run08'!$A$19:$L$22</definedName>
    <definedName name="_xlnm._FilterDatabase" localSheetId="14" hidden="1">'080006-Whse-Run15'!$37:$40</definedName>
    <definedName name="_xlnm._FilterDatabase" localSheetId="1" hidden="1">'Test Status Summary'!$B$5:$J$35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4" l="1"/>
  <c r="J15" i="4"/>
  <c r="J15" i="19" l="1"/>
  <c r="D39" i="20" l="1"/>
  <c r="D40" i="20"/>
  <c r="D41" i="20"/>
  <c r="M181" i="48" l="1"/>
  <c r="I181" i="48"/>
  <c r="G181" i="48"/>
  <c r="G164" i="48"/>
  <c r="G165" i="48"/>
  <c r="G166" i="48"/>
  <c r="G167" i="48"/>
  <c r="G168" i="48"/>
  <c r="E164" i="48"/>
  <c r="E165" i="48"/>
  <c r="E166" i="48"/>
  <c r="E167" i="48"/>
  <c r="E168" i="48"/>
  <c r="E163" i="48"/>
  <c r="G163" i="48"/>
  <c r="E154" i="48"/>
  <c r="E155" i="48"/>
  <c r="E156" i="48"/>
  <c r="E157" i="48"/>
  <c r="E158" i="48"/>
  <c r="G154" i="48"/>
  <c r="G155" i="48"/>
  <c r="G156" i="48"/>
  <c r="G157" i="48"/>
  <c r="G158" i="48"/>
  <c r="M154" i="48"/>
  <c r="M155" i="48"/>
  <c r="M156" i="48"/>
  <c r="M157" i="48"/>
  <c r="M158" i="48"/>
  <c r="O154" i="48"/>
  <c r="O155" i="48"/>
  <c r="O156" i="48"/>
  <c r="O157" i="48"/>
  <c r="O158" i="48"/>
  <c r="Q154" i="48"/>
  <c r="Q155" i="48"/>
  <c r="S154" i="48"/>
  <c r="S155" i="48"/>
  <c r="S156" i="48"/>
  <c r="S157" i="48"/>
  <c r="S158" i="48"/>
  <c r="S153" i="48"/>
  <c r="Q153" i="48"/>
  <c r="O153" i="48"/>
  <c r="M153" i="48"/>
  <c r="G153" i="48"/>
  <c r="E153" i="48"/>
  <c r="E148" i="48"/>
  <c r="E147" i="48"/>
  <c r="E146" i="48"/>
  <c r="E145" i="48"/>
  <c r="I140" i="48"/>
  <c r="I139" i="48"/>
  <c r="I138" i="48"/>
  <c r="I137" i="48"/>
  <c r="I136" i="48"/>
  <c r="I135" i="48"/>
  <c r="G140" i="48"/>
  <c r="G139" i="48"/>
  <c r="G138" i="48"/>
  <c r="G137" i="48"/>
  <c r="G136" i="48"/>
  <c r="G135" i="48"/>
  <c r="E140" i="48"/>
  <c r="E139" i="48"/>
  <c r="E138" i="48"/>
  <c r="E137" i="48"/>
  <c r="E136" i="48"/>
  <c r="E135" i="48"/>
  <c r="U127" i="48"/>
  <c r="S127" i="48"/>
  <c r="U126" i="48"/>
  <c r="U125" i="48"/>
  <c r="S126" i="48"/>
  <c r="S125" i="48"/>
  <c r="Q130" i="48"/>
  <c r="Q129" i="48"/>
  <c r="Q128" i="48"/>
  <c r="Q127" i="48"/>
  <c r="Q126" i="48"/>
  <c r="Q125" i="48"/>
  <c r="O127" i="48"/>
  <c r="O128" i="48"/>
  <c r="O129" i="48"/>
  <c r="O130" i="48"/>
  <c r="O126" i="48"/>
  <c r="O125" i="48"/>
  <c r="M130" i="48"/>
  <c r="M129" i="48"/>
  <c r="M128" i="48"/>
  <c r="M127" i="48"/>
  <c r="M126" i="48"/>
  <c r="M125" i="48"/>
  <c r="K130" i="48"/>
  <c r="K129" i="48"/>
  <c r="K128" i="48"/>
  <c r="K127" i="48"/>
  <c r="K126" i="48"/>
  <c r="K125" i="48"/>
  <c r="G130" i="48"/>
  <c r="G129" i="48"/>
  <c r="G128" i="48"/>
  <c r="G127" i="48"/>
  <c r="G126" i="48"/>
  <c r="G125" i="48"/>
  <c r="G95" i="48"/>
  <c r="G96" i="48"/>
  <c r="I95" i="48"/>
  <c r="I96" i="48"/>
  <c r="M95" i="48"/>
  <c r="M96" i="48"/>
  <c r="I94" i="48"/>
  <c r="M94" i="48"/>
  <c r="G94" i="48"/>
  <c r="K76" i="48"/>
  <c r="I77" i="48"/>
  <c r="G77" i="48"/>
  <c r="G78" i="48"/>
  <c r="G79" i="48"/>
  <c r="G80" i="48"/>
  <c r="G81" i="48"/>
  <c r="G76" i="48"/>
  <c r="E77" i="48"/>
  <c r="E78" i="48"/>
  <c r="E79" i="48"/>
  <c r="E80" i="48"/>
  <c r="E81" i="48"/>
  <c r="E76" i="48"/>
  <c r="S67" i="48"/>
  <c r="S68" i="48"/>
  <c r="S69" i="48"/>
  <c r="S70" i="48"/>
  <c r="S71" i="48"/>
  <c r="S66" i="48"/>
  <c r="Q67" i="48"/>
  <c r="Q68" i="48"/>
  <c r="Q69" i="48"/>
  <c r="Q70" i="48"/>
  <c r="Q71" i="48"/>
  <c r="Q66" i="48"/>
  <c r="O71" i="48"/>
  <c r="O67" i="48"/>
  <c r="M67" i="48"/>
  <c r="G71" i="48"/>
  <c r="G70" i="48"/>
  <c r="G69" i="48"/>
  <c r="G68" i="48"/>
  <c r="G67" i="48"/>
  <c r="K70" i="48"/>
  <c r="K69" i="48"/>
  <c r="K68" i="48"/>
  <c r="K66" i="48"/>
  <c r="G66" i="48"/>
  <c r="E71" i="48"/>
  <c r="E70" i="48"/>
  <c r="E69" i="48"/>
  <c r="E68" i="48"/>
  <c r="E67" i="48"/>
  <c r="E66" i="48"/>
  <c r="E61" i="48"/>
  <c r="E60" i="48"/>
  <c r="E59" i="48"/>
  <c r="E58" i="48"/>
  <c r="E57" i="48"/>
  <c r="E56" i="48"/>
  <c r="I47" i="48"/>
  <c r="I48" i="48"/>
  <c r="I49" i="48"/>
  <c r="I50" i="48"/>
  <c r="G47" i="48"/>
  <c r="G48" i="48"/>
  <c r="G49" i="48"/>
  <c r="G50" i="48"/>
  <c r="G51" i="48"/>
  <c r="I46" i="48"/>
  <c r="G46" i="48"/>
  <c r="E51" i="48"/>
  <c r="E50" i="48"/>
  <c r="E49" i="48"/>
  <c r="E48" i="48"/>
  <c r="E47" i="48"/>
  <c r="E46" i="48"/>
  <c r="G41" i="48"/>
  <c r="G40" i="48"/>
  <c r="G39" i="48"/>
  <c r="G38" i="48"/>
  <c r="G37" i="48"/>
  <c r="K41" i="48"/>
  <c r="K40" i="48"/>
  <c r="K39" i="48"/>
  <c r="K38" i="48"/>
  <c r="K37" i="48"/>
  <c r="M41" i="48"/>
  <c r="M40" i="48"/>
  <c r="M39" i="48"/>
  <c r="M38" i="48"/>
  <c r="M37" i="48"/>
  <c r="O41" i="48"/>
  <c r="O37" i="48"/>
  <c r="Q41" i="48"/>
  <c r="Q40" i="48"/>
  <c r="Q39" i="48"/>
  <c r="Q38" i="48"/>
  <c r="Q37" i="48"/>
  <c r="S41" i="48"/>
  <c r="S37" i="48"/>
  <c r="U41" i="48"/>
  <c r="U37" i="48"/>
  <c r="U36" i="48"/>
  <c r="S36" i="48"/>
  <c r="Q36" i="48"/>
  <c r="O36" i="48"/>
  <c r="M36" i="48"/>
  <c r="K36" i="48"/>
  <c r="G36" i="48"/>
  <c r="E119" i="48"/>
  <c r="E118" i="48"/>
  <c r="E117" i="48"/>
  <c r="E116" i="48"/>
  <c r="E115" i="48"/>
  <c r="E113" i="48"/>
  <c r="E112" i="48"/>
  <c r="E111" i="48"/>
  <c r="E110" i="48"/>
  <c r="E109" i="48"/>
  <c r="G119" i="48"/>
  <c r="G118" i="48"/>
  <c r="G117" i="48"/>
  <c r="G116" i="48"/>
  <c r="G115" i="48"/>
  <c r="G113" i="48"/>
  <c r="G112" i="48"/>
  <c r="G111" i="48"/>
  <c r="G110" i="48"/>
  <c r="G109" i="48"/>
  <c r="G107" i="48"/>
  <c r="G106" i="48"/>
  <c r="G105" i="48"/>
  <c r="G104" i="48"/>
  <c r="G103" i="48"/>
  <c r="E107" i="48"/>
  <c r="E106" i="48"/>
  <c r="E105" i="48"/>
  <c r="E104" i="48"/>
  <c r="E103" i="48"/>
  <c r="G30" i="48"/>
  <c r="G29" i="48"/>
  <c r="G28" i="48"/>
  <c r="G27" i="48"/>
  <c r="G26" i="48"/>
  <c r="G24" i="48"/>
  <c r="G23" i="48"/>
  <c r="G22" i="48"/>
  <c r="G21" i="48"/>
  <c r="G20" i="48"/>
  <c r="E30" i="48"/>
  <c r="E29" i="48"/>
  <c r="E28" i="48"/>
  <c r="E27" i="48"/>
  <c r="E26" i="48"/>
  <c r="E24" i="48"/>
  <c r="E23" i="48"/>
  <c r="E22" i="48"/>
  <c r="E21" i="48"/>
  <c r="E20" i="48"/>
  <c r="G18" i="48"/>
  <c r="G17" i="48"/>
  <c r="G16" i="48"/>
  <c r="G15" i="48"/>
  <c r="E18" i="48"/>
  <c r="E17" i="48"/>
  <c r="E16" i="48"/>
  <c r="E15" i="48"/>
  <c r="G14" i="48"/>
  <c r="E14" i="48"/>
  <c r="E70" i="24"/>
  <c r="E69" i="24"/>
  <c r="E67" i="24"/>
  <c r="I59" i="24"/>
  <c r="I57" i="24"/>
  <c r="I56" i="24"/>
  <c r="I55" i="24"/>
  <c r="E46" i="24"/>
  <c r="E47" i="24"/>
  <c r="E45" i="24"/>
  <c r="E37" i="24"/>
  <c r="E38" i="24"/>
  <c r="E36" i="24"/>
  <c r="G26" i="24"/>
  <c r="J53" i="20"/>
  <c r="H53" i="20"/>
  <c r="J46" i="20"/>
  <c r="H46" i="20"/>
  <c r="L41" i="20"/>
  <c r="L40" i="20"/>
  <c r="J41" i="20"/>
  <c r="J40" i="20"/>
  <c r="H41" i="20"/>
  <c r="H40" i="20"/>
  <c r="J22" i="20"/>
  <c r="H22" i="20"/>
  <c r="F22" i="20"/>
  <c r="L17" i="20"/>
  <c r="L16" i="20"/>
  <c r="J16" i="20"/>
  <c r="J17" i="20"/>
  <c r="H17" i="20"/>
  <c r="H16" i="20"/>
  <c r="D17" i="20"/>
  <c r="D16" i="20"/>
  <c r="D15" i="20"/>
  <c r="L44" i="19"/>
  <c r="L43" i="19"/>
  <c r="L42" i="19"/>
  <c r="L41" i="19"/>
  <c r="L40" i="19"/>
  <c r="N44" i="19"/>
  <c r="N43" i="19"/>
  <c r="N42" i="19"/>
  <c r="N41" i="19"/>
  <c r="N40" i="19"/>
  <c r="L15" i="19"/>
  <c r="L16" i="19"/>
  <c r="L17" i="19"/>
  <c r="L18" i="19"/>
  <c r="L19" i="19"/>
  <c r="J16" i="19"/>
  <c r="J17" i="19"/>
  <c r="J18" i="19"/>
  <c r="J19" i="19"/>
  <c r="H15" i="19"/>
  <c r="H16" i="19"/>
  <c r="H17" i="19"/>
  <c r="H18" i="19"/>
  <c r="H19" i="19"/>
  <c r="N16" i="19"/>
  <c r="N17" i="19"/>
  <c r="N18" i="19"/>
  <c r="N19" i="19"/>
  <c r="N15" i="19"/>
  <c r="L56" i="16"/>
  <c r="L55" i="16"/>
  <c r="L54" i="16"/>
  <c r="L53" i="16"/>
  <c r="L52" i="16"/>
  <c r="L50" i="16"/>
  <c r="L49" i="16"/>
  <c r="L48" i="16"/>
  <c r="L47" i="16"/>
  <c r="L46" i="16"/>
  <c r="L44" i="16"/>
  <c r="L43" i="16"/>
  <c r="L42" i="16"/>
  <c r="L41" i="16"/>
  <c r="L40" i="16"/>
  <c r="L31" i="16"/>
  <c r="L30" i="16"/>
  <c r="L29" i="16"/>
  <c r="L28" i="16"/>
  <c r="L27" i="16"/>
  <c r="L25" i="16"/>
  <c r="L24" i="16"/>
  <c r="L23" i="16"/>
  <c r="L22" i="16"/>
  <c r="L21" i="16"/>
  <c r="J56" i="16"/>
  <c r="J55" i="16"/>
  <c r="J54" i="16"/>
  <c r="J53" i="16"/>
  <c r="J52" i="16"/>
  <c r="J50" i="16"/>
  <c r="J49" i="16"/>
  <c r="J48" i="16"/>
  <c r="J47" i="16"/>
  <c r="J46" i="16"/>
  <c r="J44" i="16"/>
  <c r="J43" i="16"/>
  <c r="J42" i="16"/>
  <c r="J41" i="16"/>
  <c r="J40" i="16"/>
  <c r="J31" i="16"/>
  <c r="J30" i="16"/>
  <c r="J29" i="16"/>
  <c r="J28" i="16"/>
  <c r="J27" i="16"/>
  <c r="J25" i="16"/>
  <c r="J24" i="16"/>
  <c r="J23" i="16"/>
  <c r="J22" i="16"/>
  <c r="J21" i="16"/>
  <c r="H31" i="16"/>
  <c r="H30" i="16"/>
  <c r="H29" i="16"/>
  <c r="H28" i="16"/>
  <c r="H25" i="16"/>
  <c r="H24" i="16"/>
  <c r="H23" i="16"/>
  <c r="H22" i="16"/>
  <c r="L16" i="16"/>
  <c r="L17" i="16"/>
  <c r="L18" i="16"/>
  <c r="L19" i="16"/>
  <c r="J16" i="16"/>
  <c r="J17" i="16"/>
  <c r="J18" i="16"/>
  <c r="J19" i="16"/>
  <c r="H16" i="16"/>
  <c r="H17" i="16"/>
  <c r="H18" i="16"/>
  <c r="H19" i="16"/>
  <c r="L15" i="16"/>
  <c r="J15" i="16"/>
  <c r="J36" i="12"/>
  <c r="H37" i="12"/>
  <c r="H36" i="12"/>
  <c r="F37" i="12"/>
  <c r="F36" i="12"/>
  <c r="D37" i="12"/>
  <c r="D36" i="12"/>
  <c r="D35" i="12"/>
  <c r="D30" i="12"/>
  <c r="J22" i="12"/>
  <c r="H22" i="12"/>
  <c r="J21" i="12"/>
  <c r="H21" i="12"/>
  <c r="F22" i="12"/>
  <c r="F21" i="12"/>
  <c r="D22" i="12"/>
  <c r="D21" i="12"/>
  <c r="D20" i="12"/>
  <c r="D15" i="12"/>
  <c r="M23" i="11"/>
  <c r="K23" i="11"/>
  <c r="I23" i="11"/>
  <c r="C23" i="11"/>
  <c r="M15" i="11"/>
  <c r="K15" i="11"/>
  <c r="I15" i="11"/>
  <c r="C15" i="11"/>
  <c r="K24" i="8"/>
  <c r="I24" i="8"/>
  <c r="G24" i="8"/>
  <c r="E24" i="8"/>
  <c r="C24" i="8"/>
  <c r="K15" i="8"/>
  <c r="I15" i="8"/>
  <c r="G15" i="8"/>
  <c r="E15" i="8"/>
  <c r="C15" i="8"/>
  <c r="K23" i="10"/>
  <c r="I23" i="10"/>
  <c r="G23" i="10"/>
  <c r="E23" i="10"/>
  <c r="C23" i="10"/>
  <c r="K15" i="10"/>
  <c r="I15" i="10"/>
  <c r="G15" i="10"/>
  <c r="E15" i="10"/>
  <c r="C15" i="10"/>
  <c r="D62" i="6"/>
  <c r="D63" i="6"/>
  <c r="D61" i="6"/>
  <c r="J55" i="6"/>
  <c r="H55" i="6"/>
  <c r="F55" i="6"/>
  <c r="D55" i="6"/>
  <c r="V50" i="6"/>
  <c r="T50" i="6"/>
  <c r="R50" i="6"/>
  <c r="P47" i="6"/>
  <c r="N47" i="6"/>
  <c r="L47" i="6"/>
  <c r="J47" i="6"/>
  <c r="F49" i="6"/>
  <c r="F48" i="6"/>
  <c r="F47" i="6"/>
  <c r="D47" i="6"/>
  <c r="D31" i="6"/>
  <c r="D30" i="6"/>
  <c r="D29" i="6"/>
  <c r="F26" i="6"/>
  <c r="J23" i="6"/>
  <c r="H23" i="6"/>
  <c r="F23" i="6"/>
  <c r="D23" i="6"/>
  <c r="V18" i="6"/>
  <c r="T18" i="6"/>
  <c r="R18" i="6"/>
  <c r="H17" i="6"/>
  <c r="F17" i="6"/>
  <c r="H16" i="6"/>
  <c r="F16" i="6"/>
  <c r="P15" i="6"/>
  <c r="N15" i="6"/>
  <c r="L15" i="6"/>
  <c r="J15" i="6"/>
  <c r="H15" i="6"/>
  <c r="F15" i="6"/>
  <c r="D15" i="6"/>
  <c r="AO62" i="6"/>
  <c r="AM62" i="6"/>
  <c r="AG62" i="6"/>
  <c r="AH62" i="6" s="1"/>
  <c r="AI62" i="6" s="1"/>
  <c r="AJ62" i="6" s="1"/>
  <c r="AK62" i="6" s="1"/>
  <c r="AG30" i="6"/>
  <c r="AH30" i="6" s="1"/>
  <c r="AI30" i="6" s="1"/>
  <c r="AJ30" i="6" s="1"/>
  <c r="AK30" i="6" s="1"/>
  <c r="P54" i="4"/>
  <c r="AG50" i="4"/>
  <c r="AI50" i="4"/>
  <c r="N54" i="4"/>
  <c r="J48" i="4"/>
  <c r="H48" i="4"/>
  <c r="F48" i="4"/>
  <c r="D48" i="4"/>
  <c r="P41" i="4"/>
  <c r="N41" i="4"/>
  <c r="L41" i="4"/>
  <c r="F43" i="4"/>
  <c r="F42" i="4"/>
  <c r="F41" i="4"/>
  <c r="D41" i="4"/>
  <c r="AA50" i="4"/>
  <c r="AB50" i="4" s="1"/>
  <c r="AC50" i="4" s="1"/>
  <c r="AD50" i="4" s="1"/>
  <c r="AE50" i="4" s="1"/>
  <c r="J23" i="4"/>
  <c r="H23" i="4"/>
  <c r="F23" i="4"/>
  <c r="D23" i="4"/>
  <c r="H18" i="4"/>
  <c r="H17" i="4"/>
  <c r="H16" i="4"/>
  <c r="F18" i="4"/>
  <c r="F17" i="4"/>
  <c r="F16" i="4"/>
  <c r="P15" i="4"/>
  <c r="N15" i="4"/>
  <c r="L15" i="4"/>
  <c r="H15" i="4"/>
  <c r="F15" i="4"/>
  <c r="D15" i="4"/>
  <c r="AA24" i="4"/>
  <c r="AB24" i="4" s="1"/>
  <c r="L26" i="4"/>
  <c r="L32" i="4" l="1"/>
  <c r="L54" i="4"/>
  <c r="F63" i="6"/>
  <c r="F62" i="6"/>
  <c r="F61" i="6"/>
  <c r="F31" i="6"/>
  <c r="F30" i="6"/>
  <c r="F29" i="6"/>
  <c r="H26" i="6"/>
  <c r="D26" i="4"/>
  <c r="AC24" i="4"/>
  <c r="D56" i="4" l="1"/>
  <c r="D55" i="4"/>
  <c r="D54" i="4"/>
  <c r="H63" i="6"/>
  <c r="H61" i="6"/>
  <c r="H30" i="6"/>
  <c r="H29" i="6"/>
  <c r="J26" i="6"/>
  <c r="AD24" i="4"/>
  <c r="F26" i="4"/>
  <c r="D31" i="4"/>
  <c r="D30" i="4"/>
  <c r="D29" i="4"/>
  <c r="D32" i="4"/>
  <c r="F56" i="4" l="1"/>
  <c r="F55" i="4"/>
  <c r="F54" i="4"/>
  <c r="J61" i="6"/>
  <c r="J29" i="6"/>
  <c r="L26" i="6"/>
  <c r="F31" i="4"/>
  <c r="F32" i="4"/>
  <c r="F30" i="4"/>
  <c r="F29" i="4"/>
  <c r="H26" i="4"/>
  <c r="AE24" i="4"/>
  <c r="J26" i="4" s="1"/>
  <c r="J54" i="4" s="1"/>
  <c r="H56" i="4" l="1"/>
  <c r="H54" i="4"/>
  <c r="L29" i="6"/>
  <c r="N26" i="6"/>
  <c r="J32" i="4"/>
  <c r="J29" i="4"/>
  <c r="H32" i="4"/>
  <c r="H30" i="4"/>
  <c r="H29" i="4"/>
  <c r="E15" i="16" l="1"/>
  <c r="G15" i="16"/>
  <c r="C4" i="42"/>
  <c r="C4" i="47"/>
  <c r="C4" i="50"/>
  <c r="C4" i="26"/>
  <c r="C4" i="48"/>
  <c r="C4" i="28"/>
  <c r="C4" i="24"/>
  <c r="C4" i="20"/>
  <c r="C4" i="19"/>
  <c r="C4" i="18"/>
  <c r="C4" i="16"/>
  <c r="C4" i="46"/>
  <c r="C4" i="12"/>
  <c r="D4" i="11"/>
  <c r="D4" i="10"/>
  <c r="D4" i="8"/>
  <c r="E4" i="55"/>
  <c r="C4" i="7"/>
  <c r="C4" i="6"/>
  <c r="C4" i="4"/>
  <c r="F96" i="48" l="1"/>
  <c r="G6" i="4" l="1"/>
  <c r="G7" i="4"/>
  <c r="G5" i="4"/>
  <c r="J43" i="28" l="1"/>
  <c r="H78" i="24" l="1"/>
  <c r="H58" i="24"/>
  <c r="L101" i="42" l="1"/>
  <c r="H96" i="42"/>
  <c r="H79" i="42"/>
  <c r="J79" i="42" s="1"/>
  <c r="H43" i="42"/>
  <c r="L196" i="47"/>
  <c r="H77" i="47"/>
  <c r="H72" i="47"/>
  <c r="J399" i="50"/>
  <c r="J400" i="50"/>
  <c r="L272" i="50"/>
  <c r="L271" i="50"/>
  <c r="L270" i="50"/>
  <c r="L269" i="50"/>
  <c r="L268" i="50"/>
  <c r="M56" i="18"/>
  <c r="M50" i="18"/>
  <c r="M44" i="18"/>
  <c r="G30" i="18"/>
  <c r="G55" i="18" s="1"/>
  <c r="M55" i="18" s="1"/>
  <c r="G29" i="18"/>
  <c r="G54" i="18" s="1"/>
  <c r="M54" i="18" s="1"/>
  <c r="G28" i="18"/>
  <c r="G53" i="18" s="1"/>
  <c r="M53" i="18" s="1"/>
  <c r="G24" i="18"/>
  <c r="G49" i="18" s="1"/>
  <c r="M49" i="18" s="1"/>
  <c r="G23" i="18"/>
  <c r="G48" i="18" s="1"/>
  <c r="M48" i="18" s="1"/>
  <c r="G22" i="18"/>
  <c r="G47" i="18" s="1"/>
  <c r="M47" i="18" s="1"/>
  <c r="G18" i="18"/>
  <c r="G43" i="18" s="1"/>
  <c r="G17" i="18"/>
  <c r="G42" i="18" s="1"/>
  <c r="G16" i="18"/>
  <c r="G41" i="18" s="1"/>
  <c r="K27" i="18"/>
  <c r="K52" i="18" s="1"/>
  <c r="I27" i="18"/>
  <c r="I52" i="18" s="1"/>
  <c r="K21" i="18"/>
  <c r="K46" i="18" s="1"/>
  <c r="I21" i="18"/>
  <c r="I46" i="18" s="1"/>
  <c r="K15" i="18"/>
  <c r="K40" i="18" s="1"/>
  <c r="I15" i="18"/>
  <c r="I40" i="18" s="1"/>
  <c r="L223" i="50"/>
  <c r="X179" i="50"/>
  <c r="X178" i="50"/>
  <c r="X177" i="50"/>
  <c r="X176" i="50"/>
  <c r="X175" i="50"/>
  <c r="X174" i="50"/>
  <c r="X173" i="50"/>
  <c r="X172" i="50"/>
  <c r="X171" i="50"/>
  <c r="X170" i="50"/>
  <c r="X169" i="50"/>
  <c r="X168" i="50"/>
  <c r="X167" i="50"/>
  <c r="X166" i="50"/>
  <c r="X165" i="50"/>
  <c r="X164" i="50"/>
  <c r="X163" i="50"/>
  <c r="X162" i="50"/>
  <c r="X161" i="50"/>
  <c r="X160" i="50"/>
  <c r="X159" i="50"/>
  <c r="X158" i="50"/>
  <c r="X157" i="50"/>
  <c r="X156" i="50"/>
  <c r="X155" i="50"/>
  <c r="L71" i="50"/>
  <c r="L70" i="50"/>
  <c r="L69" i="50"/>
  <c r="L68" i="50"/>
  <c r="K70" i="26"/>
  <c r="K69" i="26"/>
  <c r="K68" i="26"/>
  <c r="G26" i="26"/>
  <c r="M52" i="18" l="1"/>
  <c r="M46" i="18"/>
  <c r="L158" i="48"/>
  <c r="L157" i="48"/>
  <c r="L156" i="48"/>
  <c r="L155" i="48"/>
  <c r="L154" i="48"/>
  <c r="L153" i="48"/>
  <c r="L115" i="28"/>
  <c r="L114" i="28"/>
  <c r="L113" i="28"/>
  <c r="L112" i="28"/>
  <c r="L111" i="28"/>
  <c r="J41" i="28"/>
  <c r="J39" i="28"/>
  <c r="G79" i="24"/>
  <c r="J67" i="24"/>
  <c r="I67" i="24" s="1"/>
  <c r="J58" i="24"/>
  <c r="I58" i="24" s="1"/>
  <c r="J26" i="24"/>
  <c r="G53" i="20"/>
  <c r="F53" i="20" s="1"/>
  <c r="G46" i="20"/>
  <c r="F46" i="20" s="1"/>
  <c r="M31" i="18"/>
  <c r="M25" i="18"/>
  <c r="M19" i="18"/>
  <c r="E30" i="18"/>
  <c r="M30" i="18" s="1"/>
  <c r="E29" i="18"/>
  <c r="M29" i="18" s="1"/>
  <c r="E28" i="18"/>
  <c r="M28" i="18" s="1"/>
  <c r="E27" i="18"/>
  <c r="M27" i="18" s="1"/>
  <c r="E24" i="18"/>
  <c r="M24" i="18" s="1"/>
  <c r="E23" i="18"/>
  <c r="M23" i="18" s="1"/>
  <c r="E22" i="18"/>
  <c r="M22" i="18" s="1"/>
  <c r="E21" i="18"/>
  <c r="M21" i="18" s="1"/>
  <c r="E18" i="18"/>
  <c r="M18" i="18" s="1"/>
  <c r="E17" i="18"/>
  <c r="M17" i="18" s="1"/>
  <c r="E16" i="18"/>
  <c r="M16" i="18" s="1"/>
  <c r="E15" i="18"/>
  <c r="M15" i="18" s="1"/>
  <c r="G40" i="16"/>
  <c r="I40" i="16" s="1"/>
  <c r="H40" i="16" s="1"/>
  <c r="E27" i="16"/>
  <c r="G27" i="16"/>
  <c r="I27" i="16" s="1"/>
  <c r="H27" i="16" s="1"/>
  <c r="G21" i="16"/>
  <c r="G46" i="16" s="1"/>
  <c r="I46" i="16" s="1"/>
  <c r="H46" i="16" s="1"/>
  <c r="E21" i="16"/>
  <c r="I21" i="16" s="1"/>
  <c r="H21" i="16" s="1"/>
  <c r="I15" i="16"/>
  <c r="H15" i="16" s="1"/>
  <c r="I56" i="16"/>
  <c r="H56" i="16" s="1"/>
  <c r="I55" i="16"/>
  <c r="H55" i="16" s="1"/>
  <c r="I54" i="16"/>
  <c r="H54" i="16" s="1"/>
  <c r="I53" i="16"/>
  <c r="H53" i="16" s="1"/>
  <c r="I50" i="16"/>
  <c r="H50" i="16" s="1"/>
  <c r="I49" i="16"/>
  <c r="H49" i="16" s="1"/>
  <c r="I48" i="16"/>
  <c r="H48" i="16" s="1"/>
  <c r="I47" i="16"/>
  <c r="H47" i="16" s="1"/>
  <c r="I44" i="16"/>
  <c r="H44" i="16" s="1"/>
  <c r="I43" i="16"/>
  <c r="H43" i="16" s="1"/>
  <c r="I42" i="16"/>
  <c r="H42" i="16" s="1"/>
  <c r="I41" i="16"/>
  <c r="H41" i="16" s="1"/>
  <c r="AF80" i="46"/>
  <c r="G52" i="16" l="1"/>
  <c r="I52" i="16" s="1"/>
  <c r="H52" i="16" s="1"/>
  <c r="Z425" i="7"/>
  <c r="Z424" i="7"/>
  <c r="Z423" i="7"/>
  <c r="Z422" i="7"/>
  <c r="Z421" i="7"/>
  <c r="Z420" i="7"/>
  <c r="Z419" i="7"/>
  <c r="Z418" i="7"/>
  <c r="Z417" i="7"/>
  <c r="Z416" i="7"/>
  <c r="Z415" i="7"/>
  <c r="Z414" i="7"/>
  <c r="Z413" i="7"/>
  <c r="Z412" i="7"/>
  <c r="Z411" i="7"/>
  <c r="Z410" i="7"/>
  <c r="Z409" i="7"/>
  <c r="Z408" i="7"/>
  <c r="Z407" i="7"/>
  <c r="Z406" i="7"/>
  <c r="Z405" i="7"/>
  <c r="Z404" i="7"/>
  <c r="Z403" i="7"/>
  <c r="Z402" i="7"/>
  <c r="Z401" i="7"/>
  <c r="Z400" i="7"/>
  <c r="Z399" i="7"/>
  <c r="Z398" i="7"/>
  <c r="Z397" i="7"/>
  <c r="Z396" i="7"/>
  <c r="Z395" i="7"/>
  <c r="Z394" i="7"/>
  <c r="Z393" i="7"/>
  <c r="Z392" i="7"/>
  <c r="Z391" i="7"/>
  <c r="L310" i="7"/>
  <c r="L309" i="7"/>
  <c r="L308" i="7"/>
  <c r="L307" i="7"/>
  <c r="L237" i="7"/>
  <c r="L80" i="7" l="1"/>
  <c r="L79" i="7"/>
  <c r="L78" i="7"/>
  <c r="L77" i="7"/>
  <c r="H72" i="7"/>
  <c r="L31" i="18" l="1"/>
  <c r="L30" i="18"/>
  <c r="L29" i="18"/>
  <c r="L28" i="18"/>
  <c r="L27" i="18"/>
  <c r="L25" i="18"/>
  <c r="L24" i="18"/>
  <c r="L23" i="18"/>
  <c r="L22" i="18"/>
  <c r="L21" i="18"/>
  <c r="L19" i="18"/>
  <c r="L18" i="18"/>
  <c r="L17" i="18"/>
  <c r="L16" i="18"/>
  <c r="L15" i="18"/>
  <c r="X15" i="46" l="1"/>
  <c r="H76" i="47" l="1"/>
  <c r="H75" i="47"/>
  <c r="H74" i="47"/>
  <c r="H73" i="47"/>
  <c r="H189" i="47"/>
  <c r="H187" i="47"/>
  <c r="H186" i="47"/>
  <c r="H185" i="47"/>
  <c r="H184" i="47"/>
  <c r="H63" i="50"/>
  <c r="H106" i="28"/>
  <c r="H105" i="28"/>
  <c r="H104" i="28"/>
  <c r="H103" i="28"/>
  <c r="H102" i="28"/>
  <c r="K79" i="24" l="1"/>
  <c r="K78" i="24"/>
  <c r="I79" i="24"/>
  <c r="I78" i="24"/>
  <c r="M67" i="24"/>
  <c r="K67" i="24"/>
  <c r="K47" i="24"/>
  <c r="I47" i="24"/>
  <c r="G47" i="24"/>
  <c r="K46" i="24"/>
  <c r="I46" i="24"/>
  <c r="G46" i="24"/>
  <c r="K38" i="24"/>
  <c r="K37" i="24"/>
  <c r="I38" i="24"/>
  <c r="I37" i="24"/>
  <c r="I36" i="24"/>
  <c r="G38" i="24"/>
  <c r="G37" i="24"/>
  <c r="K36" i="24"/>
  <c r="G36" i="24"/>
  <c r="M26" i="24"/>
  <c r="K26" i="24"/>
  <c r="I26" i="24"/>
  <c r="E29" i="24"/>
  <c r="E28" i="24"/>
  <c r="E27" i="24"/>
  <c r="E26" i="24"/>
  <c r="K18" i="24"/>
  <c r="I19" i="24"/>
  <c r="I18" i="24"/>
  <c r="I17" i="24"/>
  <c r="I16" i="24"/>
  <c r="I15" i="24"/>
  <c r="L56" i="18"/>
  <c r="L50" i="18"/>
  <c r="L44" i="18"/>
  <c r="N56" i="18"/>
  <c r="N55" i="18"/>
  <c r="N54" i="18"/>
  <c r="N53" i="18"/>
  <c r="N52" i="18"/>
  <c r="N50" i="18"/>
  <c r="N49" i="18"/>
  <c r="N48" i="18"/>
  <c r="N47" i="18"/>
  <c r="N46" i="18"/>
  <c r="N44" i="18"/>
  <c r="N43" i="18"/>
  <c r="N42" i="18"/>
  <c r="N41" i="18"/>
  <c r="N40" i="18"/>
  <c r="P56" i="18"/>
  <c r="P55" i="18"/>
  <c r="P54" i="18"/>
  <c r="P53" i="18"/>
  <c r="P52" i="18"/>
  <c r="P50" i="18"/>
  <c r="P49" i="18"/>
  <c r="P48" i="18"/>
  <c r="P47" i="18"/>
  <c r="P46" i="18"/>
  <c r="P44" i="18"/>
  <c r="P43" i="18"/>
  <c r="P42" i="18"/>
  <c r="P41" i="18"/>
  <c r="P40" i="18"/>
  <c r="P31" i="18"/>
  <c r="P30" i="18"/>
  <c r="P29" i="18"/>
  <c r="P28" i="18"/>
  <c r="P27" i="18"/>
  <c r="P25" i="18"/>
  <c r="P24" i="18"/>
  <c r="P23" i="18"/>
  <c r="P22" i="18"/>
  <c r="P21" i="18"/>
  <c r="P19" i="18"/>
  <c r="P18" i="18"/>
  <c r="P17" i="18"/>
  <c r="P16" i="18"/>
  <c r="N31" i="18"/>
  <c r="N30" i="18"/>
  <c r="N29" i="18"/>
  <c r="N28" i="18"/>
  <c r="N27" i="18"/>
  <c r="N25" i="18"/>
  <c r="N24" i="18"/>
  <c r="N23" i="18"/>
  <c r="N22" i="18"/>
  <c r="N21" i="18"/>
  <c r="N19" i="18"/>
  <c r="N18" i="18"/>
  <c r="N17" i="18"/>
  <c r="N16" i="18"/>
  <c r="P15" i="18"/>
  <c r="N15" i="18"/>
  <c r="V108" i="50" l="1"/>
  <c r="AB133" i="50" s="1"/>
  <c r="H59" i="50" l="1"/>
  <c r="H58" i="50"/>
  <c r="J42" i="28"/>
  <c r="F95" i="46"/>
  <c r="G71" i="46"/>
  <c r="G70" i="46"/>
  <c r="G66" i="46"/>
  <c r="D88" i="46"/>
  <c r="D87" i="46"/>
  <c r="D86" i="46"/>
  <c r="D85" i="46"/>
  <c r="D84" i="46"/>
  <c r="D83" i="46"/>
  <c r="D82" i="46"/>
  <c r="D81" i="46"/>
  <c r="D80" i="46"/>
  <c r="D78" i="46"/>
  <c r="D77" i="46"/>
  <c r="D76" i="46"/>
  <c r="D75" i="46"/>
  <c r="D74" i="46"/>
  <c r="D72" i="46"/>
  <c r="D71" i="46"/>
  <c r="D70" i="46"/>
  <c r="D69" i="46"/>
  <c r="D68" i="46"/>
  <c r="D66" i="46"/>
  <c r="D65" i="46"/>
  <c r="F54" i="46"/>
  <c r="F58" i="46"/>
  <c r="F56" i="46"/>
  <c r="F55" i="46"/>
  <c r="F57" i="46"/>
  <c r="D54" i="46"/>
  <c r="D58" i="46"/>
  <c r="D57" i="46"/>
  <c r="D55" i="46"/>
  <c r="D56" i="46"/>
  <c r="G21" i="46"/>
  <c r="G20" i="46"/>
  <c r="G16" i="46"/>
  <c r="D38" i="46"/>
  <c r="D37" i="46"/>
  <c r="D36" i="46"/>
  <c r="D35" i="46"/>
  <c r="D34" i="46"/>
  <c r="D33" i="46"/>
  <c r="D32" i="46"/>
  <c r="D31" i="46"/>
  <c r="D30" i="46"/>
  <c r="D28" i="46"/>
  <c r="D27" i="46"/>
  <c r="D26" i="46"/>
  <c r="D25" i="46"/>
  <c r="D24" i="46"/>
  <c r="D22" i="46"/>
  <c r="D21" i="46"/>
  <c r="D20" i="46"/>
  <c r="D19" i="46"/>
  <c r="D18" i="46"/>
  <c r="D16" i="46"/>
  <c r="D15" i="46"/>
  <c r="AB28" i="46"/>
  <c r="H3" i="7" l="1"/>
  <c r="J127" i="47"/>
  <c r="J126" i="47"/>
  <c r="F108" i="46" l="1"/>
  <c r="F107" i="46"/>
  <c r="F106" i="46"/>
  <c r="F105" i="46"/>
  <c r="F104" i="46"/>
  <c r="D108" i="46"/>
  <c r="D107" i="46"/>
  <c r="D106" i="46"/>
  <c r="D105" i="46"/>
  <c r="D104" i="46"/>
  <c r="F45" i="46"/>
  <c r="P15" i="46"/>
  <c r="P16" i="46"/>
  <c r="R15" i="46"/>
  <c r="R16" i="46"/>
  <c r="T15" i="46"/>
  <c r="T16" i="46"/>
  <c r="V15" i="46"/>
  <c r="V16" i="46"/>
  <c r="X16" i="46"/>
  <c r="H3" i="47" l="1"/>
  <c r="H6" i="47"/>
  <c r="H5" i="47"/>
  <c r="H4" i="47"/>
  <c r="J231" i="47"/>
  <c r="J119" i="47"/>
  <c r="P119" i="47" s="1"/>
  <c r="P231" i="47" l="1"/>
  <c r="L231" i="47" s="1"/>
  <c r="L119" i="47"/>
  <c r="L71" i="48" l="1"/>
  <c r="AB81" i="46" l="1"/>
  <c r="AB82" i="46"/>
  <c r="AB83" i="46"/>
  <c r="AB84" i="46"/>
  <c r="AB85" i="46"/>
  <c r="AB86" i="46"/>
  <c r="AB87" i="46"/>
  <c r="AB88" i="46"/>
  <c r="AB80" i="46"/>
  <c r="AB75" i="46"/>
  <c r="AB76" i="46"/>
  <c r="AB77" i="46"/>
  <c r="AB78" i="46"/>
  <c r="AB74" i="46"/>
  <c r="AB69" i="46"/>
  <c r="AB70" i="46"/>
  <c r="AB71" i="46"/>
  <c r="AB72" i="46"/>
  <c r="AB68" i="46"/>
  <c r="AB66" i="46"/>
  <c r="AB65" i="46"/>
  <c r="AB31" i="46"/>
  <c r="AB32" i="46"/>
  <c r="AB33" i="46"/>
  <c r="AB34" i="46"/>
  <c r="AB35" i="46"/>
  <c r="AB36" i="46"/>
  <c r="AB37" i="46"/>
  <c r="AB38" i="46"/>
  <c r="AB30" i="46"/>
  <c r="AB25" i="46"/>
  <c r="AB26" i="46"/>
  <c r="AB27" i="46"/>
  <c r="AB24" i="46"/>
  <c r="AB19" i="46"/>
  <c r="AB20" i="46"/>
  <c r="AB21" i="46"/>
  <c r="AB22" i="46"/>
  <c r="AB18" i="46"/>
  <c r="AB16" i="46"/>
  <c r="AB15" i="46"/>
  <c r="AC10" i="46" l="1"/>
  <c r="AC60" i="46"/>
  <c r="V380" i="50"/>
  <c r="V381" i="50"/>
  <c r="V382" i="50"/>
  <c r="V383" i="50"/>
  <c r="V384" i="50"/>
  <c r="V385" i="50"/>
  <c r="V386" i="50"/>
  <c r="V387" i="50"/>
  <c r="V388" i="50"/>
  <c r="V181" i="50"/>
  <c r="X181" i="50" s="1"/>
  <c r="V182" i="50"/>
  <c r="X182" i="50" s="1"/>
  <c r="V183" i="50"/>
  <c r="X183" i="50" s="1"/>
  <c r="V184" i="50"/>
  <c r="X184" i="50" s="1"/>
  <c r="V185" i="50"/>
  <c r="X185" i="50" s="1"/>
  <c r="V186" i="50"/>
  <c r="X186" i="50" s="1"/>
  <c r="V187" i="50"/>
  <c r="X187" i="50" s="1"/>
  <c r="V188" i="50"/>
  <c r="X188" i="50" s="1"/>
  <c r="V189" i="50"/>
  <c r="X189" i="50" s="1"/>
  <c r="V180" i="50"/>
  <c r="X180" i="50" s="1"/>
  <c r="AF81" i="46" l="1"/>
  <c r="AF82" i="46"/>
  <c r="AF83" i="46"/>
  <c r="AF84" i="46"/>
  <c r="AF85" i="46"/>
  <c r="AF86" i="46"/>
  <c r="AF87" i="46"/>
  <c r="AF88" i="46"/>
  <c r="AF74" i="46"/>
  <c r="AF75" i="46"/>
  <c r="AF76" i="46"/>
  <c r="AF77" i="46"/>
  <c r="AF78" i="46"/>
  <c r="AF69" i="46"/>
  <c r="AF70" i="46"/>
  <c r="AF71" i="46"/>
  <c r="AF72" i="46"/>
  <c r="AF68" i="46"/>
  <c r="AF66" i="46"/>
  <c r="AF65" i="46"/>
  <c r="AD81" i="46"/>
  <c r="AD82" i="46"/>
  <c r="AD83" i="46"/>
  <c r="AD84" i="46"/>
  <c r="AD85" i="46"/>
  <c r="AD86" i="46"/>
  <c r="AD87" i="46"/>
  <c r="AD88" i="46"/>
  <c r="AD80" i="46"/>
  <c r="AD75" i="46"/>
  <c r="AD76" i="46"/>
  <c r="AD77" i="46"/>
  <c r="AD78" i="46"/>
  <c r="AD74" i="46"/>
  <c r="AD69" i="46"/>
  <c r="AD70" i="46"/>
  <c r="AD71" i="46"/>
  <c r="AD72" i="46"/>
  <c r="AD68" i="46"/>
  <c r="AD66" i="46"/>
  <c r="AD65" i="46"/>
  <c r="AF35" i="46"/>
  <c r="AF36" i="46"/>
  <c r="AF37" i="46"/>
  <c r="AF38" i="46"/>
  <c r="AF31" i="46"/>
  <c r="AF32" i="46"/>
  <c r="AF33" i="46"/>
  <c r="AF34" i="46"/>
  <c r="AF30" i="46"/>
  <c r="AF25" i="46"/>
  <c r="AF26" i="46"/>
  <c r="AF27" i="46"/>
  <c r="AF28" i="46"/>
  <c r="AF24" i="46"/>
  <c r="AF19" i="46"/>
  <c r="AF20" i="46"/>
  <c r="AF21" i="46"/>
  <c r="AF22" i="46"/>
  <c r="AF18" i="46"/>
  <c r="AF16" i="46"/>
  <c r="AF15" i="46"/>
  <c r="AG10" i="46" s="1"/>
  <c r="AD31" i="46"/>
  <c r="AD32" i="46"/>
  <c r="AD33" i="46"/>
  <c r="AD34" i="46"/>
  <c r="AD35" i="46"/>
  <c r="AD36" i="46"/>
  <c r="AD37" i="46"/>
  <c r="AD38" i="46"/>
  <c r="AD30" i="46"/>
  <c r="AD25" i="46"/>
  <c r="AD26" i="46"/>
  <c r="AD27" i="46"/>
  <c r="AD28" i="46"/>
  <c r="AD24" i="46"/>
  <c r="AD19" i="46"/>
  <c r="AD20" i="46"/>
  <c r="AD21" i="46"/>
  <c r="AD22" i="46"/>
  <c r="AD18" i="46"/>
  <c r="AD16" i="46"/>
  <c r="AD15" i="46"/>
  <c r="AE10" i="46" l="1"/>
  <c r="AE60" i="46"/>
  <c r="AG60" i="46"/>
  <c r="N436" i="7" l="1"/>
  <c r="V391" i="7" l="1"/>
  <c r="V392" i="7"/>
  <c r="V393" i="7"/>
  <c r="V394" i="7"/>
  <c r="V395" i="7"/>
  <c r="V396" i="7"/>
  <c r="V397" i="7"/>
  <c r="V398" i="7"/>
  <c r="V399" i="7"/>
  <c r="V400" i="7"/>
  <c r="V401" i="7"/>
  <c r="V402" i="7"/>
  <c r="V403" i="7"/>
  <c r="V404" i="7"/>
  <c r="V405" i="7"/>
  <c r="V406" i="7"/>
  <c r="V407" i="7"/>
  <c r="V408" i="7"/>
  <c r="V409" i="7"/>
  <c r="V410" i="7"/>
  <c r="V411" i="7"/>
  <c r="V412" i="7"/>
  <c r="V413" i="7"/>
  <c r="V414" i="7"/>
  <c r="V415" i="7"/>
  <c r="V416" i="7"/>
  <c r="AD416" i="7"/>
  <c r="V417" i="7"/>
  <c r="AD417" i="7"/>
  <c r="V418" i="7"/>
  <c r="AD418" i="7"/>
  <c r="V419" i="7"/>
  <c r="AD419" i="7"/>
  <c r="V420" i="7"/>
  <c r="AD420" i="7"/>
  <c r="V421" i="7"/>
  <c r="AD421" i="7"/>
  <c r="V422" i="7"/>
  <c r="AD422" i="7"/>
  <c r="V423" i="7"/>
  <c r="AD423" i="7"/>
  <c r="V424" i="7"/>
  <c r="AD424" i="7"/>
  <c r="V425" i="7"/>
  <c r="AD425" i="7"/>
  <c r="Z173" i="7" l="1"/>
  <c r="Z174" i="7" l="1"/>
  <c r="Z175" i="7"/>
  <c r="Z176" i="7"/>
  <c r="Z177" i="7"/>
  <c r="Z178" i="7"/>
  <c r="Z179" i="7"/>
  <c r="Z180" i="7"/>
  <c r="Z181" i="7"/>
  <c r="Z182" i="7"/>
  <c r="Z183" i="7"/>
  <c r="Z184" i="7"/>
  <c r="Z185" i="7"/>
  <c r="Z186" i="7"/>
  <c r="Z187" i="7"/>
  <c r="Z189" i="50" l="1"/>
  <c r="V187" i="7"/>
  <c r="V186" i="7"/>
  <c r="V185" i="7"/>
  <c r="V184" i="7"/>
  <c r="V183" i="7"/>
  <c r="V182" i="7"/>
  <c r="V181" i="7"/>
  <c r="V180" i="7"/>
  <c r="V179" i="7"/>
  <c r="V178" i="7"/>
  <c r="V177" i="7"/>
  <c r="V176" i="7"/>
  <c r="V175" i="7"/>
  <c r="V174" i="7"/>
  <c r="V173" i="7"/>
  <c r="V378" i="50" l="1"/>
  <c r="V377" i="50"/>
  <c r="V376" i="50"/>
  <c r="V375" i="50"/>
  <c r="V374" i="50"/>
  <c r="V373" i="50"/>
  <c r="V372" i="50"/>
  <c r="V371" i="50"/>
  <c r="V370" i="50"/>
  <c r="V369" i="50"/>
  <c r="V368" i="50"/>
  <c r="V367" i="50"/>
  <c r="V366" i="50"/>
  <c r="V365" i="50"/>
  <c r="V364" i="50"/>
  <c r="V363" i="50"/>
  <c r="V362" i="50"/>
  <c r="V361" i="50"/>
  <c r="V360" i="50"/>
  <c r="V359" i="50"/>
  <c r="V358" i="50"/>
  <c r="V357" i="50"/>
  <c r="V356" i="50"/>
  <c r="V355" i="50"/>
  <c r="V354" i="50"/>
  <c r="P349" i="50"/>
  <c r="V349" i="50" s="1"/>
  <c r="P348" i="50"/>
  <c r="V348" i="50" s="1"/>
  <c r="P347" i="50"/>
  <c r="V347" i="50" s="1"/>
  <c r="P346" i="50"/>
  <c r="V346" i="50" s="1"/>
  <c r="P345" i="50"/>
  <c r="V345" i="50" s="1"/>
  <c r="P344" i="50"/>
  <c r="V344" i="50" s="1"/>
  <c r="P343" i="50"/>
  <c r="V343" i="50" s="1"/>
  <c r="P342" i="50"/>
  <c r="V342" i="50" s="1"/>
  <c r="P341" i="50"/>
  <c r="V341" i="50" s="1"/>
  <c r="P340" i="50"/>
  <c r="V340" i="50" s="1"/>
  <c r="P339" i="50"/>
  <c r="V339" i="50" s="1"/>
  <c r="P338" i="50"/>
  <c r="V338" i="50" s="1"/>
  <c r="P337" i="50"/>
  <c r="V337" i="50" s="1"/>
  <c r="P336" i="50"/>
  <c r="V336" i="50" s="1"/>
  <c r="P335" i="50"/>
  <c r="V335" i="50" s="1"/>
  <c r="P334" i="50"/>
  <c r="V334" i="50" s="1"/>
  <c r="P333" i="50"/>
  <c r="V333" i="50" s="1"/>
  <c r="P332" i="50"/>
  <c r="V332" i="50" s="1"/>
  <c r="P331" i="50"/>
  <c r="V331" i="50" s="1"/>
  <c r="P330" i="50"/>
  <c r="V330" i="50" s="1"/>
  <c r="P329" i="50"/>
  <c r="V329" i="50" s="1"/>
  <c r="P328" i="50"/>
  <c r="V328" i="50" s="1"/>
  <c r="P327" i="50"/>
  <c r="V327" i="50" s="1"/>
  <c r="P326" i="50"/>
  <c r="V326" i="50" s="1"/>
  <c r="P325" i="50"/>
  <c r="V325" i="50" s="1"/>
  <c r="P324" i="50"/>
  <c r="V324" i="50" s="1"/>
  <c r="P323" i="50"/>
  <c r="V323" i="50" s="1"/>
  <c r="P322" i="50"/>
  <c r="V322" i="50" s="1"/>
  <c r="Z181" i="50" l="1"/>
  <c r="Z182" i="50"/>
  <c r="Z183" i="50"/>
  <c r="Z184" i="50"/>
  <c r="Z185" i="50"/>
  <c r="Z186" i="50"/>
  <c r="Z187" i="50"/>
  <c r="Z188" i="50"/>
  <c r="Z180" i="50"/>
  <c r="Z170" i="50"/>
  <c r="Z171" i="50"/>
  <c r="Z172" i="50"/>
  <c r="Z173" i="50"/>
  <c r="Z174" i="50"/>
  <c r="Z175" i="50"/>
  <c r="Z176" i="50"/>
  <c r="Z177" i="50"/>
  <c r="Z178" i="50"/>
  <c r="Z179" i="50"/>
  <c r="Z156" i="50"/>
  <c r="Z157" i="50"/>
  <c r="Z158" i="50"/>
  <c r="Z159" i="50"/>
  <c r="Z160" i="50"/>
  <c r="Z161" i="50"/>
  <c r="Z162" i="50"/>
  <c r="Z163" i="50"/>
  <c r="Z164" i="50"/>
  <c r="Z165" i="50"/>
  <c r="Z166" i="50"/>
  <c r="Z167" i="50"/>
  <c r="Z168" i="50"/>
  <c r="Z169" i="50"/>
  <c r="Z155" i="50"/>
  <c r="V155" i="50"/>
  <c r="V156" i="50"/>
  <c r="V157" i="50"/>
  <c r="V158" i="50"/>
  <c r="V159" i="50"/>
  <c r="V160" i="50"/>
  <c r="V161" i="50"/>
  <c r="V162" i="50"/>
  <c r="V163" i="50"/>
  <c r="V164" i="50"/>
  <c r="V165" i="50"/>
  <c r="V166" i="50"/>
  <c r="V167" i="50"/>
  <c r="V168" i="50"/>
  <c r="V169" i="50"/>
  <c r="P123" i="50"/>
  <c r="V123" i="50" s="1"/>
  <c r="P124" i="50"/>
  <c r="P125" i="50"/>
  <c r="P126" i="50"/>
  <c r="P127" i="50"/>
  <c r="P128" i="50"/>
  <c r="P129" i="50"/>
  <c r="P130" i="50"/>
  <c r="P131" i="50"/>
  <c r="P132" i="50"/>
  <c r="V132" i="50" s="1"/>
  <c r="P133" i="50"/>
  <c r="V133" i="50" s="1"/>
  <c r="P134" i="50"/>
  <c r="P135" i="50"/>
  <c r="P136" i="50"/>
  <c r="P137" i="50"/>
  <c r="P138" i="50"/>
  <c r="P139" i="50"/>
  <c r="P140" i="50"/>
  <c r="P141" i="50"/>
  <c r="P142" i="50"/>
  <c r="P143" i="50"/>
  <c r="P144" i="50"/>
  <c r="P145" i="50"/>
  <c r="P146" i="50"/>
  <c r="P147" i="50"/>
  <c r="P148" i="50"/>
  <c r="P149" i="50"/>
  <c r="P150" i="50"/>
  <c r="J215" i="50" l="1"/>
  <c r="L215" i="50" s="1"/>
  <c r="J216" i="50"/>
  <c r="L216" i="50" s="1"/>
  <c r="J217" i="50"/>
  <c r="L217" i="50" s="1"/>
  <c r="J218" i="50"/>
  <c r="N200" i="50"/>
  <c r="V129" i="50"/>
  <c r="V179" i="50"/>
  <c r="V178" i="50"/>
  <c r="V177" i="50"/>
  <c r="V176" i="50"/>
  <c r="V175" i="50"/>
  <c r="V174" i="50"/>
  <c r="V173" i="50"/>
  <c r="V172" i="50"/>
  <c r="V171" i="50"/>
  <c r="V170" i="50"/>
  <c r="V150" i="50"/>
  <c r="V149" i="50"/>
  <c r="V148" i="50"/>
  <c r="V147" i="50"/>
  <c r="V146" i="50"/>
  <c r="V145" i="50"/>
  <c r="V144" i="50"/>
  <c r="V143" i="50"/>
  <c r="V142" i="50"/>
  <c r="V141" i="50"/>
  <c r="V140" i="50"/>
  <c r="V139" i="50"/>
  <c r="V138" i="50"/>
  <c r="V137" i="50"/>
  <c r="V136" i="50"/>
  <c r="V135" i="50"/>
  <c r="V134" i="50"/>
  <c r="V131" i="50"/>
  <c r="V130" i="50"/>
  <c r="V128" i="50"/>
  <c r="V127" i="50"/>
  <c r="V126" i="50"/>
  <c r="V125" i="50"/>
  <c r="V124" i="50"/>
  <c r="J441" i="7" l="1"/>
  <c r="L441" i="7" s="1"/>
  <c r="J442" i="7"/>
  <c r="L442" i="7" s="1"/>
  <c r="P442" i="7"/>
  <c r="P441" i="7"/>
  <c r="V207" i="7" l="1"/>
  <c r="V206" i="7"/>
  <c r="V205" i="7"/>
  <c r="V204" i="7"/>
  <c r="V203" i="7"/>
  <c r="V202" i="7"/>
  <c r="V201" i="7"/>
  <c r="V200" i="7"/>
  <c r="V199" i="7"/>
  <c r="V198" i="7"/>
  <c r="V197" i="7" l="1"/>
  <c r="V196" i="7"/>
  <c r="V195" i="7"/>
  <c r="V194" i="7"/>
  <c r="V193" i="7"/>
  <c r="V192" i="7"/>
  <c r="V191" i="7"/>
  <c r="V190" i="7"/>
  <c r="V189" i="7"/>
  <c r="V188" i="7"/>
  <c r="I7" i="55" l="1"/>
  <c r="I6" i="55"/>
  <c r="I5" i="55"/>
  <c r="I4" i="55"/>
  <c r="I3" i="55"/>
  <c r="P386" i="7" l="1"/>
  <c r="V386" i="7" s="1"/>
  <c r="P385" i="7"/>
  <c r="V385" i="7" s="1"/>
  <c r="P384" i="7"/>
  <c r="V384" i="7" s="1"/>
  <c r="P383" i="7"/>
  <c r="V383" i="7" s="1"/>
  <c r="P382" i="7"/>
  <c r="V382" i="7" s="1"/>
  <c r="P381" i="7"/>
  <c r="V381" i="7" s="1"/>
  <c r="P380" i="7"/>
  <c r="V380" i="7" s="1"/>
  <c r="P379" i="7"/>
  <c r="V379" i="7" s="1"/>
  <c r="P378" i="7"/>
  <c r="V378" i="7" s="1"/>
  <c r="P377" i="7"/>
  <c r="V377" i="7" s="1"/>
  <c r="P376" i="7"/>
  <c r="V376" i="7" s="1"/>
  <c r="P375" i="7"/>
  <c r="V375" i="7" s="1"/>
  <c r="P374" i="7"/>
  <c r="V374" i="7" s="1"/>
  <c r="P373" i="7"/>
  <c r="V373" i="7" s="1"/>
  <c r="P372" i="7"/>
  <c r="V372" i="7" s="1"/>
  <c r="P371" i="7"/>
  <c r="V371" i="7" s="1"/>
  <c r="P370" i="7"/>
  <c r="V370" i="7" s="1"/>
  <c r="P369" i="7"/>
  <c r="V369" i="7" s="1"/>
  <c r="P368" i="7"/>
  <c r="V368" i="7" s="1"/>
  <c r="P367" i="7"/>
  <c r="V367" i="7" s="1"/>
  <c r="P366" i="7"/>
  <c r="V366" i="7" s="1"/>
  <c r="P365" i="7"/>
  <c r="V365" i="7" s="1"/>
  <c r="P364" i="7"/>
  <c r="V364" i="7" s="1"/>
  <c r="P363" i="7"/>
  <c r="V363" i="7" s="1"/>
  <c r="P362" i="7"/>
  <c r="V362" i="7" s="1"/>
  <c r="P361" i="7"/>
  <c r="V361" i="7" s="1"/>
  <c r="P360" i="7"/>
  <c r="V360" i="7" s="1"/>
  <c r="P359" i="7"/>
  <c r="V359" i="7" s="1"/>
  <c r="F99" i="46" l="1"/>
  <c r="F98" i="46"/>
  <c r="F97" i="46"/>
  <c r="F96" i="46"/>
  <c r="N219" i="7" l="1"/>
  <c r="G3" i="4" l="1"/>
  <c r="G78" i="24" l="1"/>
  <c r="P399" i="50"/>
  <c r="L55" i="18" l="1"/>
  <c r="L54" i="18"/>
  <c r="L53" i="18"/>
  <c r="L52" i="18"/>
  <c r="L49" i="18"/>
  <c r="L48" i="18"/>
  <c r="L47" i="18"/>
  <c r="L46" i="18"/>
  <c r="M42" i="18"/>
  <c r="L42" i="18" s="1"/>
  <c r="M43" i="18"/>
  <c r="L43" i="18" s="1"/>
  <c r="M41" i="18"/>
  <c r="L41" i="18" s="1"/>
  <c r="M40" i="18"/>
  <c r="L40" i="18" s="1"/>
  <c r="P78" i="46" l="1"/>
  <c r="P77" i="46"/>
  <c r="P76" i="46"/>
  <c r="P75" i="46"/>
  <c r="P74" i="46"/>
  <c r="F46" i="46"/>
  <c r="F47" i="46"/>
  <c r="F48" i="46"/>
  <c r="F49" i="46"/>
  <c r="G37" i="46"/>
  <c r="I37" i="46" l="1"/>
  <c r="AI37" i="46" s="1"/>
  <c r="AH37" i="46" l="1"/>
  <c r="H37" i="46"/>
  <c r="I66" i="46"/>
  <c r="G88" i="46"/>
  <c r="I88" i="46" s="1"/>
  <c r="H88" i="46" s="1"/>
  <c r="G87" i="46"/>
  <c r="I87" i="46" s="1"/>
  <c r="H87" i="46" s="1"/>
  <c r="G86" i="46"/>
  <c r="I86" i="46" s="1"/>
  <c r="H86" i="46" s="1"/>
  <c r="G85" i="46"/>
  <c r="G84" i="46"/>
  <c r="G83" i="46"/>
  <c r="I83" i="46" s="1"/>
  <c r="H83" i="46" s="1"/>
  <c r="G82" i="46"/>
  <c r="I82" i="46" s="1"/>
  <c r="H82" i="46" s="1"/>
  <c r="G81" i="46"/>
  <c r="G80" i="46"/>
  <c r="I80" i="46" s="1"/>
  <c r="H80" i="46" s="1"/>
  <c r="G78" i="46"/>
  <c r="I78" i="46" s="1"/>
  <c r="H78" i="46" s="1"/>
  <c r="G77" i="46"/>
  <c r="I77" i="46" s="1"/>
  <c r="H77" i="46" s="1"/>
  <c r="G76" i="46"/>
  <c r="G75" i="46"/>
  <c r="G74" i="46"/>
  <c r="I74" i="46" s="1"/>
  <c r="H74" i="46" s="1"/>
  <c r="G72" i="46"/>
  <c r="I72" i="46" s="1"/>
  <c r="H72" i="46" s="1"/>
  <c r="G69" i="46"/>
  <c r="I69" i="46" s="1"/>
  <c r="H69" i="46" s="1"/>
  <c r="G68" i="46"/>
  <c r="I68" i="46" s="1"/>
  <c r="H68" i="46" s="1"/>
  <c r="G65" i="46"/>
  <c r="G38" i="46"/>
  <c r="F37" i="46"/>
  <c r="G35" i="46"/>
  <c r="G34" i="46"/>
  <c r="G27" i="46"/>
  <c r="G26" i="46"/>
  <c r="G24" i="46"/>
  <c r="G22" i="46"/>
  <c r="G36" i="46"/>
  <c r="G31" i="46"/>
  <c r="G25" i="46"/>
  <c r="G33" i="46"/>
  <c r="G32" i="46"/>
  <c r="G30" i="46"/>
  <c r="G28" i="46"/>
  <c r="G19" i="46"/>
  <c r="G18" i="46"/>
  <c r="G15" i="46"/>
  <c r="F15" i="46" s="1"/>
  <c r="G41" i="46"/>
  <c r="AL88" i="46"/>
  <c r="AJ88" i="46"/>
  <c r="Z88" i="46"/>
  <c r="X88" i="46"/>
  <c r="V88" i="46"/>
  <c r="T88" i="46"/>
  <c r="R88" i="46"/>
  <c r="P88" i="46"/>
  <c r="N88" i="46"/>
  <c r="L88" i="46"/>
  <c r="J88" i="46"/>
  <c r="AL87" i="46"/>
  <c r="AJ87" i="46"/>
  <c r="Z87" i="46"/>
  <c r="X87" i="46"/>
  <c r="V87" i="46"/>
  <c r="T87" i="46"/>
  <c r="R87" i="46"/>
  <c r="P87" i="46"/>
  <c r="N87" i="46"/>
  <c r="L87" i="46"/>
  <c r="J87" i="46"/>
  <c r="AL86" i="46"/>
  <c r="AJ86" i="46"/>
  <c r="Z86" i="46"/>
  <c r="X86" i="46"/>
  <c r="V86" i="46"/>
  <c r="T86" i="46"/>
  <c r="R86" i="46"/>
  <c r="P86" i="46"/>
  <c r="N86" i="46"/>
  <c r="L86" i="46"/>
  <c r="J86" i="46"/>
  <c r="AL85" i="46"/>
  <c r="AJ85" i="46"/>
  <c r="Z85" i="46"/>
  <c r="X85" i="46"/>
  <c r="V85" i="46"/>
  <c r="T85" i="46"/>
  <c r="R85" i="46"/>
  <c r="P85" i="46"/>
  <c r="N85" i="46"/>
  <c r="L85" i="46"/>
  <c r="J85" i="46"/>
  <c r="AL84" i="46"/>
  <c r="AJ84" i="46"/>
  <c r="Z84" i="46"/>
  <c r="X84" i="46"/>
  <c r="V84" i="46"/>
  <c r="T84" i="46"/>
  <c r="R84" i="46"/>
  <c r="P84" i="46"/>
  <c r="N84" i="46"/>
  <c r="L84" i="46"/>
  <c r="J84" i="46"/>
  <c r="AL83" i="46"/>
  <c r="AJ83" i="46"/>
  <c r="Z83" i="46"/>
  <c r="X83" i="46"/>
  <c r="V83" i="46"/>
  <c r="T83" i="46"/>
  <c r="R83" i="46"/>
  <c r="P83" i="46"/>
  <c r="N83" i="46"/>
  <c r="L83" i="46"/>
  <c r="J83" i="46"/>
  <c r="AL82" i="46"/>
  <c r="AJ82" i="46"/>
  <c r="Z82" i="46"/>
  <c r="X82" i="46"/>
  <c r="V82" i="46"/>
  <c r="T82" i="46"/>
  <c r="R82" i="46"/>
  <c r="P82" i="46"/>
  <c r="N82" i="46"/>
  <c r="L82" i="46"/>
  <c r="J82" i="46"/>
  <c r="F82" i="46"/>
  <c r="AL81" i="46"/>
  <c r="AJ81" i="46"/>
  <c r="Z81" i="46"/>
  <c r="X81" i="46"/>
  <c r="V81" i="46"/>
  <c r="T81" i="46"/>
  <c r="R81" i="46"/>
  <c r="P81" i="46"/>
  <c r="N81" i="46"/>
  <c r="L81" i="46"/>
  <c r="J81" i="46"/>
  <c r="AL80" i="46"/>
  <c r="AJ80" i="46"/>
  <c r="Z80" i="46"/>
  <c r="X80" i="46"/>
  <c r="V80" i="46"/>
  <c r="T80" i="46"/>
  <c r="R80" i="46"/>
  <c r="P80" i="46"/>
  <c r="N80" i="46"/>
  <c r="L80" i="46"/>
  <c r="J80" i="46"/>
  <c r="F80" i="46"/>
  <c r="AL78" i="46"/>
  <c r="AJ78" i="46"/>
  <c r="Z78" i="46"/>
  <c r="X78" i="46"/>
  <c r="V78" i="46"/>
  <c r="T78" i="46"/>
  <c r="R78" i="46"/>
  <c r="N78" i="46"/>
  <c r="L78" i="46"/>
  <c r="J78" i="46"/>
  <c r="AL77" i="46"/>
  <c r="AJ77" i="46"/>
  <c r="Z77" i="46"/>
  <c r="X77" i="46"/>
  <c r="V77" i="46"/>
  <c r="T77" i="46"/>
  <c r="R77" i="46"/>
  <c r="N77" i="46"/>
  <c r="L77" i="46"/>
  <c r="J77" i="46"/>
  <c r="AL76" i="46"/>
  <c r="AJ76" i="46"/>
  <c r="Z76" i="46"/>
  <c r="X76" i="46"/>
  <c r="V76" i="46"/>
  <c r="T76" i="46"/>
  <c r="R76" i="46"/>
  <c r="N76" i="46"/>
  <c r="L76" i="46"/>
  <c r="J76" i="46"/>
  <c r="AL75" i="46"/>
  <c r="AJ75" i="46"/>
  <c r="Z75" i="46"/>
  <c r="X75" i="46"/>
  <c r="V75" i="46"/>
  <c r="T75" i="46"/>
  <c r="R75" i="46"/>
  <c r="N75" i="46"/>
  <c r="L75" i="46"/>
  <c r="J75" i="46"/>
  <c r="AL74" i="46"/>
  <c r="AJ74" i="46"/>
  <c r="Z74" i="46"/>
  <c r="X74" i="46"/>
  <c r="V74" i="46"/>
  <c r="T74" i="46"/>
  <c r="R74" i="46"/>
  <c r="N74" i="46"/>
  <c r="L74" i="46"/>
  <c r="J74" i="46"/>
  <c r="F74" i="46"/>
  <c r="AL72" i="46"/>
  <c r="AJ72" i="46"/>
  <c r="Z72" i="46"/>
  <c r="X72" i="46"/>
  <c r="V72" i="46"/>
  <c r="T72" i="46"/>
  <c r="R72" i="46"/>
  <c r="P72" i="46"/>
  <c r="N72" i="46"/>
  <c r="L72" i="46"/>
  <c r="J72" i="46"/>
  <c r="AL71" i="46"/>
  <c r="AJ71" i="46"/>
  <c r="Z71" i="46"/>
  <c r="X71" i="46"/>
  <c r="V71" i="46"/>
  <c r="T71" i="46"/>
  <c r="R71" i="46"/>
  <c r="P71" i="46"/>
  <c r="N71" i="46"/>
  <c r="L71" i="46"/>
  <c r="J71" i="46"/>
  <c r="AL70" i="46"/>
  <c r="AJ70" i="46"/>
  <c r="Z70" i="46"/>
  <c r="X70" i="46"/>
  <c r="V70" i="46"/>
  <c r="T70" i="46"/>
  <c r="R70" i="46"/>
  <c r="P70" i="46"/>
  <c r="N70" i="46"/>
  <c r="L70" i="46"/>
  <c r="J70" i="46"/>
  <c r="AL69" i="46"/>
  <c r="AJ69" i="46"/>
  <c r="Z69" i="46"/>
  <c r="X69" i="46"/>
  <c r="V69" i="46"/>
  <c r="T69" i="46"/>
  <c r="R69" i="46"/>
  <c r="P69" i="46"/>
  <c r="N69" i="46"/>
  <c r="L69" i="46"/>
  <c r="J69" i="46"/>
  <c r="AL68" i="46"/>
  <c r="AJ68" i="46"/>
  <c r="Z68" i="46"/>
  <c r="X68" i="46"/>
  <c r="V68" i="46"/>
  <c r="T68" i="46"/>
  <c r="R68" i="46"/>
  <c r="P68" i="46"/>
  <c r="N68" i="46"/>
  <c r="L68" i="46"/>
  <c r="J68" i="46"/>
  <c r="AL66" i="46"/>
  <c r="AJ66" i="46"/>
  <c r="Z66" i="46"/>
  <c r="X66" i="46"/>
  <c r="V66" i="46"/>
  <c r="T66" i="46"/>
  <c r="R66" i="46"/>
  <c r="P66" i="46"/>
  <c r="N66" i="46"/>
  <c r="L66" i="46"/>
  <c r="J66" i="46"/>
  <c r="AL65" i="46"/>
  <c r="AJ65" i="46"/>
  <c r="Z65" i="46"/>
  <c r="X65" i="46"/>
  <c r="V65" i="46"/>
  <c r="T65" i="46"/>
  <c r="R65" i="46"/>
  <c r="P65" i="46"/>
  <c r="N65" i="46"/>
  <c r="L65" i="46"/>
  <c r="J65" i="46"/>
  <c r="AL38" i="46"/>
  <c r="AJ38" i="46"/>
  <c r="Z38" i="46"/>
  <c r="X38" i="46"/>
  <c r="V38" i="46"/>
  <c r="T38" i="46"/>
  <c r="R38" i="46"/>
  <c r="P38" i="46"/>
  <c r="N38" i="46"/>
  <c r="L38" i="46"/>
  <c r="J38" i="46"/>
  <c r="AL37" i="46"/>
  <c r="AJ37" i="46"/>
  <c r="Z37" i="46"/>
  <c r="X37" i="46"/>
  <c r="V37" i="46"/>
  <c r="T37" i="46"/>
  <c r="R37" i="46"/>
  <c r="P37" i="46"/>
  <c r="N37" i="46"/>
  <c r="L37" i="46"/>
  <c r="J37" i="46"/>
  <c r="AL36" i="46"/>
  <c r="AJ36" i="46"/>
  <c r="Z36" i="46"/>
  <c r="X36" i="46"/>
  <c r="V36" i="46"/>
  <c r="T36" i="46"/>
  <c r="R36" i="46"/>
  <c r="P36" i="46"/>
  <c r="N36" i="46"/>
  <c r="L36" i="46"/>
  <c r="J36" i="46"/>
  <c r="AL35" i="46"/>
  <c r="AJ35" i="46"/>
  <c r="Z35" i="46"/>
  <c r="X35" i="46"/>
  <c r="V35" i="46"/>
  <c r="T35" i="46"/>
  <c r="R35" i="46"/>
  <c r="P35" i="46"/>
  <c r="N35" i="46"/>
  <c r="L35" i="46"/>
  <c r="J35" i="46"/>
  <c r="AL34" i="46"/>
  <c r="AJ34" i="46"/>
  <c r="Z34" i="46"/>
  <c r="X34" i="46"/>
  <c r="V34" i="46"/>
  <c r="T34" i="46"/>
  <c r="R34" i="46"/>
  <c r="P34" i="46"/>
  <c r="N34" i="46"/>
  <c r="L34" i="46"/>
  <c r="J34" i="46"/>
  <c r="AL33" i="46"/>
  <c r="AJ33" i="46"/>
  <c r="Z33" i="46"/>
  <c r="X33" i="46"/>
  <c r="V33" i="46"/>
  <c r="T33" i="46"/>
  <c r="R33" i="46"/>
  <c r="P33" i="46"/>
  <c r="N33" i="46"/>
  <c r="L33" i="46"/>
  <c r="J33" i="46"/>
  <c r="AL32" i="46"/>
  <c r="AJ32" i="46"/>
  <c r="Z32" i="46"/>
  <c r="X32" i="46"/>
  <c r="V32" i="46"/>
  <c r="T32" i="46"/>
  <c r="R32" i="46"/>
  <c r="P32" i="46"/>
  <c r="N32" i="46"/>
  <c r="L32" i="46"/>
  <c r="J32" i="46"/>
  <c r="AL31" i="46"/>
  <c r="AJ31" i="46"/>
  <c r="Z31" i="46"/>
  <c r="X31" i="46"/>
  <c r="V31" i="46"/>
  <c r="T31" i="46"/>
  <c r="R31" i="46"/>
  <c r="P31" i="46"/>
  <c r="N31" i="46"/>
  <c r="L31" i="46"/>
  <c r="J31" i="46"/>
  <c r="AL30" i="46"/>
  <c r="AJ30" i="46"/>
  <c r="Z30" i="46"/>
  <c r="X30" i="46"/>
  <c r="V30" i="46"/>
  <c r="T30" i="46"/>
  <c r="R30" i="46"/>
  <c r="P30" i="46"/>
  <c r="N30" i="46"/>
  <c r="L30" i="46"/>
  <c r="J30" i="46"/>
  <c r="AL28" i="46"/>
  <c r="AJ28" i="46"/>
  <c r="Z28" i="46"/>
  <c r="X28" i="46"/>
  <c r="V28" i="46"/>
  <c r="T28" i="46"/>
  <c r="R28" i="46"/>
  <c r="P28" i="46"/>
  <c r="N28" i="46"/>
  <c r="L28" i="46"/>
  <c r="J28" i="46"/>
  <c r="AL27" i="46"/>
  <c r="AJ27" i="46"/>
  <c r="Z27" i="46"/>
  <c r="X27" i="46"/>
  <c r="V27" i="46"/>
  <c r="T27" i="46"/>
  <c r="R27" i="46"/>
  <c r="P27" i="46"/>
  <c r="N27" i="46"/>
  <c r="L27" i="46"/>
  <c r="J27" i="46"/>
  <c r="AL26" i="46"/>
  <c r="AJ26" i="46"/>
  <c r="Z26" i="46"/>
  <c r="X26" i="46"/>
  <c r="V26" i="46"/>
  <c r="T26" i="46"/>
  <c r="R26" i="46"/>
  <c r="P26" i="46"/>
  <c r="N26" i="46"/>
  <c r="L26" i="46"/>
  <c r="J26" i="46"/>
  <c r="AL25" i="46"/>
  <c r="AJ25" i="46"/>
  <c r="Z25" i="46"/>
  <c r="X25" i="46"/>
  <c r="V25" i="46"/>
  <c r="T25" i="46"/>
  <c r="R25" i="46"/>
  <c r="P25" i="46"/>
  <c r="N25" i="46"/>
  <c r="L25" i="46"/>
  <c r="J25" i="46"/>
  <c r="AL24" i="46"/>
  <c r="AJ24" i="46"/>
  <c r="Z24" i="46"/>
  <c r="X24" i="46"/>
  <c r="V24" i="46"/>
  <c r="T24" i="46"/>
  <c r="R24" i="46"/>
  <c r="P24" i="46"/>
  <c r="N24" i="46"/>
  <c r="L24" i="46"/>
  <c r="J24" i="46"/>
  <c r="AL22" i="46"/>
  <c r="AJ22" i="46"/>
  <c r="Z22" i="46"/>
  <c r="X22" i="46"/>
  <c r="V22" i="46"/>
  <c r="T22" i="46"/>
  <c r="R22" i="46"/>
  <c r="P22" i="46"/>
  <c r="N22" i="46"/>
  <c r="L22" i="46"/>
  <c r="J22" i="46"/>
  <c r="AL21" i="46"/>
  <c r="AJ21" i="46"/>
  <c r="Z21" i="46"/>
  <c r="X21" i="46"/>
  <c r="V21" i="46"/>
  <c r="T21" i="46"/>
  <c r="R21" i="46"/>
  <c r="P21" i="46"/>
  <c r="N21" i="46"/>
  <c r="L21" i="46"/>
  <c r="J21" i="46"/>
  <c r="AL20" i="46"/>
  <c r="AJ20" i="46"/>
  <c r="Z20" i="46"/>
  <c r="X20" i="46"/>
  <c r="V20" i="46"/>
  <c r="T20" i="46"/>
  <c r="R20" i="46"/>
  <c r="P20" i="46"/>
  <c r="N20" i="46"/>
  <c r="L20" i="46"/>
  <c r="J20" i="46"/>
  <c r="AL19" i="46"/>
  <c r="AJ19" i="46"/>
  <c r="Z19" i="46"/>
  <c r="X19" i="46"/>
  <c r="V19" i="46"/>
  <c r="T19" i="46"/>
  <c r="R19" i="46"/>
  <c r="P19" i="46"/>
  <c r="N19" i="46"/>
  <c r="L19" i="46"/>
  <c r="J19" i="46"/>
  <c r="AL18" i="46"/>
  <c r="AJ18" i="46"/>
  <c r="Z18" i="46"/>
  <c r="X18" i="46"/>
  <c r="V18" i="46"/>
  <c r="T18" i="46"/>
  <c r="R18" i="46"/>
  <c r="P18" i="46"/>
  <c r="N18" i="46"/>
  <c r="L18" i="46"/>
  <c r="J18" i="46"/>
  <c r="AL16" i="46"/>
  <c r="AJ16" i="46"/>
  <c r="Z16" i="46"/>
  <c r="N16" i="46"/>
  <c r="L16" i="46"/>
  <c r="J16" i="46"/>
  <c r="AL15" i="46"/>
  <c r="AJ15" i="46"/>
  <c r="Z15" i="46"/>
  <c r="AA10" i="46" s="1"/>
  <c r="N15" i="46"/>
  <c r="L15" i="46"/>
  <c r="J15" i="46"/>
  <c r="F33" i="46"/>
  <c r="F34" i="46"/>
  <c r="F27" i="46"/>
  <c r="F22" i="46"/>
  <c r="K37" i="12"/>
  <c r="J37" i="12" s="1"/>
  <c r="AK10" i="46" l="1"/>
  <c r="AA60" i="46"/>
  <c r="AK60" i="46"/>
  <c r="AM10" i="46"/>
  <c r="AM60" i="46"/>
  <c r="F83" i="46"/>
  <c r="H66" i="46"/>
  <c r="AI66" i="46"/>
  <c r="F86" i="46"/>
  <c r="F25" i="46"/>
  <c r="F35" i="46"/>
  <c r="F87" i="46"/>
  <c r="F78" i="46"/>
  <c r="F69" i="46"/>
  <c r="I34" i="46"/>
  <c r="AI34" i="46" s="1"/>
  <c r="F24" i="46"/>
  <c r="F72" i="46"/>
  <c r="F75" i="46"/>
  <c r="I75" i="46"/>
  <c r="H75" i="46" s="1"/>
  <c r="F20" i="46"/>
  <c r="F76" i="46"/>
  <c r="I76" i="46"/>
  <c r="H76" i="46" s="1"/>
  <c r="F85" i="46"/>
  <c r="I85" i="46"/>
  <c r="H85" i="46" s="1"/>
  <c r="F19" i="46"/>
  <c r="F21" i="46"/>
  <c r="F28" i="46"/>
  <c r="F65" i="46"/>
  <c r="I65" i="46"/>
  <c r="H65" i="46" s="1"/>
  <c r="F31" i="46"/>
  <c r="F84" i="46"/>
  <c r="I84" i="46"/>
  <c r="H84" i="46" s="1"/>
  <c r="AI68" i="46"/>
  <c r="AH68" i="46" s="1"/>
  <c r="F81" i="46"/>
  <c r="I81" i="46"/>
  <c r="H81" i="46" s="1"/>
  <c r="F38" i="46"/>
  <c r="F68" i="46"/>
  <c r="F88" i="46"/>
  <c r="F16" i="46"/>
  <c r="F70" i="46"/>
  <c r="I70" i="46"/>
  <c r="H70" i="46" s="1"/>
  <c r="F30" i="46"/>
  <c r="F26" i="46"/>
  <c r="F32" i="46"/>
  <c r="AH66" i="46"/>
  <c r="F36" i="46"/>
  <c r="F77" i="46"/>
  <c r="F18" i="46"/>
  <c r="F71" i="46"/>
  <c r="I71" i="46"/>
  <c r="H71" i="46" s="1"/>
  <c r="Y10" i="46"/>
  <c r="Y60" i="46"/>
  <c r="F66" i="46"/>
  <c r="G91" i="46"/>
  <c r="K60" i="46"/>
  <c r="O60" i="46"/>
  <c r="M60" i="46"/>
  <c r="O10" i="46"/>
  <c r="K10" i="46"/>
  <c r="M10" i="46"/>
  <c r="S10" i="46"/>
  <c r="U10" i="46"/>
  <c r="Q10" i="46"/>
  <c r="W10" i="46"/>
  <c r="Q60" i="46"/>
  <c r="S60" i="46"/>
  <c r="U60" i="46"/>
  <c r="W60" i="46"/>
  <c r="AH34" i="46" l="1"/>
  <c r="H34" i="46"/>
  <c r="G60" i="46"/>
  <c r="G10" i="46"/>
  <c r="P143" i="7"/>
  <c r="V143" i="7" s="1"/>
  <c r="P144" i="7"/>
  <c r="V144" i="7" s="1"/>
  <c r="P145" i="7"/>
  <c r="V145" i="7" s="1"/>
  <c r="P146" i="7"/>
  <c r="V146" i="7" s="1"/>
  <c r="P147" i="7"/>
  <c r="V147" i="7" s="1"/>
  <c r="P148" i="7"/>
  <c r="V148" i="7" s="1"/>
  <c r="P149" i="7"/>
  <c r="V149" i="7" s="1"/>
  <c r="P150" i="7"/>
  <c r="V150" i="7" s="1"/>
  <c r="P151" i="7"/>
  <c r="V151" i="7" s="1"/>
  <c r="P152" i="7"/>
  <c r="V152" i="7" s="1"/>
  <c r="P153" i="7"/>
  <c r="V153" i="7" s="1"/>
  <c r="P154" i="7"/>
  <c r="V154" i="7" s="1"/>
  <c r="P155" i="7"/>
  <c r="V155" i="7" s="1"/>
  <c r="P156" i="7"/>
  <c r="V156" i="7" s="1"/>
  <c r="P157" i="7"/>
  <c r="V157" i="7" s="1"/>
  <c r="P158" i="7"/>
  <c r="V158" i="7" s="1"/>
  <c r="P159" i="7"/>
  <c r="V159" i="7" s="1"/>
  <c r="P160" i="7"/>
  <c r="V160" i="7" s="1"/>
  <c r="P161" i="7"/>
  <c r="V161" i="7" s="1"/>
  <c r="P162" i="7"/>
  <c r="V162" i="7" s="1"/>
  <c r="P163" i="7"/>
  <c r="V163" i="7" s="1"/>
  <c r="P164" i="7"/>
  <c r="V164" i="7" s="1"/>
  <c r="P165" i="7"/>
  <c r="V165" i="7" s="1"/>
  <c r="P166" i="7"/>
  <c r="V166" i="7" s="1"/>
  <c r="P167" i="7"/>
  <c r="V167" i="7" s="1"/>
  <c r="P168" i="7"/>
  <c r="V168" i="7" s="1"/>
  <c r="P142" i="7"/>
  <c r="V142" i="7" s="1"/>
  <c r="P141" i="7"/>
  <c r="V141" i="7" s="1"/>
  <c r="J231" i="7" l="1"/>
  <c r="L231" i="7" s="1"/>
  <c r="J230" i="7"/>
  <c r="L230" i="7" s="1"/>
  <c r="J229" i="7"/>
  <c r="L229" i="7" s="1"/>
  <c r="P126"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3" i="7"/>
  <c r="P124" i="7"/>
  <c r="P125" i="7"/>
  <c r="V345" i="7"/>
  <c r="V344" i="7"/>
  <c r="V343" i="7"/>
  <c r="V342" i="7"/>
  <c r="V341" i="7"/>
  <c r="V340" i="7"/>
  <c r="V339" i="7"/>
  <c r="V338" i="7"/>
  <c r="V337" i="7"/>
  <c r="V336" i="7"/>
  <c r="V335" i="7"/>
  <c r="V334" i="7"/>
  <c r="V333" i="7"/>
  <c r="V332" i="7"/>
  <c r="V331" i="7"/>
  <c r="V330" i="7"/>
  <c r="V329" i="7"/>
  <c r="V328" i="7"/>
  <c r="V327" i="7"/>
  <c r="V326" i="7"/>
  <c r="V325" i="7"/>
  <c r="V324" i="7"/>
  <c r="V323" i="7"/>
  <c r="V322" i="7"/>
  <c r="V321" i="7"/>
  <c r="V320" i="7"/>
  <c r="V319" i="7"/>
  <c r="V318" i="7"/>
  <c r="V317" i="7"/>
  <c r="V316" i="7"/>
  <c r="V315" i="7"/>
  <c r="V314" i="7"/>
  <c r="V313" i="7"/>
  <c r="V312" i="7"/>
  <c r="V311" i="7"/>
  <c r="N237" i="7"/>
  <c r="P232" i="7"/>
  <c r="J232" i="7"/>
  <c r="P230" i="7"/>
  <c r="P229" i="7"/>
  <c r="L232" i="7" l="1"/>
  <c r="N223" i="50" l="1"/>
  <c r="P216" i="50"/>
  <c r="P215" i="50"/>
  <c r="L400" i="50" l="1"/>
  <c r="L399" i="50"/>
  <c r="P400" i="50"/>
  <c r="I31" i="46" l="1"/>
  <c r="AI31" i="46" s="1"/>
  <c r="AH31" i="46" s="1"/>
  <c r="I32" i="46"/>
  <c r="AI32" i="46" s="1"/>
  <c r="AH32" i="46" s="1"/>
  <c r="I33" i="46"/>
  <c r="AI33" i="46" s="1"/>
  <c r="AH33" i="46" s="1"/>
  <c r="I35" i="46"/>
  <c r="AI35" i="46" s="1"/>
  <c r="I36" i="46"/>
  <c r="AI36" i="46" s="1"/>
  <c r="AH36" i="46" s="1"/>
  <c r="I38" i="46"/>
  <c r="I30" i="46"/>
  <c r="AI30" i="46" s="1"/>
  <c r="AH30" i="46" s="1"/>
  <c r="I28" i="46"/>
  <c r="AI28" i="46" s="1"/>
  <c r="AH28" i="46" s="1"/>
  <c r="I27" i="46"/>
  <c r="AI27" i="46" s="1"/>
  <c r="I26" i="46"/>
  <c r="AI26" i="46" s="1"/>
  <c r="I25" i="46"/>
  <c r="AI25" i="46" s="1"/>
  <c r="I24" i="46"/>
  <c r="AI24" i="46" s="1"/>
  <c r="I19" i="46"/>
  <c r="AI19" i="46" s="1"/>
  <c r="I20" i="46"/>
  <c r="I21" i="46"/>
  <c r="I22" i="46"/>
  <c r="AI22" i="46" s="1"/>
  <c r="I18" i="46"/>
  <c r="H18" i="46" s="1"/>
  <c r="I16" i="46"/>
  <c r="I15" i="46"/>
  <c r="AI15" i="46" s="1"/>
  <c r="H20" i="46" l="1"/>
  <c r="AI20" i="46"/>
  <c r="H38" i="46"/>
  <c r="AI38" i="46"/>
  <c r="H21" i="46"/>
  <c r="AI21" i="46"/>
  <c r="H30" i="46"/>
  <c r="H19" i="46"/>
  <c r="H36" i="46"/>
  <c r="AH24" i="46"/>
  <c r="H24" i="46"/>
  <c r="AH35" i="46"/>
  <c r="H35" i="46"/>
  <c r="H33" i="46"/>
  <c r="AH15" i="46"/>
  <c r="H15" i="46"/>
  <c r="AI16" i="46"/>
  <c r="H16" i="46"/>
  <c r="AH26" i="46"/>
  <c r="H26" i="46"/>
  <c r="H32" i="46"/>
  <c r="AH27" i="46"/>
  <c r="H27" i="46"/>
  <c r="H31" i="46"/>
  <c r="AH25" i="46"/>
  <c r="H25" i="46"/>
  <c r="AH22" i="46"/>
  <c r="H22" i="46"/>
  <c r="H28" i="46"/>
  <c r="AI18" i="46"/>
  <c r="AH18" i="46" s="1"/>
  <c r="AH38" i="46"/>
  <c r="AH19" i="46"/>
  <c r="AH20" i="46" l="1"/>
  <c r="AH16" i="46"/>
  <c r="AH21" i="46"/>
  <c r="I10" i="46"/>
  <c r="AI10" i="46" l="1"/>
  <c r="AI88" i="46"/>
  <c r="AH88" i="46" s="1"/>
  <c r="AI87" i="46"/>
  <c r="AH87" i="46" s="1"/>
  <c r="AI86" i="46"/>
  <c r="AH86" i="46" s="1"/>
  <c r="AI85" i="46"/>
  <c r="AH85" i="46" s="1"/>
  <c r="AI84" i="46"/>
  <c r="AH84" i="46" s="1"/>
  <c r="AI83" i="46"/>
  <c r="AH83" i="46" s="1"/>
  <c r="AI82" i="46"/>
  <c r="AH82" i="46" s="1"/>
  <c r="AI81" i="46"/>
  <c r="AH81" i="46" s="1"/>
  <c r="AI80" i="46"/>
  <c r="AH80" i="46" s="1"/>
  <c r="AI78" i="46"/>
  <c r="AH78" i="46" s="1"/>
  <c r="AI77" i="46"/>
  <c r="AH77" i="46" s="1"/>
  <c r="AI76" i="46"/>
  <c r="AH76" i="46" s="1"/>
  <c r="AI75" i="46"/>
  <c r="AH75" i="46" s="1"/>
  <c r="AI74" i="46"/>
  <c r="AH74" i="46" s="1"/>
  <c r="AI72" i="46"/>
  <c r="AH72" i="46" s="1"/>
  <c r="AI71" i="46"/>
  <c r="AH71" i="46" s="1"/>
  <c r="AI70" i="46"/>
  <c r="AH70" i="46" s="1"/>
  <c r="AI69" i="46"/>
  <c r="AH69" i="46" s="1"/>
  <c r="AI65" i="46" l="1"/>
  <c r="AH65" i="46" s="1"/>
  <c r="AI60" i="46" s="1"/>
  <c r="H4" i="7" l="1"/>
  <c r="G62" i="26" l="1"/>
  <c r="G61" i="26"/>
  <c r="J102" i="28" l="1"/>
  <c r="H3" i="48" l="1"/>
  <c r="H3" i="42"/>
  <c r="H4" i="42"/>
  <c r="H4" i="50"/>
  <c r="H3" i="50" l="1"/>
  <c r="H3" i="24"/>
  <c r="H5" i="24"/>
  <c r="H4" i="24"/>
  <c r="H3" i="28"/>
  <c r="H4" i="28"/>
  <c r="H4" i="48"/>
  <c r="H5" i="48"/>
  <c r="G3" i="26"/>
  <c r="G4" i="26"/>
  <c r="L99" i="50" l="1"/>
  <c r="L73" i="50" l="1"/>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100" i="50"/>
  <c r="L101" i="50"/>
  <c r="L102" i="50"/>
  <c r="L103" i="50"/>
  <c r="L104" i="50"/>
  <c r="L105" i="50"/>
  <c r="L106" i="50"/>
  <c r="L72" i="50"/>
  <c r="V275" i="50"/>
  <c r="V276" i="50"/>
  <c r="V277" i="50"/>
  <c r="V278" i="50"/>
  <c r="V279" i="50"/>
  <c r="V280" i="50"/>
  <c r="V281" i="50"/>
  <c r="V282" i="50"/>
  <c r="V283" i="50"/>
  <c r="V284" i="50"/>
  <c r="V285" i="50"/>
  <c r="V286" i="50"/>
  <c r="V287" i="50"/>
  <c r="V288" i="50"/>
  <c r="V289" i="50"/>
  <c r="V290" i="50"/>
  <c r="V291" i="50"/>
  <c r="V292" i="50"/>
  <c r="V293" i="50"/>
  <c r="V294" i="50"/>
  <c r="V295" i="50"/>
  <c r="V296" i="50"/>
  <c r="V297" i="50"/>
  <c r="V298" i="50"/>
  <c r="V299" i="50"/>
  <c r="V300" i="50"/>
  <c r="V301" i="50"/>
  <c r="V302" i="50"/>
  <c r="V303" i="50"/>
  <c r="V304" i="50"/>
  <c r="V305" i="50"/>
  <c r="V306" i="50"/>
  <c r="V307" i="50"/>
  <c r="V274" i="50"/>
  <c r="V273" i="50"/>
  <c r="P218" i="50"/>
  <c r="L218" i="50" s="1"/>
  <c r="L107" i="50"/>
  <c r="L108" i="50"/>
  <c r="H7" i="50" l="1"/>
  <c r="H6" i="50"/>
  <c r="H5" i="50"/>
  <c r="L67" i="48" l="1"/>
  <c r="H7" i="48" l="1"/>
  <c r="H6" i="48"/>
  <c r="G5" i="46" l="1"/>
  <c r="G6" i="46"/>
  <c r="G7" i="46"/>
  <c r="G4" i="46"/>
  <c r="G3" i="46"/>
  <c r="H5" i="42" l="1"/>
  <c r="H6" i="42"/>
  <c r="H7" i="42"/>
  <c r="H6" i="24" l="1"/>
  <c r="H7" i="24"/>
  <c r="G5" i="20"/>
  <c r="G6" i="20"/>
  <c r="G7" i="20"/>
  <c r="G4" i="20"/>
  <c r="G3" i="20"/>
  <c r="G5" i="19"/>
  <c r="G6" i="19"/>
  <c r="G7" i="19"/>
  <c r="G4" i="19"/>
  <c r="G3" i="19"/>
  <c r="G5" i="18"/>
  <c r="G6" i="18"/>
  <c r="G7" i="18"/>
  <c r="G4" i="18"/>
  <c r="G3" i="18"/>
  <c r="G5" i="16"/>
  <c r="G6" i="16"/>
  <c r="G7" i="16"/>
  <c r="G4" i="16"/>
  <c r="G3" i="16"/>
  <c r="G5" i="12"/>
  <c r="G6" i="12"/>
  <c r="G7" i="12"/>
  <c r="G4" i="12"/>
  <c r="G3" i="12"/>
  <c r="G3" i="6" l="1"/>
  <c r="H6" i="28"/>
  <c r="G6" i="26" l="1"/>
  <c r="H5" i="11" l="1"/>
  <c r="H6" i="11"/>
  <c r="H3" i="11"/>
  <c r="H5" i="8"/>
  <c r="H6" i="8"/>
  <c r="H3" i="8"/>
  <c r="H6" i="10"/>
  <c r="H3" i="10"/>
  <c r="H5" i="7" l="1"/>
  <c r="H6" i="7"/>
  <c r="G6" i="6"/>
  <c r="H4" i="8" l="1"/>
  <c r="G4" i="4"/>
  <c r="H7" i="28" l="1"/>
  <c r="H5" i="28"/>
  <c r="G7" i="26" l="1"/>
  <c r="G5" i="26"/>
  <c r="H7" i="11" l="1"/>
  <c r="H4" i="11"/>
  <c r="H5" i="10"/>
  <c r="H7" i="10"/>
  <c r="H4" i="10"/>
  <c r="H7" i="8"/>
  <c r="H7" i="7"/>
  <c r="G5" i="6"/>
  <c r="G7" i="6"/>
  <c r="G4" i="6"/>
  <c r="P81" i="7" l="1"/>
  <c r="P1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H41" authorId="0" shapeId="0" xr:uid="{00000000-0006-0000-0200-000001000000}">
      <text>
        <r>
          <rPr>
            <b/>
            <sz val="9"/>
            <color indexed="81"/>
            <rFont val="Tahoma"/>
            <family val="2"/>
          </rPr>
          <t>Sandeep:</t>
        </r>
        <r>
          <rPr>
            <sz val="9"/>
            <color indexed="81"/>
            <rFont val="Tahoma"/>
            <family val="2"/>
          </rPr>
          <t xml:space="preserve">
Values currenlty not being reported at the construction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R151" authorId="0" shapeId="0" xr:uid="{00000000-0006-0000-1100-000001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51" authorId="0" shapeId="0" xr:uid="{00000000-0006-0000-1100-000002000000}">
      <text>
        <r>
          <rPr>
            <b/>
            <sz val="9"/>
            <color indexed="81"/>
            <rFont val="Tahoma"/>
            <family val="2"/>
          </rPr>
          <t>Sandeep:</t>
        </r>
        <r>
          <rPr>
            <sz val="9"/>
            <color indexed="81"/>
            <rFont val="Tahoma"/>
            <family val="2"/>
          </rPr>
          <t xml:space="preserve">
</t>
        </r>
      </text>
    </comment>
    <comment ref="H179" authorId="0" shapeId="0" xr:uid="{00000000-0006-0000-1100-00000300000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Ryan</author>
    <author>Sandeep</author>
  </authors>
  <commentList>
    <comment ref="G27" authorId="0" shapeId="0" xr:uid="{00000000-0006-0000-1300-000001000000}">
      <text>
        <r>
          <rPr>
            <b/>
            <sz val="9"/>
            <color indexed="81"/>
            <rFont val="Tahoma"/>
            <family val="2"/>
          </rPr>
          <t>Ryan:</t>
        </r>
        <r>
          <rPr>
            <sz val="9"/>
            <color indexed="81"/>
            <rFont val="Tahoma"/>
            <family val="2"/>
          </rPr>
          <t xml:space="preserve">
Both AFUE and ThermlEff are input. Which one is more important</t>
        </r>
      </text>
    </comment>
    <comment ref="I33" authorId="0" shapeId="0" xr:uid="{00000000-0006-0000-1300-000002000000}">
      <text>
        <r>
          <rPr>
            <b/>
            <sz val="9"/>
            <color indexed="81"/>
            <rFont val="Tahoma"/>
            <family val="2"/>
          </rPr>
          <t>Ryan:</t>
        </r>
        <r>
          <rPr>
            <sz val="9"/>
            <color indexed="81"/>
            <rFont val="Tahoma"/>
            <family val="2"/>
          </rPr>
          <t xml:space="preserve">
The proposed model hardsized fan bhp, but the simulated values are different</t>
        </r>
      </text>
    </comment>
    <comment ref="G54" authorId="1" shapeId="0" xr:uid="{00000000-0006-0000-1300-00000300000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G66" authorId="1" shapeId="0" xr:uid="{00000000-0006-0000-1300-00000400000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Q66" authorId="1" shapeId="0" xr:uid="{00000000-0006-0000-1300-000005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S66" authorId="1" shapeId="0" xr:uid="{00000000-0006-0000-1300-00000600000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M68" authorId="1" shapeId="0" xr:uid="{00000000-0006-0000-1300-00000700000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68" authorId="1" shapeId="0" xr:uid="{00000000-0006-0000-1300-000008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M69" authorId="1" shapeId="0" xr:uid="{00000000-0006-0000-1300-00000900000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69" authorId="1" shapeId="0" xr:uid="{00000000-0006-0000-1300-00000A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M70" authorId="1" shapeId="0" xr:uid="{00000000-0006-0000-1300-00000B00000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70" authorId="1" shapeId="0" xr:uid="{00000000-0006-0000-1300-00000C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Sandeep</author>
    <author>Ryan</author>
  </authors>
  <commentList>
    <comment ref="B23" authorId="0" shapeId="0" xr:uid="{00000000-0006-0000-1400-000001000000}">
      <text>
        <r>
          <rPr>
            <b/>
            <sz val="9"/>
            <color indexed="81"/>
            <rFont val="Tahoma"/>
            <family val="2"/>
          </rPr>
          <t>Sandeep:</t>
        </r>
        <r>
          <rPr>
            <sz val="9"/>
            <color indexed="81"/>
            <rFont val="Tahoma"/>
            <family val="2"/>
          </rPr>
          <t xml:space="preserve">
150630_SDS: Added in cycle v3c.</t>
        </r>
      </text>
    </comment>
    <comment ref="H23" authorId="0" shapeId="0" xr:uid="{00000000-0006-0000-1400-000002000000}">
      <text>
        <r>
          <rPr>
            <b/>
            <sz val="9"/>
            <color indexed="81"/>
            <rFont val="Tahoma"/>
            <family val="2"/>
          </rPr>
          <t>Sandeep:</t>
        </r>
        <r>
          <rPr>
            <sz val="9"/>
            <color indexed="81"/>
            <rFont val="Tahoma"/>
            <family val="2"/>
          </rPr>
          <t xml:space="preserve">
160707_SDS: System type switched from SZAC to PTAC to enable correct translation by OS</t>
        </r>
      </text>
    </comment>
    <comment ref="L23" authorId="1" shapeId="0" xr:uid="{00000000-0006-0000-1400-000003000000}">
      <text>
        <r>
          <rPr>
            <b/>
            <sz val="9"/>
            <color indexed="81"/>
            <rFont val="Tahoma"/>
            <family val="2"/>
          </rPr>
          <t>Ryan:</t>
        </r>
        <r>
          <rPr>
            <sz val="9"/>
            <color indexed="81"/>
            <rFont val="Tahoma"/>
            <family val="2"/>
          </rPr>
          <t xml:space="preserve">
CBECC-Com 2019.1.0:
AllOnHVACAvail</t>
        </r>
      </text>
    </comment>
    <comment ref="H24" authorId="0" shapeId="0" xr:uid="{00000000-0006-0000-1400-000004000000}">
      <text>
        <r>
          <rPr>
            <b/>
            <sz val="9"/>
            <color indexed="81"/>
            <rFont val="Tahoma"/>
            <family val="2"/>
          </rPr>
          <t>Sandeep:</t>
        </r>
        <r>
          <rPr>
            <sz val="9"/>
            <color indexed="81"/>
            <rFont val="Tahoma"/>
            <family val="2"/>
          </rPr>
          <t xml:space="preserve">
160707_SDS: System type switched from SZAC to PTAC to enable correct translation by OS</t>
        </r>
      </text>
    </comment>
    <comment ref="H25" authorId="0" shapeId="0" xr:uid="{00000000-0006-0000-1400-000005000000}">
      <text>
        <r>
          <rPr>
            <b/>
            <sz val="9"/>
            <color indexed="81"/>
            <rFont val="Tahoma"/>
            <family val="2"/>
          </rPr>
          <t>Sandeep:</t>
        </r>
        <r>
          <rPr>
            <sz val="9"/>
            <color indexed="81"/>
            <rFont val="Tahoma"/>
            <family val="2"/>
          </rPr>
          <t xml:space="preserve">
160707_SDS: System type switched from SZHP to PTHPto enable correct translation by OS</t>
        </r>
      </text>
    </comment>
    <comment ref="H26" authorId="0" shapeId="0" xr:uid="{00000000-0006-0000-1400-000006000000}">
      <text>
        <r>
          <rPr>
            <b/>
            <sz val="9"/>
            <color indexed="81"/>
            <rFont val="Tahoma"/>
            <family val="2"/>
          </rPr>
          <t>Sandeep:</t>
        </r>
        <r>
          <rPr>
            <sz val="9"/>
            <color indexed="81"/>
            <rFont val="Tahoma"/>
            <family val="2"/>
          </rPr>
          <t xml:space="preserve">
160707_SDS: System type switched from SZHP to PTHPto enable correct translation by OS</t>
        </r>
      </text>
    </comment>
    <comment ref="P121" authorId="0" shapeId="0" xr:uid="{00000000-0006-0000-1400-000007000000}">
      <text>
        <r>
          <rPr>
            <b/>
            <sz val="9"/>
            <color indexed="81"/>
            <rFont val="Tahoma"/>
            <family val="2"/>
          </rPr>
          <t>Sandeep:</t>
        </r>
        <r>
          <rPr>
            <sz val="9"/>
            <color indexed="81"/>
            <rFont val="Tahoma"/>
            <family val="2"/>
          </rPr>
          <t xml:space="preserve">
Multiplier of 0.5 has been added.</t>
        </r>
      </text>
    </comment>
    <comment ref="V153" authorId="0" shapeId="0" xr:uid="{00000000-0006-0000-1400-000008000000}">
      <text>
        <r>
          <rPr>
            <b/>
            <sz val="9"/>
            <color indexed="81"/>
            <rFont val="Tahoma"/>
            <family val="2"/>
          </rPr>
          <t>Sandeep:</t>
        </r>
        <r>
          <rPr>
            <sz val="9"/>
            <color indexed="81"/>
            <rFont val="Tahoma"/>
            <family val="2"/>
          </rPr>
          <t xml:space="preserve">
Multiplier of 0.5 has been added.</t>
        </r>
      </text>
    </comment>
    <comment ref="P198" authorId="0" shapeId="0" xr:uid="{00000000-0006-0000-1400-00000900000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N200" authorId="0" shapeId="0" xr:uid="{00000000-0006-0000-1400-00000A000000}">
      <text>
        <r>
          <rPr>
            <b/>
            <sz val="9"/>
            <color indexed="81"/>
            <rFont val="Tahoma"/>
            <family val="2"/>
          </rPr>
          <t>Sandeep:</t>
        </r>
        <r>
          <rPr>
            <sz val="9"/>
            <color indexed="81"/>
            <rFont val="Tahoma"/>
            <family val="2"/>
          </rPr>
          <t xml:space="preserve">
</t>
        </r>
        <r>
          <rPr>
            <u/>
            <sz val="9"/>
            <color indexed="81"/>
            <rFont val="Tahoma"/>
            <family val="2"/>
          </rPr>
          <t>Chiller Type: Screw, Path B Efficiency</t>
        </r>
        <r>
          <rPr>
            <sz val="9"/>
            <color indexed="81"/>
            <rFont val="Tahoma"/>
            <family val="2"/>
          </rPr>
          <t xml:space="preserve">
Cap &lt;75 Tons = 0.78 kW/Ton
Cap &lt;150 Tons = 0.75 kW/Ton
Cap &lt;300 Tons = 0.68 kW/Ton
Cap &gt;=300 Tons = 0.625 kW/Ton 
</t>
        </r>
      </text>
    </comment>
    <comment ref="J203" authorId="0" shapeId="0" xr:uid="{00000000-0006-0000-1400-00000B00000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H242" authorId="0" shapeId="0" xr:uid="{00000000-0006-0000-1400-00000C00000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J244" authorId="1" shapeId="0" xr:uid="{00000000-0006-0000-1400-00000D000000}">
      <text>
        <r>
          <rPr>
            <b/>
            <sz val="9"/>
            <color indexed="81"/>
            <rFont val="Tahoma"/>
            <family val="2"/>
          </rPr>
          <t>Ryan:</t>
        </r>
        <r>
          <rPr>
            <sz val="9"/>
            <color indexed="81"/>
            <rFont val="Tahoma"/>
            <family val="2"/>
          </rPr>
          <t xml:space="preserve">
The sizing factor is adjusted to match the cfm/grosston range (280-450). The value is expected to be different to 1.15</t>
        </r>
      </text>
    </comment>
    <comment ref="H266" authorId="0" shapeId="0" xr:uid="{00000000-0006-0000-1400-00000E00000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266" authorId="0" shapeId="0" xr:uid="{00000000-0006-0000-1400-00000F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266" authorId="0" shapeId="0" xr:uid="{00000000-0006-0000-1400-00001000000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P268" authorId="0" shapeId="0" xr:uid="{00000000-0006-0000-1400-000011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69" authorId="0" shapeId="0" xr:uid="{00000000-0006-0000-1400-000012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70" authorId="0" shapeId="0" xr:uid="{00000000-0006-0000-1400-000013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71" authorId="0" shapeId="0" xr:uid="{00000000-0006-0000-1400-000014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72" authorId="0" shapeId="0" xr:uid="{00000000-0006-0000-1400-000015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20" authorId="0" shapeId="0" xr:uid="{00000000-0006-0000-1400-000016000000}">
      <text>
        <r>
          <rPr>
            <b/>
            <sz val="9"/>
            <color indexed="81"/>
            <rFont val="Tahoma"/>
            <family val="2"/>
          </rPr>
          <t>Sandeep:</t>
        </r>
        <r>
          <rPr>
            <sz val="9"/>
            <color indexed="81"/>
            <rFont val="Tahoma"/>
            <family val="2"/>
          </rPr>
          <t xml:space="preserve">
Multiplier of 0.5 has been added.</t>
        </r>
      </text>
    </comment>
    <comment ref="V352" authorId="0" shapeId="0" xr:uid="{00000000-0006-0000-1400-000017000000}">
      <text>
        <r>
          <rPr>
            <b/>
            <sz val="9"/>
            <color indexed="81"/>
            <rFont val="Tahoma"/>
            <family val="2"/>
          </rPr>
          <t>Sandeep:</t>
        </r>
        <r>
          <rPr>
            <sz val="9"/>
            <color indexed="81"/>
            <rFont val="Tahoma"/>
            <family val="2"/>
          </rPr>
          <t xml:space="preserve">
Multiplier of 0.5 has been added.</t>
        </r>
      </text>
    </comment>
    <comment ref="H392" authorId="0" shapeId="0" xr:uid="{00000000-0006-0000-1400-00001800000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R397" authorId="0" shapeId="0" xr:uid="{00000000-0006-0000-1400-00001900000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T397" authorId="0" shapeId="0" xr:uid="{00000000-0006-0000-1400-00001A000000}">
      <text>
        <r>
          <rPr>
            <b/>
            <sz val="9"/>
            <color indexed="81"/>
            <rFont val="Tahoma"/>
            <family val="2"/>
          </rPr>
          <t>Sandeep:</t>
        </r>
        <r>
          <rPr>
            <sz val="9"/>
            <color indexed="81"/>
            <rFont val="Tahoma"/>
            <family val="2"/>
          </rPr>
          <t xml:space="preserve">
The Pump Impeller Efficiency for the Standard Design shall be equal to 70%.</t>
        </r>
      </text>
    </comment>
    <comment ref="P399" authorId="0" shapeId="0" xr:uid="{00000000-0006-0000-1400-00001B00000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399" authorId="0" shapeId="0" xr:uid="{00000000-0006-0000-1400-00001C00000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00" authorId="0" shapeId="0" xr:uid="{00000000-0006-0000-1400-00001D00000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400" authorId="0" shapeId="0" xr:uid="{00000000-0006-0000-1400-00001E00000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Sandeep</author>
    <author>Ryan</author>
  </authors>
  <commentList>
    <comment ref="B17" authorId="0" shapeId="0" xr:uid="{00000000-0006-0000-1500-000001000000}">
      <text>
        <r>
          <rPr>
            <b/>
            <sz val="9"/>
            <color indexed="81"/>
            <rFont val="Tahoma"/>
            <family val="2"/>
          </rPr>
          <t>Sandeep:</t>
        </r>
        <r>
          <rPr>
            <sz val="9"/>
            <color indexed="81"/>
            <rFont val="Tahoma"/>
            <family val="2"/>
          </rPr>
          <t xml:space="preserve">
140811: underground wall not being tested, not documented</t>
        </r>
      </text>
    </comment>
    <comment ref="L119" authorId="0" shapeId="0" xr:uid="{00000000-0006-0000-1500-000002000000}">
      <text>
        <r>
          <rPr>
            <b/>
            <sz val="9"/>
            <color indexed="81"/>
            <rFont val="Tahoma"/>
            <family val="2"/>
          </rPr>
          <t>Sandeep:</t>
        </r>
        <r>
          <rPr>
            <sz val="9"/>
            <color indexed="81"/>
            <rFont val="Tahoma"/>
            <family val="2"/>
          </rPr>
          <t xml:space="preserve">
Pump Power is revised based on the recalculated pump head.
Refer note in cell P107 for more information on the recalulated pump head values.</t>
        </r>
      </text>
    </comment>
    <comment ref="P119" authorId="0" shapeId="0" xr:uid="{00000000-0006-0000-1500-00000300000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 65.9 ft for compliance analysis. Based on the calculation below
MinMtrBHP / FlowCap * 3960 * ImpellerEff
Where, 
MinMtrBHP = The minimum Proposed model MtrBHP is Max(User calc MtrBHP, 95% x MHPi-1)
(The minimum allowed MtrBHP used in the Proposed model simulation based on user specified MtrHP.)
Flow Cap = Based on Boiler Capacity
Impeller Efficiency = 0.7</t>
        </r>
      </text>
    </comment>
    <comment ref="H159" authorId="0" shapeId="0" xr:uid="{00000000-0006-0000-1500-00000400000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92" authorId="0" shapeId="0" xr:uid="{00000000-0006-0000-1500-00000500000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92" authorId="0" shapeId="0" xr:uid="{00000000-0006-0000-1500-00000600000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L196" authorId="1" shapeId="0" xr:uid="{00000000-0006-0000-1500-000007000000}">
      <text>
        <r>
          <rPr>
            <b/>
            <sz val="9"/>
            <color indexed="81"/>
            <rFont val="Tahoma"/>
            <family val="2"/>
          </rPr>
          <t>Ryan:</t>
        </r>
        <r>
          <rPr>
            <sz val="9"/>
            <color indexed="81"/>
            <rFont val="Tahoma"/>
            <family val="2"/>
          </rPr>
          <t xml:space="preserve">
The model has fan power = 0.00094 x AirFlow, which is designed for constant fan</t>
        </r>
      </text>
    </comment>
    <comment ref="R196" authorId="0" shapeId="0" xr:uid="{00000000-0006-0000-1500-000008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96" authorId="0" shapeId="0" xr:uid="{00000000-0006-0000-1500-00000900000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H225" authorId="0" shapeId="0" xr:uid="{00000000-0006-0000-1500-00000A00000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229" authorId="0" shapeId="0" xr:uid="{00000000-0006-0000-1500-00000B000000}">
      <text>
        <r>
          <rPr>
            <b/>
            <sz val="9"/>
            <color indexed="81"/>
            <rFont val="Tahoma"/>
            <family val="2"/>
          </rPr>
          <t>Sandeep:</t>
        </r>
        <r>
          <rPr>
            <sz val="9"/>
            <color indexed="81"/>
            <rFont val="Tahoma"/>
            <family val="2"/>
          </rPr>
          <t xml:space="preserve">
The Pump Impeller Efficiency for the Standard Design shall be equal to 70%.</t>
        </r>
      </text>
    </comment>
    <comment ref="P231" authorId="0" shapeId="0" xr:uid="{00000000-0006-0000-1500-00000C00000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 65.9 ft for compliance analysis. Based on the calculation below
</t>
        </r>
        <r>
          <rPr>
            <i/>
            <sz val="9"/>
            <color indexed="81"/>
            <rFont val="Tahoma"/>
            <family val="2"/>
          </rPr>
          <t xml:space="preserve">MinMtrBHP / FlowCap * 3960 * ImpellerEff
</t>
        </r>
        <r>
          <rPr>
            <sz val="9"/>
            <color indexed="81"/>
            <rFont val="Tahoma"/>
            <family val="2"/>
          </rPr>
          <t xml:space="preserve">
Where, 
MinMtrBHP = The minimum Proposed model MtrBHP is Max(User calc MtrBHP, 95% x MHPi-1)
(The minimum allowed MtrBHP used in the Proposed model simulation based on user specified MtrHP.)
Flow Cap = Based on Boiler Capacity
Impeller Efficiency = 0.7</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H89" authorId="0" shapeId="0" xr:uid="{00000000-0006-0000-1900-00000100000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99" authorId="0" shapeId="0" xr:uid="{00000000-0006-0000-1900-00000200000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99" authorId="0" shapeId="0" xr:uid="{00000000-0006-0000-1900-000003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99" authorId="0" shapeId="0" xr:uid="{00000000-0006-0000-1900-00000400000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H47" authorId="0" shapeId="0" xr:uid="{00000000-0006-0000-0300-000001000000}">
      <text>
        <r>
          <rPr>
            <b/>
            <sz val="9"/>
            <color indexed="81"/>
            <rFont val="Tahoma"/>
            <family val="2"/>
          </rPr>
          <t>Sandeep:</t>
        </r>
        <r>
          <rPr>
            <sz val="9"/>
            <color indexed="81"/>
            <rFont val="Tahoma"/>
            <family val="2"/>
          </rPr>
          <t xml:space="preserve">
Values currenlty not being reported at the construction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P139" authorId="0" shapeId="0" xr:uid="{00000000-0006-0000-0400-000001000000}">
      <text>
        <r>
          <rPr>
            <b/>
            <sz val="9"/>
            <color indexed="81"/>
            <rFont val="Tahoma"/>
            <family val="2"/>
          </rPr>
          <t>Sandeep:</t>
        </r>
        <r>
          <rPr>
            <sz val="9"/>
            <color indexed="81"/>
            <rFont val="Tahoma"/>
            <family val="2"/>
          </rPr>
          <t xml:space="preserve">
Multiplier of 0.5 has been added.</t>
        </r>
      </text>
    </comment>
    <comment ref="V171" authorId="0" shapeId="0" xr:uid="{00000000-0006-0000-0400-000002000000}">
      <text>
        <r>
          <rPr>
            <b/>
            <sz val="9"/>
            <color indexed="81"/>
            <rFont val="Tahoma"/>
            <family val="2"/>
          </rPr>
          <t>Sandeep:</t>
        </r>
        <r>
          <rPr>
            <sz val="9"/>
            <color indexed="81"/>
            <rFont val="Tahoma"/>
            <family val="2"/>
          </rPr>
          <t xml:space="preserve">
Multiplier of 0.5 has been added.</t>
        </r>
      </text>
    </comment>
    <comment ref="N219" authorId="0" shapeId="0" xr:uid="{00000000-0006-0000-0400-000003000000}">
      <text>
        <r>
          <rPr>
            <b/>
            <sz val="9"/>
            <color indexed="81"/>
            <rFont val="Tahoma"/>
            <family val="2"/>
          </rPr>
          <t>Sandeep:</t>
        </r>
        <r>
          <rPr>
            <sz val="9"/>
            <color indexed="81"/>
            <rFont val="Tahoma"/>
            <family val="2"/>
          </rPr>
          <t xml:space="preserve">
Chiller Type: Screw, Path B Efficiency
Cap &lt;75 Tons = 0.78 kW/Ton
Cap &lt;150 Tons = 0.75 kW/Ton
Cap &lt;300 Tons = 0.68 kW/Ton
Cap &gt;=300 Tons = 0.625 kW/Ton
EER = 12 / (kW/ton)
COP = EER / 3.412</t>
        </r>
      </text>
    </comment>
    <comment ref="H283" authorId="0" shapeId="0" xr:uid="{00000000-0006-0000-0400-00000400000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305" authorId="0" shapeId="0" xr:uid="{00000000-0006-0000-0400-00000500000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305" authorId="0" shapeId="0" xr:uid="{00000000-0006-0000-0400-000006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305" authorId="0" shapeId="0" xr:uid="{00000000-0006-0000-0400-00000700000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307" authorId="0" shapeId="0" xr:uid="{00000000-0006-0000-0400-00000800000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&gt;10,000cfm = 62%</t>
        </r>
      </text>
    </comment>
    <comment ref="P307" authorId="0" shapeId="0" xr:uid="{00000000-0006-0000-0400-000009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08" authorId="0" shapeId="0" xr:uid="{00000000-0006-0000-0400-00000A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09" authorId="0" shapeId="0" xr:uid="{00000000-0006-0000-0400-00000B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10" authorId="0" shapeId="0" xr:uid="{00000000-0006-0000-0400-00000C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57" authorId="0" shapeId="0" xr:uid="{00000000-0006-0000-0400-00000D000000}">
      <text>
        <r>
          <rPr>
            <b/>
            <sz val="9"/>
            <color indexed="81"/>
            <rFont val="Tahoma"/>
            <family val="2"/>
          </rPr>
          <t>Sandeep:</t>
        </r>
        <r>
          <rPr>
            <sz val="9"/>
            <color indexed="81"/>
            <rFont val="Tahoma"/>
            <family val="2"/>
          </rPr>
          <t xml:space="preserve">
Multiplier of 0.5 has been added.</t>
        </r>
      </text>
    </comment>
    <comment ref="V389" authorId="0" shapeId="0" xr:uid="{00000000-0006-0000-0400-00000E000000}">
      <text>
        <r>
          <rPr>
            <b/>
            <sz val="9"/>
            <color indexed="81"/>
            <rFont val="Tahoma"/>
            <family val="2"/>
          </rPr>
          <t>Sandeep:</t>
        </r>
        <r>
          <rPr>
            <sz val="9"/>
            <color indexed="81"/>
            <rFont val="Tahoma"/>
            <family val="2"/>
          </rPr>
          <t xml:space="preserve">
Multiplier of 0.5 has been added.</t>
        </r>
      </text>
    </comment>
    <comment ref="H429" authorId="0" shapeId="0" xr:uid="{00000000-0006-0000-0400-00000F00000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434" authorId="0" shapeId="0" xr:uid="{00000000-0006-0000-0400-00001000000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R434" authorId="0" shapeId="0" xr:uid="{00000000-0006-0000-0400-000011000000}">
      <text>
        <r>
          <rPr>
            <b/>
            <sz val="9"/>
            <color indexed="81"/>
            <rFont val="Tahoma"/>
            <family val="2"/>
          </rPr>
          <t>Sandeep:</t>
        </r>
        <r>
          <rPr>
            <sz val="9"/>
            <color indexed="81"/>
            <rFont val="Tahoma"/>
            <family val="2"/>
          </rPr>
          <t xml:space="preserve">
The standard design 'Chiller Min Unloading Ratio' is determined based on the 'Chiller Type'.
Screw = 15%
See ACM ' Default Minimum Unloading Ratios Table-48 for further details</t>
        </r>
      </text>
    </comment>
    <comment ref="F436" authorId="0" shapeId="0" xr:uid="{00000000-0006-0000-0400-00001200000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t>
        </r>
      </text>
    </comment>
    <comment ref="H436" authorId="0" shapeId="0" xr:uid="{00000000-0006-0000-0400-000013000000}">
      <text>
        <r>
          <rPr>
            <b/>
            <sz val="9"/>
            <color indexed="81"/>
            <rFont val="Tahoma"/>
            <family val="2"/>
          </rPr>
          <t>Sandeep:</t>
        </r>
        <r>
          <rPr>
            <sz val="9"/>
            <color indexed="81"/>
            <rFont val="Tahoma"/>
            <family val="2"/>
          </rPr>
          <t xml:space="preserve">
Standard Design
The baseline chiller fuel source is always Electric.</t>
        </r>
      </text>
    </comment>
    <comment ref="J436" authorId="0" shapeId="0" xr:uid="{00000000-0006-0000-0400-00001400000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436" authorId="0" shapeId="0" xr:uid="{00000000-0006-0000-0400-000015000000}">
      <text>
        <r>
          <rPr>
            <b/>
            <sz val="9"/>
            <color indexed="81"/>
            <rFont val="Tahoma"/>
            <family val="2"/>
          </rPr>
          <t>Sandeep:</t>
        </r>
        <r>
          <rPr>
            <sz val="9"/>
            <color indexed="81"/>
            <rFont val="Tahoma"/>
            <family val="2"/>
          </rPr>
          <t xml:space="preserve">
Auto-sized.
The full load output of the chiller operating at rating temperatures and flows including adjustment for pump heat and the project sizing ratio.</t>
        </r>
      </text>
    </comment>
    <comment ref="N436" authorId="0" shapeId="0" xr:uid="{00000000-0006-0000-0400-000016000000}">
      <text>
        <r>
          <rPr>
            <b/>
            <sz val="9"/>
            <color indexed="81"/>
            <rFont val="Tahoma"/>
            <family val="2"/>
          </rPr>
          <t>Sandeep:</t>
        </r>
        <r>
          <rPr>
            <sz val="9"/>
            <color indexed="81"/>
            <rFont val="Tahoma"/>
            <family val="2"/>
          </rPr>
          <t xml:space="preserve">
</t>
        </r>
        <r>
          <rPr>
            <u/>
            <sz val="9"/>
            <color indexed="81"/>
            <rFont val="Tahoma"/>
            <family val="2"/>
          </rPr>
          <t>Chiller Type: Screw, Path B Efficiency
Cap &lt;75 Tons = 0.78 kW/Ton
Cap &lt;150 Tons = 0.75 kW/Ton
Cap &lt;300 Tons = 0.68 kW/Ton
Cap &gt;=300 Tons = 0.625 kW/Ton
EER = 12 / (kW/ton)
COP = EER / 3.412</t>
        </r>
      </text>
    </comment>
    <comment ref="R439" authorId="0" shapeId="0" xr:uid="{00000000-0006-0000-0400-00001700000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T439" authorId="0" shapeId="0" xr:uid="{00000000-0006-0000-0400-000018000000}">
      <text>
        <r>
          <rPr>
            <b/>
            <sz val="9"/>
            <color indexed="81"/>
            <rFont val="Tahoma"/>
            <family val="2"/>
          </rPr>
          <t>Sandeep:</t>
        </r>
        <r>
          <rPr>
            <sz val="9"/>
            <color indexed="81"/>
            <rFont val="Tahoma"/>
            <family val="2"/>
          </rPr>
          <t xml:space="preserve">
The Pump Impeller Efficiency for the Standard Design shall be equal to 70%.</t>
        </r>
      </text>
    </comment>
    <comment ref="P441" authorId="0" shapeId="0" xr:uid="{00000000-0006-0000-0400-00001900000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441" authorId="0" shapeId="0" xr:uid="{00000000-0006-0000-0400-00001A00000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42" authorId="0" shapeId="0" xr:uid="{00000000-0006-0000-0400-00001B00000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442" authorId="0" shapeId="0" xr:uid="{00000000-0006-0000-0400-00001C00000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Ryan</author>
  </authors>
  <commentList>
    <comment ref="Y15" authorId="0" shapeId="0" xr:uid="{00000000-0006-0000-0A00-000001000000}">
      <text>
        <r>
          <rPr>
            <b/>
            <sz val="9"/>
            <color indexed="81"/>
            <rFont val="Tahoma"/>
            <family val="2"/>
          </rPr>
          <t>Ryan:</t>
        </r>
        <r>
          <rPr>
            <sz val="9"/>
            <color indexed="81"/>
            <rFont val="Tahoma"/>
            <family val="2"/>
          </rPr>
          <t xml:space="preserve">
Need to update the reporting rule to fix the issue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C19" authorId="0" shapeId="0" xr:uid="{00000000-0006-0000-0B00-00000100000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19" authorId="0" shapeId="0" xr:uid="{00000000-0006-0000-0B00-00000200000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C25" authorId="0" shapeId="0" xr:uid="{00000000-0006-0000-0B00-00000300000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25" authorId="0" shapeId="0" xr:uid="{00000000-0006-0000-0B00-00000400000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C31" authorId="0" shapeId="0" xr:uid="{00000000-0006-0000-0B00-00000500000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31" authorId="0" shapeId="0" xr:uid="{00000000-0006-0000-0B00-00000600000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40" authorId="0" shapeId="0" xr:uid="{00000000-0006-0000-0B00-00000700000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44" authorId="0" shapeId="0" xr:uid="{00000000-0006-0000-0B00-00000800000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I44" authorId="0" shapeId="0" xr:uid="{00000000-0006-0000-0B00-000009000000}">
      <text>
        <r>
          <rPr>
            <b/>
            <sz val="9"/>
            <color indexed="81"/>
            <rFont val="Tahoma"/>
            <family val="2"/>
          </rPr>
          <t>Sandeep:</t>
        </r>
        <r>
          <rPr>
            <sz val="9"/>
            <color indexed="81"/>
            <rFont val="Tahoma"/>
            <family val="2"/>
          </rPr>
          <t xml:space="preserve">
160624_SDS: Space function updated which changes the baseline LPD</t>
        </r>
      </text>
    </comment>
    <comment ref="M44" authorId="0" shapeId="0" xr:uid="{00000000-0006-0000-0B00-00000A00000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46" authorId="0" shapeId="0" xr:uid="{00000000-0006-0000-0B00-00000B00000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50" authorId="0" shapeId="0" xr:uid="{00000000-0006-0000-0B00-00000C00000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I50" authorId="0" shapeId="0" xr:uid="{00000000-0006-0000-0B00-00000D000000}">
      <text>
        <r>
          <rPr>
            <b/>
            <sz val="9"/>
            <color indexed="81"/>
            <rFont val="Tahoma"/>
            <family val="2"/>
          </rPr>
          <t>Sandeep:</t>
        </r>
        <r>
          <rPr>
            <sz val="9"/>
            <color indexed="81"/>
            <rFont val="Tahoma"/>
            <family val="2"/>
          </rPr>
          <t xml:space="preserve">
160624_SDS: Space function updated which changes the baseline LPD</t>
        </r>
      </text>
    </comment>
    <comment ref="M50" authorId="0" shapeId="0" xr:uid="{00000000-0006-0000-0B00-00000E00000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52" authorId="0" shapeId="0" xr:uid="{00000000-0006-0000-0B00-00000F00000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56" authorId="0" shapeId="0" xr:uid="{00000000-0006-0000-0B00-00001000000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I56" authorId="0" shapeId="0" xr:uid="{00000000-0006-0000-0B00-000011000000}">
      <text>
        <r>
          <rPr>
            <b/>
            <sz val="9"/>
            <color indexed="81"/>
            <rFont val="Tahoma"/>
            <family val="2"/>
          </rPr>
          <t>Sandeep:</t>
        </r>
        <r>
          <rPr>
            <sz val="9"/>
            <color indexed="81"/>
            <rFont val="Tahoma"/>
            <family val="2"/>
          </rPr>
          <t xml:space="preserve">
160624_SDS: Space function updated which changes the baseline LPD</t>
        </r>
      </text>
    </comment>
    <comment ref="M56" authorId="0" shapeId="0" xr:uid="{00000000-0006-0000-0B00-00001200000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Ryan</author>
  </authors>
  <commentList>
    <comment ref="C40" authorId="0" shapeId="0" xr:uid="{00000000-0006-0000-0C00-000001000000}">
      <text>
        <r>
          <rPr>
            <b/>
            <sz val="9"/>
            <color indexed="81"/>
            <rFont val="Tahoma"/>
            <family val="2"/>
          </rPr>
          <t>Ryan:</t>
        </r>
        <r>
          <rPr>
            <sz val="9"/>
            <color indexed="81"/>
            <rFont val="Tahoma"/>
            <family val="2"/>
          </rPr>
          <t xml:space="preserve">
Space function update to test tailored method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Sandeep</author>
    <author>JirehPeng</author>
  </authors>
  <commentList>
    <comment ref="K13" authorId="0" shapeId="0" xr:uid="{00000000-0006-0000-0D00-000001000000}">
      <text>
        <r>
          <rPr>
            <b/>
            <sz val="9"/>
            <color indexed="81"/>
            <rFont val="Tahoma"/>
            <family val="2"/>
          </rPr>
          <t>Sandeep:</t>
        </r>
        <r>
          <rPr>
            <sz val="9"/>
            <color indexed="81"/>
            <rFont val="Tahoma"/>
            <family val="2"/>
          </rPr>
          <t xml:space="preserve">
The Proposed Transform does not utilize the PAF, the evaluation for the same has already been made and only the final LPD is relevant</t>
        </r>
      </text>
    </comment>
    <comment ref="B19" authorId="1" shapeId="0" xr:uid="{00000000-0006-0000-0D00-000002000000}">
      <text>
        <r>
          <rPr>
            <b/>
            <sz val="9"/>
            <color indexed="81"/>
            <rFont val="Tahoma"/>
            <family val="2"/>
          </rPr>
          <t>JirehPeng:</t>
        </r>
        <r>
          <rPr>
            <sz val="9"/>
            <color indexed="81"/>
            <rFont val="Tahoma"/>
            <family val="2"/>
          </rPr>
          <t xml:space="preserve">
Was Core_bottom
</t>
        </r>
      </text>
    </comment>
    <comment ref="B44" authorId="1" shapeId="0" xr:uid="{00000000-0006-0000-0D00-000003000000}">
      <text>
        <r>
          <rPr>
            <b/>
            <sz val="9"/>
            <color indexed="81"/>
            <rFont val="Tahoma"/>
            <family val="2"/>
          </rPr>
          <t>JirehPeng:</t>
        </r>
        <r>
          <rPr>
            <sz val="9"/>
            <color indexed="81"/>
            <rFont val="Tahoma"/>
            <family val="2"/>
          </rPr>
          <t xml:space="preserve">
Was Core_bottom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Sandeep</author>
  </authors>
  <commentList>
    <comment ref="H37" authorId="0" shapeId="0" xr:uid="{00000000-0006-0000-0F00-000001000000}">
      <text>
        <r>
          <rPr>
            <b/>
            <sz val="9"/>
            <color indexed="81"/>
            <rFont val="Tahoma"/>
            <family val="2"/>
          </rPr>
          <t>Sandeep:</t>
        </r>
        <r>
          <rPr>
            <sz val="9"/>
            <color indexed="81"/>
            <rFont val="Tahoma"/>
            <family val="2"/>
          </rPr>
          <t xml:space="preserve">
151130: Exterior Lighting system - 'Front_Retail_Task&amp;FloorDisplayLtgSys' with 1,216 W is assigned to Dalit zone - "PrimarySidelit'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Sandeep</author>
    <author>Ryan</author>
  </authors>
  <commentList>
    <comment ref="H21" authorId="0" shapeId="0" xr:uid="{00000000-0006-0000-1000-000001000000}">
      <text>
        <r>
          <rPr>
            <b/>
            <sz val="9"/>
            <color indexed="81"/>
            <rFont val="Tahoma"/>
            <family val="2"/>
          </rPr>
          <t>Sandeep:</t>
        </r>
        <r>
          <rPr>
            <sz val="9"/>
            <color indexed="81"/>
            <rFont val="Tahoma"/>
            <family val="2"/>
          </rPr>
          <t xml:space="preserve">
160706_SDS: System type switched from SPVAC to PTAC to enable correct translation by OS</t>
        </r>
      </text>
    </comment>
    <comment ref="H24" authorId="0" shapeId="0" xr:uid="{00000000-0006-0000-1000-000002000000}">
      <text>
        <r>
          <rPr>
            <b/>
            <sz val="9"/>
            <color indexed="81"/>
            <rFont val="Tahoma"/>
            <family val="2"/>
          </rPr>
          <t>Sandeep:</t>
        </r>
        <r>
          <rPr>
            <sz val="9"/>
            <color indexed="81"/>
            <rFont val="Tahoma"/>
            <family val="2"/>
          </rPr>
          <t xml:space="preserve">
160706_SDS: System type switched from SPVAC to PTAC to enable correct translation by OS</t>
        </r>
      </text>
    </comment>
    <comment ref="H91" authorId="0" shapeId="0" xr:uid="{00000000-0006-0000-1000-00000300000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02" authorId="1" shapeId="0" xr:uid="{00000000-0006-0000-1000-000004000000}">
      <text>
        <r>
          <rPr>
            <b/>
            <sz val="9"/>
            <color indexed="81"/>
            <rFont val="Tahoma"/>
            <family val="2"/>
          </rPr>
          <t>Ryan:</t>
        </r>
        <r>
          <rPr>
            <sz val="9"/>
            <color indexed="81"/>
            <rFont val="Tahoma"/>
            <family val="2"/>
          </rPr>
          <t xml:space="preserve">
CBECC-Com 2019.1.0:
0.78</t>
        </r>
      </text>
    </comment>
    <comment ref="H109" authorId="0" shapeId="0" xr:uid="{00000000-0006-0000-1000-00000500000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09" authorId="0" shapeId="0" xr:uid="{00000000-0006-0000-1000-00000600000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09" authorId="0" shapeId="0" xr:uid="{00000000-0006-0000-1000-00000700000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R109" authorId="0" shapeId="0" xr:uid="{00000000-0006-0000-1000-00000800000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09" authorId="0" shapeId="0" xr:uid="{00000000-0006-0000-1000-00000900000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List>
</comments>
</file>

<file path=xl/sharedStrings.xml><?xml version="1.0" encoding="utf-8"?>
<sst xmlns="http://schemas.openxmlformats.org/spreadsheetml/2006/main" count="24762" uniqueCount="1768">
  <si>
    <t>General Details</t>
  </si>
  <si>
    <t>Model/Software Details</t>
  </si>
  <si>
    <t xml:space="preserve">Test Name </t>
  </si>
  <si>
    <t>Model Revision no.</t>
  </si>
  <si>
    <t>r6055</t>
  </si>
  <si>
    <t>&lt;- when commit model</t>
  </si>
  <si>
    <t>Model File Name</t>
  </si>
  <si>
    <t>Version of Ruleset (Trunk rev. No.)</t>
  </si>
  <si>
    <t>Release package</t>
  </si>
  <si>
    <t xml:space="preserve">Climate Zone </t>
  </si>
  <si>
    <t>CBECC Software</t>
  </si>
  <si>
    <t>CBECC-Com 2019.1.2 Release</t>
  </si>
  <si>
    <t>Date Tested</t>
  </si>
  <si>
    <t xml:space="preserve">Testing Performed by </t>
  </si>
  <si>
    <t>Jireh Peng</t>
  </si>
  <si>
    <t>Ruleset Implementation Tests - Test Specification Status</t>
  </si>
  <si>
    <t>Test No</t>
  </si>
  <si>
    <t>Building Type</t>
  </si>
  <si>
    <t>Test Name</t>
  </si>
  <si>
    <t>Compliance Type</t>
  </si>
  <si>
    <t>Test Category</t>
  </si>
  <si>
    <t>Test Criteria</t>
  </si>
  <si>
    <t>Notes</t>
  </si>
  <si>
    <t>Version 2019.1.2</t>
  </si>
  <si>
    <t>Additional notes</t>
  </si>
  <si>
    <t>Small Office</t>
  </si>
  <si>
    <t>020006-OffSml-Run01</t>
  </si>
  <si>
    <t>NewComplete</t>
  </si>
  <si>
    <t>Exterior Envelope</t>
  </si>
  <si>
    <t>Envelope and window assembly performance</t>
  </si>
  <si>
    <t>020015-OffSml-Run02</t>
  </si>
  <si>
    <t>Small Hotel</t>
  </si>
  <si>
    <t>070015-HotSml-Run03</t>
  </si>
  <si>
    <t>Exterior Envelope, Fenestration and HVAC</t>
  </si>
  <si>
    <t>Envelope and window assembly performance
Ventilation strategies - OA via system, DOAS, natural ventilation and Ventilation induced via exhaust fans.</t>
  </si>
  <si>
    <t>Medium Office</t>
  </si>
  <si>
    <t>030006-OffMed-Run04</t>
  </si>
  <si>
    <t>Envelope minimum requirements</t>
  </si>
  <si>
    <t>Large Office</t>
  </si>
  <si>
    <t>040006-OffLrg-Run05</t>
  </si>
  <si>
    <t>Fenestration</t>
  </si>
  <si>
    <t>Window Wall Ratio (WWR)</t>
  </si>
  <si>
    <t>040006-OffLrg-Run06</t>
  </si>
  <si>
    <t>Warehouse</t>
  </si>
  <si>
    <t>080006-Whse-Run07</t>
  </si>
  <si>
    <t>Skylight</t>
  </si>
  <si>
    <t>Skylight to Roof Ratio (SRR) and Skylight Performance</t>
  </si>
  <si>
    <t>080006-Whse-Run08</t>
  </si>
  <si>
    <t>Skylight to Roof Ratio (SRR) and Daylit Area</t>
  </si>
  <si>
    <t>080006-Whse-Run09</t>
  </si>
  <si>
    <t>SRR and Daylit Area</t>
  </si>
  <si>
    <t>030006-OffMed-Run10</t>
  </si>
  <si>
    <t>Space Function</t>
  </si>
  <si>
    <t>Internal Loads- Complete Bldg method</t>
  </si>
  <si>
    <t>040006-OffLrg-Run11</t>
  </si>
  <si>
    <t>Internal loads - Space-by-Space
VentStd - Other</t>
  </si>
  <si>
    <t>030006-OffMed-Run12</t>
  </si>
  <si>
    <t>Lighting</t>
  </si>
  <si>
    <t>Lighting - tailored lighting method</t>
  </si>
  <si>
    <t>030006-OffMed-Run13</t>
  </si>
  <si>
    <t>020006-OffSml-Run14</t>
  </si>
  <si>
    <t>Lighting - Power Adjustment Factors (PAF) rules</t>
  </si>
  <si>
    <t>080006-Whse-Run15</t>
  </si>
  <si>
    <t>Lighting Control</t>
  </si>
  <si>
    <t>Daylighting</t>
  </si>
  <si>
    <t>Medium Retail</t>
  </si>
  <si>
    <t>050006-RetlMed-Run16</t>
  </si>
  <si>
    <t>Lighting and daylighting</t>
  </si>
  <si>
    <t>040006-OffLrg-Run17</t>
  </si>
  <si>
    <t>Ext.Lighting/SHW</t>
  </si>
  <si>
    <t>Ext. Lighting/SHW</t>
  </si>
  <si>
    <t>Prescriptive Exterior Lighting Compliance not supported</t>
  </si>
  <si>
    <t>020006-OffSml-Run18</t>
  </si>
  <si>
    <t>HVAC</t>
  </si>
  <si>
    <t>HVAC - SZAC
HVAC - HV
HVAC - Furnace
ThrmlZn:HasNoClg feature</t>
  </si>
  <si>
    <t>030006-OffMed-Run19</t>
  </si>
  <si>
    <t>HVAC - PVAV and CRAC
New building w/ shell space:
- ThrmlZn:HasUnknownHVAC'
- Spc:LtgStatus - Future</t>
  </si>
  <si>
    <t>040006-OffLrg-Run20</t>
  </si>
  <si>
    <t>HVAC - VAV and CRAH</t>
  </si>
  <si>
    <t>080006-Whse-Run21</t>
  </si>
  <si>
    <t>HVAC - SZAC and HV</t>
  </si>
  <si>
    <t>Hotel</t>
  </si>
  <si>
    <t>070015-HotSml-Run22</t>
  </si>
  <si>
    <t>HVAC - PVAV, SZAC and FPFC</t>
  </si>
  <si>
    <t>030006-OffMed-Run23</t>
  </si>
  <si>
    <t>ExistingAlteration</t>
  </si>
  <si>
    <t>Window alteration and HVAC replacement 
Existing space w/ unknown HVAC</t>
  </si>
  <si>
    <t>020006-OffSml-Run24</t>
  </si>
  <si>
    <t>Fenestration and HVAC</t>
  </si>
  <si>
    <t xml:space="preserve">Window alteration and HVAC replacement </t>
  </si>
  <si>
    <t>020006-OffSml-Run25</t>
  </si>
  <si>
    <t>Window alteration</t>
  </si>
  <si>
    <t>020006-OffSml-Run26</t>
  </si>
  <si>
    <t>Retail Medium</t>
  </si>
  <si>
    <t>050006-RetlMed-Run27</t>
  </si>
  <si>
    <t>ExistingAddition</t>
  </si>
  <si>
    <t>Addition modeled alone: Envelope performance, window assembly performance and HVAC - SZAC</t>
  </si>
  <si>
    <t>050006-RetlMed-Run28</t>
  </si>
  <si>
    <t>ExistingAdditionAndAlteration</t>
  </si>
  <si>
    <t>Addition modeled with an altered existing building:
Envelope performance, Window Wall Ratio (WWR) and HVAC - SZAC</t>
  </si>
  <si>
    <t>030006-OffMed-Run29</t>
  </si>
  <si>
    <t>NewEnvelope</t>
  </si>
  <si>
    <t>Exterior Envelope and HVAC</t>
  </si>
  <si>
    <t>Envelope and correct assignment of proposed HVAC systems.</t>
  </si>
  <si>
    <t>There are extra  FluidSeg objects in ab model. This is fixed in ticket #3051</t>
  </si>
  <si>
    <t>030006-OffMed-Run30</t>
  </si>
  <si>
    <t>NewMechanicalAndPartialLighting</t>
  </si>
  <si>
    <t>HVAC and Partial Lighting</t>
  </si>
  <si>
    <t>New/exisiting lighting and HVAC - PVAV</t>
  </si>
  <si>
    <t>Key</t>
  </si>
  <si>
    <t>EnergyPlus calculates the Overall U-value of the assemblies using the materials and layers definitions, hence not evaluated.</t>
  </si>
  <si>
    <t>Intermediate values, not directly evaluated</t>
  </si>
  <si>
    <t>CZ-06</t>
  </si>
  <si>
    <t>Value in cell based on a calculation performed within the cell</t>
  </si>
  <si>
    <t>Intermediate values, not directly evaluated, based on a calculation performed within the cell</t>
  </si>
  <si>
    <t>Value of the cell is directly or indirectly dependent on auto-sized properties of the Baseline transform. Refer to the note in the cell or in the column header.</t>
  </si>
  <si>
    <t>Exterior Roofs</t>
  </si>
  <si>
    <t>Aged Thermal Emittance</t>
  </si>
  <si>
    <t>ThrmlAbs</t>
  </si>
  <si>
    <t>Aged Solar Reflectance</t>
  </si>
  <si>
    <t>SolAbs</t>
  </si>
  <si>
    <t>Name</t>
  </si>
  <si>
    <t>Status</t>
  </si>
  <si>
    <t>Occupancy Classification</t>
  </si>
  <si>
    <t>Conditioning Status</t>
  </si>
  <si>
    <t>Assigned Occ Class (Ref)</t>
  </si>
  <si>
    <t>Area</t>
  </si>
  <si>
    <t>Tilt</t>
  </si>
  <si>
    <t>Slope Category</t>
  </si>
  <si>
    <t>Cons Name</t>
  </si>
  <si>
    <t>Construction Type</t>
  </si>
  <si>
    <t>U-Factor</t>
  </si>
  <si>
    <t>Roof</t>
  </si>
  <si>
    <t>Cons</t>
  </si>
  <si>
    <t>Proposed</t>
  </si>
  <si>
    <r>
      <rPr>
        <b/>
        <sz val="11"/>
        <color rgb="FF006100"/>
        <rFont val="Calibri"/>
        <family val="2"/>
        <scheme val="minor"/>
      </rPr>
      <t>One</t>
    </r>
    <r>
      <rPr>
        <sz val="11"/>
        <color rgb="FF006100"/>
        <rFont val="Calibri"/>
        <family val="2"/>
        <scheme val="minor"/>
      </rPr>
      <t xml:space="preserve"> Attic roof from ap "Envelope.csv" Paste here -&gt;&gt;&gt;</t>
    </r>
  </si>
  <si>
    <t>Attic_roof_north</t>
  </si>
  <si>
    <t>New</t>
  </si>
  <si>
    <t>Attic</t>
  </si>
  <si>
    <t>Nonresidential</t>
  </si>
  <si>
    <t>IndirectlyConditioned</t>
  </si>
  <si>
    <t>NonResidential</t>
  </si>
  <si>
    <t>Steep</t>
  </si>
  <si>
    <t>NACM_Roof</t>
  </si>
  <si>
    <t>WoodFramingAndOtherRoof</t>
  </si>
  <si>
    <t>Envelope Components</t>
  </si>
  <si>
    <t>Opaque</t>
  </si>
  <si>
    <t>Exterior Wall</t>
  </si>
  <si>
    <t>Type</t>
  </si>
  <si>
    <t>Construction Assembly Name</t>
  </si>
  <si>
    <t>Construction Assembly Type</t>
  </si>
  <si>
    <t>Overall U value
(Btu/h-°F-ft2)</t>
  </si>
  <si>
    <t>Construction Assembly Thermal emittance
(frac.)</t>
  </si>
  <si>
    <t>Construction Assembly Exterior Thermal Absorptance
(frac.)</t>
  </si>
  <si>
    <t>Construction Assembly  Aged Solar Reflectance
(frac.)</t>
  </si>
  <si>
    <t>Construction Assembly  Exterior Solar Absorptance
(frac.)</t>
  </si>
  <si>
    <t>Azimuth</t>
  </si>
  <si>
    <t>U Factor</t>
  </si>
  <si>
    <t>Window Area</t>
  </si>
  <si>
    <t>ConsAssmRef:Name</t>
  </si>
  <si>
    <t>SlopeType</t>
  </si>
  <si>
    <t>ConsType</t>
  </si>
  <si>
    <t>ConsAssmRef:Ufactor</t>
  </si>
  <si>
    <t>ConsAssmRef:CRRCAgedEmittance</t>
  </si>
  <si>
    <t>ConsAssmRef:ExtThrmlAbs</t>
  </si>
  <si>
    <t>ConsAssmRef:CRRCAgedRefl</t>
  </si>
  <si>
    <t>ConsAssmRef:ExtSolAbs</t>
  </si>
  <si>
    <r>
      <rPr>
        <b/>
        <sz val="11"/>
        <color rgb="FF006100"/>
        <rFont val="Calibri"/>
        <family val="2"/>
        <scheme val="minor"/>
      </rPr>
      <t xml:space="preserve">One </t>
    </r>
    <r>
      <rPr>
        <sz val="11"/>
        <color rgb="FF006100"/>
        <rFont val="Calibri"/>
        <family val="2"/>
        <scheme val="minor"/>
      </rPr>
      <t>exterior wall from ap "Envelope.csv" Paste here -&gt;&gt;&gt;</t>
    </r>
  </si>
  <si>
    <t>Perimeter_ZN_1_wall_south</t>
  </si>
  <si>
    <t>Perimeter_ZN_1</t>
  </si>
  <si>
    <t>DirectlyConditioned</t>
  </si>
  <si>
    <t>NACM_Wood Framed Wall</t>
  </si>
  <si>
    <t>WoodFramingAndOtherWall</t>
  </si>
  <si>
    <t>-</t>
  </si>
  <si>
    <t>Exterior Floor</t>
  </si>
  <si>
    <t>Above-grade Floor</t>
  </si>
  <si>
    <t>NACM_Conc Raised FLr</t>
  </si>
  <si>
    <t>MassFloor</t>
  </si>
  <si>
    <t>NACM_Ext. Soffit</t>
  </si>
  <si>
    <t>OtherFloor</t>
  </si>
  <si>
    <r>
      <rPr>
        <b/>
        <sz val="11"/>
        <color rgb="FF006100"/>
        <rFont val="Calibri"/>
        <family val="2"/>
        <scheme val="minor"/>
      </rPr>
      <t xml:space="preserve">One </t>
    </r>
    <r>
      <rPr>
        <sz val="11"/>
        <color rgb="FF006100"/>
        <rFont val="Calibri"/>
        <family val="2"/>
        <scheme val="minor"/>
      </rPr>
      <t>exterior floor from ap "Envelope.csv" Paste here -&gt;&gt;&gt;</t>
    </r>
  </si>
  <si>
    <t>Perimeter_ZN_1_floor</t>
  </si>
  <si>
    <r>
      <rPr>
        <b/>
        <sz val="11"/>
        <color rgb="FF006100"/>
        <rFont val="Calibri"/>
        <family val="2"/>
        <scheme val="minor"/>
      </rPr>
      <t>One</t>
    </r>
    <r>
      <rPr>
        <sz val="11"/>
        <color rgb="FF006100"/>
        <rFont val="Calibri"/>
        <family val="2"/>
        <scheme val="minor"/>
      </rPr>
      <t xml:space="preserve"> attic soffit from ap "Envelope.csv" Paste here -&gt;&gt;&gt;</t>
    </r>
  </si>
  <si>
    <t>Attic_soffit_north</t>
  </si>
  <si>
    <t>Fenestrations</t>
  </si>
  <si>
    <t>SHGC</t>
  </si>
  <si>
    <t>Visual Transmittance</t>
  </si>
  <si>
    <t>Window</t>
  </si>
  <si>
    <t>FenConsRef:Name</t>
  </si>
  <si>
    <t>FenConsRef:FenProdType</t>
  </si>
  <si>
    <t>FenConsRef:UFactor</t>
  </si>
  <si>
    <t>FenConsRef:SHGC</t>
  </si>
  <si>
    <t>FenConsRef:VT</t>
  </si>
  <si>
    <t>Product Type</t>
  </si>
  <si>
    <t>Cert Method</t>
  </si>
  <si>
    <t>Frame Type</t>
  </si>
  <si>
    <t>Glazing Type</t>
  </si>
  <si>
    <t xml:space="preserve"> U Factor Simulated</t>
  </si>
  <si>
    <t>Inside Convection Coefficient</t>
  </si>
  <si>
    <t>FixedWindow</t>
  </si>
  <si>
    <r>
      <rPr>
        <b/>
        <sz val="11"/>
        <color rgb="FF006100"/>
        <rFont val="Calibri"/>
        <family val="2"/>
        <scheme val="minor"/>
      </rPr>
      <t>One</t>
    </r>
    <r>
      <rPr>
        <sz val="11"/>
        <color rgb="FF006100"/>
        <rFont val="Calibri"/>
        <family val="2"/>
        <scheme val="minor"/>
      </rPr>
      <t xml:space="preserve"> window from ap "Envelope.csv" Paste here -&gt;&gt;&gt;</t>
    </r>
  </si>
  <si>
    <t>Perimeter_ZN_1_wall_south_Window_1</t>
  </si>
  <si>
    <t>NFRCRated</t>
  </si>
  <si>
    <t>- specify -</t>
  </si>
  <si>
    <t>Constructions/Layers</t>
  </si>
  <si>
    <t>Construction Assembly</t>
  </si>
  <si>
    <t>Surface Type</t>
  </si>
  <si>
    <t>Material Layer 1 (CodeItem)</t>
  </si>
  <si>
    <t>Material Layer 2 (CodeItem)</t>
  </si>
  <si>
    <t>Material Layer 3 (CodeItem)</t>
  </si>
  <si>
    <t>Material Layer 4 (CodeItem)</t>
  </si>
  <si>
    <t>Material Layer 5 (CodeItem)</t>
  </si>
  <si>
    <t xml:space="preserve"> Material Layer 6 (CodeItem)</t>
  </si>
  <si>
    <t xml:space="preserve"> Material Layer 7 (CodeItem)</t>
  </si>
  <si>
    <t xml:space="preserve">Layers -1 </t>
  </si>
  <si>
    <t>Layers -2</t>
  </si>
  <si>
    <t>Layers -3</t>
  </si>
  <si>
    <t>Layers -4</t>
  </si>
  <si>
    <t>Layers -5</t>
  </si>
  <si>
    <t>Layers -6</t>
  </si>
  <si>
    <t>Full construction assembly table from ap "Envelope.csv" Paste here -&gt;&gt;&gt;</t>
  </si>
  <si>
    <t>ExteriorWall</t>
  </si>
  <si>
    <t>Stucco - 7/8 in.</t>
  </si>
  <si>
    <t>Building Paper - 1/16 in.</t>
  </si>
  <si>
    <t>Wood framed wall, 16in. OC, 4.0in., R-15</t>
  </si>
  <si>
    <t>Gypsum Board - 1/2 in.</t>
  </si>
  <si>
    <t>CodeItem</t>
  </si>
  <si>
    <t>Asphalt roll roofing - 1/4 in.</t>
  </si>
  <si>
    <t>Hardboard - HDF - 50 lb/ft3 - 3/4 in.</t>
  </si>
  <si>
    <t>Cellular polyisocyanurate (unfaced) - 3 1/2 in. R21</t>
  </si>
  <si>
    <t>NACM_Interior Wall</t>
  </si>
  <si>
    <t>InteriorWall</t>
  </si>
  <si>
    <t>Gypsum Board - 5/8 in.</t>
  </si>
  <si>
    <t>NACM_Drop Ceiling</t>
  </si>
  <si>
    <t>InteriorFloor</t>
  </si>
  <si>
    <t>Acoustic Tile - 3/4 in.</t>
  </si>
  <si>
    <t>Plywood - 3/4 in.</t>
  </si>
  <si>
    <t>Wood framed floor, 16in. OC, 4.0in., R-15</t>
  </si>
  <si>
    <t>ExteriorFloor</t>
  </si>
  <si>
    <t>Concrete - 80 lb/ft3 - 4 in.</t>
  </si>
  <si>
    <t>Metal Deck - 1/16 in.</t>
  </si>
  <si>
    <t>OSB - Oriented Strand Board - 5/8 in.</t>
  </si>
  <si>
    <t>Carpet - 3/4 in.</t>
  </si>
  <si>
    <t>Baseline</t>
  </si>
  <si>
    <r>
      <rPr>
        <b/>
        <sz val="11"/>
        <color rgb="FF9C0006"/>
        <rFont val="Calibri"/>
        <family val="2"/>
        <scheme val="minor"/>
      </rPr>
      <t xml:space="preserve">One </t>
    </r>
    <r>
      <rPr>
        <sz val="11"/>
        <color rgb="FF9C0006"/>
        <rFont val="Calibri"/>
        <family val="2"/>
        <scheme val="minor"/>
      </rPr>
      <t>Attic roof from ab "Envelope.csv" Paste here -&gt;&gt;&gt;</t>
    </r>
  </si>
  <si>
    <t>SteepNonresWoodFramingAndOtherRoofU049</t>
  </si>
  <si>
    <r>
      <rPr>
        <b/>
        <sz val="11"/>
        <color rgb="FF9C0006"/>
        <rFont val="Calibri"/>
        <family val="2"/>
        <scheme val="minor"/>
      </rPr>
      <t xml:space="preserve">One </t>
    </r>
    <r>
      <rPr>
        <sz val="11"/>
        <color rgb="FF9C0006"/>
        <rFont val="Calibri"/>
        <family val="2"/>
        <scheme val="minor"/>
      </rPr>
      <t>exterior wall from ab "Envelope.csv" Paste here -&gt;&gt;&gt;</t>
    </r>
  </si>
  <si>
    <t>MetalFrameWallU069</t>
  </si>
  <si>
    <t>MetalFrameWall</t>
  </si>
  <si>
    <t>OtherFloorU071</t>
  </si>
  <si>
    <r>
      <rPr>
        <b/>
        <sz val="11"/>
        <color rgb="FF9C0006"/>
        <rFont val="Calibri"/>
        <family val="2"/>
        <scheme val="minor"/>
      </rPr>
      <t xml:space="preserve">One </t>
    </r>
    <r>
      <rPr>
        <sz val="11"/>
        <color rgb="FF9C0006"/>
        <rFont val="Calibri"/>
        <family val="2"/>
        <scheme val="minor"/>
      </rPr>
      <t>exterior floor from ab "Envelope.csv" Paste here -&gt;&gt;&gt;</t>
    </r>
  </si>
  <si>
    <r>
      <rPr>
        <b/>
        <sz val="11"/>
        <color rgb="FF9C0006"/>
        <rFont val="Calibri"/>
        <family val="2"/>
        <scheme val="minor"/>
      </rPr>
      <t xml:space="preserve">One </t>
    </r>
    <r>
      <rPr>
        <sz val="11"/>
        <color rgb="FF9C0006"/>
        <rFont val="Calibri"/>
        <family val="2"/>
        <scheme val="minor"/>
      </rPr>
      <t>attic soffit from ab "Envelope.csv" Paste here -&gt;&gt;&gt;</t>
    </r>
  </si>
  <si>
    <r>
      <rPr>
        <b/>
        <sz val="11"/>
        <color rgb="FF9C0006"/>
        <rFont val="Calibri"/>
        <family val="2"/>
        <scheme val="minor"/>
      </rPr>
      <t xml:space="preserve">One </t>
    </r>
    <r>
      <rPr>
        <sz val="11"/>
        <color rgb="FF9C0006"/>
        <rFont val="Calibri"/>
        <family val="2"/>
        <scheme val="minor"/>
      </rPr>
      <t>window from ab "Envelope.csv" Paste here -&gt;&gt;&gt;</t>
    </r>
  </si>
  <si>
    <t>Layers -7</t>
  </si>
  <si>
    <t>Full construction assembly table from ab "Envelope.csv" Paste here -&gt;&gt;&gt;</t>
  </si>
  <si>
    <t>Compliance Insulation R10.06</t>
  </si>
  <si>
    <t>Compliance Insulation R2.00</t>
  </si>
  <si>
    <t>Compliance Insulation R0.20</t>
  </si>
  <si>
    <t>Compliance Insulation R0.10</t>
  </si>
  <si>
    <t>Air - Metal Wall Framing - 16 or 24 in. OC</t>
  </si>
  <si>
    <t>MetalFrameWallInterior</t>
  </si>
  <si>
    <t>Metal Standing Seam - 1/16 in.</t>
  </si>
  <si>
    <t>Compliance Insulation R19.63</t>
  </si>
  <si>
    <t>Compliance Insulation R9.83</t>
  </si>
  <si>
    <t>Plywood - 5/8 in.</t>
  </si>
  <si>
    <t>TypicalPlenumFloorInterior</t>
  </si>
  <si>
    <t>CZ-15</t>
  </si>
  <si>
    <t>One Attic roof from ap "Envelope.csv" Paste here -&gt;&gt;&gt;</t>
  </si>
  <si>
    <t>On/Below Grade Floor F-factor
(Btu/h-°F-ft2)</t>
  </si>
  <si>
    <t xml:space="preserve">Total Perimeter Area
(ft2)
</t>
  </si>
  <si>
    <t>Total Perimeter exposed
(ft)</t>
  </si>
  <si>
    <t>ConsAssmRef:FFactor</t>
  </si>
  <si>
    <t>UndgrFlr:Area</t>
  </si>
  <si>
    <t>UndgrFlr:PerimExposed</t>
  </si>
  <si>
    <t>One exterior wall from ap "Envelope.csv" Paste here -&gt;&gt;&gt;</t>
  </si>
  <si>
    <t>NACM_Metal Framed Wall</t>
  </si>
  <si>
    <t>On/Below Grade Floor</t>
  </si>
  <si>
    <t>NACM_Slab Floor</t>
  </si>
  <si>
    <t>NA (Slab -on grade)</t>
  </si>
  <si>
    <t>One attic soffit from ap "Envelope.csv" Paste here -&gt;&gt;&gt;</t>
  </si>
  <si>
    <t>Underground Floor</t>
  </si>
  <si>
    <t>Slab Type</t>
  </si>
  <si>
    <t>Exposed Perimeter</t>
  </si>
  <si>
    <t>Slab Insulation Orientation</t>
  </si>
  <si>
    <t>Overall 'F' Factor</t>
  </si>
  <si>
    <t>Four perimeter floors from ap "Envelope.csv" Paste here -&gt;&gt;&gt;</t>
  </si>
  <si>
    <t>UnheatedSlab</t>
  </si>
  <si>
    <t>24inHorizontal</t>
  </si>
  <si>
    <t>Perimeter_ZN_2_floor</t>
  </si>
  <si>
    <t>Perimeter_ZN_2</t>
  </si>
  <si>
    <t>Perimeter_ZN_3_floor</t>
  </si>
  <si>
    <t>Perimeter_ZN_3</t>
  </si>
  <si>
    <t>Perimeter_ZN_4_floor</t>
  </si>
  <si>
    <t>Perimeter_ZN_4</t>
  </si>
  <si>
    <t>Expanded Polystyrene - EPS - 3 in. R13</t>
  </si>
  <si>
    <t>Metal framed wall, 16in. OC, 5.5in., R-19</t>
  </si>
  <si>
    <t>One window from ap "Envelope.csv" Paste here -&gt;&gt;&gt;</t>
  </si>
  <si>
    <t>Expanded Polystyrene - EPS - 4 1/16 in. R17</t>
  </si>
  <si>
    <t>Shading Objects</t>
  </si>
  <si>
    <t>ExtShdgObj</t>
  </si>
  <si>
    <t>x</t>
  </si>
  <si>
    <t>Shading Objects on Windows</t>
  </si>
  <si>
    <t>UndergroundFloor</t>
  </si>
  <si>
    <t>One Attic roof from ab "Envelope.csv" Paste here -&gt;&gt;&gt;</t>
  </si>
  <si>
    <t>SteepNonresWoodFramingAndOtherRoofU034</t>
  </si>
  <si>
    <t>One exterior wall from ab "Envelope.csv" Paste here -&gt;&gt;&gt;</t>
  </si>
  <si>
    <t>MetalFrameWallU062</t>
  </si>
  <si>
    <t>OtherFloorU039</t>
  </si>
  <si>
    <t>SlabOnOrBelowGradeF073</t>
  </si>
  <si>
    <t>One attic soffit from ab "Envelope.csv" Paste here -&gt;&gt;&gt;</t>
  </si>
  <si>
    <t>Four perimeter floors from ab "Envelope.csv" Paste here -&gt;&gt;&gt;</t>
  </si>
  <si>
    <t>UNDEFINED</t>
  </si>
  <si>
    <t>None</t>
  </si>
  <si>
    <t>Compliance Insulation R13.99</t>
  </si>
  <si>
    <t>One window from ab "Envelope.csv" Paste here -&gt;&gt;&gt;</t>
  </si>
  <si>
    <t>Compliance Insulation R28.63</t>
  </si>
  <si>
    <t>Compliance Insulation R21.39</t>
  </si>
  <si>
    <t>NO - Shading Objects on Windows</t>
  </si>
  <si>
    <t>Use cell to check if values are verified</t>
  </si>
  <si>
    <t>Low</t>
  </si>
  <si>
    <t>NACM_Mtl Framed Wall</t>
  </si>
  <si>
    <t>NACM_Ext.Conc Raised FLr</t>
  </si>
  <si>
    <t>Window Non-res Fixed</t>
  </si>
  <si>
    <t>Window Res Operable</t>
  </si>
  <si>
    <t>OperableWindow</t>
  </si>
  <si>
    <t>Expanded Polystyrene - EPS - 2 7/16 in. R10</t>
  </si>
  <si>
    <t>Gypsum Board - 3/8 in.</t>
  </si>
  <si>
    <t>Expanded Polystyrene - EPS - 1 7/8 in. R8.0</t>
  </si>
  <si>
    <t>Expanded Polyurethane - 3/4 in. R4.7</t>
  </si>
  <si>
    <t>HVAC Systems</t>
  </si>
  <si>
    <t>Thermal Zone - Floor/Zone</t>
  </si>
  <si>
    <t>AirSystem - Name</t>
  </si>
  <si>
    <t>Relevant Position</t>
  </si>
  <si>
    <t>Type Sim</t>
  </si>
  <si>
    <t>Availability Schedule</t>
  </si>
  <si>
    <t>Design Suppy Air Temperature (Cooling)
(DegF)</t>
  </si>
  <si>
    <t>Design Suppy Air Temperature (Heating)
(DegF)</t>
  </si>
  <si>
    <t>Outside Air Control - Control Type</t>
  </si>
  <si>
    <t>SAT Reset Control (High)</t>
  </si>
  <si>
    <t>SAT Reset Control (Low)</t>
  </si>
  <si>
    <t>Fixed Temperature</t>
  </si>
  <si>
    <t>AirSys:CtrlZnRef</t>
  </si>
  <si>
    <t>AirSys</t>
  </si>
  <si>
    <t>AirSys:Type</t>
  </si>
  <si>
    <t>AirSys:TypeSim</t>
  </si>
  <si>
    <t>AirSys:AvailSchRef</t>
  </si>
  <si>
    <t>AirSys:ClgDsgnSupAirTemp</t>
  </si>
  <si>
    <t>AirSys:HtgDsgnSupAirTemp</t>
  </si>
  <si>
    <t>AirSys:ClgCtrl</t>
  </si>
  <si>
    <t>AirSys:ClRstSupHi</t>
  </si>
  <si>
    <t>AirSys: ClRstSupLow</t>
  </si>
  <si>
    <t>BaseAirSys5</t>
  </si>
  <si>
    <t>Common Areas: Floor 1</t>
  </si>
  <si>
    <t>PVAV</t>
  </si>
  <si>
    <t>OfficeHVACAvail</t>
  </si>
  <si>
    <t>WarmestReset</t>
  </si>
  <si>
    <t>BaseAirSys5-2</t>
  </si>
  <si>
    <t>Common Areas: Floor 2</t>
  </si>
  <si>
    <t>BaseAirSys5-3</t>
  </si>
  <si>
    <t>Common Areas: Floor 3</t>
  </si>
  <si>
    <t>BaseAirSys5-4</t>
  </si>
  <si>
    <t>Common Areas: Floor 4</t>
  </si>
  <si>
    <t>GuestRoom202_205 Thermal Zone</t>
  </si>
  <si>
    <t>2nd Floor DOAS</t>
  </si>
  <si>
    <t>Guest Rooms: Floor 2</t>
  </si>
  <si>
    <t>SZAC</t>
  </si>
  <si>
    <t>ResidentialLivingHVACAvail</t>
  </si>
  <si>
    <t>FixedDualSetpoint</t>
  </si>
  <si>
    <t>Zone System - Name</t>
  </si>
  <si>
    <t>ZnSys:CtrlZnRef</t>
  </si>
  <si>
    <t>ZnSys:Type</t>
  </si>
  <si>
    <t>ZnSys:TypeSim</t>
  </si>
  <si>
    <t>ZnSys:ClgCtrl</t>
  </si>
  <si>
    <t>Residential Units: Levels 1-4</t>
  </si>
  <si>
    <t>Residential Units: FPFC (All)</t>
  </si>
  <si>
    <t>Residential Units: All Floors</t>
  </si>
  <si>
    <t>FPFC</t>
  </si>
  <si>
    <t>NoSATControl</t>
  </si>
  <si>
    <t>Residential Units: Level 4</t>
  </si>
  <si>
    <t>Residential Units: Zonal Exhaust Systems</t>
  </si>
  <si>
    <t>Residential Units: Floor 4</t>
  </si>
  <si>
    <t>Exhaust</t>
  </si>
  <si>
    <t>Cooling Coil - Name</t>
  </si>
  <si>
    <t>Cooling Efficiency
(EER)</t>
  </si>
  <si>
    <t>Cooling Efficiency
(IEER)</t>
  </si>
  <si>
    <t>System Oversizing factor</t>
  </si>
  <si>
    <t xml:space="preserve"> Direct Expansion Cooling Efficiency Temperature Adjustment Curve</t>
  </si>
  <si>
    <t>Direct Expansion Part-Load Efficiency Adjustment Curve</t>
  </si>
  <si>
    <t>Cooling efficiency as a function of indoor coil coil flow</t>
  </si>
  <si>
    <t>CoilClg:SysServed</t>
  </si>
  <si>
    <t>CoilClg</t>
  </si>
  <si>
    <t>CoilClg:Type</t>
  </si>
  <si>
    <t>CoilClg:DXEER</t>
  </si>
  <si>
    <t>CoilClg:DXIEER</t>
  </si>
  <si>
    <t>CoilClg:</t>
  </si>
  <si>
    <t>(DXEIR_fTempCrvRef)</t>
  </si>
  <si>
    <t>(DXEIR_fPLFCrvRef)</t>
  </si>
  <si>
    <t>(DXEIR_fFlowCrvRef)</t>
  </si>
  <si>
    <t>BaseSys5 CoilClg</t>
  </si>
  <si>
    <t>DirectExpansion</t>
  </si>
  <si>
    <t>CoilClgDXEIRRatio_fTwbToadbSI</t>
  </si>
  <si>
    <t>CoilClgDXEIRRatio_fQFrac</t>
  </si>
  <si>
    <t>CoilClgDXSnglEIRRatio_fCFMRatio</t>
  </si>
  <si>
    <t>BaseSys5 CoilClg-2</t>
  </si>
  <si>
    <t>CoilClgDXSEEREIR_fTwbToadbSI</t>
  </si>
  <si>
    <t>CoilClgDXSEEREIRRatio_fQFrac</t>
  </si>
  <si>
    <t>BaseSys5 CoilClg-3</t>
  </si>
  <si>
    <t>CoilClgDXSEEREIR_fTwbToadbSI-2</t>
  </si>
  <si>
    <t>BaseSys5 CoilClg-4</t>
  </si>
  <si>
    <t>Residential Units: FPFC CoilClg (All)</t>
  </si>
  <si>
    <t>ChilledWater</t>
  </si>
  <si>
    <t>DOAS CoilClg</t>
  </si>
  <si>
    <t>CoilClgDXSEEREIR_fTwbToadbSI-3</t>
  </si>
  <si>
    <t>Heating Coil - Name</t>
  </si>
  <si>
    <t>Type / Fuel Source</t>
  </si>
  <si>
    <t>Thermal Efficiency
(Frac)</t>
  </si>
  <si>
    <t>Furnace Fuel Heating Part Load Efficiency Curve</t>
  </si>
  <si>
    <t>CoilHtg:SysServed</t>
  </si>
  <si>
    <t>CoilHtg:</t>
  </si>
  <si>
    <t>CoilHtg:Type</t>
  </si>
  <si>
    <t>CoilHtg:FurnThrmlEff</t>
  </si>
  <si>
    <t>(FurnHIR_fPLRCrvRef)</t>
  </si>
  <si>
    <t>BaseSys5 CoilHtg</t>
  </si>
  <si>
    <t>HotWater</t>
  </si>
  <si>
    <t>BaseSys5 CoilHtg-2</t>
  </si>
  <si>
    <t>BaseSys5 CoilHtg-3</t>
  </si>
  <si>
    <t>BaseSys5 CoilHtg-4</t>
  </si>
  <si>
    <t>(All ReheatCoils)</t>
  </si>
  <si>
    <t>Residential Units: FPFC CoilHtg (All)</t>
  </si>
  <si>
    <t>DOAS CoilHtg</t>
  </si>
  <si>
    <t>Furnace (Natural Gas)</t>
  </si>
  <si>
    <t>CoilHtgFurnFIRRatio_fQRatio</t>
  </si>
  <si>
    <t>Fans - Name</t>
  </si>
  <si>
    <t>Control Method</t>
  </si>
  <si>
    <t>Modeling Method</t>
  </si>
  <si>
    <t>Capacity (Maximum)
(Cfm)</t>
  </si>
  <si>
    <t>Brake Horse Power</t>
  </si>
  <si>
    <t>Overall Fan Efficiency</t>
  </si>
  <si>
    <t>Total Static
(in H2O)</t>
  </si>
  <si>
    <t>Name Plate Horse Power</t>
  </si>
  <si>
    <t>Motor Efficiency</t>
  </si>
  <si>
    <t>Fan:ZnServed</t>
  </si>
  <si>
    <t>Fan:</t>
  </si>
  <si>
    <t>Fan:CtrlMthd</t>
  </si>
  <si>
    <t>Fan:ModelingMthd</t>
  </si>
  <si>
    <t>Fan:MtrBHP</t>
  </si>
  <si>
    <t>Fan:FlowEff</t>
  </si>
  <si>
    <t>Fan:TotStaticPress</t>
  </si>
  <si>
    <t>Fan:MtrHP</t>
  </si>
  <si>
    <t>Fan:MtrEff</t>
  </si>
  <si>
    <t>BaseSys5 Fan</t>
  </si>
  <si>
    <t>VariableSpeedDrive</t>
  </si>
  <si>
    <t>BrakeHorsePower</t>
  </si>
  <si>
    <t>BaseSys5 Fan-2</t>
  </si>
  <si>
    <t>BaseSys5 Fan-3</t>
  </si>
  <si>
    <t>BaseSys5 Fan-4</t>
  </si>
  <si>
    <t xml:space="preserve">Residential Units: Floor1 </t>
  </si>
  <si>
    <t>GuestRoom101_FPFC Fan</t>
  </si>
  <si>
    <t>ConstantVolume</t>
  </si>
  <si>
    <t>GuestRoom102_FPFC Fan</t>
  </si>
  <si>
    <t>GuestRoom103_FPFC Fan</t>
  </si>
  <si>
    <t>GuestRoom104_FPFC Fan</t>
  </si>
  <si>
    <t>GuestRoom105_FPFC Fan</t>
  </si>
  <si>
    <t>Residential Units: Floor2</t>
  </si>
  <si>
    <t>GuestRoom201_FPFC Fan</t>
  </si>
  <si>
    <t>GuestRoom202_205_FPFC Fan</t>
  </si>
  <si>
    <t>GuestRoom206_208_FPFC Fan</t>
  </si>
  <si>
    <t>GuestRoom209_212_FPFC Fan</t>
  </si>
  <si>
    <t>GuestRoom213_FPFC Fan</t>
  </si>
  <si>
    <t>GuestRoom214_FPFC Fan</t>
  </si>
  <si>
    <t>GuestRoom215_218_FPFC Fan</t>
  </si>
  <si>
    <t>GuestRoom219_FPFC Fan</t>
  </si>
  <si>
    <t>GuestRoom220_223_FPFC Fan</t>
  </si>
  <si>
    <t>GuestRoom224_FPFC Fan</t>
  </si>
  <si>
    <t>Residential Units: Floor3</t>
  </si>
  <si>
    <t>GuestRoom301_FPFC Fan</t>
  </si>
  <si>
    <t>GuestRoom302_305_FPFC Fan</t>
  </si>
  <si>
    <t>GuestRoom306_308_FPFC Fan</t>
  </si>
  <si>
    <t>GuestRoom309_312_FPFC Fan</t>
  </si>
  <si>
    <t>GuestRoom313_FPFC Fan</t>
  </si>
  <si>
    <t>GuestRoom314_FPFC Fan</t>
  </si>
  <si>
    <t>GuestRoom315_318_FPFC Fan</t>
  </si>
  <si>
    <t>GuestRoom319_FPFC Fan</t>
  </si>
  <si>
    <t>GuestRoom320_323_FPFC Fan</t>
  </si>
  <si>
    <t>GuestRoom324_FPFC Fan</t>
  </si>
  <si>
    <t>Residential Units: Floor4</t>
  </si>
  <si>
    <t>GuestRoom401_FPFC Fan</t>
  </si>
  <si>
    <t>GuestRoom402_405_FPFC Fan</t>
  </si>
  <si>
    <t>GuestRoom406_408_FPFC Fan</t>
  </si>
  <si>
    <t>GuestRoom409_412_FPFC Fan</t>
  </si>
  <si>
    <t>GuestRoom413_FPFC Fan</t>
  </si>
  <si>
    <t>GuestRoom414_FPFC Fan</t>
  </si>
  <si>
    <t>GuestRoom415_418_FPFC Fan</t>
  </si>
  <si>
    <t>GuestRoom419_FPFC Fan</t>
  </si>
  <si>
    <t>GuestRoom420_423_FPFC Fan</t>
  </si>
  <si>
    <t>GuestRoom424_FPFC Fan</t>
  </si>
  <si>
    <t>GuestRoom401-Exh Fan</t>
  </si>
  <si>
    <t>GuestRoom402_405-Exh Fan</t>
  </si>
  <si>
    <t>GuestRoom406_408-Exh Fan</t>
  </si>
  <si>
    <t>GuestRoom409_412-Exh Fan</t>
  </si>
  <si>
    <t>GuestRoom413-Exh Fan</t>
  </si>
  <si>
    <t>GuestRoom414-Exh Fan</t>
  </si>
  <si>
    <t>GuestRoom415_418-Exh Fan</t>
  </si>
  <si>
    <t>GuestRoom419-Exh Fan</t>
  </si>
  <si>
    <t>GuestRoom420_423-Exh Fan</t>
  </si>
  <si>
    <t>GuestRoom424-Exh Fan</t>
  </si>
  <si>
    <t>DOAS SupFan</t>
  </si>
  <si>
    <t>OA - Control Name</t>
  </si>
  <si>
    <t>Economizer Control</t>
  </si>
  <si>
    <t>Economizer Integration</t>
  </si>
  <si>
    <t>OACtrl:EconoCtrlMthd</t>
  </si>
  <si>
    <t>OACtrl:EconoIntegration</t>
  </si>
  <si>
    <t>BaseSys5 OACtrl</t>
  </si>
  <si>
    <t>DifferentialDryBulb</t>
  </si>
  <si>
    <t>Integrated</t>
  </si>
  <si>
    <t>BaseSys5 OACtrl-2</t>
  </si>
  <si>
    <t>BaseSys5 OACtrl-3</t>
  </si>
  <si>
    <t>BaseSys5 OACtrl-4</t>
  </si>
  <si>
    <t>DOAS OACtrl</t>
  </si>
  <si>
    <t>NoEconomizer</t>
  </si>
  <si>
    <t>Undefined</t>
  </si>
  <si>
    <t>Ventilation and Thermostat schedules</t>
  </si>
  <si>
    <t>Thermal Zone - Name</t>
  </si>
  <si>
    <t>Conditioning Type</t>
  </si>
  <si>
    <t>Space Floor Area
(ft2)</t>
  </si>
  <si>
    <t>Ventilation Source</t>
  </si>
  <si>
    <t>Specification Method</t>
  </si>
  <si>
    <t>Control</t>
  </si>
  <si>
    <t>People Density
(ppl/1000ft2)</t>
  </si>
  <si>
    <t>People 
(total number)</t>
  </si>
  <si>
    <t>Simulated VentPerPerson (cfm/person)</t>
  </si>
  <si>
    <t>Simulated VentPerArea
(cfm/ft2)</t>
  </si>
  <si>
    <t>Calculated Ventilation (cfm)</t>
  </si>
  <si>
    <t>Cooling Thermostat Setpoint</t>
  </si>
  <si>
    <t>Heating Thermostat Setpoint</t>
  </si>
  <si>
    <t>ThrmlZn</t>
  </si>
  <si>
    <t>ThrmlZn:Type</t>
  </si>
  <si>
    <t>ThrmlZn:VentSrc</t>
  </si>
  <si>
    <t>(VentSpecMthd)</t>
  </si>
  <si>
    <t>(VentCtrlMthd)</t>
  </si>
  <si>
    <t>OccDens</t>
  </si>
  <si>
    <t>ThrmlZn:VentPerPersonSim</t>
  </si>
  <si>
    <t>ThrmlZn:VentPerAreaSim</t>
  </si>
  <si>
    <t>ThrmlZn:ClgTstatSchRef</t>
  </si>
  <si>
    <t>ThrmlZn:HtgTstatSchRef</t>
  </si>
  <si>
    <t>CorridorFlr1 Thermal Zone</t>
  </si>
  <si>
    <t>Conditioned</t>
  </si>
  <si>
    <t>Forced</t>
  </si>
  <si>
    <t>Maximum</t>
  </si>
  <si>
    <t>Fixed</t>
  </si>
  <si>
    <t>OfficeClgSetpt</t>
  </si>
  <si>
    <t>OfficeHtgSetpt</t>
  </si>
  <si>
    <t>CorridorFlr2 Thermal Zone</t>
  </si>
  <si>
    <t>CorridorFlr3 Thermal Zone</t>
  </si>
  <si>
    <t>CorridorFlr4 Thermal Zone</t>
  </si>
  <si>
    <t>EmployeeLoungeFlr1 Thermal Zone</t>
  </si>
  <si>
    <t>ExerciseCenterFlr1 Thermal Zone</t>
  </si>
  <si>
    <t>FrontLoungeFlr1 Thermal Zone</t>
  </si>
  <si>
    <t>CO2Sensors</t>
  </si>
  <si>
    <t>FrontOfficeFlr1 Thermal Zone</t>
  </si>
  <si>
    <t>LaundryRoomFlr1 Thermal Zone</t>
  </si>
  <si>
    <t>MechanicalRoomFlr1 Thermal Zone</t>
  </si>
  <si>
    <t>MeetingRoomFlr1 Thermal Zone</t>
  </si>
  <si>
    <t>FrontStairsFlr1 Thermal Zone</t>
  </si>
  <si>
    <t>FrontStairsFlr2 Thermal Zone</t>
  </si>
  <si>
    <t>FrontStairsFlr3 Thermal Zone</t>
  </si>
  <si>
    <t>FrontStairsFlr4 Thermal Zone</t>
  </si>
  <si>
    <t>FrontStorageFlr1 Thermal Zone</t>
  </si>
  <si>
    <t>FrontStorageFlr2 Thermal Zone</t>
  </si>
  <si>
    <t>FrontStorageFlr3 Thermal Zone</t>
  </si>
  <si>
    <t>FrontStorageFlr4 Thermal Zone</t>
  </si>
  <si>
    <t>RearStairsFlr1 Thermal Zone</t>
  </si>
  <si>
    <t>RearStairsFlr2 Thermal Zone</t>
  </si>
  <si>
    <t>RearStairsFlr3 Thermal Zone</t>
  </si>
  <si>
    <t>RearStairsFlr4 Thermal Zone</t>
  </si>
  <si>
    <t>RearStorageFlr1 Thermal Zone</t>
  </si>
  <si>
    <t>RearStorageFlr2 Thermal Zone</t>
  </si>
  <si>
    <t>RearStorageFlr3 Thermal Zone</t>
  </si>
  <si>
    <t>RearStorageFlr4 Thermal Zone</t>
  </si>
  <si>
    <t>RestroomFlr1 Thermal Zone</t>
  </si>
  <si>
    <t>Space Name</t>
  </si>
  <si>
    <t>Number of Residential Living or Hotel/Motel units in a modeled space</t>
  </si>
  <si>
    <t>Simulated VentFlow
(cfm)</t>
  </si>
  <si>
    <t>Infiltration Method</t>
  </si>
  <si>
    <t>Required Ventilation - Simulated as Infiltration (cfm)</t>
  </si>
  <si>
    <t>Infiltration Schedule</t>
  </si>
  <si>
    <t>Exhaust Flow (cfm)</t>
  </si>
  <si>
    <t>Spc:Name</t>
  </si>
  <si>
    <t>SpcFunc</t>
  </si>
  <si>
    <t>ThrmlZn:Name</t>
  </si>
  <si>
    <t>Spc:ResLivingUnitCnt</t>
  </si>
  <si>
    <t>ThrmlZn:VentFlow</t>
  </si>
  <si>
    <t>(InfMthd index="1")</t>
  </si>
  <si>
    <t>(DsgnInfRt index="1")</t>
  </si>
  <si>
    <t>(InfSchRef index="1")</t>
  </si>
  <si>
    <t>GuestRoom101</t>
  </si>
  <si>
    <t>Hotel/Motel Guest Room</t>
  </si>
  <si>
    <t>GuestRoom101 Thermal Zone</t>
  </si>
  <si>
    <t>ResidentialLivingClgSetpt</t>
  </si>
  <si>
    <t>ResidentialLivingHtgSetpt</t>
  </si>
  <si>
    <t>GuestRoom102</t>
  </si>
  <si>
    <t>GuestRoom102 Thermal Zone</t>
  </si>
  <si>
    <t>GuestRoom103</t>
  </si>
  <si>
    <t>GuestRoom103 Thermal Zone</t>
  </si>
  <si>
    <t>GuestRoom104</t>
  </si>
  <si>
    <t>GuestRoom104 Thermal Zone</t>
  </si>
  <si>
    <t>GuestRoom105</t>
  </si>
  <si>
    <t>GuestRoom105 Thermal Zone</t>
  </si>
  <si>
    <t>GuestRoom201</t>
  </si>
  <si>
    <t>GuestRoom201 Thermal Zone</t>
  </si>
  <si>
    <t>GuestRoom202_205</t>
  </si>
  <si>
    <t>GuestRoom206_208</t>
  </si>
  <si>
    <t>GuestRoom206_208 Thermal Zone</t>
  </si>
  <si>
    <t>GuestRoom209_212</t>
  </si>
  <si>
    <t>GuestRoom209_212 Thermal Zone</t>
  </si>
  <si>
    <t>GuestRoom213</t>
  </si>
  <si>
    <t>GuestRoom213 Thermal Zone</t>
  </si>
  <si>
    <t>GuestRoom214</t>
  </si>
  <si>
    <t>GuestRoom214 Thermal Zone</t>
  </si>
  <si>
    <t>GuestRoom215_218</t>
  </si>
  <si>
    <t>GuestRoom215_218 Thermal Zone</t>
  </si>
  <si>
    <t>GuestRoom219</t>
  </si>
  <si>
    <t>GuestRoom219 Thermal Zone</t>
  </si>
  <si>
    <t>GuestRoom220_223</t>
  </si>
  <si>
    <t>GuestRoom220_223 Thermal Zone</t>
  </si>
  <si>
    <t>GuestRoom224</t>
  </si>
  <si>
    <t>GuestRoom224 Thermal Zone</t>
  </si>
  <si>
    <t>GuestRoom301</t>
  </si>
  <si>
    <t>GuestRoom301 Thermal Zone</t>
  </si>
  <si>
    <t>Natural</t>
  </si>
  <si>
    <t>FlowSpace</t>
  </si>
  <si>
    <t>GuestRoom302_305</t>
  </si>
  <si>
    <t>GuestRoom302_305 Thermal Zone</t>
  </si>
  <si>
    <t>GuestRoom306_308</t>
  </si>
  <si>
    <t>GuestRoom306_308 Thermal Zone</t>
  </si>
  <si>
    <t>GuestRoom309_312</t>
  </si>
  <si>
    <t>GuestRoom309_312 Thermal Zone</t>
  </si>
  <si>
    <t>GuestRoom313</t>
  </si>
  <si>
    <t>GuestRoom313 Thermal Zone</t>
  </si>
  <si>
    <t>GuestRoom314</t>
  </si>
  <si>
    <t>GuestRoom314 Thermal Zone</t>
  </si>
  <si>
    <t>GuestRoom315_318</t>
  </si>
  <si>
    <t>GuestRoom315_318 Thermal Zone</t>
  </si>
  <si>
    <t>GuestRoom319</t>
  </si>
  <si>
    <t>GuestRoom319 Thermal Zone</t>
  </si>
  <si>
    <t>GuestRoom320_323</t>
  </si>
  <si>
    <t>GuestRoom320_323 Thermal Zone</t>
  </si>
  <si>
    <t>GuestRoom324</t>
  </si>
  <si>
    <t>GuestRoom324 Thermal Zone</t>
  </si>
  <si>
    <t>GuestRoom401</t>
  </si>
  <si>
    <t>GuestRoom401 Thermal Zone</t>
  </si>
  <si>
    <t>GuestRoom402_405</t>
  </si>
  <si>
    <t>GuestRoom402_405 Thermal Zone</t>
  </si>
  <si>
    <t>GuestRoom406_408</t>
  </si>
  <si>
    <t>GuestRoom406_408 Thermal Zone</t>
  </si>
  <si>
    <t>GuestRoom409_412</t>
  </si>
  <si>
    <t>GuestRoom409_412 Thermal Zone</t>
  </si>
  <si>
    <t>GuestRoom413</t>
  </si>
  <si>
    <t>GuestRoom413 Thermal Zone</t>
  </si>
  <si>
    <t>GuestRoom414</t>
  </si>
  <si>
    <t>GuestRoom414 Thermal Zone</t>
  </si>
  <si>
    <t>GuestRoom415_418</t>
  </si>
  <si>
    <t>GuestRoom415_418 Thermal Zone</t>
  </si>
  <si>
    <t>GuestRoom419</t>
  </si>
  <si>
    <t>GuestRoom419 Thermal Zone</t>
  </si>
  <si>
    <t>GuestRoom420_423</t>
  </si>
  <si>
    <t>GuestRoom420_423 Thermal Zone</t>
  </si>
  <si>
    <t>GuestRoom424</t>
  </si>
  <si>
    <t>GuestRoom424 Thermal Zone</t>
  </si>
  <si>
    <t>Boiler Components</t>
  </si>
  <si>
    <t>Number of boilers</t>
  </si>
  <si>
    <t>Boiler Capacity
(Btu/h)</t>
  </si>
  <si>
    <t>Boiler Efficiency</t>
  </si>
  <si>
    <t>Boiler Type</t>
  </si>
  <si>
    <t>Boiler performance curve</t>
  </si>
  <si>
    <t>Boiler Min Unloading Ratio</t>
  </si>
  <si>
    <t>Blr:CapRtd</t>
  </si>
  <si>
    <t>Blr:ThrmlEff</t>
  </si>
  <si>
    <t>Blr:Type</t>
  </si>
  <si>
    <t>(HIR_fPLRCrvRef)</t>
  </si>
  <si>
    <t>Blr:UnldRatMin</t>
  </si>
  <si>
    <t>Hot Water</t>
  </si>
  <si>
    <t>BlrHWBlrFIRRatio_fQRatioSI</t>
  </si>
  <si>
    <t>HVAC Systems_Primary</t>
  </si>
  <si>
    <t>Chiller - Name</t>
  </si>
  <si>
    <t>Fluid System Name</t>
  </si>
  <si>
    <t>Chiller Type</t>
  </si>
  <si>
    <t>Chiller Fuel Type</t>
  </si>
  <si>
    <t>Condenser Type</t>
  </si>
  <si>
    <t>Chiller Capacity 
(Btu/h)</t>
  </si>
  <si>
    <t>Chiller Efficiency
(COP)</t>
  </si>
  <si>
    <t>Chiller Part-Load Efficiency (IPLV)</t>
  </si>
  <si>
    <t>Chiller Min Unloading Ratio</t>
  </si>
  <si>
    <t>Chlr:Type</t>
  </si>
  <si>
    <t>Chlr:FuelSrc</t>
  </si>
  <si>
    <t>Chlr:CndsrType</t>
  </si>
  <si>
    <t>Chlr:CapRtd</t>
  </si>
  <si>
    <t>Chlr:COP</t>
  </si>
  <si>
    <t>Chlr:IPLVkWPerTon</t>
  </si>
  <si>
    <t>Chlr:UnldRatMin</t>
  </si>
  <si>
    <t>Base Chlr</t>
  </si>
  <si>
    <t>BaseChWSystem</t>
  </si>
  <si>
    <t>Screw</t>
  </si>
  <si>
    <t>Electric</t>
  </si>
  <si>
    <t>Fluid</t>
  </si>
  <si>
    <t>Chiller Cooling Capacity Adjustment Curve</t>
  </si>
  <si>
    <t>Electric Chiller Cooling Efficiency fPLR Curves</t>
  </si>
  <si>
    <t>Electric Chiller Cooling Efficiency fTemperature Curves</t>
  </si>
  <si>
    <t>Chilled Water Supply Temperature</t>
  </si>
  <si>
    <t>Chilled Water ReturnTemperature</t>
  </si>
  <si>
    <t>(Cap_fTempCrvRef)</t>
  </si>
  <si>
    <t>(EIR_fPLRCrvRef)</t>
  </si>
  <si>
    <t>(EIR_fTempCrvRef)</t>
  </si>
  <si>
    <t>(LvgTempDsgn)</t>
  </si>
  <si>
    <t>(EntTempDsgn)</t>
  </si>
  <si>
    <t>ChlrWtrPosDispPathBAllQRatio_fTchwsTcwsSI</t>
  </si>
  <si>
    <t>ChlrWtrPosDispPathBAllEIRRatio_fQRatio</t>
  </si>
  <si>
    <t>ChlrWtrPosDispPathBAllEIRRatio_fTchwsTcwsSI</t>
  </si>
  <si>
    <t>44 F</t>
  </si>
  <si>
    <t>64 (20 F Delta temperature)</t>
  </si>
  <si>
    <t>Pump - Name</t>
  </si>
  <si>
    <t>Serving Equipment</t>
  </si>
  <si>
    <t>Operation Control Type</t>
  </si>
  <si>
    <t>Speed Control Type</t>
  </si>
  <si>
    <t>Design Flow Rate
(gpm)</t>
  </si>
  <si>
    <t xml:space="preserve">Pump Power
kW (W/gpm) </t>
  </si>
  <si>
    <t>Pump NamePlate HP</t>
  </si>
  <si>
    <t>Head
(ft. H20)</t>
  </si>
  <si>
    <t>Pump Motor Efficiency</t>
  </si>
  <si>
    <t>Pump Impeller Efficiency</t>
  </si>
  <si>
    <t>Pump Power Part-load Curve</t>
  </si>
  <si>
    <t>Pump:OperCtrl</t>
  </si>
  <si>
    <t>Pump:SpdCtrl</t>
  </si>
  <si>
    <t>Pump:FlowCap</t>
  </si>
  <si>
    <t>Pump:Pwr</t>
  </si>
  <si>
    <t>Pump:MtrHP</t>
  </si>
  <si>
    <t>Pump:TotHd</t>
  </si>
  <si>
    <t>Pump:MtrEff</t>
  </si>
  <si>
    <t>Pump:ImpellerEff</t>
  </si>
  <si>
    <t>(Pwr_fPLRCrvRef)</t>
  </si>
  <si>
    <t>Base HW Pump</t>
  </si>
  <si>
    <t>Base Blr</t>
  </si>
  <si>
    <t>OnDemand</t>
  </si>
  <si>
    <t>ConstantSpeed</t>
  </si>
  <si>
    <t>Base HW Pump-2</t>
  </si>
  <si>
    <t>Base Blr-2</t>
  </si>
  <si>
    <t>Base CW Pump</t>
  </si>
  <si>
    <t>Base Tower</t>
  </si>
  <si>
    <t>Base ChW Pump</t>
  </si>
  <si>
    <t>VariableSpeed</t>
  </si>
  <si>
    <t>PumpVSDRstEPPwrRatio_fGPMRatio</t>
  </si>
  <si>
    <t>Cooling Tower - Name</t>
  </si>
  <si>
    <t>Cooling Tower -Type</t>
  </si>
  <si>
    <t>Capacity Control</t>
  </si>
  <si>
    <t>Rated Capacity</t>
  </si>
  <si>
    <t>Condenser Water Flow Rate
(gpm)</t>
  </si>
  <si>
    <t>Total Fan 
(HP)</t>
  </si>
  <si>
    <t>Cooling Tower Power Adjustment Curve</t>
  </si>
  <si>
    <t>HtRej:Type</t>
  </si>
  <si>
    <t>HtRej:ModCtrl</t>
  </si>
  <si>
    <t>HtRej:CapRtd</t>
  </si>
  <si>
    <t>HtRej:WtrFlowCap</t>
  </si>
  <si>
    <t>HtRej:TotFanHP</t>
  </si>
  <si>
    <t>BaseCWSystem</t>
  </si>
  <si>
    <t>OpenTower</t>
  </si>
  <si>
    <t>HtRejVSDFanPwrRatio_fQRatio</t>
  </si>
  <si>
    <t>Non-Residential Roof</t>
  </si>
  <si>
    <t>FlatNonresWoodFramingAndOtherRoofU034</t>
  </si>
  <si>
    <t>Residential Roof</t>
  </si>
  <si>
    <t>FlatResWoodFramingAndOtherRoofU028</t>
  </si>
  <si>
    <t>NonResidential - Exterior Wall</t>
  </si>
  <si>
    <t>Residential - Exterior Wall</t>
  </si>
  <si>
    <t>MetalFrameWallU048</t>
  </si>
  <si>
    <t>Residential and NonResidential - Above-grade Floor</t>
  </si>
  <si>
    <t>Window Non-res Fixed/Window Res Operable</t>
  </si>
  <si>
    <t>Stucco 7/8 in.</t>
  </si>
  <si>
    <t>Compliance Insulation R14.60</t>
  </si>
  <si>
    <t>NonResidential - Roof</t>
  </si>
  <si>
    <t>Residential - Roof</t>
  </si>
  <si>
    <t>Compliance Insulation R34.93</t>
  </si>
  <si>
    <t>Residential Units: PTAC (All)</t>
  </si>
  <si>
    <t>PTAC</t>
  </si>
  <si>
    <t>CoilClgDXDblEIRRatio_fCFMRatio</t>
  </si>
  <si>
    <t>CoilClgDXStdSEER13EIR_fTwbToadbSI</t>
  </si>
  <si>
    <t>BaseAirSys1</t>
  </si>
  <si>
    <t>Residential Units: BaseSys1 CoilClg (All)</t>
  </si>
  <si>
    <t>BaseSys5 (All ReheatCoils)</t>
  </si>
  <si>
    <t>Residential Units: BaseSys1 CoilHtg (All)</t>
  </si>
  <si>
    <t>Furnace</t>
  </si>
  <si>
    <t>Fan Power Index</t>
  </si>
  <si>
    <t>Fan:PwrIdx</t>
  </si>
  <si>
    <t>BaseSys1 Fan</t>
  </si>
  <si>
    <t>BaseSys1 Fan-2</t>
  </si>
  <si>
    <t>BaseSys1 Fan-3</t>
  </si>
  <si>
    <t>BaseSys1 Fan-4</t>
  </si>
  <si>
    <t>BaseSys1 Fan-5</t>
  </si>
  <si>
    <t>BaseSys1 Fan-6</t>
  </si>
  <si>
    <t>BaseSys1 Fan-7</t>
  </si>
  <si>
    <t>BaseSys1 Fan-8</t>
  </si>
  <si>
    <t>BaseSys1 Fan-9</t>
  </si>
  <si>
    <t>BaseSys1 Fan-10</t>
  </si>
  <si>
    <t>BaseSys1 Fan-11</t>
  </si>
  <si>
    <t>BaseSys1 Fan-12</t>
  </si>
  <si>
    <t>BaseSys1 Fan-13</t>
  </si>
  <si>
    <t>BaseSys1 Fan-14</t>
  </si>
  <si>
    <t>BaseSys1 Fan-15</t>
  </si>
  <si>
    <t>BaseSys1 Fan-16</t>
  </si>
  <si>
    <t>BaseSys1 Fan-17</t>
  </si>
  <si>
    <t>BaseSys1 Fan-18</t>
  </si>
  <si>
    <t>BaseSys1 Fan-19</t>
  </si>
  <si>
    <t>BaseSys1 Fan-20</t>
  </si>
  <si>
    <t>BaseSys1 Fan-21</t>
  </si>
  <si>
    <t>BaseSys1 Fan-22</t>
  </si>
  <si>
    <t>BaseSys1 Fan-23</t>
  </si>
  <si>
    <t>BaseSys1 Fan-24</t>
  </si>
  <si>
    <t>BaseSys1 Fan-25</t>
  </si>
  <si>
    <t>BaseSys1 Fan-26</t>
  </si>
  <si>
    <t>BaseSys1 Fan-27</t>
  </si>
  <si>
    <t>BaseSys1 Fan-28</t>
  </si>
  <si>
    <t>BaseSys1 Fan-29</t>
  </si>
  <si>
    <t>BaseSys1 Fan-30</t>
  </si>
  <si>
    <t>BaseSys1 Fan-31</t>
  </si>
  <si>
    <t>BaseSys1 Fan-32</t>
  </si>
  <si>
    <t>BaseSys1 Fan-33</t>
  </si>
  <si>
    <t>BaseSys1 Fan-34</t>
  </si>
  <si>
    <t>BaseSys1 Fan-35</t>
  </si>
  <si>
    <t>Ventilation and Thermostat Schedules</t>
  </si>
  <si>
    <t>Required Ventilation - Simulated as Infiltration  (cfm)</t>
  </si>
  <si>
    <t>Spc:SpcFunc</t>
  </si>
  <si>
    <t>ResidentialLivingInfiltration</t>
  </si>
  <si>
    <t>Building Geometry</t>
  </si>
  <si>
    <t>&lt;&lt;&lt;- ChkCode.ibd-Detail ConsAssm</t>
  </si>
  <si>
    <t>Expanded Polystyrene - EPS - 3/4 in. R3.1</t>
  </si>
  <si>
    <t>&lt;&lt;&lt;- AnalysisResults.xml</t>
  </si>
  <si>
    <t>Simulation</t>
  </si>
  <si>
    <t>Error: The area weigted average u-factor of new Metal Frame Walls in the project. '0.189', exceed the maximum allaowable value, '0.151', violating Section 120.7. evaluating rule: Set CHECKCODE Proj:MtlFrmWallUFac[7] (15:'ContructAssembly.rule' line 6413)</t>
  </si>
  <si>
    <t>Simulation Aborts</t>
  </si>
  <si>
    <t>&lt;&lt;&lt;- batch run log</t>
  </si>
  <si>
    <t xml:space="preserve">040006-OffLrg-Run05 </t>
  </si>
  <si>
    <t>Window to New Wall Ratio</t>
  </si>
  <si>
    <t>Overall WWR
(Frac)</t>
  </si>
  <si>
    <t>North WWR
(Frac)</t>
  </si>
  <si>
    <t>East WWR
(Frac)</t>
  </si>
  <si>
    <t>South WWR
(Frac)</t>
  </si>
  <si>
    <t>West WWR
(Frac)</t>
  </si>
  <si>
    <t>Bldg. WWR</t>
  </si>
  <si>
    <t>North WWR</t>
  </si>
  <si>
    <t>East WWR</t>
  </si>
  <si>
    <t>South WWR</t>
  </si>
  <si>
    <t>West WWR</t>
  </si>
  <si>
    <t>CondWWR</t>
  </si>
  <si>
    <t>NorthCondWWR</t>
  </si>
  <si>
    <t>EastCondWWR</t>
  </si>
  <si>
    <t>SouthCondWWR</t>
  </si>
  <si>
    <t>WestCondWWR</t>
  </si>
  <si>
    <t>(frac.)</t>
  </si>
  <si>
    <t>WWR from ap "Envelope.csv" Paste here -&gt;&gt;&gt;</t>
  </si>
  <si>
    <t xml:space="preserve">040006-OffLrg-Run06 </t>
  </si>
  <si>
    <t>Skylight to Roof Ratio (SRR)</t>
  </si>
  <si>
    <t>Display Perimeter\SRR</t>
  </si>
  <si>
    <t>West</t>
  </si>
  <si>
    <t>Total</t>
  </si>
  <si>
    <t>Skylight to Roof Ratio from ap "Envelope.csv" Paste here -&gt;&gt;&gt;</t>
  </si>
  <si>
    <t>Skylight to Roof Ratio
(Frac)</t>
  </si>
  <si>
    <t>Skylight Curb</t>
  </si>
  <si>
    <t>Skylight Glazing</t>
  </si>
  <si>
    <t>CondSRR</t>
  </si>
  <si>
    <t>FenConsRef:SkyltCurb</t>
  </si>
  <si>
    <t>FenConsRef:SkyltGlz</t>
  </si>
  <si>
    <t>FenConsRef:Ufactor</t>
  </si>
  <si>
    <t>Space</t>
  </si>
  <si>
    <t>Exterior Roof</t>
  </si>
  <si>
    <t>CurbMounted</t>
  </si>
  <si>
    <t>Glass</t>
  </si>
  <si>
    <t>Curb</t>
  </si>
  <si>
    <t>Glazing</t>
  </si>
  <si>
    <t>One skylight from ap "Envelope.csv" Paste here -&gt;&gt;&gt;</t>
  </si>
  <si>
    <t>Sub Surface 1001</t>
  </si>
  <si>
    <t>Fine Storage Roof</t>
  </si>
  <si>
    <t>Sky-light</t>
  </si>
  <si>
    <t>Skylight to Roof Ratio from ab "Envelope.csv" Paste here -&gt;&gt;&gt;</t>
  </si>
  <si>
    <t>Skylights</t>
  </si>
  <si>
    <t>One skylight from ab "Envelope.csv" Paste here -&gt;&gt;&gt;</t>
  </si>
  <si>
    <t>Space Daylighting</t>
  </si>
  <si>
    <t>Daylight Area</t>
  </si>
  <si>
    <t>Daylight Control Type</t>
  </si>
  <si>
    <t>Total Floor Area
(ft2)</t>
  </si>
  <si>
    <t>Skylit Daylit Area
(ft2)</t>
  </si>
  <si>
    <t>Skylit Daylighting Control Lighting Fraction
(frac)</t>
  </si>
  <si>
    <t>Skylit Zone</t>
  </si>
  <si>
    <t>Primary Sidelit Daylit Zone</t>
  </si>
  <si>
    <t>Secondary Sidelit Daylit Zone</t>
  </si>
  <si>
    <t>Spc:DayltgCtrlType</t>
  </si>
  <si>
    <t>FlrArea</t>
  </si>
  <si>
    <t>SkylitDaylitArea</t>
  </si>
  <si>
    <t>SkylitDayltgCtrlLtgFrac</t>
  </si>
  <si>
    <t>Floor Area</t>
  </si>
  <si>
    <t>Control Type</t>
  </si>
  <si>
    <t>MinDayltg per 140.3c</t>
  </si>
  <si>
    <t>Min. Dim. Ltg. Frac.</t>
  </si>
  <si>
    <t>Min Dim. Pwr. Frac.</t>
  </si>
  <si>
    <t>Switched # Ctrl. Steps</t>
  </si>
  <si>
    <t>Daylit Area</t>
  </si>
  <si>
    <t>Controlled Watts</t>
  </si>
  <si>
    <t>Control Fraction</t>
  </si>
  <si>
    <t>Illuminance Set Pt</t>
  </si>
  <si>
    <t>Illum Set Pt Adj Factor</t>
  </si>
  <si>
    <t>Adj Illum. Set Point</t>
  </si>
  <si>
    <t>Ref Pt Coord [1]</t>
  </si>
  <si>
    <t>Ref Pt Coord [2]</t>
  </si>
  <si>
    <t>Ref Pt Coord [3]</t>
  </si>
  <si>
    <t>Zone1 Office</t>
  </si>
  <si>
    <t>Office (Greater than 250 square feet in floor area)</t>
  </si>
  <si>
    <t>Continuous</t>
  </si>
  <si>
    <t>Space Daylighting table from ap "SpcLoadsElec.csv" Paste here -&gt;&gt;&gt;</t>
  </si>
  <si>
    <t>Office Area (Open plan office)</t>
  </si>
  <si>
    <t>Zone2 Fine Storage</t>
  </si>
  <si>
    <t>Commercial and Industrial Storage Areas (conditioned or unconditioned)</t>
  </si>
  <si>
    <t>Commercial/Industrial Storage (Warehouse)</t>
  </si>
  <si>
    <t>Zone3 Bulk Storage</t>
  </si>
  <si>
    <t>Space Daylighting table from ab "SpcLoadsElec.csv" Paste here -&gt;&gt;&gt;</t>
  </si>
  <si>
    <t>vvv Insert below</t>
  </si>
  <si>
    <t>Internal Load Components</t>
  </si>
  <si>
    <t>Space Interior Loads Electric Use Report</t>
  </si>
  <si>
    <t>Regulated</t>
  </si>
  <si>
    <t>Non-Regulated</t>
  </si>
  <si>
    <t>Occupancy Density - Schedule Name</t>
  </si>
  <si>
    <t>Sensible Heat/person
(Btu/h-person)</t>
  </si>
  <si>
    <t>Latent Heat/person
(Btu/h-person)</t>
  </si>
  <si>
    <t>Lighting Power Density
(W/ft2)</t>
  </si>
  <si>
    <t>LPD - Schedule Name</t>
  </si>
  <si>
    <t>Equipment Power Density
(W/ft2)</t>
  </si>
  <si>
    <t>EPD - Schedule Name</t>
  </si>
  <si>
    <t>Hot Water Load/person
(gal/h-person)</t>
  </si>
  <si>
    <t>SHW Schedule</t>
  </si>
  <si>
    <t>Ventilation Specification Method</t>
  </si>
  <si>
    <t>Cooling Thermostat Schedule</t>
  </si>
  <si>
    <t>Heating Thermostat Schedule</t>
  </si>
  <si>
    <t>Interior Lighting</t>
  </si>
  <si>
    <t>Receptacle</t>
  </si>
  <si>
    <t>Process</t>
  </si>
  <si>
    <t>Commercial Refrigeration</t>
  </si>
  <si>
    <t>Spc</t>
  </si>
  <si>
    <t>OccSchRef:Name</t>
  </si>
  <si>
    <t>OccSensHtRt</t>
  </si>
  <si>
    <t>OccLatHtRt</t>
  </si>
  <si>
    <t>IntLPDReg</t>
  </si>
  <si>
    <t>IntLtgRegSchRef:Name</t>
  </si>
  <si>
    <t>RecptPwrDens</t>
  </si>
  <si>
    <t>RecptSchRef:Name</t>
  </si>
  <si>
    <t>Spc:HotWtrHrlyUsePerPers</t>
  </si>
  <si>
    <t>Spc:HotWtrHtgSchRef</t>
  </si>
  <si>
    <t>ThrmlZnRef:ClgTstatSchRef</t>
  </si>
  <si>
    <t>ThrmlZnRef:HtgTstatSchRef</t>
  </si>
  <si>
    <t>Multiplier</t>
  </si>
  <si>
    <t>Power Density</t>
  </si>
  <si>
    <t>Schedule Name</t>
  </si>
  <si>
    <t>Schedule</t>
  </si>
  <si>
    <t>Energy Use</t>
  </si>
  <si>
    <t>Basement Spc</t>
  </si>
  <si>
    <t>OfficeOccupancy</t>
  </si>
  <si>
    <t>OfficeLights</t>
  </si>
  <si>
    <t>OfficeReceptacle</t>
  </si>
  <si>
    <t>OfficeServiceHotWater</t>
  </si>
  <si>
    <t>OfficeClgSetPt</t>
  </si>
  <si>
    <t>OfficeHtgSetPt</t>
  </si>
  <si>
    <t>(ft2)</t>
  </si>
  <si>
    <t>(W/ft2)</t>
  </si>
  <si>
    <t>(FLH)</t>
  </si>
  <si>
    <t>(kWh)</t>
  </si>
  <si>
    <t>Core_bottom</t>
  </si>
  <si>
    <t>Retail Merchandise Sales, Wholesale Showroom</t>
  </si>
  <si>
    <t>RetailOccupancy</t>
  </si>
  <si>
    <t>RetailLights</t>
  </si>
  <si>
    <t>RetailReceptacle</t>
  </si>
  <si>
    <t>RetailServiceHotWater</t>
  </si>
  <si>
    <t>RetailClgSetPt</t>
  </si>
  <si>
    <t>RetailHtgSetPt</t>
  </si>
  <si>
    <t>GroundFloor_Plenum</t>
  </si>
  <si>
    <t>Unoccupied-Exclude from Gross Floor Area</t>
  </si>
  <si>
    <t>Retail Sales Area (Retail Merchandise Sales)</t>
  </si>
  <si>
    <t>Perimeter_bot_ZN_1</t>
  </si>
  <si>
    <t>Lobby, Main Entry</t>
  </si>
  <si>
    <t>Plenum</t>
  </si>
  <si>
    <t>Perimeter_bot_ZN_2</t>
  </si>
  <si>
    <t>Corridors, Restrooms, Stairs, and Support Areas</t>
  </si>
  <si>
    <t>Main Entry Lobby</t>
  </si>
  <si>
    <t>Perimeter_bot_ZN_3</t>
  </si>
  <si>
    <t>Corridor Area</t>
  </si>
  <si>
    <t>Perimeter_bot_ZN_4</t>
  </si>
  <si>
    <t>Core_mid</t>
  </si>
  <si>
    <t>Medical and Clinical Care</t>
  </si>
  <si>
    <t>HealthOccupancy</t>
  </si>
  <si>
    <t>HealthLights</t>
  </si>
  <si>
    <t>HealthReceptacle</t>
  </si>
  <si>
    <t>HealthServiceHotWater</t>
  </si>
  <si>
    <t>HealthClgSetPt</t>
  </si>
  <si>
    <t>HealthHtgSetPt</t>
  </si>
  <si>
    <t>MidFloor_Plenum</t>
  </si>
  <si>
    <t>Healthcare Facility and Hospitals (Exam/Treatment Room)</t>
  </si>
  <si>
    <t>Perimeter_mid_ZN_1</t>
  </si>
  <si>
    <t>Perimeter_mid_ZN_2</t>
  </si>
  <si>
    <t>Perimeter_mid_ZN_3</t>
  </si>
  <si>
    <t>Perimeter_mid_ZN_4</t>
  </si>
  <si>
    <t>Core_hi</t>
  </si>
  <si>
    <t>Sum</t>
  </si>
  <si>
    <t>HiFloor_Plenum</t>
  </si>
  <si>
    <t>Perimeter_hi_ZN_1</t>
  </si>
  <si>
    <t>Perimeter_hi_ZN_2</t>
  </si>
  <si>
    <t>NoVentilation</t>
  </si>
  <si>
    <t>NONE</t>
  </si>
  <si>
    <t>Perimeter_hi_ZN_3</t>
  </si>
  <si>
    <t>Perimeter_hi_ZN_4</t>
  </si>
  <si>
    <t>Core_top</t>
  </si>
  <si>
    <t>Convention, Conference, Multipurpose and Meeting Center Areas</t>
  </si>
  <si>
    <t>AssemblyOccupancy</t>
  </si>
  <si>
    <t>AssemblyLights</t>
  </si>
  <si>
    <t>AssemblyReceptacle</t>
  </si>
  <si>
    <t>AssemblyServiceHotWater</t>
  </si>
  <si>
    <t>AssemblyClgSetPt</t>
  </si>
  <si>
    <t>AssemblyHtgSetPt</t>
  </si>
  <si>
    <t>Perimeter_top_ZN_1</t>
  </si>
  <si>
    <t>Convention, Conference, Multipurpose and Meeting Area</t>
  </si>
  <si>
    <t>Perimeter_top_ZN_2</t>
  </si>
  <si>
    <t>Perimeter_top_ZN_3</t>
  </si>
  <si>
    <t>Perimeter_top_ZN_4</t>
  </si>
  <si>
    <t>TopFloor_Plenum</t>
  </si>
  <si>
    <t>Ventilation</t>
  </si>
  <si>
    <t>Building Story</t>
  </si>
  <si>
    <t>Floor Multiplier</t>
  </si>
  <si>
    <t>Floor Area
(ft2)</t>
  </si>
  <si>
    <t>Ventilation
(cfm)</t>
  </si>
  <si>
    <t>Basement</t>
  </si>
  <si>
    <t>GroundFloor</t>
  </si>
  <si>
    <t>MidFloor</t>
  </si>
  <si>
    <t>HiFloor</t>
  </si>
  <si>
    <t>TopFloor</t>
  </si>
  <si>
    <t>Design Input per Occupancy
(cfm/person)</t>
  </si>
  <si>
    <t>Design Input per Area
(cfm/ft2)</t>
  </si>
  <si>
    <t>Space Loads Report</t>
  </si>
  <si>
    <t>Occupancy</t>
  </si>
  <si>
    <t>Service Hot Water</t>
  </si>
  <si>
    <t>Infiltration</t>
  </si>
  <si>
    <t>Thermal Zone</t>
  </si>
  <si>
    <t>Story Name</t>
  </si>
  <si>
    <t>Density</t>
  </si>
  <si>
    <t>Number</t>
  </si>
  <si>
    <t>Sensible Heat Rate</t>
  </si>
  <si>
    <t>Latent Heat Rate</t>
  </si>
  <si>
    <t>SHW Use</t>
  </si>
  <si>
    <t xml:space="preserve"> Schedule Name</t>
  </si>
  <si>
    <t>Prop. DsgnVentPerArea</t>
  </si>
  <si>
    <t>Prop. DsgnVentPerPerson</t>
  </si>
  <si>
    <t>Code VentPerArea</t>
  </si>
  <si>
    <t>Code VentPerPerson</t>
  </si>
  <si>
    <t>Sim. Area Flow</t>
  </si>
  <si>
    <t>Sim. Person Flow</t>
  </si>
  <si>
    <t>Method</t>
  </si>
  <si>
    <t>Design Infiltration Rate</t>
  </si>
  <si>
    <t>Clg Tstat Sch</t>
  </si>
  <si>
    <t xml:space="preserve"> Htg Tstat Sch</t>
  </si>
  <si>
    <t>Spc:HotWtrHtgRt</t>
  </si>
  <si>
    <t>(ppl/1000ft2)</t>
  </si>
  <si>
    <t>(people)</t>
  </si>
  <si>
    <t>(Btu/h-person)</t>
  </si>
  <si>
    <t>(gal/min)</t>
  </si>
  <si>
    <t>(cfm/ft2)</t>
  </si>
  <si>
    <t>(cfm/person)</t>
  </si>
  <si>
    <t>(cfm)</t>
  </si>
  <si>
    <t>FlowExteriorWallArea</t>
  </si>
  <si>
    <t>OfficeInfiltration</t>
  </si>
  <si>
    <t>RetailInfiltration</t>
  </si>
  <si>
    <t>RetailClgSetpt</t>
  </si>
  <si>
    <t>RetailHtgSetpt</t>
  </si>
  <si>
    <t>On</t>
  </si>
  <si>
    <t>HealthInfiltration</t>
  </si>
  <si>
    <t>HealthClgSetpt</t>
  </si>
  <si>
    <t>HealthHtgSetpt</t>
  </si>
  <si>
    <t>AssemblyInfiltration</t>
  </si>
  <si>
    <t>AssemblyClgSetpt</t>
  </si>
  <si>
    <t>AssemblyHtgSetpt</t>
  </si>
  <si>
    <t>Space Interior Lighting Report</t>
  </si>
  <si>
    <t>Lighting Status</t>
  </si>
  <si>
    <t>Lighting Specification Method</t>
  </si>
  <si>
    <t>Installed Power</t>
  </si>
  <si>
    <t>Lighting System Count</t>
  </si>
  <si>
    <t>Lighting Control Credit</t>
  </si>
  <si>
    <t>Simulated Power</t>
  </si>
  <si>
    <t>Simulated LPD</t>
  </si>
  <si>
    <t>Power</t>
  </si>
  <si>
    <t>LPD</t>
  </si>
  <si>
    <t>General Lighting Power</t>
  </si>
  <si>
    <t>Area Category Allowances</t>
  </si>
  <si>
    <t>Tailored Allowances</t>
  </si>
  <si>
    <t>(Watts)</t>
  </si>
  <si>
    <t>(Watts/ft2)</t>
  </si>
  <si>
    <t>AreaCategoryMethod</t>
  </si>
  <si>
    <t>DayltgCtrlType</t>
  </si>
  <si>
    <t>MandMinDaylitArea</t>
  </si>
  <si>
    <t>MinDimLtgFrac</t>
  </si>
  <si>
    <t>MinDimPwrFrac</t>
  </si>
  <si>
    <t>NumOfCtrlSteps</t>
  </si>
  <si>
    <t>SkylitDayltgCtrlLtgPwr</t>
  </si>
  <si>
    <t>SkylitDayltgIllumSetpt</t>
  </si>
  <si>
    <t>SkylitDayltgIllumSetptAdjFac</t>
  </si>
  <si>
    <t>SkylitDayltgAdjIllumSetpt</t>
  </si>
  <si>
    <t>PriSideDayltgRefPtCoord[1]</t>
  </si>
  <si>
    <t>PriSideDayltgRefPtCoord[2]</t>
  </si>
  <si>
    <t>PriSideDayltgRefPtCoord[3]</t>
  </si>
  <si>
    <t>PriSideDaylitArea</t>
  </si>
  <si>
    <t>PriSideDayltgCtrlLtgPwr</t>
  </si>
  <si>
    <t>PriSideDayltgCtrlLtgFrac</t>
  </si>
  <si>
    <t>PriSideDayltgIllumSetpt</t>
  </si>
  <si>
    <t>PriSideDayltgIllumSetptAdjFac</t>
  </si>
  <si>
    <t>PriSideDayltgAdjIllumSetpt</t>
  </si>
  <si>
    <t>SecSideDayltgRefPtCoord[1]</t>
  </si>
  <si>
    <t>SecSideDayltgRefPtCoord[2]</t>
  </si>
  <si>
    <t>SecSideDayltgRefPtCoord[3]</t>
  </si>
  <si>
    <t>SecSideDaylitArea</t>
  </si>
  <si>
    <t>SecSideDayltgCtrlLtgPwr</t>
  </si>
  <si>
    <t>SecSideDayltgCtrlLtgFrac</t>
  </si>
  <si>
    <t>SecSideDayltgIllumSetpt</t>
  </si>
  <si>
    <t>SecSideDayltgIllumSetptAdjFac</t>
  </si>
  <si>
    <t>SecSideDayltgAdjIllumSetpt</t>
  </si>
  <si>
    <t>(Frac)</t>
  </si>
  <si>
    <t>(lux)</t>
  </si>
  <si>
    <t>VentilationExhaust</t>
  </si>
  <si>
    <t>BuildingStory</t>
  </si>
  <si>
    <t>Floor Area (including multipliers)</t>
  </si>
  <si>
    <t>Ventilation (Design)</t>
  </si>
  <si>
    <t>Ventilation (For Balance)</t>
  </si>
  <si>
    <t>General</t>
  </si>
  <si>
    <t>Comm. Kitchen</t>
  </si>
  <si>
    <t>Parking Garage</t>
  </si>
  <si>
    <t>Laboratory</t>
  </si>
  <si>
    <t>Cond. NRes</t>
  </si>
  <si>
    <t>Cond. Res</t>
  </si>
  <si>
    <t>Total Cond.</t>
  </si>
  <si>
    <t>Code Min.</t>
  </si>
  <si>
    <t>Tot:Min Ratio</t>
  </si>
  <si>
    <t>Vent:Exh Ratio</t>
  </si>
  <si>
    <t>Vent Mult.</t>
  </si>
  <si>
    <t>Vent</t>
  </si>
  <si>
    <t>Design Input (By Component)</t>
  </si>
  <si>
    <t>Minimum Req. (By Component)</t>
  </si>
  <si>
    <t>Simulated</t>
  </si>
  <si>
    <t>ForBalance</t>
  </si>
  <si>
    <t>Condg Type</t>
  </si>
  <si>
    <t>Design</t>
  </si>
  <si>
    <t>Minimum</t>
  </si>
  <si>
    <t>Spec. Method</t>
  </si>
  <si>
    <t>Per Occupant</t>
  </si>
  <si>
    <t>Per Area</t>
  </si>
  <si>
    <t>Per Volume</t>
  </si>
  <si>
    <t>Per Space</t>
  </si>
  <si>
    <t>Calculated Flow</t>
  </si>
  <si>
    <t>Lab Exh Type</t>
  </si>
  <si>
    <t>Max Kitchen</t>
  </si>
  <si>
    <t>(ACH)</t>
  </si>
  <si>
    <t>Basement Thermal Zone</t>
  </si>
  <si>
    <t>Core_bottom Thermal Zone</t>
  </si>
  <si>
    <t>GroundFloor_Plenum Thermal Zone</t>
  </si>
  <si>
    <t>Perimeter_bot_ZN_1 Thermal Zone</t>
  </si>
  <si>
    <t>Perimeter_bot_ZN_2 Thermal Zone</t>
  </si>
  <si>
    <t>Perimeter_bot_ZN_3 Thermal Zone</t>
  </si>
  <si>
    <t>Perimeter_bot_ZN_4 Thermal Zone</t>
  </si>
  <si>
    <t>Core_mid Thermal Zone</t>
  </si>
  <si>
    <t>MidFloor_Plenum Thermal Zone</t>
  </si>
  <si>
    <t>Perimeter_mid_ZN_1 Thermal Zone</t>
  </si>
  <si>
    <t>Perimeter_mid_ZN_2 Thermal Zone</t>
  </si>
  <si>
    <t>Perimeter_mid_ZN_3 Thermal Zone</t>
  </si>
  <si>
    <t>Perimeter_mid_ZN_4 Thermal Zone</t>
  </si>
  <si>
    <t>Core_hi Thermal Zone</t>
  </si>
  <si>
    <t>HiFloor_Plenum Thermal Zone</t>
  </si>
  <si>
    <t>Perimeter_hi_ZN_1 Thermal Zone</t>
  </si>
  <si>
    <t>Perimeter_hi_ZN_2 Thermal Zone</t>
  </si>
  <si>
    <t>Perimeter_hi_ZN_3 Thermal Zone</t>
  </si>
  <si>
    <t>Perimeter_hi_ZN_4 Thermal Zone</t>
  </si>
  <si>
    <t>Core_top Thermal Zone</t>
  </si>
  <si>
    <t>Perimeter_top_ZN_1 Thermal Zone</t>
  </si>
  <si>
    <t>Perimeter_top_ZN_2 Thermal Zone</t>
  </si>
  <si>
    <t>Perimeter_top_ZN_3 Thermal Zone</t>
  </si>
  <si>
    <t>Perimeter_top_ZN_4 Thermal Zone</t>
  </si>
  <si>
    <t>TopFloor_Plenum Thermal Zone</t>
  </si>
  <si>
    <t>ThermalZone</t>
  </si>
  <si>
    <t>Design Value (Total)</t>
  </si>
  <si>
    <t>Minimum Req. (Total)</t>
  </si>
  <si>
    <t>Pri. HVAC System</t>
  </si>
  <si>
    <t>Ventilation System</t>
  </si>
  <si>
    <t>ExhSysRef</t>
  </si>
  <si>
    <t>ExhOperMode</t>
  </si>
  <si>
    <t>ExhCtrlMthd</t>
  </si>
  <si>
    <t>ExhBalancedSchRef</t>
  </si>
  <si>
    <t>PropAirSys6-Basement</t>
  </si>
  <si>
    <t>BaseAirSys6</t>
  </si>
  <si>
    <t>PropAirSys6-Bot</t>
  </si>
  <si>
    <t>BaseAirSys6-2</t>
  </si>
  <si>
    <t>PropAirSys6-Mid</t>
  </si>
  <si>
    <t>PropAirSys6-Hi</t>
  </si>
  <si>
    <t>BaseAirSys6-3</t>
  </si>
  <si>
    <t>Unconditioned</t>
  </si>
  <si>
    <t>PropAirSys6-Top</t>
  </si>
  <si>
    <t>BaseAirSys6-4</t>
  </si>
  <si>
    <t>Lighting Power Density (General Lighting)
(W/ft2)</t>
  </si>
  <si>
    <t>Lighting Power Density (TailoredOrnamentalAndSpecialEffectAllowance)
(W/ft2)</t>
  </si>
  <si>
    <t>Simulated Lighting Power Density (LPD)
(W/ft2)</t>
  </si>
  <si>
    <t>Interior Lighting Specification Method</t>
  </si>
  <si>
    <t>Calculated</t>
  </si>
  <si>
    <t>Spc:IntLtgSpecMthd</t>
  </si>
  <si>
    <t>TailoredMethod</t>
  </si>
  <si>
    <t>Space Interior Lighting  report from ap "SpcLoadsElec.csv" Paste here -&gt;&gt;&gt;</t>
  </si>
  <si>
    <t>FirstFloor_Plenum</t>
  </si>
  <si>
    <t>Space Interior Lighting  report from ab "SpcLoadsElec.csv" Paste here -&gt;&gt;&gt;</t>
  </si>
  <si>
    <t>u</t>
  </si>
  <si>
    <t>Lighting Power Density (TailoredTaskAllowance)
(W/ft2)</t>
  </si>
  <si>
    <t>Lighting Power Density (TailoredFloorDisplayAllowance)
(W/ft2)</t>
  </si>
  <si>
    <t>Lighting Power Density Simulated
(W/ft2)</t>
  </si>
  <si>
    <t>Installed Power
(Watts)</t>
  </si>
  <si>
    <t xml:space="preserve">Simulated Lighting Power </t>
  </si>
  <si>
    <t>Control Credit Type</t>
  </si>
  <si>
    <t>Power adjustment factor</t>
  </si>
  <si>
    <t>Lighting Power Density (Simulated)
(W/ft2)</t>
  </si>
  <si>
    <t>Lighting Schedule</t>
  </si>
  <si>
    <t>Spc:RegInstPwr</t>
  </si>
  <si>
    <t>Spc:RegPwr</t>
  </si>
  <si>
    <t>IntLtgSys:PAFCredType</t>
  </si>
  <si>
    <t>IntLtgSys:PAF</t>
  </si>
  <si>
    <t>Spc:IntLPDReg</t>
  </si>
  <si>
    <t>IntLtgRegSchRef</t>
  </si>
  <si>
    <t>DemandResponsiveControl</t>
  </si>
  <si>
    <t>Core_ZN</t>
  </si>
  <si>
    <t>Interior Lighting Systems Report</t>
  </si>
  <si>
    <t>Room Height</t>
  </si>
  <si>
    <t xml:space="preserve"> Schedule</t>
  </si>
  <si>
    <t>Power Adjustment Factor</t>
  </si>
  <si>
    <t>Control Credits</t>
  </si>
  <si>
    <t>Tailored Method Allowance Type</t>
  </si>
  <si>
    <t>Area Category Allowance Type</t>
  </si>
  <si>
    <t>Allowance Length</t>
  </si>
  <si>
    <t xml:space="preserve"> Allowance Area</t>
  </si>
  <si>
    <t>(ft)</t>
  </si>
  <si>
    <t>Interior Lighting Systems report from ap "SpcLoadsElec.csv" Paste here -&gt;&gt;&gt;</t>
  </si>
  <si>
    <t>InteriorLightingSystem 1</t>
  </si>
  <si>
    <t>- none specified -</t>
  </si>
  <si>
    <t>InteriorLightingSystem 1-2</t>
  </si>
  <si>
    <t>InteriorLightingSystem 2</t>
  </si>
  <si>
    <t>InteriorLightingSystem 2-2</t>
  </si>
  <si>
    <t>InteriorLightingSystem 3</t>
  </si>
  <si>
    <t>InteriorLightingSystem 3-2</t>
  </si>
  <si>
    <t>InteriorLightingSystem 4</t>
  </si>
  <si>
    <t>InteriorLightingSystem 4-2</t>
  </si>
  <si>
    <t>InteriorLightingSystem 5</t>
  </si>
  <si>
    <t>Note: Reference positions of the daylight control sensors are not being checked.</t>
  </si>
  <si>
    <t>Skylit Zone - Daylit Area
(ft2)</t>
  </si>
  <si>
    <t>Controlled General Lighting Power
(W)</t>
  </si>
  <si>
    <t>Illuminance Setpoint
(lux)</t>
  </si>
  <si>
    <t>Adjusted Illuminance Setpoint
(lux)</t>
  </si>
  <si>
    <t>Spc:SkylitDaylitArea</t>
  </si>
  <si>
    <t>Spc:SkylitDayltgCtrlLtgPwr</t>
  </si>
  <si>
    <t>Spc:SkylitDayltgIllumSetPt</t>
  </si>
  <si>
    <t>Spc:SkylitDayltgAdjIllumSetPt</t>
  </si>
  <si>
    <t>Space Daylighting from ap "SpcLoadsElec.csv" Paste here -&gt;&gt;&gt;</t>
  </si>
  <si>
    <t/>
  </si>
  <si>
    <t>Primary Sidelit
Daylit Area
(ft2)</t>
  </si>
  <si>
    <t xml:space="preserve">Adjusted Illuminance Setpoint
</t>
  </si>
  <si>
    <t>Spc:PriSideDaylitArea</t>
  </si>
  <si>
    <t>Spc:PriSideDayltgCtrlLtgPwr</t>
  </si>
  <si>
    <t>Spc:PriSideDayltgIllumSetPt</t>
  </si>
  <si>
    <t>Spc:PriSideDayltgAdjIllumSetPt</t>
  </si>
  <si>
    <t>Secondary Sidelit
Daylit Area
(ft2)</t>
  </si>
  <si>
    <t>Spc:SecSideDaylitArea</t>
  </si>
  <si>
    <t>Spc:SecSideDayltgCtrlLtgPwr</t>
  </si>
  <si>
    <t>Spc:SecSideDayltgIllumSetPt</t>
  </si>
  <si>
    <t>Spc:SecSideDayltgAdjIllumSetPt</t>
  </si>
  <si>
    <t>Space Daylighting from ab "SpcLoadsElec.csv" Paste here -&gt;&gt;&gt;</t>
  </si>
  <si>
    <t>Primary Sidelit
Daylit Area</t>
  </si>
  <si>
    <t>Controlled General Lighting Power</t>
  </si>
  <si>
    <t>Illuminance Setpoint</t>
  </si>
  <si>
    <t>Adjusted Illuminance Setpoint</t>
  </si>
  <si>
    <t>(W)</t>
  </si>
  <si>
    <t>Secondary Sidelit
Daylit Area</t>
  </si>
  <si>
    <t xml:space="preserve"> Allowance Area
(ft2)</t>
  </si>
  <si>
    <t>IntLtgSys:AllowArea</t>
  </si>
  <si>
    <t>Back_Space</t>
  </si>
  <si>
    <t>Core_Retail</t>
  </si>
  <si>
    <t>Front_Entry</t>
  </si>
  <si>
    <t>Front_Retail</t>
  </si>
  <si>
    <t>Point_Of_Sale</t>
  </si>
  <si>
    <t>ContinuousPlusOff</t>
  </si>
  <si>
    <t>Front_Retail_GenLtgSys</t>
  </si>
  <si>
    <t>Front_Retail_Task&amp;FloorDisplayLtgSys</t>
  </si>
  <si>
    <t>TailoredFloorDisplayAllowance</t>
  </si>
  <si>
    <t>Interior Lighting Systems report from ab "SpcLoadsElec.csv" Paste here -&gt;&gt;&gt;</t>
  </si>
  <si>
    <t>Thermal Zone - Control Zone Name</t>
  </si>
  <si>
    <t>AirSystem  - Name</t>
  </si>
  <si>
    <t>Design Suppy Air Temperature (Heating) 
(DegF)</t>
  </si>
  <si>
    <t>Supply Air Control - Control Type</t>
  </si>
  <si>
    <t>Perimeter_ZN_1 Thermal Zone</t>
  </si>
  <si>
    <t>Perim1ZnSPVHP AirSys</t>
  </si>
  <si>
    <t>SPVHP</t>
  </si>
  <si>
    <t>SZHP</t>
  </si>
  <si>
    <t>Perimeter_ZN_2 Thermal Zone</t>
  </si>
  <si>
    <t>Perim2ZnSPVAC AirSys</t>
  </si>
  <si>
    <t>SPVAC</t>
  </si>
  <si>
    <t>Perimeter_ZN_4 Thermal Zone</t>
  </si>
  <si>
    <t>Perim4ZnHV AirSys</t>
  </si>
  <si>
    <t>HV</t>
  </si>
  <si>
    <t>Fan Operation Schedule</t>
  </si>
  <si>
    <t>ZnSys:AvailSchRef</t>
  </si>
  <si>
    <t>ZnSys:FanOperModeSchRef</t>
  </si>
  <si>
    <t>ZnSys:ClgDsgnSupAirTemp</t>
  </si>
  <si>
    <t>ZnSys:HtgDsgnSupAirTemp</t>
  </si>
  <si>
    <t>Core_ZN Thermal Zone</t>
  </si>
  <si>
    <t>CoreZNSPVAC ZnSys</t>
  </si>
  <si>
    <t>AllOnHVACAvail</t>
  </si>
  <si>
    <t>Perimeter_ZN_3 Thermal Zone</t>
  </si>
  <si>
    <t>Perim3ZnFurnace ZnSys</t>
  </si>
  <si>
    <t>PropNoClg-NonResZnSys</t>
  </si>
  <si>
    <t>PropNoClg-NonResZnSys-2</t>
  </si>
  <si>
    <t>System  - Name</t>
  </si>
  <si>
    <t>CoreZnCoolingCoil</t>
  </si>
  <si>
    <t>CoilClgPTACEIRRatio_fTwbToadbSI</t>
  </si>
  <si>
    <t>CoilClgPTACEIRRatio_fQFrac</t>
  </si>
  <si>
    <t>Perim1ZnCoolingCoil</t>
  </si>
  <si>
    <t>Perim2ZnCoolingCoil</t>
  </si>
  <si>
    <t>PropNoClg-NonResZnSys CoilClg</t>
  </si>
  <si>
    <t>PropNoClg-NonResZnSys CoilClg-2</t>
  </si>
  <si>
    <t>Dummy DX CoilClg</t>
  </si>
  <si>
    <t>Coefficient of Performance (COP)</t>
  </si>
  <si>
    <t>Heat Pump Part-Load Efficiency Adjustment Curve</t>
  </si>
  <si>
    <t>(HtPumpEIR_fPLFCrvRef)</t>
  </si>
  <si>
    <t>CoreZnHeatingCoil</t>
  </si>
  <si>
    <t>Perim1ZnHeatingCoil</t>
  </si>
  <si>
    <t>HeatPump</t>
  </si>
  <si>
    <t>CoilHtgHPEIRRatio_fQFrac</t>
  </si>
  <si>
    <t>Perim2ZnHeatingCoil</t>
  </si>
  <si>
    <t>Perim3ZnHeatingCoil</t>
  </si>
  <si>
    <t>Perim4ZnHeatingCoil</t>
  </si>
  <si>
    <t>PropNoClg-Dummy CoilHtg</t>
  </si>
  <si>
    <t>Resistance</t>
  </si>
  <si>
    <t>PropNoClg-Dummy CoilHtg-2</t>
  </si>
  <si>
    <t>CoreZnSupplyFan</t>
  </si>
  <si>
    <t>Perim1ZnSupplyFan</t>
  </si>
  <si>
    <t>Perim2ZnSupplyFan</t>
  </si>
  <si>
    <t>Perim4ZnSupplyFan</t>
  </si>
  <si>
    <t>PropNoClg-NonResZnSys Fan</t>
  </si>
  <si>
    <t>PropNoClg-NonResZnSys Fan-2</t>
  </si>
  <si>
    <t>Furnace Dummy Fan</t>
  </si>
  <si>
    <t>StaticPressure</t>
  </si>
  <si>
    <t>HI DB Lockout</t>
  </si>
  <si>
    <t>High Enthalpy Lockout</t>
  </si>
  <si>
    <t>OACtrl:EconoHiTempLockout</t>
  </si>
  <si>
    <t>OACtrl:EconoHiEnthLockout</t>
  </si>
  <si>
    <t>Perim1OAControl</t>
  </si>
  <si>
    <t>FixedDryBulb</t>
  </si>
  <si>
    <t>NonIntegrated</t>
  </si>
  <si>
    <t>Perim2OAControl</t>
  </si>
  <si>
    <t>Perim4ZnPSZ AirSys</t>
  </si>
  <si>
    <t>Perim4 OAControl</t>
  </si>
  <si>
    <t>Has No Cooling Flag</t>
  </si>
  <si>
    <t>ThrmlZn:HasNoClg</t>
  </si>
  <si>
    <t>BaseAirSys7</t>
  </si>
  <si>
    <t>BaseAirSys7-2</t>
  </si>
  <si>
    <t>BaseAirSys7-3</t>
  </si>
  <si>
    <t>BaseAirSys7-4</t>
  </si>
  <si>
    <t>CyclingHVACAvail</t>
  </si>
  <si>
    <t>BaseAirSys7-5</t>
  </si>
  <si>
    <t>BaseSys7 CoilClg</t>
  </si>
  <si>
    <t>BaseSys7 CoilClg-2</t>
  </si>
  <si>
    <t>BaseSys7 CoilClg-3</t>
  </si>
  <si>
    <t>BaseSys7 CoilClg-4</t>
  </si>
  <si>
    <t>BaseSys7 CoilClg-5</t>
  </si>
  <si>
    <t>BaseSys7 CoilHtg</t>
  </si>
  <si>
    <t>BaseSys7 CoilHtg-2</t>
  </si>
  <si>
    <t>BaseSys7 CoilHtg-3</t>
  </si>
  <si>
    <t>BaseSys7 CoilHtg-4</t>
  </si>
  <si>
    <t>BaseSys7 CoilHtg-5</t>
  </si>
  <si>
    <t>BaseSys7 Fan</t>
  </si>
  <si>
    <t>Constant Volume</t>
  </si>
  <si>
    <t>BaseSys7 Fan-2</t>
  </si>
  <si>
    <t>BaseSys7 Fan-3</t>
  </si>
  <si>
    <t>BaseSys7 Fan-4</t>
  </si>
  <si>
    <t>BaseSys7 Fan-5</t>
  </si>
  <si>
    <t>BaseSys7 OACtrl</t>
  </si>
  <si>
    <t>BaseSys7 OACtrl-2</t>
  </si>
  <si>
    <t>BaseSys7 OACtrl-3</t>
  </si>
  <si>
    <t>BaseSys7 OACtrl-4</t>
  </si>
  <si>
    <t>BaseSys7 OACtrl-5</t>
  </si>
  <si>
    <t>New Complete</t>
  </si>
  <si>
    <t>Computer Room</t>
  </si>
  <si>
    <t>DataReceptacle</t>
  </si>
  <si>
    <t>Space Interior Loads Electric Use Report from ap "SpcLoadsElec.csv" Paste here -&gt;&gt;&gt;</t>
  </si>
  <si>
    <t>DataLights</t>
  </si>
  <si>
    <t>AirSystems</t>
  </si>
  <si>
    <t>Cooling</t>
  </si>
  <si>
    <t>Heating</t>
  </si>
  <si>
    <t>Fan/Ventilation</t>
  </si>
  <si>
    <t>Controls</t>
  </si>
  <si>
    <t>System Count</t>
  </si>
  <si>
    <t>Floor Area Served</t>
  </si>
  <si>
    <t>Net Capacity</t>
  </si>
  <si>
    <t>Design Supply T</t>
  </si>
  <si>
    <t>Capacity/Area</t>
  </si>
  <si>
    <t>Supply Flow/Ton</t>
  </si>
  <si>
    <t>Supply Flow</t>
  </si>
  <si>
    <t>Supply Flow/Area</t>
  </si>
  <si>
    <t>Design OA</t>
  </si>
  <si>
    <t>OA/Area</t>
  </si>
  <si>
    <t>Control Zone Name</t>
  </si>
  <si>
    <t>Temp Control</t>
  </si>
  <si>
    <t>FixedT</t>
  </si>
  <si>
    <t>Supply HiT</t>
  </si>
  <si>
    <t>At Outdoor</t>
  </si>
  <si>
    <t>Supply LowT</t>
  </si>
  <si>
    <t>At OutdoorT</t>
  </si>
  <si>
    <t>ReheatCtrlMthd</t>
  </si>
  <si>
    <t>Night Cycle Control</t>
  </si>
  <si>
    <t>(#)</t>
  </si>
  <si>
    <t>(Btu/hr)</t>
  </si>
  <si>
    <t>(degF)</t>
  </si>
  <si>
    <t>(Btu/ft2)</t>
  </si>
  <si>
    <t>(cfm/ton)</t>
  </si>
  <si>
    <t>( degF)</t>
  </si>
  <si>
    <t>Bottom Floor</t>
  </si>
  <si>
    <t>BottomVAV</t>
  </si>
  <si>
    <t>Bottom Floor - All Perimeter Zones</t>
  </si>
  <si>
    <t>AirSystems from ap "HVACSecondary.csv" Paste here -&gt;&gt;&gt;</t>
  </si>
  <si>
    <t>SingleMaximum</t>
  </si>
  <si>
    <t>CycleOnCallAnyZone</t>
  </si>
  <si>
    <t>Mid Floor</t>
  </si>
  <si>
    <t>Mid VAV</t>
  </si>
  <si>
    <t>Mid Floor - All Perimeter Zones</t>
  </si>
  <si>
    <t>Core_bottomZnPSZ AirSys</t>
  </si>
  <si>
    <t>Bottom Floor - Core Zone</t>
  </si>
  <si>
    <t>DataHVACAvail</t>
  </si>
  <si>
    <t>CycleOnCallPrimaryZone</t>
  </si>
  <si>
    <t>Core_midZnPSZ AirSys</t>
  </si>
  <si>
    <t>Mid Floor - Core Zone</t>
  </si>
  <si>
    <t>Core_topZnPSZ AirSys</t>
  </si>
  <si>
    <t>Top Floor - Core Zone</t>
  </si>
  <si>
    <t>Top Floor Shell Zones</t>
  </si>
  <si>
    <t>Top Floor All Perimeter Zones</t>
  </si>
  <si>
    <t>Cooling Coils</t>
  </si>
  <si>
    <t>Relationships</t>
  </si>
  <si>
    <t>Capacity</t>
  </si>
  <si>
    <t>Fuel Src</t>
  </si>
  <si>
    <t>System</t>
  </si>
  <si>
    <t>System Qty</t>
  </si>
  <si>
    <t>Zone</t>
  </si>
  <si>
    <t>Total-Net</t>
  </si>
  <si>
    <t>Total-Gross</t>
  </si>
  <si>
    <t>FluidSegIn</t>
  </si>
  <si>
    <t>FluidSegOut</t>
  </si>
  <si>
    <t>Design Flow Rate</t>
  </si>
  <si>
    <t>Number Stages</t>
  </si>
  <si>
    <t>SEER</t>
  </si>
  <si>
    <t>CodeMin SEER</t>
  </si>
  <si>
    <t>EER</t>
  </si>
  <si>
    <t>CodeMin EER</t>
  </si>
  <si>
    <t>IEER</t>
  </si>
  <si>
    <t>CodeMin IEER</t>
  </si>
  <si>
    <t>EIR</t>
  </si>
  <si>
    <t>Sizing Ratio</t>
  </si>
  <si>
    <t>( gpm)</t>
  </si>
  <si>
    <t>Bottom VAV CoilCooling</t>
  </si>
  <si>
    <t>Cooling Coils from ap "HVACSecondary.csv" Paste here -&gt;&gt;&gt;</t>
  </si>
  <si>
    <t>Air</t>
  </si>
  <si>
    <t>Mid VAV CoilCooling</t>
  </si>
  <si>
    <t>Core_bottomZnCoolingCoil</t>
  </si>
  <si>
    <t>n/a</t>
  </si>
  <si>
    <t>Core_midZnCoolingCoil</t>
  </si>
  <si>
    <t>Core_topZnCoolingCoil</t>
  </si>
  <si>
    <t>Heating Coils</t>
  </si>
  <si>
    <t>FluidSeg In</t>
  </si>
  <si>
    <t>FluidSeg Out</t>
  </si>
  <si>
    <t>HSPF</t>
  </si>
  <si>
    <t>CodeMin HSPF</t>
  </si>
  <si>
    <t>COP</t>
  </si>
  <si>
    <t>CodeMin COP</t>
  </si>
  <si>
    <t>Comp Lockout Temp</t>
  </si>
  <si>
    <t>Supp Htr Temp</t>
  </si>
  <si>
    <t>AFUE</t>
  </si>
  <si>
    <t>CodeMin AFUE</t>
  </si>
  <si>
    <t>Thrml Eff</t>
  </si>
  <si>
    <t>CodeMin Thrml Eff</t>
  </si>
  <si>
    <t>SizingRatio</t>
  </si>
  <si>
    <t>(gpm)</t>
  </si>
  <si>
    <t>(?F)</t>
  </si>
  <si>
    <t>( ?F)</t>
  </si>
  <si>
    <t>Bottom VAV CoilHeating</t>
  </si>
  <si>
    <t>Heating Coils from ap "HVACSecondary.csv" Paste here -&gt;&gt;&gt;</t>
  </si>
  <si>
    <t>HW Primary Supply</t>
  </si>
  <si>
    <t>HW Primary Return</t>
  </si>
  <si>
    <t>Mid VAV CoilHeating</t>
  </si>
  <si>
    <t>PerimeterBottom1ReheatCoil</t>
  </si>
  <si>
    <t>BasSys5 Coil Htg</t>
  </si>
  <si>
    <t>Base VAV CoilHeating</t>
  </si>
  <si>
    <t>PerimeterBottom2ReheatCoil</t>
  </si>
  <si>
    <t>PerimeterBottom3ReheatCoil</t>
  </si>
  <si>
    <t>PerimeterBottom4ReheatCoil</t>
  </si>
  <si>
    <t>BaseVAVBox Coil Htg 1-4</t>
  </si>
  <si>
    <t>PerimeterMid1ReheatCoil</t>
  </si>
  <si>
    <t>PerimeterMid2ReheatCoil</t>
  </si>
  <si>
    <t>Fan Flow Efficiency</t>
  </si>
  <si>
    <t>Power adjustment curve</t>
  </si>
  <si>
    <t>PerimeterMid3ReheatCoil</t>
  </si>
  <si>
    <t>PerimeterMid4ReheatCoil</t>
  </si>
  <si>
    <t>BottomVAV SupplyFan</t>
  </si>
  <si>
    <t>FanVSDGoodSpResetPwrRatio_fCFMRatio</t>
  </si>
  <si>
    <t>BaseHWPriSupSeg</t>
  </si>
  <si>
    <t>BaseHWPriRetSeg</t>
  </si>
  <si>
    <t>MidVAV SupplyFan</t>
  </si>
  <si>
    <t>BaseVAVBox CoilHtg</t>
  </si>
  <si>
    <t>Core_bottomZnSupplyFan</t>
  </si>
  <si>
    <t>BaseVAVBox CoilHtg-2</t>
  </si>
  <si>
    <t>Core_midZnSupplyFan</t>
  </si>
  <si>
    <t>BaseVAVBox CoilHtg-3</t>
  </si>
  <si>
    <t>Core_topZnSupplyFan</t>
  </si>
  <si>
    <t>BaseVAVBox CoilHtg-4</t>
  </si>
  <si>
    <t>Fans</t>
  </si>
  <si>
    <t>Motor</t>
  </si>
  <si>
    <t>Class</t>
  </si>
  <si>
    <t>Cent Type</t>
  </si>
  <si>
    <t>Efficiency</t>
  </si>
  <si>
    <t>Brake HP</t>
  </si>
  <si>
    <t>Total Static</t>
  </si>
  <si>
    <t>Power Index</t>
  </si>
  <si>
    <t>Nameplate HP</t>
  </si>
  <si>
    <t>Position</t>
  </si>
  <si>
    <t>(hp)</t>
  </si>
  <si>
    <t>(inH2O)</t>
  </si>
  <si>
    <t>(W/cfm)</t>
  </si>
  <si>
    <t>( hp)</t>
  </si>
  <si>
    <t>Fan from ap "HVACSecondary.csv" Paste here -&gt;&gt;&gt;</t>
  </si>
  <si>
    <t>Centrifugal</t>
  </si>
  <si>
    <t>AirFoil</t>
  </si>
  <si>
    <t>NotInAirStream</t>
  </si>
  <si>
    <t>DifferentialEnthalpy</t>
  </si>
  <si>
    <t>InAirStream</t>
  </si>
  <si>
    <t>Outside Air Control</t>
  </si>
  <si>
    <t>Econo Integration</t>
  </si>
  <si>
    <t>Max OA Ratio</t>
  </si>
  <si>
    <t>High DB Lockout</t>
  </si>
  <si>
    <t>Low DB Lockout</t>
  </si>
  <si>
    <t>OA Schedule Method</t>
  </si>
  <si>
    <t>Delay</t>
  </si>
  <si>
    <t>(F)</t>
  </si>
  <si>
    <t>(Btu/lb)</t>
  </si>
  <si>
    <t>( hrs)</t>
  </si>
  <si>
    <t>Outside Air Control from ap "HVACSecondary.csv" Paste here -&gt;&gt;&gt;</t>
  </si>
  <si>
    <t>BottomVAV Economizer</t>
  </si>
  <si>
    <t>FollowHVACAvailability</t>
  </si>
  <si>
    <t>(All Perimeter Zones)</t>
  </si>
  <si>
    <t>MidVAV OACtrl</t>
  </si>
  <si>
    <t>(All Core Zones)</t>
  </si>
  <si>
    <t>DataClgSetpt</t>
  </si>
  <si>
    <t>DataHtgSetpt</t>
  </si>
  <si>
    <t>Core_bottomZnOAControl</t>
  </si>
  <si>
    <t>(All Plenum)</t>
  </si>
  <si>
    <t>Core_midZnOAControl</t>
  </si>
  <si>
    <t>Core_topZnOAControl</t>
  </si>
  <si>
    <t>Boiler</t>
  </si>
  <si>
    <t>Fuel</t>
  </si>
  <si>
    <t>Draft Type</t>
  </si>
  <si>
    <t>Thermal Efficiency</t>
  </si>
  <si>
    <t>Forced Draft Power</t>
  </si>
  <si>
    <t>Minimum Unload Ratio</t>
  </si>
  <si>
    <t>(Btu/h)</t>
  </si>
  <si>
    <t>hp</t>
  </si>
  <si>
    <t>Boiler 1</t>
  </si>
  <si>
    <t>Boiler from ap "HVACPrimary.csv" Paste here -&gt;&gt;&gt;</t>
  </si>
  <si>
    <t>HotWater Loop</t>
  </si>
  <si>
    <t>Gas</t>
  </si>
  <si>
    <t>BaseHWSystem</t>
  </si>
  <si>
    <t>MechanicalNoncondensing</t>
  </si>
  <si>
    <t>Space Interior Loads Electric Use Report from ab "SpcLoadsElec.csv" Paste here -&gt;&gt;&gt;</t>
  </si>
  <si>
    <t>AirSystems from ab "HVACSecondary.csv" Paste here -&gt;&gt;&gt;</t>
  </si>
  <si>
    <t>Top Floor</t>
  </si>
  <si>
    <t>Top Floor - All Perimeter Zones</t>
  </si>
  <si>
    <t>BaseAirSys11</t>
  </si>
  <si>
    <t>SZVAVAC</t>
  </si>
  <si>
    <t>BaseAirSys11-2</t>
  </si>
  <si>
    <t>BaseAirSys11-3</t>
  </si>
  <si>
    <t>Cooling Coils from ab "HVACSecondary.csv" Paste here -&gt;&gt;&gt;</t>
  </si>
  <si>
    <t>BaseSys11 CoilClg</t>
  </si>
  <si>
    <t>BaseSys11 CoilClg-2</t>
  </si>
  <si>
    <t>BaseSys11 CoilClg-3</t>
  </si>
  <si>
    <t>BaseAirSys5/5-2/5-3</t>
  </si>
  <si>
    <t>(All BaseVAVReheatCoils)</t>
  </si>
  <si>
    <t>BaseVAVBox CoilHtg-5</t>
  </si>
  <si>
    <t>Bottom Floor (Peripheral Zones)</t>
  </si>
  <si>
    <t>BaseVAVBox CoilHtg-6</t>
  </si>
  <si>
    <t>Mid Floor (Peripheral Zones)</t>
  </si>
  <si>
    <t>BaseVAVBox CoilHtg-7</t>
  </si>
  <si>
    <t>Top Floor (Peripheral Zones)</t>
  </si>
  <si>
    <t>BaseVAVBox CoilHtg-8</t>
  </si>
  <si>
    <t>BaseSys11 Fan</t>
  </si>
  <si>
    <t>FanVSDPerfSpResetPwrRatio_fCFMRatio</t>
  </si>
  <si>
    <t>BaseVAVBox CoilHtg-9</t>
  </si>
  <si>
    <t>BaseSys11 Fan-2</t>
  </si>
  <si>
    <t>BaseVAVBox CoilHtg-10</t>
  </si>
  <si>
    <t>BaseSys11 Fan-3</t>
  </si>
  <si>
    <t>BaseVAVBox CoilHtg-11</t>
  </si>
  <si>
    <t>BaseVAVBox CoilHtg-12</t>
  </si>
  <si>
    <t>Fan from ab "HVACSecondary.csv" Paste here -&gt;&gt;&gt;</t>
  </si>
  <si>
    <t>(All Peripheral Zones)</t>
  </si>
  <si>
    <t>Outside Air Control from ab "HVACSecondary.csv" Paste here -&gt;&gt;&gt;</t>
  </si>
  <si>
    <t>BaseSys11 OACtrl</t>
  </si>
  <si>
    <t>BaseSys11 OACtrl-2</t>
  </si>
  <si>
    <t>BaseSys11 OACtrl-3</t>
  </si>
  <si>
    <t>Boiler from ab "HVACPrimary.csv" Paste here -&gt;&gt;&gt;</t>
  </si>
  <si>
    <t>Top VAV</t>
  </si>
  <si>
    <t>Top VAV CoilHeating</t>
  </si>
  <si>
    <t>Zone1 Office Thermal Zone</t>
  </si>
  <si>
    <t>OfficeZnPSZAirSys</t>
  </si>
  <si>
    <t>WarehouseHVACAvail</t>
  </si>
  <si>
    <t>Zone2 Fine Storage Thermal Zone</t>
  </si>
  <si>
    <t>FineSto_ZnPSZAirSys</t>
  </si>
  <si>
    <t>Zone3 Bulk Storage Thermal Zone</t>
  </si>
  <si>
    <t>BulkSto_ZnPSZAirSys</t>
  </si>
  <si>
    <t>OfficeZnCoolingCoil</t>
  </si>
  <si>
    <t>OfficeZnHeatingCoil</t>
  </si>
  <si>
    <t>FineSto_ZnHeatingCoil</t>
  </si>
  <si>
    <t>BulkSto_ZnHeatingCoil</t>
  </si>
  <si>
    <t>OfficeZnSupplyFan</t>
  </si>
  <si>
    <t>BreakHorsePower</t>
  </si>
  <si>
    <t>FineSto_ZnSupplyFan</t>
  </si>
  <si>
    <t>BulkSto_ZnSupplyFan</t>
  </si>
  <si>
    <t>WarehouseClgSetPt</t>
  </si>
  <si>
    <t>WarehouseHtgSetPt</t>
  </si>
  <si>
    <t>BaseAirSys9</t>
  </si>
  <si>
    <t>BaseAirSys9-2</t>
  </si>
  <si>
    <t>BaseSys9 CoilHtg</t>
  </si>
  <si>
    <t>BaseSys9 CoilHtg-2</t>
  </si>
  <si>
    <t xml:space="preserve">Overall Fan Efficiency
</t>
  </si>
  <si>
    <t>BaseSys9 Fan</t>
  </si>
  <si>
    <t>BaseSys9 Fan-2</t>
  </si>
  <si>
    <t>Zone: KitchenFlr1</t>
  </si>
  <si>
    <t>KitchenMUA</t>
  </si>
  <si>
    <t>RestaurantHVACAvail</t>
  </si>
  <si>
    <t>GuestRoom101_Pkdg1Ph-SZAC</t>
  </si>
  <si>
    <t>Residential Units: Floor 1</t>
  </si>
  <si>
    <t>GuestRoom102_Split1Ph-SZAC</t>
  </si>
  <si>
    <t>GuestRoom103_Pkgd1Ph-SZHP</t>
  </si>
  <si>
    <t>PTHP</t>
  </si>
  <si>
    <t>GuestRoom104_Split1Ph-SZHP</t>
  </si>
  <si>
    <t>Residential Units: 105 and all 200s</t>
  </si>
  <si>
    <t>Residential Units: Fllor 1 &amp; 2</t>
  </si>
  <si>
    <t>Residential Units: All 300s</t>
  </si>
  <si>
    <t>Residential Units: Fllor 3</t>
  </si>
  <si>
    <t>Residential Units: All 400s</t>
  </si>
  <si>
    <t>Residential Units: Fllor 4</t>
  </si>
  <si>
    <t>Residential Units: Vent (All)</t>
  </si>
  <si>
    <t>Ventilation Only</t>
  </si>
  <si>
    <t>KitchenExhaust</t>
  </si>
  <si>
    <t>GuestRoom101_Dx CoilClg</t>
  </si>
  <si>
    <t>GuestRoom102_Dx CoilClg</t>
  </si>
  <si>
    <t>CoilClgDXSEEREIR_fTwbToadbSI-4</t>
  </si>
  <si>
    <t>GuestRoom103_Dx CoilClg</t>
  </si>
  <si>
    <t>CoilClgDXSEEREIR_fTwbToadbSI-5</t>
  </si>
  <si>
    <t>GuestRoom104_Dx CoilClg</t>
  </si>
  <si>
    <t>CoilClgDXSEEREIR_fTwbToadbSI-6</t>
  </si>
  <si>
    <t>Kitchen CoilClg</t>
  </si>
  <si>
    <t>CoilClgDXSEEREIR_fTwbToadbSI-7</t>
  </si>
  <si>
    <t>GuestRoom101_Furnace Htg</t>
  </si>
  <si>
    <t>GuestRoom102_Furnace Htg</t>
  </si>
  <si>
    <t>GuestRoom103_HP CoilHtg</t>
  </si>
  <si>
    <t>Heatpump</t>
  </si>
  <si>
    <t>GuestRoom104_HP CoilHtg</t>
  </si>
  <si>
    <t>KitchenCoilHtg</t>
  </si>
  <si>
    <t>Total Power (Ref)</t>
  </si>
  <si>
    <t>Fan:OverallEff</t>
  </si>
  <si>
    <t>Fan:Pwr</t>
  </si>
  <si>
    <t>GuestRoom101_Supply Fan</t>
  </si>
  <si>
    <t>GuestRoom102_Supply Fan</t>
  </si>
  <si>
    <t>GuestRoom103_Supply Fan</t>
  </si>
  <si>
    <t>GuestRoom104_Supply Fan</t>
  </si>
  <si>
    <t>Kitchen Fan</t>
  </si>
  <si>
    <t>KitchExh Fan</t>
  </si>
  <si>
    <t>Kitchen OAControl</t>
  </si>
  <si>
    <t>Exhaust Fan Total Efficiency</t>
  </si>
  <si>
    <t>Exhaust Fan Total Static Pressure</t>
  </si>
  <si>
    <t>ThrmlZn:ExhFlowSim</t>
  </si>
  <si>
    <t>ThrmlZn:ExhTotEff</t>
  </si>
  <si>
    <t>ThrmlZn:ExhTotStaticPress</t>
  </si>
  <si>
    <t>KitchenFlr1 Thermal Zone</t>
  </si>
  <si>
    <t>RestaurantClgSetpt</t>
  </si>
  <si>
    <t>RestaurantHtgSetpt</t>
  </si>
  <si>
    <t>High-Rise Residential Living Spaces</t>
  </si>
  <si>
    <t>Water-Side Economizer Name</t>
  </si>
  <si>
    <t>(HX:Type)</t>
  </si>
  <si>
    <t>(HX:EconoIntegration)</t>
  </si>
  <si>
    <t>WS-Economizer</t>
  </si>
  <si>
    <t>CounterFlow</t>
  </si>
  <si>
    <t>BaseAirSys13</t>
  </si>
  <si>
    <t>Residential Units: SZAC (All)</t>
  </si>
  <si>
    <t>BaseSys13 CoilClg</t>
  </si>
  <si>
    <t>BaseSys13 CoilHtg</t>
  </si>
  <si>
    <t>BaseSys13 Fan</t>
  </si>
  <si>
    <t>BaseSys13 OACtrl</t>
  </si>
  <si>
    <t>Foced</t>
  </si>
  <si>
    <t>Sandeep Doddaballapur</t>
  </si>
  <si>
    <t>Existing Alteration</t>
  </si>
  <si>
    <t>Altered</t>
  </si>
  <si>
    <t>NACM_Metal Framed Wall_New</t>
  </si>
  <si>
    <t>Exisiting</t>
  </si>
  <si>
    <t>FixedWindow_Altered</t>
  </si>
  <si>
    <t>Top Floor-South Window</t>
  </si>
  <si>
    <t>FixedWindow_Unaltered</t>
  </si>
  <si>
    <t>All Other</t>
  </si>
  <si>
    <t>Exisiting/New</t>
  </si>
  <si>
    <t>Expanded Polystyrene - EPS - 3 1/2 in. R15</t>
  </si>
  <si>
    <t>Mid Flr / All Zone</t>
  </si>
  <si>
    <t>Top Flr / All Zone (Except Zone 4)</t>
  </si>
  <si>
    <t>Top Flr / Zone 4</t>
  </si>
  <si>
    <t>Perimeter_top_ZN_4 New AirSys</t>
  </si>
  <si>
    <t>Top Floor - Zone 4</t>
  </si>
  <si>
    <t>Bottom Flr Zn 2/3/4</t>
  </si>
  <si>
    <t>BaseAirSys7-2/3/4</t>
  </si>
  <si>
    <t>Bottom Floor Zone 2-4</t>
  </si>
  <si>
    <t>Bottom Flr Zn1&amp;Core</t>
  </si>
  <si>
    <t>BaseAirSys7, 7-5</t>
  </si>
  <si>
    <t>Bottom Floor Zone 1&amp;Core</t>
  </si>
  <si>
    <t>Top VAV CoilCooling</t>
  </si>
  <si>
    <t>Perim_top_4Zn CoolingCoil</t>
  </si>
  <si>
    <t>CoreMidReheatCoil</t>
  </si>
  <si>
    <t xml:space="preserve">PerimeterMid3ReheatCoil  </t>
  </si>
  <si>
    <t>CoreTopReheatCoil</t>
  </si>
  <si>
    <t>PerimeterTop1ReheatCoil</t>
  </si>
  <si>
    <t>PerimeterTop2ReheatCoil</t>
  </si>
  <si>
    <t xml:space="preserve">PerimeterTop3ReheatCoil  </t>
  </si>
  <si>
    <t>Perim_top_4Zn HeatingCoil</t>
  </si>
  <si>
    <t>TopVAV SupplyFan</t>
  </si>
  <si>
    <t>Perim_top_4ZnSupplyFan</t>
  </si>
  <si>
    <t>??</t>
  </si>
  <si>
    <t>Outside Air Control - Name</t>
  </si>
  <si>
    <t>Top VAV OACtrl</t>
  </si>
  <si>
    <t>DifferentialDryBulbAndEnthalpy</t>
  </si>
  <si>
    <t>Perime1OAControl</t>
  </si>
  <si>
    <t>HotWater Pump</t>
  </si>
  <si>
    <t>FlatNonresWoodFramingAndOtherRoofU082</t>
  </si>
  <si>
    <t>MetalFrameWallU217</t>
  </si>
  <si>
    <t>Layers -8</t>
  </si>
  <si>
    <t>Compliance Insulation R0.05</t>
  </si>
  <si>
    <t>Compliance Insulation R0.02</t>
  </si>
  <si>
    <t>FlatNonresWoodFramingAndOtherRoofU049</t>
  </si>
  <si>
    <t>Compliance Insulation R10.00</t>
  </si>
  <si>
    <t>Compliance Insulation R1.41</t>
  </si>
  <si>
    <t>BaseAirSys7-6</t>
  </si>
  <si>
    <t>BaseSys7 CoilClg-6</t>
  </si>
  <si>
    <t>Existing</t>
  </si>
  <si>
    <t>BaseSys7 CoilHtg-6</t>
  </si>
  <si>
    <t>BaseSys7 Fan-6</t>
  </si>
  <si>
    <t>BaseSys7 OACtrl-6</t>
  </si>
  <si>
    <t>Existing Addition</t>
  </si>
  <si>
    <t>FixedWindowU35</t>
  </si>
  <si>
    <t>South Windows (All Windows)</t>
  </si>
  <si>
    <t>Lighting Power Density (General Lighting)</t>
  </si>
  <si>
    <t>Tailored Method</t>
  </si>
  <si>
    <t>Bottom Floor / All Zones</t>
  </si>
  <si>
    <t>SouthAddtn AirSys</t>
  </si>
  <si>
    <t>All additions</t>
  </si>
  <si>
    <t>RetailHVACAvail</t>
  </si>
  <si>
    <t>SouthAddtn CoolingCoil</t>
  </si>
  <si>
    <t>SouthAddtn HeatingCoil</t>
  </si>
  <si>
    <t>SouthAddtn SupplyFan</t>
  </si>
  <si>
    <t>SouthAddtn OAControl</t>
  </si>
  <si>
    <t xml:space="preserve">Not Applicable - IES VE 1.0 only does NewComplete compliance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</si>
</sst>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
    <numFmt numFmtId="166" formatCode="0.0000"/>
    <numFmt numFmtId="167" formatCode="0.0000000000"/>
    <numFmt numFmtId="168" formatCode="0.00000"/>
    <numFmt numFmtId="169" formatCode="_(* #,##0_);_(* \(#,##0\);_(* &quot;-&quot;??_);_(@_)"/>
  </numFmts>
  <fonts count="6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sz val="11"/>
      <color theme="0" tint="-0.499984740745262"/>
      <name val="Calibri"/>
      <family val="2"/>
      <scheme val="minor"/>
    </font>
    <font>
      <sz val="11"/>
      <name val="Calibri"/>
      <family val="2"/>
      <scheme val="minor"/>
    </font>
    <font>
      <sz val="10"/>
      <color theme="1"/>
      <name val="Calibri"/>
      <family val="2"/>
      <scheme val="minor"/>
    </font>
    <font>
      <sz val="10"/>
      <color rgb="FFFF0000"/>
      <name val="Calibri"/>
      <family val="2"/>
      <scheme val="minor"/>
    </font>
    <font>
      <b/>
      <sz val="10"/>
      <name val="Calibri"/>
      <family val="2"/>
      <scheme val="minor"/>
    </font>
    <font>
      <sz val="10"/>
      <color theme="0" tint="-0.499984740745262"/>
      <name val="Calibri"/>
      <family val="2"/>
      <scheme val="minor"/>
    </font>
    <font>
      <b/>
      <sz val="10"/>
      <color theme="1"/>
      <name val="Calibri"/>
      <family val="2"/>
      <scheme val="minor"/>
    </font>
    <font>
      <sz val="10"/>
      <color theme="0" tint="-0.34998626667073579"/>
      <name val="Calibri"/>
      <family val="2"/>
      <scheme val="minor"/>
    </font>
    <font>
      <b/>
      <sz val="10"/>
      <color rgb="FFFF0000"/>
      <name val="Calibri"/>
      <family val="2"/>
      <scheme val="minor"/>
    </font>
    <font>
      <b/>
      <sz val="10"/>
      <color theme="0" tint="-0.34998626667073579"/>
      <name val="Calibri"/>
      <family val="2"/>
      <scheme val="minor"/>
    </font>
    <font>
      <b/>
      <sz val="10"/>
      <color theme="0" tint="-0.499984740745262"/>
      <name val="Calibri"/>
      <family val="2"/>
      <scheme val="minor"/>
    </font>
    <font>
      <b/>
      <sz val="11"/>
      <color rgb="FFFF0000"/>
      <name val="Calibri"/>
      <family val="2"/>
      <scheme val="minor"/>
    </font>
    <font>
      <b/>
      <sz val="10"/>
      <color rgb="FF0000FF"/>
      <name val="Calibri"/>
      <family val="2"/>
      <scheme val="minor"/>
    </font>
    <font>
      <sz val="10"/>
      <color rgb="FF3F3F76"/>
      <name val="Calibri"/>
      <family val="2"/>
      <scheme val="minor"/>
    </font>
    <font>
      <sz val="10"/>
      <color theme="0" tint="-0.249977111117893"/>
      <name val="Calibri"/>
      <family val="2"/>
      <scheme val="minor"/>
    </font>
    <font>
      <b/>
      <sz val="8"/>
      <color rgb="FFFF0000"/>
      <name val="Calibri"/>
      <family val="2"/>
      <scheme val="minor"/>
    </font>
    <font>
      <b/>
      <sz val="9"/>
      <color indexed="81"/>
      <name val="Tahoma"/>
      <family val="2"/>
    </font>
    <font>
      <sz val="9"/>
      <color indexed="81"/>
      <name val="Tahoma"/>
      <family val="2"/>
    </font>
    <font>
      <sz val="10"/>
      <color theme="1"/>
      <name val="Arial"/>
      <family val="2"/>
    </font>
    <font>
      <b/>
      <sz val="10"/>
      <color rgb="FF000000"/>
      <name val="Arial"/>
      <family val="2"/>
    </font>
    <font>
      <sz val="10"/>
      <color rgb="FF000000"/>
      <name val="Arial"/>
      <family val="2"/>
    </font>
    <font>
      <b/>
      <sz val="10"/>
      <color rgb="FF0000FF"/>
      <name val="Arial"/>
      <family val="2"/>
    </font>
    <font>
      <sz val="10"/>
      <color rgb="FF999999"/>
      <name val="Arial"/>
      <family val="2"/>
    </font>
    <font>
      <sz val="10"/>
      <color rgb="FFCCCCCC"/>
      <name val="Arial"/>
      <family val="2"/>
    </font>
    <font>
      <sz val="10"/>
      <name val="Arial"/>
      <family val="2"/>
    </font>
    <font>
      <sz val="10"/>
      <color rgb="FF0000FF"/>
      <name val="Calibri"/>
      <family val="2"/>
      <scheme val="minor"/>
    </font>
    <font>
      <sz val="10"/>
      <color theme="1" tint="0.249977111117893"/>
      <name val="Calibri"/>
      <family val="2"/>
      <scheme val="minor"/>
    </font>
    <font>
      <sz val="11"/>
      <color theme="0" tint="-0.14999847407452621"/>
      <name val="Calibri"/>
      <family val="2"/>
      <scheme val="minor"/>
    </font>
    <font>
      <sz val="10"/>
      <color theme="1" tint="0.34998626667073579"/>
      <name val="Calibri"/>
      <family val="2"/>
      <scheme val="minor"/>
    </font>
    <font>
      <i/>
      <sz val="10"/>
      <color theme="0" tint="-0.34998626667073579"/>
      <name val="Calibri"/>
      <family val="2"/>
      <scheme val="minor"/>
    </font>
    <font>
      <b/>
      <sz val="10"/>
      <color rgb="FFFF0000"/>
      <name val="Arial"/>
      <family val="2"/>
    </font>
    <font>
      <b/>
      <u/>
      <sz val="10"/>
      <color theme="1"/>
      <name val="Calibri"/>
      <family val="2"/>
      <scheme val="minor"/>
    </font>
    <font>
      <u/>
      <sz val="10"/>
      <color theme="1"/>
      <name val="Calibri"/>
      <family val="2"/>
      <scheme val="minor"/>
    </font>
    <font>
      <u/>
      <sz val="10"/>
      <color theme="0" tint="-0.34998626667073579"/>
      <name val="Calibri"/>
      <family val="2"/>
      <scheme val="minor"/>
    </font>
    <font>
      <b/>
      <u/>
      <sz val="10"/>
      <name val="Calibri"/>
      <family val="2"/>
      <scheme val="minor"/>
    </font>
    <font>
      <b/>
      <u/>
      <sz val="10"/>
      <color theme="0" tint="-0.34998626667073579"/>
      <name val="Calibri"/>
      <family val="2"/>
      <scheme val="minor"/>
    </font>
    <font>
      <sz val="10"/>
      <color theme="0" tint="-0.14999847407452621"/>
      <name val="Calibri"/>
      <family val="2"/>
      <scheme val="minor"/>
    </font>
    <font>
      <i/>
      <sz val="9"/>
      <color indexed="81"/>
      <name val="Tahoma"/>
      <family val="2"/>
    </font>
    <font>
      <sz val="10"/>
      <color theme="1" tint="0.499984740745262"/>
      <name val="Calibri"/>
      <family val="2"/>
      <scheme val="minor"/>
    </font>
    <font>
      <b/>
      <sz val="10"/>
      <color theme="1" tint="0.249977111117893"/>
      <name val="Calibri"/>
      <family val="2"/>
      <scheme val="minor"/>
    </font>
    <font>
      <u/>
      <sz val="9"/>
      <color indexed="81"/>
      <name val="Tahoma"/>
      <family val="2"/>
    </font>
    <font>
      <sz val="10"/>
      <color theme="9" tint="-0.249977111117893"/>
      <name val="Calibri"/>
      <family val="2"/>
      <scheme val="minor"/>
    </font>
    <font>
      <b/>
      <sz val="10"/>
      <name val="Arial"/>
      <family val="2"/>
    </font>
    <font>
      <b/>
      <sz val="10"/>
      <color theme="0" tint="-0.14999847407452621"/>
      <name val="Calibri"/>
      <family val="2"/>
      <scheme val="minor"/>
    </font>
    <font>
      <b/>
      <sz val="11"/>
      <color rgb="FF006100"/>
      <name val="Calibri"/>
      <family val="2"/>
      <scheme val="minor"/>
    </font>
    <font>
      <b/>
      <sz val="11"/>
      <color rgb="FF9C0006"/>
      <name val="Calibri"/>
      <family val="2"/>
      <scheme val="minor"/>
    </font>
    <font>
      <i/>
      <sz val="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D9D9D9"/>
        <bgColor indexed="64"/>
      </patternFill>
    </fill>
    <fill>
      <patternFill patternType="solid">
        <fgColor theme="9" tint="-0.249977111117893"/>
        <bgColor indexed="64"/>
      </patternFill>
    </fill>
    <fill>
      <patternFill patternType="solid">
        <fgColor rgb="FFFFFF00"/>
        <bgColor indexed="64"/>
      </patternFill>
    </fill>
  </fills>
  <borders count="10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rgb="FF7F7F7F"/>
      </left>
      <right style="thin">
        <color rgb="FF7F7F7F"/>
      </right>
      <top/>
      <bottom style="thin">
        <color rgb="FF7F7F7F"/>
      </bottom>
      <diagonal/>
    </border>
    <border>
      <left/>
      <right/>
      <top style="thin">
        <color indexed="64"/>
      </top>
      <bottom/>
      <diagonal/>
    </border>
    <border>
      <left/>
      <right/>
      <top/>
      <bottom style="double">
        <color indexed="64"/>
      </bottom>
      <diagonal/>
    </border>
    <border>
      <left style="thin">
        <color indexed="64"/>
      </left>
      <right style="thin">
        <color rgb="FF7F7F7F"/>
      </right>
      <top style="thin">
        <color rgb="FF7F7F7F"/>
      </top>
      <bottom style="thin">
        <color rgb="FF7F7F7F"/>
      </bottom>
      <diagonal/>
    </border>
    <border>
      <left style="thin">
        <color indexed="64"/>
      </left>
      <right style="thin">
        <color rgb="FF7F7F7F"/>
      </right>
      <top/>
      <bottom style="thin">
        <color rgb="FF7F7F7F"/>
      </bottom>
      <diagonal/>
    </border>
    <border>
      <left/>
      <right style="thin">
        <color rgb="FF7F7F7F"/>
      </right>
      <top/>
      <bottom style="thin">
        <color rgb="FF7F7F7F"/>
      </bottom>
      <diagonal/>
    </border>
    <border>
      <left style="thin">
        <color indexed="64"/>
      </left>
      <right style="thin">
        <color rgb="FF7F7F7F"/>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right style="thin">
        <color rgb="FF7F7F7F"/>
      </right>
      <top/>
      <bottom style="thin">
        <color indexed="64"/>
      </bottom>
      <diagonal/>
    </border>
    <border>
      <left style="thin">
        <color indexed="64"/>
      </left>
      <right style="thin">
        <color rgb="FF7F7F7F"/>
      </right>
      <top/>
      <bottom style="thin">
        <color indexed="64"/>
      </bottom>
      <diagonal/>
    </border>
    <border>
      <left/>
      <right style="thin">
        <color rgb="FF7F7F7F"/>
      </right>
      <top style="thin">
        <color rgb="FF7F7F7F"/>
      </top>
      <bottom style="thin">
        <color rgb="FF7F7F7F"/>
      </bottom>
      <diagonal/>
    </border>
    <border>
      <left/>
      <right style="thin">
        <color rgb="FF7F7F7F"/>
      </right>
      <top style="thin">
        <color rgb="FF7F7F7F"/>
      </top>
      <bottom style="thin">
        <color indexed="64"/>
      </bottom>
      <diagonal/>
    </border>
    <border>
      <left style="thin">
        <color indexed="64"/>
      </left>
      <right style="thin">
        <color rgb="FF7F7F7F"/>
      </right>
      <top style="thin">
        <color rgb="FF7F7F7F"/>
      </top>
      <bottom/>
      <diagonal/>
    </border>
    <border>
      <left/>
      <right style="thin">
        <color rgb="FF7F7F7F"/>
      </right>
      <top style="thin">
        <color rgb="FF7F7F7F"/>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rgb="FF7F7F7F"/>
      </left>
      <right style="thin">
        <color indexed="64"/>
      </right>
      <top/>
      <bottom style="thin">
        <color indexed="64"/>
      </bottom>
      <diagonal/>
    </border>
    <border>
      <left style="thin">
        <color rgb="FF7F7F7F"/>
      </left>
      <right style="thin">
        <color indexed="64"/>
      </right>
      <top style="double">
        <color indexed="64"/>
      </top>
      <bottom/>
      <diagonal/>
    </border>
    <border>
      <left style="thin">
        <color indexed="64"/>
      </left>
      <right style="thin">
        <color rgb="FF7F7F7F"/>
      </right>
      <top style="double">
        <color indexed="64"/>
      </top>
      <bottom style="thin">
        <color rgb="FF7F7F7F"/>
      </bottom>
      <diagonal/>
    </border>
    <border>
      <left/>
      <right/>
      <top style="double">
        <color indexed="64"/>
      </top>
      <bottom/>
      <diagonal/>
    </border>
    <border>
      <left/>
      <right style="thin">
        <color indexed="64"/>
      </right>
      <top style="double">
        <color indexed="64"/>
      </top>
      <bottom/>
      <diagonal/>
    </border>
    <border>
      <left style="thin">
        <color indexed="64"/>
      </left>
      <right style="thin">
        <color rgb="FF7F7F7F"/>
      </right>
      <top/>
      <bottom/>
      <diagonal/>
    </border>
    <border>
      <left style="thin">
        <color rgb="FF7F7F7F"/>
      </left>
      <right/>
      <top/>
      <bottom style="thin">
        <color indexed="64"/>
      </bottom>
      <diagonal/>
    </border>
    <border>
      <left style="thin">
        <color rgb="FF7F7F7F"/>
      </left>
      <right style="thin">
        <color indexed="64"/>
      </right>
      <top/>
      <bottom/>
      <diagonal/>
    </border>
    <border>
      <left/>
      <right style="thin">
        <color rgb="FF7F7F7F"/>
      </right>
      <top style="thin">
        <color indexed="64"/>
      </top>
      <bottom style="thin">
        <color rgb="FF7F7F7F"/>
      </bottom>
      <diagonal/>
    </border>
    <border>
      <left style="thin">
        <color indexed="64"/>
      </left>
      <right style="thin">
        <color rgb="FF7F7F7F"/>
      </right>
      <top style="thin">
        <color indexed="64"/>
      </top>
      <bottom style="thin">
        <color rgb="FF7F7F7F"/>
      </bottom>
      <diagonal/>
    </border>
    <border>
      <left/>
      <right style="thin">
        <color rgb="FF7F7F7F"/>
      </right>
      <top style="double">
        <color indexed="64"/>
      </top>
      <bottom style="thin">
        <color rgb="FF7F7F7F"/>
      </bottom>
      <diagonal/>
    </border>
    <border>
      <left style="thin">
        <color indexed="64"/>
      </left>
      <right style="thin">
        <color indexed="64"/>
      </right>
      <top/>
      <bottom style="thin">
        <color indexed="64"/>
      </bottom>
      <diagonal/>
    </border>
    <border>
      <left style="thin">
        <color indexed="64"/>
      </left>
      <right style="thin">
        <color rgb="FF7F7F7F"/>
      </right>
      <top style="double">
        <color indexed="64"/>
      </top>
      <bottom style="thin">
        <color indexed="64"/>
      </bottom>
      <diagonal/>
    </border>
    <border>
      <left style="thin">
        <color indexed="64"/>
      </left>
      <right/>
      <top style="thin">
        <color rgb="FF7F7F7F"/>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rgb="FF7F7F7F"/>
      </right>
      <top style="double">
        <color indexed="64"/>
      </top>
      <bottom/>
      <diagonal/>
    </border>
    <border>
      <left style="thin">
        <color indexed="64"/>
      </left>
      <right/>
      <top style="double">
        <color indexed="64"/>
      </top>
      <bottom style="thin">
        <color indexed="64"/>
      </bottom>
      <diagonal/>
    </border>
    <border>
      <left style="thin">
        <color indexed="64"/>
      </left>
      <right style="thin">
        <color theme="0" tint="-0.499984740745262"/>
      </right>
      <top style="double">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right style="thin">
        <color rgb="FF7F7F7F"/>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7F7F7F"/>
      </top>
      <bottom style="thin">
        <color indexed="64"/>
      </bottom>
      <diagonal/>
    </border>
    <border>
      <left style="thin">
        <color rgb="FF7F7F7F"/>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style="double">
        <color indexed="64"/>
      </top>
      <bottom style="thin">
        <color indexed="64"/>
      </bottom>
      <diagonal/>
    </border>
    <border>
      <left style="thin">
        <color indexed="64"/>
      </left>
      <right style="thin">
        <color indexed="64"/>
      </right>
      <top style="double">
        <color indexed="64"/>
      </top>
      <bottom style="thin">
        <color rgb="FF7F7F7F"/>
      </bottom>
      <diagonal/>
    </border>
    <border>
      <left style="thin">
        <color indexed="64"/>
      </left>
      <right style="thin">
        <color indexed="64"/>
      </right>
      <top style="double">
        <color indexed="64"/>
      </top>
      <bottom/>
      <diagonal/>
    </border>
    <border>
      <left style="thin">
        <color indexed="64"/>
      </left>
      <right style="thin">
        <color rgb="FF7F7F7F"/>
      </right>
      <top style="thin">
        <color indexed="64"/>
      </top>
      <bottom style="thin">
        <color indexed="64"/>
      </bottom>
      <diagonal/>
    </border>
    <border>
      <left style="thin">
        <color rgb="FF7F7F7F"/>
      </left>
      <right/>
      <top style="double">
        <color indexed="64"/>
      </top>
      <bottom style="thin">
        <color indexed="64"/>
      </bottom>
      <diagonal/>
    </border>
    <border>
      <left style="thin">
        <color indexed="64"/>
      </left>
      <right style="thin">
        <color indexed="64"/>
      </right>
      <top style="thin">
        <color rgb="FF7F7F7F"/>
      </top>
      <bottom/>
      <diagonal/>
    </border>
    <border>
      <left style="thin">
        <color indexed="64"/>
      </left>
      <right style="thin">
        <color indexed="64"/>
      </right>
      <top style="thin">
        <color rgb="FF7F7F7F"/>
      </top>
      <bottom style="thin">
        <color indexed="64"/>
      </bottom>
      <diagonal/>
    </border>
    <border>
      <left/>
      <right style="thin">
        <color rgb="FF7F7F7F"/>
      </right>
      <top/>
      <bottom/>
      <diagonal/>
    </border>
    <border>
      <left style="thin">
        <color indexed="64"/>
      </left>
      <right/>
      <top style="double">
        <color indexed="64"/>
      </top>
      <bottom style="thin">
        <color theme="0" tint="-0.14996795556505021"/>
      </bottom>
      <diagonal/>
    </border>
    <border>
      <left/>
      <right/>
      <top style="double">
        <color indexed="64"/>
      </top>
      <bottom style="thin">
        <color theme="0" tint="-0.14996795556505021"/>
      </bottom>
      <diagonal/>
    </border>
    <border>
      <left style="thin">
        <color indexed="64"/>
      </left>
      <right style="thin">
        <color rgb="FF7F7F7F"/>
      </right>
      <top style="double">
        <color indexed="64"/>
      </top>
      <bottom style="thin">
        <color theme="0" tint="-0.14996795556505021"/>
      </bottom>
      <diagonal/>
    </border>
    <border>
      <left/>
      <right style="thin">
        <color indexed="64"/>
      </right>
      <top style="double">
        <color indexed="64"/>
      </top>
      <bottom style="thin">
        <color theme="0" tint="-0.14996795556505021"/>
      </bottom>
      <diagonal/>
    </border>
    <border>
      <left style="thin">
        <color auto="1"/>
      </left>
      <right/>
      <top style="thin">
        <color theme="0" tint="-0.14996795556505021"/>
      </top>
      <bottom/>
      <diagonal/>
    </border>
    <border>
      <left/>
      <right style="thin">
        <color auto="1"/>
      </right>
      <top style="thin">
        <color theme="0" tint="-0.14996795556505021"/>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7F7F7F"/>
      </left>
      <right/>
      <top style="thin">
        <color rgb="FF7F7F7F"/>
      </top>
      <bottom style="thin">
        <color rgb="FF7F7F7F"/>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style="thin">
        <color rgb="FFB2B2B2"/>
      </right>
      <top style="double">
        <color indexed="64"/>
      </top>
      <bottom style="thin">
        <color indexed="64"/>
      </bottom>
      <diagonal/>
    </border>
    <border>
      <left style="thin">
        <color indexed="64"/>
      </left>
      <right style="thin">
        <color rgb="FFB2B2B2"/>
      </right>
      <top style="double">
        <color indexed="64"/>
      </top>
      <bottom style="thin">
        <color indexed="64"/>
      </bottom>
      <diagonal/>
    </border>
    <border>
      <left style="thin">
        <color indexed="64"/>
      </left>
      <right style="thin">
        <color rgb="FFB2B2B2"/>
      </right>
      <top style="double">
        <color indexed="64"/>
      </top>
      <bottom style="thin">
        <color rgb="FFB2B2B2"/>
      </bottom>
      <diagonal/>
    </border>
    <border>
      <left style="thin">
        <color indexed="64"/>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B2B2B2"/>
      </right>
      <top style="thin">
        <color rgb="FFB2B2B2"/>
      </top>
      <bottom style="thin">
        <color indexed="64"/>
      </bottom>
      <diagonal/>
    </border>
    <border>
      <left style="thin">
        <color rgb="FFB2B2B2"/>
      </left>
      <right style="thin">
        <color rgb="FFB2B2B2"/>
      </right>
      <top style="double">
        <color indexed="64"/>
      </top>
      <bottom style="thin">
        <color rgb="FFB2B2B2"/>
      </bottom>
      <diagonal/>
    </border>
    <border>
      <left style="thin">
        <color rgb="FFB2B2B2"/>
      </left>
      <right style="thin">
        <color rgb="FFB2B2B2"/>
      </right>
      <top/>
      <bottom style="thin">
        <color rgb="FFB2B2B2"/>
      </bottom>
      <diagonal/>
    </border>
    <border>
      <left style="thin">
        <color indexed="64"/>
      </left>
      <right style="thin">
        <color rgb="FFB2B2B2"/>
      </right>
      <top/>
      <bottom style="thin">
        <color indexed="64"/>
      </bottom>
      <diagonal/>
    </border>
    <border>
      <left style="thin">
        <color rgb="FFB2B2B2"/>
      </left>
      <right style="thin">
        <color rgb="FFB2B2B2"/>
      </right>
      <top/>
      <bottom style="thin">
        <color indexed="64"/>
      </bottom>
      <diagonal/>
    </border>
    <border>
      <left style="thin">
        <color rgb="FF7F7F7F"/>
      </left>
      <right/>
      <top style="double">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31"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24">
    <xf numFmtId="0" fontId="0" fillId="0" borderId="0" xfId="0"/>
    <xf numFmtId="2" fontId="17" fillId="0" borderId="0" xfId="0" applyNumberFormat="1" applyFont="1" applyBorder="1" applyAlignment="1">
      <alignment horizontal="left" vertical="top"/>
    </xf>
    <xf numFmtId="0" fontId="17" fillId="0" borderId="0" xfId="0" applyFont="1" applyBorder="1" applyAlignment="1">
      <alignment vertical="top" wrapText="1"/>
    </xf>
    <xf numFmtId="0" fontId="23" fillId="0" borderId="0" xfId="0" applyFont="1" applyBorder="1" applyAlignment="1">
      <alignment horizontal="left" vertical="top"/>
    </xf>
    <xf numFmtId="0" fontId="24" fillId="0" borderId="0" xfId="0" applyFont="1" applyBorder="1" applyAlignment="1">
      <alignment horizontal="left" vertical="top"/>
    </xf>
    <xf numFmtId="164" fontId="20" fillId="0" borderId="0" xfId="0" applyNumberFormat="1" applyFont="1" applyBorder="1" applyAlignment="1">
      <alignment horizontal="left" vertical="top"/>
    </xf>
    <xf numFmtId="0" fontId="20" fillId="0" borderId="0" xfId="0" quotePrefix="1" applyFont="1" applyBorder="1" applyAlignment="1">
      <alignment horizontal="left" vertical="top"/>
    </xf>
    <xf numFmtId="0" fontId="17" fillId="0" borderId="0" xfId="0" applyFont="1" applyBorder="1" applyAlignment="1">
      <alignment horizontal="left" vertical="top" wrapText="1"/>
    </xf>
    <xf numFmtId="14" fontId="20" fillId="0" borderId="0" xfId="0" applyNumberFormat="1" applyFont="1" applyBorder="1" applyAlignment="1">
      <alignment horizontal="left" vertical="top" wrapText="1"/>
    </xf>
    <xf numFmtId="0" fontId="20" fillId="0" borderId="0" xfId="0" applyFont="1" applyBorder="1" applyAlignment="1">
      <alignment horizontal="left" vertical="top" wrapText="1"/>
    </xf>
    <xf numFmtId="0" fontId="20" fillId="0" borderId="0" xfId="0" applyFont="1"/>
    <xf numFmtId="1" fontId="17" fillId="0" borderId="0" xfId="0" applyNumberFormat="1" applyFont="1" applyBorder="1" applyAlignment="1">
      <alignment horizontal="left" vertical="top"/>
    </xf>
    <xf numFmtId="0" fontId="20" fillId="34" borderId="0" xfId="0" quotePrefix="1" applyFont="1" applyFill="1" applyBorder="1" applyAlignment="1">
      <alignment horizontal="left" vertical="top"/>
    </xf>
    <xf numFmtId="0" fontId="23" fillId="0" borderId="0" xfId="0" applyFont="1" applyFill="1" applyBorder="1" applyAlignment="1">
      <alignment horizontal="left" vertical="top"/>
    </xf>
    <xf numFmtId="0" fontId="24" fillId="0" borderId="0" xfId="0" applyFont="1" applyFill="1" applyBorder="1" applyAlignment="1">
      <alignment horizontal="left" vertical="top"/>
    </xf>
    <xf numFmtId="0" fontId="26" fillId="0" borderId="0" xfId="0" applyFont="1" applyFill="1" applyBorder="1" applyAlignment="1">
      <alignment horizontal="left" vertical="top"/>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0" fillId="0" borderId="0" xfId="0" applyFont="1" applyBorder="1" applyAlignment="1">
      <alignment horizontal="left" vertical="top"/>
    </xf>
    <xf numFmtId="0" fontId="17" fillId="0" borderId="0" xfId="0" applyFont="1" applyBorder="1" applyAlignment="1">
      <alignment horizontal="left" vertical="top"/>
    </xf>
    <xf numFmtId="2" fontId="17" fillId="0" borderId="0" xfId="0" applyNumberFormat="1" applyFont="1" applyFill="1" applyBorder="1" applyAlignment="1">
      <alignment horizontal="left" vertical="top"/>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4" fillId="36" borderId="0" xfId="0" applyFont="1" applyFill="1" applyBorder="1" applyAlignment="1">
      <alignment horizontal="left" vertical="top"/>
    </xf>
    <xf numFmtId="0" fontId="20" fillId="34" borderId="0" xfId="0" quotePrefix="1" applyFont="1" applyFill="1" applyBorder="1" applyAlignment="1">
      <alignment horizontal="left" vertical="top" wrapText="1"/>
    </xf>
    <xf numFmtId="0" fontId="25" fillId="0" borderId="0" xfId="0" applyFont="1" applyFill="1" applyBorder="1" applyAlignment="1">
      <alignment horizontal="left" vertical="top" wrapText="1"/>
    </xf>
    <xf numFmtId="0" fontId="23" fillId="36" borderId="0" xfId="0" applyFont="1" applyFill="1" applyBorder="1" applyAlignment="1">
      <alignment horizontal="left" vertical="top" wrapText="1"/>
    </xf>
    <xf numFmtId="0" fontId="23" fillId="35" borderId="0" xfId="0" applyFont="1" applyFill="1" applyBorder="1" applyAlignment="1">
      <alignment horizontal="left" vertical="top"/>
    </xf>
    <xf numFmtId="2" fontId="17" fillId="0" borderId="0" xfId="0" applyNumberFormat="1" applyFont="1" applyBorder="1" applyAlignment="1">
      <alignment horizontal="left" vertical="top" wrapText="1"/>
    </xf>
    <xf numFmtId="0" fontId="24" fillId="35" borderId="0" xfId="0" applyFont="1" applyFill="1" applyBorder="1" applyAlignment="1">
      <alignment horizontal="left" vertical="top"/>
    </xf>
    <xf numFmtId="0" fontId="25" fillId="0" borderId="0" xfId="0" applyFont="1" applyBorder="1" applyAlignment="1">
      <alignment horizontal="left" vertical="top" wrapText="1"/>
    </xf>
    <xf numFmtId="0" fontId="20" fillId="0" borderId="0" xfId="0" quotePrefix="1" applyFont="1" applyBorder="1" applyAlignment="1">
      <alignment horizontal="left" vertical="top" wrapText="1"/>
    </xf>
    <xf numFmtId="2" fontId="20" fillId="0" borderId="0" xfId="0" applyNumberFormat="1" applyFont="1" applyBorder="1" applyAlignment="1">
      <alignment horizontal="left" vertical="top" wrapText="1"/>
    </xf>
    <xf numFmtId="0" fontId="23" fillId="0" borderId="0" xfId="0" applyFont="1" applyFill="1" applyBorder="1" applyAlignment="1">
      <alignment horizontal="left" vertical="top" wrapText="1"/>
    </xf>
    <xf numFmtId="164" fontId="20" fillId="0" borderId="0" xfId="0" applyNumberFormat="1" applyFont="1" applyBorder="1" applyAlignment="1">
      <alignment horizontal="left" vertical="top" wrapText="1"/>
    </xf>
    <xf numFmtId="0" fontId="24" fillId="0" borderId="0" xfId="0" applyFont="1" applyBorder="1" applyAlignment="1">
      <alignment vertical="top" wrapText="1"/>
    </xf>
    <xf numFmtId="0" fontId="28" fillId="0" borderId="0" xfId="0" applyFont="1" applyBorder="1" applyAlignment="1">
      <alignment horizontal="left" vertical="top"/>
    </xf>
    <xf numFmtId="0" fontId="20" fillId="0" borderId="0" xfId="0" quotePrefix="1" applyFont="1" applyFill="1" applyBorder="1" applyAlignment="1">
      <alignment horizontal="left" vertical="top"/>
    </xf>
    <xf numFmtId="0" fontId="22" fillId="0" borderId="0" xfId="0" applyFont="1" applyBorder="1" applyAlignment="1">
      <alignment horizontal="left" vertical="top" wrapText="1"/>
    </xf>
    <xf numFmtId="0" fontId="24"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22" fillId="0" borderId="0" xfId="0" applyFont="1" applyFill="1" applyBorder="1" applyAlignment="1">
      <alignment horizontal="left" vertical="top"/>
    </xf>
    <xf numFmtId="0" fontId="20" fillId="0" borderId="0" xfId="0" applyFont="1" applyFill="1"/>
    <xf numFmtId="0" fontId="20" fillId="0" borderId="0" xfId="0" applyFont="1" applyFill="1" applyBorder="1" applyAlignment="1">
      <alignment horizontal="left" vertical="top" wrapText="1"/>
    </xf>
    <xf numFmtId="0" fontId="20" fillId="0" borderId="0" xfId="0" applyFont="1" applyFill="1" applyAlignment="1">
      <alignment horizontal="left" wrapText="1"/>
    </xf>
    <xf numFmtId="0" fontId="24" fillId="35" borderId="0" xfId="0" applyFont="1" applyFill="1" applyBorder="1" applyAlignment="1">
      <alignment horizontal="left" vertical="top" wrapText="1"/>
    </xf>
    <xf numFmtId="0" fontId="24" fillId="36" borderId="0" xfId="0" applyFont="1" applyFill="1" applyBorder="1" applyAlignment="1">
      <alignment horizontal="left" vertical="top" wrapText="1"/>
    </xf>
    <xf numFmtId="0" fontId="17" fillId="0" borderId="0" xfId="0" applyFont="1" applyFill="1" applyAlignment="1">
      <alignment horizontal="left" wrapText="1"/>
    </xf>
    <xf numFmtId="0" fontId="23" fillId="0" borderId="0" xfId="0" applyFont="1" applyBorder="1" applyAlignment="1">
      <alignment vertical="top" wrapText="1"/>
    </xf>
    <xf numFmtId="0" fontId="22" fillId="35" borderId="0" xfId="0" applyFont="1" applyFill="1" applyBorder="1" applyAlignment="1">
      <alignment horizontal="left" vertical="top" wrapText="1"/>
    </xf>
    <xf numFmtId="0" fontId="22" fillId="36" borderId="0" xfId="0" applyFont="1" applyFill="1" applyBorder="1" applyAlignment="1">
      <alignment horizontal="left" vertical="top"/>
    </xf>
    <xf numFmtId="0" fontId="20" fillId="0" borderId="0" xfId="0" applyFont="1" applyBorder="1" applyAlignment="1">
      <alignment horizontal="left" vertical="top"/>
    </xf>
    <xf numFmtId="0" fontId="20" fillId="0" borderId="0" xfId="0" applyFont="1" applyBorder="1" applyAlignment="1">
      <alignment horizontal="left" vertical="top" wrapText="1"/>
    </xf>
    <xf numFmtId="2" fontId="17" fillId="0" borderId="0" xfId="0" applyNumberFormat="1" applyFont="1" applyFill="1" applyBorder="1" applyAlignment="1">
      <alignment horizontal="left" vertical="top" wrapText="1"/>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2" fillId="0" borderId="0" xfId="0" applyFont="1" applyFill="1" applyBorder="1" applyAlignment="1">
      <alignment vertical="top"/>
    </xf>
    <xf numFmtId="0" fontId="22" fillId="0" borderId="0" xfId="0" applyFont="1" applyFill="1" applyBorder="1" applyAlignment="1">
      <alignment horizontal="center" vertical="top" wrapText="1"/>
    </xf>
    <xf numFmtId="0" fontId="22" fillId="0" borderId="0" xfId="0" applyFont="1" applyFill="1" applyBorder="1" applyAlignment="1">
      <alignment horizontal="center" vertical="top"/>
    </xf>
    <xf numFmtId="1" fontId="17" fillId="0" borderId="0" xfId="0" applyNumberFormat="1" applyFont="1" applyFill="1" applyBorder="1" applyAlignment="1">
      <alignment horizontal="left" vertical="top"/>
    </xf>
    <xf numFmtId="0" fontId="17" fillId="0" borderId="0" xfId="0" applyFont="1" applyBorder="1" applyAlignment="1">
      <alignment vertical="top"/>
    </xf>
    <xf numFmtId="0" fontId="31" fillId="0" borderId="0" xfId="9" applyFill="1" applyBorder="1" applyAlignment="1">
      <alignment horizontal="left" vertical="top"/>
    </xf>
    <xf numFmtId="0" fontId="29" fillId="0" borderId="0" xfId="9" applyFont="1" applyFill="1" applyBorder="1" applyAlignment="1">
      <alignment horizontal="left" vertical="top"/>
    </xf>
    <xf numFmtId="0" fontId="21" fillId="0" borderId="0" xfId="0" applyFont="1" applyBorder="1" applyAlignment="1">
      <alignment vertical="top"/>
    </xf>
    <xf numFmtId="0" fontId="17" fillId="5" borderId="4" xfId="9" applyFont="1" applyAlignment="1">
      <alignment horizontal="left" vertical="top" wrapText="1"/>
    </xf>
    <xf numFmtId="0" fontId="17" fillId="0" borderId="0" xfId="0" applyFont="1" applyBorder="1" applyAlignment="1">
      <alignment vertical="top" wrapText="1"/>
    </xf>
    <xf numFmtId="14" fontId="20" fillId="0" borderId="0" xfId="0" applyNumberFormat="1" applyFont="1" applyBorder="1" applyAlignment="1">
      <alignment horizontal="left" vertical="top"/>
    </xf>
    <xf numFmtId="0" fontId="20" fillId="0" borderId="0" xfId="0" applyFont="1" applyFill="1" applyBorder="1" applyAlignment="1">
      <alignment horizontal="left" vertical="top"/>
    </xf>
    <xf numFmtId="0" fontId="23" fillId="0" borderId="0" xfId="0" applyFont="1" applyBorder="1" applyAlignment="1">
      <alignment horizontal="left" vertical="top" wrapText="1"/>
    </xf>
    <xf numFmtId="0" fontId="31" fillId="5" borderId="4" xfId="9" applyFont="1" applyAlignment="1">
      <alignment horizontal="left" vertical="top" wrapText="1"/>
    </xf>
    <xf numFmtId="0" fontId="20" fillId="0" borderId="0" xfId="0" applyFont="1" applyBorder="1" applyAlignment="1">
      <alignment vertical="top" wrapText="1"/>
    </xf>
    <xf numFmtId="0" fontId="17" fillId="0" borderId="0" xfId="0" applyFont="1" applyBorder="1" applyAlignment="1">
      <alignment vertical="top" wrapText="1"/>
    </xf>
    <xf numFmtId="0" fontId="26" fillId="0" borderId="0" xfId="0" applyFont="1" applyBorder="1" applyAlignment="1">
      <alignment horizontal="left" vertical="top"/>
    </xf>
    <xf numFmtId="0" fontId="17" fillId="0" borderId="0" xfId="0" quotePrefix="1" applyFont="1" applyFill="1" applyBorder="1" applyAlignment="1">
      <alignment horizontal="left" vertical="top"/>
    </xf>
    <xf numFmtId="0" fontId="17" fillId="33" borderId="0" xfId="0" quotePrefix="1" applyFont="1" applyFill="1" applyBorder="1" applyAlignment="1">
      <alignment horizontal="left" vertical="top"/>
    </xf>
    <xf numFmtId="0" fontId="23" fillId="35" borderId="0" xfId="0" applyFont="1" applyFill="1" applyBorder="1" applyAlignment="1">
      <alignment horizontal="left" vertical="top" wrapText="1"/>
    </xf>
    <xf numFmtId="0" fontId="23" fillId="36" borderId="0" xfId="0" applyFont="1" applyFill="1" applyBorder="1" applyAlignment="1">
      <alignment horizontal="left" vertical="top"/>
    </xf>
    <xf numFmtId="0" fontId="26" fillId="0" borderId="0" xfId="0" applyFont="1" applyBorder="1" applyAlignment="1">
      <alignment vertical="top" wrapText="1"/>
    </xf>
    <xf numFmtId="0" fontId="25" fillId="0" borderId="0" xfId="0" applyFont="1" applyBorder="1" applyAlignment="1">
      <alignment vertical="top" wrapText="1"/>
    </xf>
    <xf numFmtId="0" fontId="17" fillId="0" borderId="0" xfId="0" applyNumberFormat="1" applyFont="1" applyFill="1" applyBorder="1" applyAlignment="1">
      <alignment vertical="top" wrapText="1"/>
    </xf>
    <xf numFmtId="0" fontId="25" fillId="0" borderId="0" xfId="0" applyFont="1" applyFill="1" applyBorder="1" applyAlignment="1">
      <alignment horizontal="left" vertical="top"/>
    </xf>
    <xf numFmtId="0" fontId="25" fillId="0" borderId="0" xfId="0" applyFont="1" applyBorder="1" applyAlignment="1">
      <alignment horizontal="left" vertical="top"/>
    </xf>
    <xf numFmtId="0" fontId="24" fillId="0" borderId="0" xfId="0" applyFont="1" applyBorder="1" applyAlignment="1">
      <alignment horizontal="left" vertical="top" wrapText="1"/>
    </xf>
    <xf numFmtId="0" fontId="22" fillId="0" borderId="0" xfId="0" applyFont="1" applyBorder="1" applyAlignment="1">
      <alignment vertical="top" wrapText="1"/>
    </xf>
    <xf numFmtId="0" fontId="22" fillId="0" borderId="0" xfId="0" applyNumberFormat="1" applyFont="1" applyFill="1" applyBorder="1" applyAlignment="1">
      <alignment vertical="top" wrapText="1"/>
    </xf>
    <xf numFmtId="0" fontId="28" fillId="0" borderId="0" xfId="0" applyFont="1" applyBorder="1" applyAlignment="1">
      <alignment horizontal="left" vertical="top" wrapText="1"/>
    </xf>
    <xf numFmtId="0" fontId="28" fillId="0" borderId="0" xfId="0" applyFont="1" applyFill="1" applyBorder="1" applyAlignment="1">
      <alignment horizontal="left" vertical="top" wrapText="1"/>
    </xf>
    <xf numFmtId="0" fontId="23" fillId="0" borderId="0" xfId="0" applyFont="1" applyBorder="1" applyAlignment="1">
      <alignment horizontal="left" vertical="top"/>
    </xf>
    <xf numFmtId="0" fontId="24" fillId="0" borderId="0" xfId="0" applyFont="1" applyBorder="1" applyAlignment="1">
      <alignment horizontal="left" vertical="top"/>
    </xf>
    <xf numFmtId="0" fontId="22" fillId="0" borderId="0" xfId="0" applyFont="1" applyBorder="1" applyAlignment="1">
      <alignment horizontal="left" vertical="top"/>
    </xf>
    <xf numFmtId="0" fontId="20" fillId="0" borderId="0" xfId="0" applyFont="1" applyBorder="1" applyAlignment="1">
      <alignment horizontal="left" vertical="top" wrapText="1"/>
    </xf>
    <xf numFmtId="0" fontId="23" fillId="0" borderId="0" xfId="0" applyFont="1" applyFill="1" applyBorder="1" applyAlignment="1">
      <alignment horizontal="left" vertical="top"/>
    </xf>
    <xf numFmtId="0" fontId="20" fillId="0" borderId="0" xfId="0" applyFont="1" applyBorder="1" applyAlignment="1">
      <alignment horizontal="left" vertical="top"/>
    </xf>
    <xf numFmtId="0" fontId="17" fillId="0" borderId="0" xfId="0" applyFont="1" applyBorder="1" applyAlignment="1">
      <alignment horizontal="left" vertical="top"/>
    </xf>
    <xf numFmtId="0" fontId="23" fillId="0" borderId="0" xfId="0" applyFont="1" applyFill="1" applyBorder="1" applyAlignment="1">
      <alignment horizontal="left" vertical="top" wrapText="1"/>
    </xf>
    <xf numFmtId="0" fontId="31" fillId="5" borderId="4" xfId="9" applyAlignment="1">
      <alignment horizontal="left" vertical="top"/>
    </xf>
    <xf numFmtId="0" fontId="31" fillId="5" borderId="4" xfId="9" applyFont="1" applyAlignment="1">
      <alignment horizontal="left" vertical="top"/>
    </xf>
    <xf numFmtId="0" fontId="23" fillId="33" borderId="0" xfId="0" quotePrefix="1" applyFont="1" applyFill="1" applyBorder="1" applyAlignment="1">
      <alignment horizontal="left" vertical="top"/>
    </xf>
    <xf numFmtId="0" fontId="23" fillId="0" borderId="0" xfId="0" quotePrefix="1" applyFont="1" applyFill="1" applyBorder="1" applyAlignment="1">
      <alignment horizontal="left" vertical="top"/>
    </xf>
    <xf numFmtId="0" fontId="18" fillId="0" borderId="0" xfId="0" applyFont="1"/>
    <xf numFmtId="0" fontId="20" fillId="0" borderId="0" xfId="0" applyFont="1" applyBorder="1" applyAlignment="1">
      <alignment horizontal="left" vertical="top"/>
    </xf>
    <xf numFmtId="0" fontId="17" fillId="0" borderId="0" xfId="0" applyFont="1" applyBorder="1" applyAlignment="1">
      <alignment horizontal="left" vertical="top"/>
    </xf>
    <xf numFmtId="0" fontId="22" fillId="35" borderId="0" xfId="0" applyFont="1" applyFill="1" applyBorder="1" applyAlignment="1">
      <alignment vertical="top"/>
    </xf>
    <xf numFmtId="0" fontId="33" fillId="0" borderId="0" xfId="0" applyFont="1" applyBorder="1" applyAlignment="1">
      <alignment horizontal="left" vertical="top"/>
    </xf>
    <xf numFmtId="0" fontId="36" fillId="0" borderId="0" xfId="0" applyFont="1" applyBorder="1" applyAlignment="1">
      <alignment vertical="center" wrapText="1"/>
    </xf>
    <xf numFmtId="0" fontId="25" fillId="0" borderId="18" xfId="0" applyFont="1" applyFill="1" applyBorder="1" applyAlignment="1">
      <alignment horizontal="left" vertical="top"/>
    </xf>
    <xf numFmtId="0" fontId="25" fillId="0" borderId="19" xfId="0" applyFont="1" applyFill="1" applyBorder="1" applyAlignment="1">
      <alignment horizontal="left" vertical="top"/>
    </xf>
    <xf numFmtId="0" fontId="20" fillId="0" borderId="0"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horizontal="left" vertical="top" wrapText="1"/>
    </xf>
    <xf numFmtId="0" fontId="17" fillId="0" borderId="0" xfId="0" applyFont="1" applyBorder="1" applyAlignment="1">
      <alignment vertical="top" wrapText="1"/>
    </xf>
    <xf numFmtId="0" fontId="17" fillId="0" borderId="0" xfId="0" applyFont="1" applyBorder="1" applyAlignment="1">
      <alignment horizontal="left" vertical="top"/>
    </xf>
    <xf numFmtId="0" fontId="17" fillId="0" borderId="0" xfId="0" applyFont="1" applyFill="1" applyBorder="1" applyAlignment="1">
      <alignmen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2" fillId="0" borderId="17" xfId="0" applyFont="1" applyBorder="1" applyAlignment="1">
      <alignment vertical="top" wrapText="1"/>
    </xf>
    <xf numFmtId="0" fontId="0" fillId="0" borderId="0" xfId="0" quotePrefix="1"/>
    <xf numFmtId="0" fontId="22" fillId="0" borderId="22" xfId="0" applyFont="1" applyBorder="1" applyAlignment="1">
      <alignment horizontal="left" vertical="top"/>
    </xf>
    <xf numFmtId="0" fontId="22" fillId="0" borderId="22" xfId="0" applyFont="1" applyBorder="1" applyAlignment="1">
      <alignment horizontal="left" vertical="top" wrapText="1"/>
    </xf>
    <xf numFmtId="0" fontId="20" fillId="0" borderId="22" xfId="0" applyFont="1" applyBorder="1" applyAlignment="1">
      <alignment horizontal="left" vertical="top"/>
    </xf>
    <xf numFmtId="0" fontId="23" fillId="0" borderId="22" xfId="0" applyFont="1" applyBorder="1" applyAlignment="1">
      <alignment horizontal="left" vertical="top"/>
    </xf>
    <xf numFmtId="0" fontId="24"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23" xfId="0" applyFont="1" applyBorder="1" applyAlignment="1">
      <alignment horizontal="left" vertical="top"/>
    </xf>
    <xf numFmtId="0" fontId="17" fillId="0" borderId="23" xfId="0" applyFont="1" applyBorder="1" applyAlignment="1">
      <alignment horizontal="left" vertical="top"/>
    </xf>
    <xf numFmtId="0" fontId="20" fillId="0" borderId="0" xfId="0" quotePrefix="1" applyFont="1"/>
    <xf numFmtId="0" fontId="17" fillId="0" borderId="12" xfId="0" applyFont="1" applyBorder="1" applyAlignment="1">
      <alignment horizontal="left" vertical="top" wrapText="1"/>
    </xf>
    <xf numFmtId="0" fontId="20" fillId="0" borderId="12" xfId="0" applyFont="1" applyBorder="1" applyAlignment="1">
      <alignment horizontal="left" vertical="top"/>
    </xf>
    <xf numFmtId="0" fontId="20" fillId="0" borderId="12" xfId="0" applyFont="1" applyBorder="1" applyAlignment="1">
      <alignment horizontal="left" vertical="top" wrapText="1"/>
    </xf>
    <xf numFmtId="0" fontId="22" fillId="0" borderId="16" xfId="0" applyFont="1" applyBorder="1" applyAlignment="1">
      <alignment horizontal="left" vertical="top" wrapText="1"/>
    </xf>
    <xf numFmtId="0" fontId="25" fillId="0" borderId="18" xfId="0" applyFont="1" applyBorder="1" applyAlignment="1">
      <alignment horizontal="left" vertical="top" wrapText="1"/>
    </xf>
    <xf numFmtId="0" fontId="20" fillId="0" borderId="12" xfId="0" applyFont="1" applyBorder="1" applyAlignment="1">
      <alignment vertical="top" wrapText="1"/>
    </xf>
    <xf numFmtId="0" fontId="23" fillId="0" borderId="12" xfId="0" applyFont="1" applyBorder="1" applyAlignment="1">
      <alignment horizontal="left" vertical="top"/>
    </xf>
    <xf numFmtId="0" fontId="20" fillId="34" borderId="12" xfId="0" quotePrefix="1" applyFont="1" applyFill="1" applyBorder="1" applyAlignment="1">
      <alignment horizontal="left" vertical="top"/>
    </xf>
    <xf numFmtId="0" fontId="24" fillId="0" borderId="12" xfId="0" applyFont="1" applyBorder="1" applyAlignment="1">
      <alignment horizontal="left" vertical="top" wrapText="1"/>
    </xf>
    <xf numFmtId="0" fontId="22" fillId="0" borderId="12" xfId="0" applyFont="1" applyBorder="1" applyAlignment="1">
      <alignment horizontal="left" vertical="top"/>
    </xf>
    <xf numFmtId="0" fontId="22" fillId="0" borderId="16" xfId="0" applyFont="1" applyBorder="1" applyAlignment="1">
      <alignment horizontal="left" vertical="top"/>
    </xf>
    <xf numFmtId="0" fontId="17" fillId="0" borderId="18" xfId="0" applyFont="1" applyBorder="1" applyAlignment="1">
      <alignment horizontal="left" vertical="top"/>
    </xf>
    <xf numFmtId="0" fontId="31" fillId="5" borderId="25" xfId="9" applyFont="1" applyBorder="1" applyAlignment="1">
      <alignment horizontal="left" vertical="top"/>
    </xf>
    <xf numFmtId="0" fontId="17" fillId="0" borderId="12" xfId="0" applyFont="1" applyBorder="1" applyAlignment="1">
      <alignment horizontal="left" vertical="top"/>
    </xf>
    <xf numFmtId="0" fontId="31" fillId="5" borderId="24" xfId="9" applyFont="1" applyBorder="1" applyAlignment="1">
      <alignment horizontal="left" vertical="top"/>
    </xf>
    <xf numFmtId="0" fontId="17" fillId="0" borderId="12" xfId="0" applyFont="1" applyFill="1" applyBorder="1" applyAlignment="1">
      <alignment horizontal="left" vertical="top"/>
    </xf>
    <xf numFmtId="0" fontId="23" fillId="0" borderId="16" xfId="0" applyFont="1" applyBorder="1" applyAlignment="1">
      <alignment horizontal="left" vertical="top"/>
    </xf>
    <xf numFmtId="0" fontId="25" fillId="0" borderId="18" xfId="0" applyFont="1" applyBorder="1" applyAlignment="1">
      <alignment horizontal="left" vertical="top"/>
    </xf>
    <xf numFmtId="0" fontId="23" fillId="33" borderId="24" xfId="9" quotePrefix="1" applyFont="1" applyFill="1" applyBorder="1" applyAlignment="1">
      <alignment horizontal="left" vertical="top"/>
    </xf>
    <xf numFmtId="0" fontId="31" fillId="5" borderId="26" xfId="9" applyFont="1" applyBorder="1" applyAlignment="1">
      <alignment horizontal="left" vertical="top"/>
    </xf>
    <xf numFmtId="0" fontId="22" fillId="0" borderId="17" xfId="0" applyFont="1" applyBorder="1" applyAlignment="1">
      <alignment horizontal="left" vertical="top" wrapText="1"/>
    </xf>
    <xf numFmtId="0" fontId="25" fillId="0" borderId="19" xfId="0" applyFont="1" applyBorder="1" applyAlignment="1">
      <alignment horizontal="left" vertical="top" wrapText="1"/>
    </xf>
    <xf numFmtId="164" fontId="20" fillId="0" borderId="11" xfId="0" applyNumberFormat="1" applyFont="1" applyBorder="1" applyAlignment="1">
      <alignment horizontal="left" vertical="top" wrapText="1"/>
    </xf>
    <xf numFmtId="0" fontId="31" fillId="5" borderId="4" xfId="9" applyFont="1" applyBorder="1" applyAlignment="1">
      <alignment horizontal="left" vertical="top"/>
    </xf>
    <xf numFmtId="0" fontId="20" fillId="0" borderId="11" xfId="0" applyFont="1" applyBorder="1" applyAlignment="1">
      <alignment horizontal="left" vertical="top" wrapText="1"/>
    </xf>
    <xf numFmtId="2" fontId="20" fillId="0" borderId="11" xfId="0" applyNumberFormat="1" applyFont="1" applyBorder="1" applyAlignment="1">
      <alignment horizontal="left" vertical="top" wrapText="1"/>
    </xf>
    <xf numFmtId="0" fontId="20" fillId="34" borderId="11" xfId="0" quotePrefix="1" applyFont="1" applyFill="1" applyBorder="1" applyAlignment="1">
      <alignment horizontal="left" vertical="top"/>
    </xf>
    <xf numFmtId="0" fontId="20" fillId="0" borderId="15" xfId="0" applyFont="1" applyBorder="1" applyAlignment="1">
      <alignment horizontal="left" vertical="top"/>
    </xf>
    <xf numFmtId="0" fontId="20" fillId="0" borderId="13" xfId="0" applyFont="1" applyBorder="1" applyAlignment="1">
      <alignment horizontal="left" vertical="top" wrapText="1"/>
    </xf>
    <xf numFmtId="0" fontId="20" fillId="0" borderId="13" xfId="0" applyFont="1" applyBorder="1" applyAlignment="1">
      <alignment horizontal="left" vertical="top"/>
    </xf>
    <xf numFmtId="0" fontId="20" fillId="34" borderId="15" xfId="0" quotePrefix="1" applyFont="1" applyFill="1" applyBorder="1" applyAlignment="1">
      <alignment horizontal="left" vertical="top"/>
    </xf>
    <xf numFmtId="0" fontId="20" fillId="34" borderId="13" xfId="0" quotePrefix="1" applyFont="1" applyFill="1" applyBorder="1" applyAlignment="1">
      <alignment horizontal="left" vertical="top" wrapText="1"/>
    </xf>
    <xf numFmtId="0" fontId="31" fillId="5" borderId="27" xfId="9" applyFont="1" applyBorder="1" applyAlignment="1">
      <alignment horizontal="left" vertical="top"/>
    </xf>
    <xf numFmtId="0" fontId="31" fillId="5" borderId="28" xfId="9" applyFont="1" applyBorder="1" applyAlignment="1">
      <alignment horizontal="left" vertical="top"/>
    </xf>
    <xf numFmtId="0" fontId="20" fillId="0" borderId="14" xfId="0" applyFont="1" applyBorder="1" applyAlignment="1">
      <alignment horizontal="left" vertical="top" wrapText="1"/>
    </xf>
    <xf numFmtId="0" fontId="20" fillId="34" borderId="13" xfId="0" quotePrefix="1" applyFont="1" applyFill="1" applyBorder="1" applyAlignment="1">
      <alignment horizontal="left" vertical="top"/>
    </xf>
    <xf numFmtId="0" fontId="20" fillId="34" borderId="14" xfId="0" quotePrefix="1" applyFont="1" applyFill="1" applyBorder="1" applyAlignment="1">
      <alignment horizontal="left" vertical="top"/>
    </xf>
    <xf numFmtId="0" fontId="17" fillId="0" borderId="13" xfId="0" applyFont="1" applyBorder="1" applyAlignment="1">
      <alignment horizontal="left" vertical="top"/>
    </xf>
    <xf numFmtId="0" fontId="23" fillId="0" borderId="13" xfId="0" applyFont="1" applyBorder="1" applyAlignment="1">
      <alignment horizontal="left" vertical="top"/>
    </xf>
    <xf numFmtId="0" fontId="17" fillId="0" borderId="13" xfId="0" applyFont="1" applyBorder="1" applyAlignment="1">
      <alignment horizontal="left" vertical="top" wrapText="1"/>
    </xf>
    <xf numFmtId="2" fontId="20" fillId="0" borderId="13" xfId="0" applyNumberFormat="1" applyFont="1" applyBorder="1" applyAlignment="1">
      <alignment horizontal="left" vertical="top" wrapText="1"/>
    </xf>
    <xf numFmtId="2" fontId="20" fillId="0" borderId="14" xfId="0" applyNumberFormat="1" applyFont="1" applyBorder="1" applyAlignment="1">
      <alignment horizontal="left" vertical="top" wrapText="1"/>
    </xf>
    <xf numFmtId="0" fontId="31" fillId="5" borderId="29" xfId="9" applyFont="1" applyBorder="1" applyAlignment="1">
      <alignment horizontal="left" vertical="top"/>
    </xf>
    <xf numFmtId="0" fontId="31" fillId="5" borderId="30" xfId="9" applyFont="1" applyBorder="1" applyAlignment="1">
      <alignment horizontal="left" vertical="top"/>
    </xf>
    <xf numFmtId="0" fontId="17" fillId="0" borderId="14" xfId="0" applyFont="1" applyBorder="1" applyAlignment="1">
      <alignment horizontal="left" vertical="top" wrapText="1"/>
    </xf>
    <xf numFmtId="0" fontId="22" fillId="0" borderId="22" xfId="0" applyFont="1" applyBorder="1" applyAlignment="1">
      <alignment vertical="top" wrapText="1"/>
    </xf>
    <xf numFmtId="0" fontId="31" fillId="5" borderId="32" xfId="9" applyFont="1" applyBorder="1" applyAlignment="1">
      <alignment horizontal="left" vertical="top"/>
    </xf>
    <xf numFmtId="0" fontId="25" fillId="0" borderId="22" xfId="0" applyFont="1" applyFill="1" applyBorder="1" applyAlignment="1">
      <alignment horizontal="left" vertical="top"/>
    </xf>
    <xf numFmtId="0" fontId="23" fillId="0" borderId="23" xfId="0" applyFont="1" applyBorder="1" applyAlignment="1">
      <alignment horizontal="left" vertical="top"/>
    </xf>
    <xf numFmtId="0" fontId="22" fillId="0" borderId="23" xfId="0" applyFont="1" applyBorder="1" applyAlignment="1">
      <alignment horizontal="left" vertical="top"/>
    </xf>
    <xf numFmtId="0" fontId="23" fillId="0" borderId="18" xfId="0" applyFont="1" applyBorder="1" applyAlignment="1">
      <alignment horizontal="left" vertical="top"/>
    </xf>
    <xf numFmtId="0" fontId="23" fillId="0" borderId="19" xfId="0" applyFont="1" applyBorder="1" applyAlignment="1">
      <alignment horizontal="left" vertical="top"/>
    </xf>
    <xf numFmtId="0" fontId="20" fillId="0" borderId="15" xfId="0" applyFont="1" applyBorder="1" applyAlignment="1">
      <alignment horizontal="left" vertical="top" wrapText="1"/>
    </xf>
    <xf numFmtId="0" fontId="31" fillId="5" borderId="31" xfId="9" applyFont="1" applyBorder="1" applyAlignment="1">
      <alignment horizontal="left" vertical="top"/>
    </xf>
    <xf numFmtId="0" fontId="25" fillId="0" borderId="16" xfId="0" applyFont="1" applyFill="1" applyBorder="1" applyAlignment="1">
      <alignment horizontal="left" vertical="top"/>
    </xf>
    <xf numFmtId="0" fontId="22" fillId="0" borderId="18" xfId="0" applyFont="1" applyBorder="1" applyAlignment="1">
      <alignment horizontal="left" vertical="top"/>
    </xf>
    <xf numFmtId="0" fontId="25" fillId="0" borderId="15" xfId="0" applyFont="1" applyBorder="1" applyAlignment="1">
      <alignment horizontal="left" vertical="top"/>
    </xf>
    <xf numFmtId="0" fontId="20" fillId="0" borderId="0" xfId="0" applyFont="1" applyBorder="1"/>
    <xf numFmtId="0" fontId="20" fillId="0" borderId="13" xfId="0" applyFont="1" applyBorder="1" applyAlignment="1">
      <alignment vertical="top"/>
    </xf>
    <xf numFmtId="0" fontId="22" fillId="0" borderId="22" xfId="0" applyNumberFormat="1" applyFont="1" applyFill="1" applyBorder="1" applyAlignment="1">
      <alignment vertical="top" wrapText="1"/>
    </xf>
    <xf numFmtId="0" fontId="28" fillId="0" borderId="22" xfId="0" applyFont="1" applyBorder="1" applyAlignment="1">
      <alignment horizontal="left" vertical="top"/>
    </xf>
    <xf numFmtId="0" fontId="23" fillId="0" borderId="23" xfId="0" applyFont="1" applyFill="1" applyBorder="1" applyAlignment="1">
      <alignment horizontal="left" vertical="top"/>
    </xf>
    <xf numFmtId="0" fontId="20" fillId="0" borderId="13" xfId="0" applyFont="1" applyBorder="1" applyAlignment="1">
      <alignment vertical="top" wrapText="1"/>
    </xf>
    <xf numFmtId="0" fontId="17" fillId="0" borderId="13" xfId="0" applyFont="1" applyFill="1" applyBorder="1" applyAlignment="1">
      <alignment horizontal="left" vertical="top" wrapText="1"/>
    </xf>
    <xf numFmtId="0" fontId="20" fillId="0" borderId="11" xfId="0" applyFont="1" applyBorder="1" applyAlignment="1">
      <alignment vertical="top" wrapText="1"/>
    </xf>
    <xf numFmtId="0" fontId="20" fillId="0" borderId="14" xfId="0" applyFont="1" applyBorder="1" applyAlignment="1">
      <alignment vertical="top" wrapText="1"/>
    </xf>
    <xf numFmtId="0" fontId="22" fillId="0" borderId="16" xfId="0" applyFont="1" applyBorder="1" applyAlignment="1">
      <alignment vertical="top" wrapText="1"/>
    </xf>
    <xf numFmtId="0" fontId="28" fillId="0" borderId="16" xfId="0" applyFont="1" applyBorder="1" applyAlignment="1">
      <alignment horizontal="left" vertical="top"/>
    </xf>
    <xf numFmtId="0" fontId="25" fillId="0" borderId="22" xfId="0" applyFont="1" applyBorder="1" applyAlignment="1">
      <alignment horizontal="left" vertical="top" wrapText="1"/>
    </xf>
    <xf numFmtId="0" fontId="17" fillId="0" borderId="11" xfId="0" applyFont="1" applyBorder="1" applyAlignment="1">
      <alignment vertical="top" wrapText="1"/>
    </xf>
    <xf numFmtId="0" fontId="17" fillId="0" borderId="14" xfId="0" applyFont="1" applyFill="1" applyBorder="1" applyAlignment="1">
      <alignment horizontal="left" vertical="top" wrapText="1"/>
    </xf>
    <xf numFmtId="0" fontId="23" fillId="33" borderId="11" xfId="0" quotePrefix="1" applyFont="1" applyFill="1" applyBorder="1" applyAlignment="1">
      <alignment horizontal="left" vertical="top"/>
    </xf>
    <xf numFmtId="0" fontId="23" fillId="33" borderId="13" xfId="0" quotePrefix="1" applyFont="1" applyFill="1" applyBorder="1" applyAlignment="1">
      <alignment horizontal="left" vertical="top"/>
    </xf>
    <xf numFmtId="0" fontId="23" fillId="33" borderId="14" xfId="0" quotePrefix="1" applyFont="1" applyFill="1" applyBorder="1" applyAlignment="1">
      <alignment horizontal="left" vertical="top"/>
    </xf>
    <xf numFmtId="0" fontId="17" fillId="0" borderId="11" xfId="0" applyFont="1" applyBorder="1" applyAlignment="1">
      <alignment horizontal="left" vertical="top"/>
    </xf>
    <xf numFmtId="2" fontId="17" fillId="0" borderId="11" xfId="0" applyNumberFormat="1" applyFont="1" applyBorder="1" applyAlignment="1">
      <alignment horizontal="left" vertical="top"/>
    </xf>
    <xf numFmtId="0" fontId="17" fillId="0" borderId="14" xfId="0" applyFont="1" applyBorder="1" applyAlignment="1">
      <alignment horizontal="left" vertical="top"/>
    </xf>
    <xf numFmtId="0" fontId="23" fillId="33" borderId="31" xfId="9" quotePrefix="1" applyFont="1" applyFill="1" applyBorder="1" applyAlignment="1">
      <alignment horizontal="left" vertical="top"/>
    </xf>
    <xf numFmtId="0" fontId="23" fillId="33" borderId="32" xfId="9" quotePrefix="1" applyFont="1" applyFill="1" applyBorder="1" applyAlignment="1">
      <alignment horizontal="left" vertical="top"/>
    </xf>
    <xf numFmtId="0" fontId="23" fillId="33" borderId="27" xfId="9" quotePrefix="1" applyFont="1" applyFill="1" applyBorder="1" applyAlignment="1">
      <alignment horizontal="left" vertical="top"/>
    </xf>
    <xf numFmtId="0" fontId="17" fillId="0" borderId="23" xfId="0" applyFont="1" applyFill="1" applyBorder="1" applyAlignment="1">
      <alignment horizontal="left" vertical="top"/>
    </xf>
    <xf numFmtId="0" fontId="20" fillId="0" borderId="11" xfId="0" applyFont="1" applyBorder="1" applyAlignment="1">
      <alignment horizontal="left" vertical="top"/>
    </xf>
    <xf numFmtId="0" fontId="20" fillId="0" borderId="16" xfId="0" applyFont="1" applyBorder="1" applyAlignment="1">
      <alignment horizontal="left" vertical="top"/>
    </xf>
    <xf numFmtId="0" fontId="17" fillId="0" borderId="18" xfId="0" applyFont="1" applyFill="1" applyBorder="1" applyAlignment="1">
      <alignment horizontal="left" vertical="top"/>
    </xf>
    <xf numFmtId="0" fontId="20" fillId="0" borderId="14" xfId="0" applyFont="1" applyBorder="1" applyAlignment="1">
      <alignment horizontal="left" vertical="top"/>
    </xf>
    <xf numFmtId="0" fontId="20" fillId="0" borderId="22" xfId="0" applyFont="1" applyBorder="1"/>
    <xf numFmtId="0" fontId="20" fillId="0" borderId="23" xfId="0" applyFont="1" applyBorder="1"/>
    <xf numFmtId="0" fontId="24" fillId="0" borderId="18" xfId="0" applyFont="1" applyBorder="1" applyAlignment="1">
      <alignment horizontal="left" vertical="top" wrapText="1"/>
    </xf>
    <xf numFmtId="0" fontId="24" fillId="0" borderId="22" xfId="0" applyFont="1" applyBorder="1" applyAlignment="1">
      <alignment horizontal="left" vertical="top"/>
    </xf>
    <xf numFmtId="0" fontId="24" fillId="0" borderId="22" xfId="0" applyFont="1" applyFill="1" applyBorder="1" applyAlignment="1">
      <alignment horizontal="left" vertical="top"/>
    </xf>
    <xf numFmtId="0" fontId="25" fillId="0" borderId="23" xfId="0" applyFont="1" applyFill="1" applyBorder="1" applyAlignment="1">
      <alignment horizontal="left" vertical="top"/>
    </xf>
    <xf numFmtId="0" fontId="24" fillId="0" borderId="16" xfId="0" applyFont="1" applyBorder="1" applyAlignment="1">
      <alignment horizontal="left" vertical="top"/>
    </xf>
    <xf numFmtId="0" fontId="24" fillId="0" borderId="16" xfId="0" applyFont="1" applyFill="1" applyBorder="1" applyAlignment="1">
      <alignment horizontal="left" vertical="top"/>
    </xf>
    <xf numFmtId="0" fontId="20" fillId="34" borderId="11" xfId="0" quotePrefix="1" applyFont="1" applyFill="1" applyBorder="1" applyAlignment="1">
      <alignment horizontal="left" vertical="top" wrapText="1"/>
    </xf>
    <xf numFmtId="0" fontId="20" fillId="34" borderId="14" xfId="0" quotePrefix="1" applyFont="1" applyFill="1" applyBorder="1" applyAlignment="1">
      <alignment horizontal="left" vertical="top" wrapText="1"/>
    </xf>
    <xf numFmtId="0" fontId="31" fillId="38" borderId="25" xfId="9" applyFont="1" applyFill="1" applyBorder="1" applyAlignment="1">
      <alignment horizontal="left" vertical="top"/>
    </xf>
    <xf numFmtId="0" fontId="31" fillId="38" borderId="24" xfId="9" applyFont="1" applyFill="1" applyBorder="1" applyAlignment="1">
      <alignment horizontal="left" vertical="top"/>
    </xf>
    <xf numFmtId="0" fontId="20" fillId="0" borderId="11" xfId="0" applyFont="1" applyFill="1" applyBorder="1" applyAlignment="1">
      <alignment horizontal="left" vertical="top"/>
    </xf>
    <xf numFmtId="0" fontId="28" fillId="0" borderId="22" xfId="0" applyFont="1" applyBorder="1" applyAlignment="1">
      <alignment horizontal="left" vertical="top" wrapText="1"/>
    </xf>
    <xf numFmtId="0" fontId="20" fillId="0" borderId="23" xfId="0" applyFont="1" applyBorder="1" applyAlignment="1">
      <alignment horizontal="left" vertical="top"/>
    </xf>
    <xf numFmtId="0" fontId="17" fillId="0" borderId="12" xfId="0" applyFont="1" applyBorder="1" applyAlignment="1">
      <alignment vertical="top" wrapText="1"/>
    </xf>
    <xf numFmtId="0" fontId="17" fillId="0" borderId="15" xfId="0" applyFont="1" applyBorder="1" applyAlignment="1">
      <alignment vertical="top" wrapText="1"/>
    </xf>
    <xf numFmtId="0" fontId="17" fillId="0" borderId="13" xfId="0" applyFont="1" applyBorder="1" applyAlignment="1">
      <alignment vertical="top" wrapText="1"/>
    </xf>
    <xf numFmtId="2" fontId="17" fillId="0" borderId="13" xfId="0" applyNumberFormat="1" applyFont="1" applyFill="1" applyBorder="1" applyAlignment="1">
      <alignment horizontal="left" vertical="top" wrapText="1"/>
    </xf>
    <xf numFmtId="0" fontId="17" fillId="0" borderId="13" xfId="0" applyFont="1" applyFill="1" applyBorder="1" applyAlignment="1">
      <alignment horizontal="left" vertical="top"/>
    </xf>
    <xf numFmtId="0" fontId="20" fillId="0" borderId="18" xfId="0" applyFont="1" applyBorder="1"/>
    <xf numFmtId="0" fontId="20" fillId="0" borderId="16" xfId="0" applyFont="1" applyBorder="1"/>
    <xf numFmtId="0" fontId="31" fillId="5" borderId="29" xfId="9" applyBorder="1" applyAlignment="1">
      <alignment horizontal="left" vertical="top"/>
    </xf>
    <xf numFmtId="0" fontId="22" fillId="0" borderId="15" xfId="0" applyFont="1" applyBorder="1" applyAlignment="1">
      <alignment horizontal="left" vertical="top"/>
    </xf>
    <xf numFmtId="2" fontId="17" fillId="0" borderId="13" xfId="0" applyNumberFormat="1" applyFont="1" applyBorder="1" applyAlignment="1">
      <alignment horizontal="left" vertical="top"/>
    </xf>
    <xf numFmtId="2" fontId="17" fillId="0" borderId="14" xfId="0" applyNumberFormat="1" applyFont="1" applyBorder="1" applyAlignment="1">
      <alignment horizontal="left" vertical="top"/>
    </xf>
    <xf numFmtId="0" fontId="24" fillId="0" borderId="18" xfId="0" applyFont="1" applyBorder="1" applyAlignment="1">
      <alignment horizontal="left" vertical="top"/>
    </xf>
    <xf numFmtId="0" fontId="20" fillId="0" borderId="18" xfId="0" applyFont="1" applyBorder="1" applyAlignment="1">
      <alignment horizontal="left" vertical="top"/>
    </xf>
    <xf numFmtId="0" fontId="25" fillId="0" borderId="19" xfId="0" applyFont="1" applyBorder="1" applyAlignment="1">
      <alignment horizontal="left" vertical="top"/>
    </xf>
    <xf numFmtId="0" fontId="31" fillId="5" borderId="30" xfId="9" applyBorder="1" applyAlignment="1">
      <alignment horizontal="left" vertical="top"/>
    </xf>
    <xf numFmtId="0" fontId="31" fillId="5" borderId="33" xfId="9" applyFont="1" applyBorder="1" applyAlignment="1">
      <alignment horizontal="left" vertical="top"/>
    </xf>
    <xf numFmtId="0" fontId="20" fillId="0" borderId="19" xfId="0" applyFont="1" applyBorder="1" applyAlignment="1">
      <alignment horizontal="left" vertical="top"/>
    </xf>
    <xf numFmtId="0" fontId="20" fillId="0" borderId="0" xfId="0" applyFont="1" applyBorder="1" applyAlignment="1">
      <alignment wrapText="1"/>
    </xf>
    <xf numFmtId="0" fontId="23" fillId="33" borderId="34" xfId="9" quotePrefix="1" applyFont="1" applyFill="1" applyBorder="1" applyAlignment="1">
      <alignment horizontal="left" vertical="top"/>
    </xf>
    <xf numFmtId="0" fontId="20" fillId="0" borderId="16" xfId="0" applyFont="1" applyBorder="1" applyAlignment="1">
      <alignment horizontal="left" vertical="top" wrapText="1"/>
    </xf>
    <xf numFmtId="0" fontId="23" fillId="33" borderId="33" xfId="9" quotePrefix="1" applyFont="1" applyFill="1" applyBorder="1" applyAlignment="1">
      <alignment horizontal="left" vertical="top"/>
    </xf>
    <xf numFmtId="2" fontId="17" fillId="0" borderId="14" xfId="0" applyNumberFormat="1" applyFont="1" applyFill="1" applyBorder="1" applyAlignment="1">
      <alignment horizontal="left" vertical="top" wrapText="1"/>
    </xf>
    <xf numFmtId="0" fontId="17" fillId="0" borderId="37" xfId="0" applyFont="1" applyBorder="1" applyAlignment="1">
      <alignment horizontal="left" vertical="top"/>
    </xf>
    <xf numFmtId="0" fontId="20" fillId="0" borderId="13" xfId="0" applyFont="1" applyBorder="1" applyAlignment="1">
      <alignment wrapText="1"/>
    </xf>
    <xf numFmtId="0" fontId="23" fillId="0" borderId="11" xfId="0" applyFont="1" applyBorder="1" applyAlignment="1">
      <alignment horizontal="left" vertical="top"/>
    </xf>
    <xf numFmtId="0" fontId="32" fillId="0" borderId="11" xfId="0" applyFont="1" applyBorder="1" applyAlignment="1">
      <alignment horizontal="left" vertical="top"/>
    </xf>
    <xf numFmtId="2" fontId="17" fillId="0" borderId="11" xfId="0" applyNumberFormat="1" applyFont="1" applyFill="1" applyBorder="1" applyAlignment="1">
      <alignment horizontal="left" vertical="top" wrapText="1"/>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0" fontId="0" fillId="0" borderId="0" xfId="0"/>
    <xf numFmtId="0" fontId="17" fillId="5" borderId="24" xfId="9" applyFont="1" applyBorder="1" applyAlignment="1">
      <alignment horizontal="left" vertical="top"/>
    </xf>
    <xf numFmtId="0" fontId="17" fillId="0" borderId="38" xfId="0" applyFont="1" applyBorder="1" applyAlignment="1">
      <alignment horizontal="left" vertical="top"/>
    </xf>
    <xf numFmtId="0" fontId="17" fillId="0" borderId="40" xfId="0" applyFont="1" applyBorder="1" applyAlignment="1">
      <alignment horizontal="left" vertical="top"/>
    </xf>
    <xf numFmtId="0" fontId="17" fillId="34" borderId="12" xfId="0" quotePrefix="1" applyFont="1" applyFill="1" applyBorder="1" applyAlignment="1">
      <alignment horizontal="left" vertical="top"/>
    </xf>
    <xf numFmtId="0" fontId="17" fillId="33" borderId="11" xfId="0" quotePrefix="1" applyFont="1" applyFill="1" applyBorder="1" applyAlignment="1">
      <alignment horizontal="left" vertical="top"/>
    </xf>
    <xf numFmtId="0" fontId="17" fillId="33" borderId="13" xfId="0" quotePrefix="1" applyFont="1" applyFill="1" applyBorder="1" applyAlignment="1">
      <alignment horizontal="left" vertical="top"/>
    </xf>
    <xf numFmtId="0" fontId="17" fillId="5" borderId="27" xfId="9" applyFont="1" applyBorder="1" applyAlignment="1">
      <alignment horizontal="left" vertical="top"/>
    </xf>
    <xf numFmtId="0" fontId="17" fillId="33" borderId="14" xfId="0" quotePrefix="1" applyFont="1" applyFill="1" applyBorder="1" applyAlignment="1">
      <alignment horizontal="left" vertical="top"/>
    </xf>
    <xf numFmtId="0" fontId="17" fillId="0" borderId="44" xfId="0" applyFont="1" applyBorder="1" applyAlignment="1">
      <alignment horizontal="left" vertical="top"/>
    </xf>
    <xf numFmtId="0" fontId="28" fillId="0" borderId="22" xfId="0" applyFont="1" applyFill="1" applyBorder="1" applyAlignment="1">
      <alignment horizontal="left" vertical="top" wrapText="1"/>
    </xf>
    <xf numFmtId="0" fontId="22" fillId="0" borderId="17" xfId="0" applyFont="1" applyFill="1" applyBorder="1" applyAlignment="1">
      <alignment horizontal="left" vertical="top" wrapText="1"/>
    </xf>
    <xf numFmtId="0" fontId="24" fillId="0" borderId="22" xfId="0" applyFont="1" applyBorder="1" applyAlignment="1">
      <alignment vertical="top" wrapText="1"/>
    </xf>
    <xf numFmtId="0" fontId="28" fillId="0" borderId="16" xfId="0" applyFont="1" applyFill="1" applyBorder="1" applyAlignment="1">
      <alignment horizontal="left" vertical="top" wrapText="1"/>
    </xf>
    <xf numFmtId="0" fontId="31" fillId="38" borderId="27" xfId="9" applyFont="1" applyFill="1" applyBorder="1" applyAlignment="1">
      <alignment horizontal="left" vertical="top"/>
    </xf>
    <xf numFmtId="164" fontId="20" fillId="0" borderId="14" xfId="0" applyNumberFormat="1" applyFont="1" applyBorder="1" applyAlignment="1">
      <alignment horizontal="left" vertical="top" wrapText="1"/>
    </xf>
    <xf numFmtId="0" fontId="23" fillId="33" borderId="15" xfId="0" applyFont="1" applyFill="1" applyBorder="1" applyAlignment="1">
      <alignment horizontal="left" vertical="top"/>
    </xf>
    <xf numFmtId="0" fontId="28" fillId="0" borderId="16" xfId="0" applyFont="1" applyBorder="1" applyAlignment="1">
      <alignment horizontal="left" vertical="top" wrapText="1"/>
    </xf>
    <xf numFmtId="0" fontId="23" fillId="33" borderId="14" xfId="0" applyFont="1" applyFill="1" applyBorder="1" applyAlignment="1">
      <alignment horizontal="left" vertical="top"/>
    </xf>
    <xf numFmtId="0" fontId="23" fillId="33" borderId="13" xfId="0" applyFont="1" applyFill="1" applyBorder="1" applyAlignment="1">
      <alignment horizontal="left" vertical="top"/>
    </xf>
    <xf numFmtId="0" fontId="23" fillId="33" borderId="11" xfId="0" applyFont="1" applyFill="1" applyBorder="1" applyAlignment="1">
      <alignment horizontal="left" vertical="top"/>
    </xf>
    <xf numFmtId="0" fontId="17" fillId="0" borderId="15" xfId="0" applyFont="1" applyBorder="1" applyAlignment="1">
      <alignment horizontal="left" vertical="top" wrapText="1"/>
    </xf>
    <xf numFmtId="0" fontId="22" fillId="0" borderId="22" xfId="0" applyFont="1" applyFill="1" applyBorder="1" applyAlignment="1">
      <alignment horizontal="left" vertical="top" wrapText="1"/>
    </xf>
    <xf numFmtId="0" fontId="24" fillId="0" borderId="17" xfId="0" applyFont="1" applyBorder="1" applyAlignment="1">
      <alignment vertical="top" wrapText="1"/>
    </xf>
    <xf numFmtId="0" fontId="23" fillId="35" borderId="13" xfId="0" applyFont="1" applyFill="1" applyBorder="1" applyAlignment="1">
      <alignment horizontal="left" vertical="top"/>
    </xf>
    <xf numFmtId="0" fontId="24" fillId="35" borderId="13" xfId="0" applyFont="1" applyFill="1" applyBorder="1" applyAlignment="1">
      <alignment horizontal="left" vertical="top"/>
    </xf>
    <xf numFmtId="0" fontId="23" fillId="35" borderId="13" xfId="0" applyFont="1" applyFill="1" applyBorder="1" applyAlignment="1">
      <alignment horizontal="left" vertical="top" wrapText="1"/>
    </xf>
    <xf numFmtId="0" fontId="25" fillId="35" borderId="13" xfId="0" applyFont="1" applyFill="1" applyBorder="1" applyAlignment="1">
      <alignment horizontal="left" vertical="top" wrapText="1"/>
    </xf>
    <xf numFmtId="0" fontId="23" fillId="36" borderId="13" xfId="0" applyFont="1" applyFill="1" applyBorder="1" applyAlignment="1">
      <alignment horizontal="left" vertical="top"/>
    </xf>
    <xf numFmtId="0" fontId="24" fillId="36" borderId="13" xfId="0" applyFont="1" applyFill="1" applyBorder="1" applyAlignment="1">
      <alignment horizontal="left" vertical="top"/>
    </xf>
    <xf numFmtId="0" fontId="23" fillId="36" borderId="13" xfId="0" applyFont="1" applyFill="1" applyBorder="1" applyAlignment="1">
      <alignment horizontal="left" vertical="top" wrapText="1"/>
    </xf>
    <xf numFmtId="0" fontId="25" fillId="36" borderId="13" xfId="0" applyFont="1" applyFill="1" applyBorder="1" applyAlignment="1">
      <alignment horizontal="left" vertical="top" wrapText="1"/>
    </xf>
    <xf numFmtId="0" fontId="20" fillId="36" borderId="0" xfId="0" applyFont="1" applyFill="1" applyBorder="1" applyAlignment="1">
      <alignment horizontal="left" vertical="top"/>
    </xf>
    <xf numFmtId="0" fontId="22" fillId="0" borderId="16" xfId="0" applyFont="1" applyFill="1" applyBorder="1" applyAlignment="1">
      <alignment horizontal="left" vertical="top"/>
    </xf>
    <xf numFmtId="0" fontId="17" fillId="0" borderId="22" xfId="0" applyFont="1" applyBorder="1" applyAlignment="1">
      <alignment horizontal="left" vertical="top"/>
    </xf>
    <xf numFmtId="0" fontId="17" fillId="34" borderId="13" xfId="0" quotePrefix="1" applyFont="1" applyFill="1" applyBorder="1" applyAlignment="1">
      <alignment horizontal="left" vertical="top"/>
    </xf>
    <xf numFmtId="0" fontId="17" fillId="0" borderId="16" xfId="0" applyFont="1" applyBorder="1" applyAlignment="1">
      <alignment horizontal="left" vertical="top"/>
    </xf>
    <xf numFmtId="0" fontId="17" fillId="34" borderId="15" xfId="0" quotePrefix="1" applyFont="1" applyFill="1" applyBorder="1" applyAlignment="1">
      <alignment horizontal="left" vertical="top"/>
    </xf>
    <xf numFmtId="0" fontId="17" fillId="35" borderId="13" xfId="0" applyFont="1" applyFill="1" applyBorder="1" applyAlignment="1">
      <alignment horizontal="left" vertical="top"/>
    </xf>
    <xf numFmtId="0" fontId="17" fillId="36" borderId="13" xfId="0" applyFont="1" applyFill="1" applyBorder="1" applyAlignment="1">
      <alignment horizontal="left" vertical="top"/>
    </xf>
    <xf numFmtId="0" fontId="20" fillId="0" borderId="18" xfId="0" applyFont="1" applyBorder="1" applyAlignment="1">
      <alignment horizontal="left" vertical="top" wrapText="1"/>
    </xf>
    <xf numFmtId="2" fontId="17" fillId="0" borderId="11" xfId="0" applyNumberFormat="1" applyFont="1" applyFill="1" applyBorder="1" applyAlignment="1">
      <alignment horizontal="left" vertical="top"/>
    </xf>
    <xf numFmtId="2" fontId="17" fillId="0" borderId="11" xfId="0" applyNumberFormat="1" applyFont="1" applyBorder="1" applyAlignment="1">
      <alignment horizontal="left" vertical="top" wrapText="1"/>
    </xf>
    <xf numFmtId="0" fontId="24" fillId="0" borderId="15" xfId="0" applyFont="1" applyBorder="1" applyAlignment="1">
      <alignment horizontal="left" vertical="top" wrapText="1"/>
    </xf>
    <xf numFmtId="2" fontId="17" fillId="0" borderId="14" xfId="0" applyNumberFormat="1" applyFont="1" applyBorder="1" applyAlignment="1">
      <alignment horizontal="left" vertical="top" wrapText="1"/>
    </xf>
    <xf numFmtId="0" fontId="24" fillId="35" borderId="13" xfId="0" applyFont="1" applyFill="1" applyBorder="1" applyAlignment="1">
      <alignment horizontal="left" vertical="top" wrapText="1"/>
    </xf>
    <xf numFmtId="0" fontId="27" fillId="0" borderId="22" xfId="0" applyFont="1" applyBorder="1" applyAlignment="1">
      <alignment horizontal="left" vertical="top"/>
    </xf>
    <xf numFmtId="0" fontId="24" fillId="0" borderId="16" xfId="0" applyFont="1" applyFill="1" applyBorder="1" applyAlignment="1">
      <alignment horizontal="left" vertical="top" wrapText="1"/>
    </xf>
    <xf numFmtId="0" fontId="27" fillId="0" borderId="16" xfId="0" applyFont="1" applyBorder="1" applyAlignment="1">
      <alignment horizontal="left" vertical="top"/>
    </xf>
    <xf numFmtId="0" fontId="31" fillId="5" borderId="45" xfId="9" applyFont="1" applyBorder="1" applyAlignment="1">
      <alignment horizontal="left" vertical="top"/>
    </xf>
    <xf numFmtId="0" fontId="31" fillId="5" borderId="46" xfId="9" applyFont="1" applyBorder="1" applyAlignment="1">
      <alignment horizontal="left" vertical="top"/>
    </xf>
    <xf numFmtId="0" fontId="24" fillId="36" borderId="13" xfId="0" applyFont="1" applyFill="1" applyBorder="1" applyAlignment="1">
      <alignment horizontal="left" vertical="top" wrapText="1"/>
    </xf>
    <xf numFmtId="0" fontId="17" fillId="0" borderId="15" xfId="0" applyFont="1" applyBorder="1" applyAlignment="1">
      <alignment horizontal="left" vertical="top"/>
    </xf>
    <xf numFmtId="0" fontId="22" fillId="0" borderId="16" xfId="0" applyFont="1" applyFill="1" applyBorder="1" applyAlignment="1">
      <alignment horizontal="left" vertical="top" wrapText="1"/>
    </xf>
    <xf numFmtId="0" fontId="27" fillId="0" borderId="18" xfId="0" applyFont="1" applyFill="1" applyBorder="1" applyAlignment="1">
      <alignment horizontal="left" vertical="top" wrapText="1"/>
    </xf>
    <xf numFmtId="0" fontId="32" fillId="5" borderId="25" xfId="9" applyFont="1" applyBorder="1" applyAlignment="1">
      <alignment horizontal="left" vertical="top"/>
    </xf>
    <xf numFmtId="0" fontId="22" fillId="0" borderId="0" xfId="0" applyFont="1" applyFill="1" applyBorder="1" applyAlignment="1">
      <alignment vertical="top" wrapText="1"/>
    </xf>
    <xf numFmtId="0" fontId="22" fillId="0" borderId="22" xfId="0" applyFont="1" applyBorder="1" applyAlignment="1">
      <alignment vertical="top"/>
    </xf>
    <xf numFmtId="0" fontId="23" fillId="0" borderId="18" xfId="0" applyFont="1" applyBorder="1" applyAlignment="1">
      <alignment vertical="top"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3" fillId="0" borderId="13" xfId="0" applyFont="1" applyBorder="1" applyAlignment="1">
      <alignment horizontal="left" vertical="top" wrapText="1"/>
    </xf>
    <xf numFmtId="0" fontId="22" fillId="0" borderId="17" xfId="0" applyNumberFormat="1" applyFont="1" applyBorder="1" applyAlignment="1">
      <alignment vertical="top" wrapText="1"/>
    </xf>
    <xf numFmtId="0" fontId="23" fillId="0" borderId="19" xfId="0" applyFont="1" applyBorder="1" applyAlignment="1">
      <alignment vertical="top" wrapText="1"/>
    </xf>
    <xf numFmtId="0" fontId="23" fillId="33" borderId="15" xfId="0" quotePrefix="1" applyFont="1" applyFill="1" applyBorder="1" applyAlignment="1">
      <alignment horizontal="left" vertical="top"/>
    </xf>
    <xf numFmtId="0" fontId="32" fillId="5" borderId="24" xfId="9" applyFont="1" applyBorder="1" applyAlignment="1">
      <alignment horizontal="left" vertical="top"/>
    </xf>
    <xf numFmtId="0" fontId="32" fillId="33" borderId="12" xfId="0" quotePrefix="1" applyFont="1" applyFill="1" applyBorder="1" applyAlignment="1">
      <alignment horizontal="left" vertical="top"/>
    </xf>
    <xf numFmtId="0" fontId="17" fillId="33" borderId="12" xfId="0" quotePrefix="1" applyFont="1" applyFill="1" applyBorder="1" applyAlignment="1">
      <alignment horizontal="left" vertical="top"/>
    </xf>
    <xf numFmtId="0" fontId="17" fillId="33" borderId="15" xfId="0" quotePrefix="1" applyFont="1" applyFill="1" applyBorder="1" applyAlignment="1">
      <alignment horizontal="left" vertical="top"/>
    </xf>
    <xf numFmtId="0" fontId="32" fillId="5" borderId="27" xfId="9" applyFont="1" applyBorder="1" applyAlignment="1">
      <alignment horizontal="left" vertical="top"/>
    </xf>
    <xf numFmtId="0" fontId="23" fillId="0" borderId="23" xfId="0" applyFont="1" applyFill="1" applyBorder="1" applyAlignment="1">
      <alignment horizontal="left" vertical="top" wrapText="1"/>
    </xf>
    <xf numFmtId="0" fontId="23" fillId="33" borderId="4" xfId="9" applyFont="1" applyFill="1" applyBorder="1" applyAlignment="1">
      <alignment horizontal="left" vertical="top"/>
    </xf>
    <xf numFmtId="0" fontId="23" fillId="33" borderId="26" xfId="9" applyFont="1" applyFill="1" applyBorder="1" applyAlignment="1">
      <alignment horizontal="left" vertical="top"/>
    </xf>
    <xf numFmtId="0" fontId="23" fillId="33" borderId="31" xfId="9" applyFont="1" applyFill="1" applyBorder="1" applyAlignment="1">
      <alignment horizontal="left" vertical="top"/>
    </xf>
    <xf numFmtId="0" fontId="23" fillId="33" borderId="32" xfId="9" applyFont="1" applyFill="1" applyBorder="1" applyAlignment="1">
      <alignment horizontal="left" vertical="top"/>
    </xf>
    <xf numFmtId="0" fontId="23" fillId="33" borderId="25" xfId="9" applyFont="1" applyFill="1" applyBorder="1" applyAlignment="1">
      <alignment horizontal="left" vertical="top"/>
    </xf>
    <xf numFmtId="0" fontId="23" fillId="33" borderId="24" xfId="9" applyFont="1" applyFill="1" applyBorder="1" applyAlignment="1">
      <alignment horizontal="left" vertical="top"/>
    </xf>
    <xf numFmtId="0" fontId="23" fillId="33" borderId="27" xfId="9" applyFont="1" applyFill="1" applyBorder="1" applyAlignment="1">
      <alignment horizontal="left" vertical="top"/>
    </xf>
    <xf numFmtId="0" fontId="23" fillId="0" borderId="18" xfId="0" applyFont="1" applyFill="1" applyBorder="1" applyAlignment="1">
      <alignment horizontal="left" vertical="top" wrapText="1"/>
    </xf>
    <xf numFmtId="0" fontId="22" fillId="35" borderId="13" xfId="0" applyFont="1" applyFill="1" applyBorder="1" applyAlignment="1">
      <alignment horizontal="left" vertical="top" wrapText="1"/>
    </xf>
    <xf numFmtId="0" fontId="22" fillId="36" borderId="13" xfId="0" applyFont="1" applyFill="1" applyBorder="1" applyAlignment="1">
      <alignment horizontal="left" vertical="top"/>
    </xf>
    <xf numFmtId="0" fontId="23" fillId="0" borderId="23" xfId="0" applyFont="1" applyBorder="1" applyAlignment="1">
      <alignment horizontal="left" vertical="top" wrapText="1"/>
    </xf>
    <xf numFmtId="0" fontId="23" fillId="0" borderId="19" xfId="0" applyFont="1" applyBorder="1" applyAlignment="1">
      <alignment horizontal="left" vertical="top" wrapText="1"/>
    </xf>
    <xf numFmtId="0" fontId="22" fillId="36" borderId="0" xfId="0" applyFont="1" applyFill="1" applyBorder="1" applyAlignment="1">
      <alignment horizontal="left" vertical="top" wrapText="1"/>
    </xf>
    <xf numFmtId="0" fontId="20" fillId="33" borderId="0" xfId="0" applyFont="1" applyFill="1" applyBorder="1" applyAlignment="1">
      <alignment vertical="top"/>
    </xf>
    <xf numFmtId="0" fontId="20" fillId="33" borderId="12" xfId="0" applyFont="1" applyFill="1" applyBorder="1" applyAlignment="1">
      <alignment vertical="top"/>
    </xf>
    <xf numFmtId="0" fontId="20" fillId="33" borderId="15" xfId="0" applyFont="1" applyFill="1" applyBorder="1" applyAlignment="1">
      <alignment vertical="top"/>
    </xf>
    <xf numFmtId="0" fontId="20" fillId="33" borderId="13" xfId="0" applyFont="1" applyFill="1" applyBorder="1" applyAlignment="1">
      <alignment vertical="top"/>
    </xf>
    <xf numFmtId="0" fontId="31" fillId="5" borderId="39" xfId="9" applyFont="1" applyBorder="1" applyAlignment="1">
      <alignment horizontal="left" vertical="top"/>
    </xf>
    <xf numFmtId="0" fontId="20" fillId="0" borderId="41" xfId="0" applyFont="1" applyBorder="1" applyAlignment="1">
      <alignment horizontal="left" vertical="top" wrapText="1"/>
    </xf>
    <xf numFmtId="0" fontId="31" fillId="5" borderId="47" xfId="9" applyFont="1" applyBorder="1" applyAlignment="1">
      <alignment horizontal="left" vertical="top"/>
    </xf>
    <xf numFmtId="0" fontId="17" fillId="0" borderId="17" xfId="0" applyFont="1" applyBorder="1" applyAlignment="1">
      <alignment horizontal="left" vertical="top"/>
    </xf>
    <xf numFmtId="0" fontId="20" fillId="0" borderId="17" xfId="0" applyFont="1" applyBorder="1" applyAlignment="1">
      <alignment horizontal="left" vertical="top" wrapText="1"/>
    </xf>
    <xf numFmtId="0" fontId="25" fillId="0" borderId="23" xfId="0" applyFont="1" applyBorder="1"/>
    <xf numFmtId="0" fontId="25" fillId="0" borderId="19" xfId="0" applyFont="1" applyBorder="1"/>
    <xf numFmtId="0" fontId="20" fillId="0" borderId="15" xfId="0" applyFont="1" applyBorder="1" applyAlignment="1">
      <alignment horizontal="center" vertical="top" wrapText="1"/>
    </xf>
    <xf numFmtId="0" fontId="20" fillId="0" borderId="13" xfId="0" applyFont="1" applyBorder="1"/>
    <xf numFmtId="0" fontId="31" fillId="5" borderId="49" xfId="9" applyBorder="1" applyAlignment="1">
      <alignment horizontal="left" vertical="top"/>
    </xf>
    <xf numFmtId="0" fontId="31" fillId="5" borderId="49" xfId="9" applyFont="1" applyBorder="1" applyAlignment="1">
      <alignment horizontal="left" vertical="top"/>
    </xf>
    <xf numFmtId="0" fontId="17" fillId="0" borderId="44" xfId="0" applyFont="1" applyBorder="1" applyAlignment="1">
      <alignment horizontal="left" vertical="top" wrapText="1"/>
    </xf>
    <xf numFmtId="0" fontId="20" fillId="0" borderId="0" xfId="0" applyFont="1"/>
    <xf numFmtId="0" fontId="19" fillId="0" borderId="0" xfId="0" applyFont="1"/>
    <xf numFmtId="0" fontId="17" fillId="0" borderId="0" xfId="0" applyFont="1"/>
    <xf numFmtId="0" fontId="17" fillId="0" borderId="11" xfId="0" applyFont="1" applyFill="1" applyBorder="1" applyAlignment="1">
      <alignment horizontal="left" vertical="top" wrapText="1"/>
    </xf>
    <xf numFmtId="0" fontId="17" fillId="0" borderId="11" xfId="0" applyFont="1" applyFill="1" applyBorder="1" applyAlignment="1">
      <alignment horizontal="left" vertical="top"/>
    </xf>
    <xf numFmtId="0" fontId="17" fillId="0" borderId="11" xfId="0" applyFont="1" applyBorder="1" applyAlignment="1">
      <alignment horizontal="left" vertical="top" wrapText="1"/>
    </xf>
    <xf numFmtId="0" fontId="17" fillId="0" borderId="0" xfId="0" applyFont="1" applyFill="1" applyBorder="1" applyAlignment="1">
      <alignment horizontal="left" vertical="top" wrapText="1"/>
    </xf>
    <xf numFmtId="0" fontId="20" fillId="0" borderId="0"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horizontal="left" vertical="top" wrapText="1"/>
    </xf>
    <xf numFmtId="0" fontId="17" fillId="0" borderId="0" xfId="0" applyFont="1" applyBorder="1" applyAlignment="1">
      <alignment vertical="top" wrapText="1"/>
    </xf>
    <xf numFmtId="0" fontId="0" fillId="0" borderId="22" xfId="0" applyBorder="1"/>
    <xf numFmtId="0" fontId="15" fillId="0" borderId="0" xfId="0" applyFont="1"/>
    <xf numFmtId="0" fontId="0" fillId="0" borderId="18" xfId="0" applyBorder="1"/>
    <xf numFmtId="0" fontId="0" fillId="0" borderId="23" xfId="0" applyBorder="1"/>
    <xf numFmtId="0" fontId="0" fillId="0" borderId="19" xfId="0" applyBorder="1"/>
    <xf numFmtId="0" fontId="17" fillId="0" borderId="0" xfId="0" applyFont="1" applyBorder="1" applyAlignment="1">
      <alignment horizontal="left" vertical="top"/>
    </xf>
    <xf numFmtId="0" fontId="0" fillId="0" borderId="13" xfId="0" applyBorder="1"/>
    <xf numFmtId="0" fontId="23" fillId="33" borderId="12" xfId="0" applyFont="1" applyFill="1" applyBorder="1" applyAlignment="1">
      <alignment horizontal="left" vertical="top"/>
    </xf>
    <xf numFmtId="0" fontId="20" fillId="0" borderId="0" xfId="0" applyFont="1" applyBorder="1" applyAlignment="1">
      <alignment vertical="top"/>
    </xf>
    <xf numFmtId="0" fontId="22" fillId="35" borderId="0" xfId="0" applyFont="1" applyFill="1" applyBorder="1" applyAlignment="1">
      <alignment horizontal="left" vertical="top"/>
    </xf>
    <xf numFmtId="0" fontId="0" fillId="0" borderId="0" xfId="0" applyBorder="1" applyAlignment="1">
      <alignment horizontal="left" vertical="center"/>
    </xf>
    <xf numFmtId="0" fontId="23" fillId="33" borderId="0" xfId="0" applyFont="1" applyFill="1" applyBorder="1" applyAlignment="1">
      <alignment horizontal="left" vertical="top"/>
    </xf>
    <xf numFmtId="0" fontId="20" fillId="0" borderId="0" xfId="0" applyFont="1" applyAlignment="1">
      <alignment horizontal="left" vertical="top" wrapText="1"/>
    </xf>
    <xf numFmtId="165" fontId="20" fillId="0" borderId="0" xfId="0" applyNumberFormat="1" applyFont="1" applyBorder="1" applyAlignment="1">
      <alignment horizontal="left" vertical="top" wrapText="1"/>
    </xf>
    <xf numFmtId="0" fontId="24" fillId="0" borderId="22" xfId="0" applyFont="1" applyBorder="1" applyAlignment="1">
      <alignment vertical="top"/>
    </xf>
    <xf numFmtId="0" fontId="24" fillId="0" borderId="16" xfId="0" applyFont="1" applyBorder="1"/>
    <xf numFmtId="0" fontId="24" fillId="0" borderId="22" xfId="0" applyFont="1" applyBorder="1"/>
    <xf numFmtId="0" fontId="20" fillId="0" borderId="36" xfId="0" applyFont="1" applyBorder="1" applyAlignment="1">
      <alignment horizontal="left" vertical="top"/>
    </xf>
    <xf numFmtId="0" fontId="22" fillId="0" borderId="16" xfId="0" applyNumberFormat="1" applyFont="1" applyFill="1" applyBorder="1" applyAlignment="1">
      <alignment vertical="top" wrapText="1"/>
    </xf>
    <xf numFmtId="14" fontId="17" fillId="0" borderId="0" xfId="0" applyNumberFormat="1" applyFont="1" applyBorder="1" applyAlignment="1">
      <alignment horizontal="left" vertical="top" wrapText="1"/>
    </xf>
    <xf numFmtId="0" fontId="20" fillId="0" borderId="0" xfId="0" applyFont="1" applyBorder="1" applyAlignment="1">
      <alignment horizontal="center" vertical="top"/>
    </xf>
    <xf numFmtId="0" fontId="17" fillId="0" borderId="0" xfId="0" applyNumberFormat="1" applyFont="1" applyBorder="1" applyAlignment="1">
      <alignment horizontal="left" vertical="top" wrapText="1"/>
    </xf>
    <xf numFmtId="0" fontId="37" fillId="0" borderId="10" xfId="0" applyFont="1" applyBorder="1" applyAlignment="1">
      <alignment horizontal="left" vertical="center" wrapText="1" readingOrder="1"/>
    </xf>
    <xf numFmtId="0" fontId="0" fillId="0" borderId="0" xfId="0"/>
    <xf numFmtId="0" fontId="36" fillId="0" borderId="0" xfId="0" applyFont="1" applyBorder="1" applyAlignment="1">
      <alignment horizontal="left" vertical="center" wrapText="1"/>
    </xf>
    <xf numFmtId="0" fontId="17" fillId="0" borderId="17" xfId="0" applyFont="1" applyFill="1" applyBorder="1" applyAlignment="1">
      <alignment horizontal="left" vertical="top"/>
    </xf>
    <xf numFmtId="0" fontId="17" fillId="0" borderId="36" xfId="0" applyFont="1" applyBorder="1" applyAlignment="1">
      <alignment horizontal="left" vertical="top"/>
    </xf>
    <xf numFmtId="0" fontId="20" fillId="0" borderId="0" xfId="0" applyFont="1" applyFill="1" applyBorder="1" applyAlignment="1">
      <alignment horizontal="left"/>
    </xf>
    <xf numFmtId="0" fontId="17" fillId="0" borderId="14" xfId="0" applyFont="1" applyFill="1" applyBorder="1" applyAlignment="1">
      <alignment horizontal="left" vertical="top"/>
    </xf>
    <xf numFmtId="0" fontId="21" fillId="0" borderId="0" xfId="0" applyFont="1" applyBorder="1" applyAlignment="1">
      <alignment horizontal="left" vertical="top"/>
    </xf>
    <xf numFmtId="14" fontId="21" fillId="0" borderId="0" xfId="0" applyNumberFormat="1" applyFont="1" applyBorder="1" applyAlignment="1">
      <alignment horizontal="left" vertical="top"/>
    </xf>
    <xf numFmtId="0" fontId="21" fillId="0" borderId="0" xfId="0" applyFont="1" applyBorder="1" applyAlignment="1">
      <alignment vertical="top" wrapText="1"/>
    </xf>
    <xf numFmtId="14" fontId="21" fillId="0" borderId="0" xfId="0" applyNumberFormat="1" applyFont="1" applyBorder="1" applyAlignment="1">
      <alignment vertical="top" wrapText="1"/>
    </xf>
    <xf numFmtId="0" fontId="21" fillId="0" borderId="0" xfId="0" applyFont="1" applyBorder="1" applyAlignment="1">
      <alignment horizontal="left" vertical="top" wrapText="1"/>
    </xf>
    <xf numFmtId="14" fontId="21" fillId="0" borderId="0" xfId="0" applyNumberFormat="1" applyFont="1" applyBorder="1" applyAlignment="1">
      <alignment horizontal="left" vertical="top" wrapText="1"/>
    </xf>
    <xf numFmtId="0" fontId="20" fillId="33" borderId="12" xfId="0" quotePrefix="1" applyFont="1" applyFill="1" applyBorder="1" applyAlignment="1">
      <alignment horizontal="left" vertical="top"/>
    </xf>
    <xf numFmtId="0" fontId="20" fillId="33" borderId="11" xfId="0" quotePrefix="1" applyFont="1" applyFill="1" applyBorder="1" applyAlignment="1">
      <alignment horizontal="left" vertical="top"/>
    </xf>
    <xf numFmtId="0" fontId="20" fillId="33" borderId="15" xfId="0" quotePrefix="1" applyFont="1" applyFill="1" applyBorder="1" applyAlignment="1">
      <alignment horizontal="left" vertical="top"/>
    </xf>
    <xf numFmtId="0" fontId="20" fillId="33" borderId="14" xfId="0" quotePrefix="1" applyFont="1" applyFill="1" applyBorder="1" applyAlignment="1">
      <alignment horizontal="left" vertical="top"/>
    </xf>
    <xf numFmtId="2" fontId="43" fillId="33" borderId="11" xfId="0" applyNumberFormat="1" applyFont="1" applyFill="1" applyBorder="1" applyAlignment="1">
      <alignment horizontal="left" vertical="top"/>
    </xf>
    <xf numFmtId="2" fontId="43" fillId="33" borderId="14" xfId="0" applyNumberFormat="1" applyFont="1" applyFill="1" applyBorder="1" applyAlignment="1">
      <alignment horizontal="left" vertical="top"/>
    </xf>
    <xf numFmtId="0" fontId="44" fillId="5" borderId="25" xfId="9" applyFont="1" applyBorder="1" applyAlignment="1">
      <alignment horizontal="left" vertical="top"/>
    </xf>
    <xf numFmtId="0" fontId="44" fillId="5" borderId="27" xfId="9" applyFont="1" applyBorder="1" applyAlignment="1">
      <alignment horizontal="left" vertical="top"/>
    </xf>
    <xf numFmtId="0" fontId="44" fillId="5" borderId="24" xfId="9" applyFont="1" applyBorder="1" applyAlignment="1">
      <alignment horizontal="left" vertical="top"/>
    </xf>
    <xf numFmtId="0" fontId="44" fillId="5" borderId="33" xfId="9" applyFont="1" applyBorder="1" applyAlignment="1">
      <alignment horizontal="left" vertical="top"/>
    </xf>
    <xf numFmtId="0" fontId="44" fillId="5" borderId="39" xfId="9" applyFont="1" applyBorder="1" applyAlignment="1">
      <alignment horizontal="left" vertical="top"/>
    </xf>
    <xf numFmtId="0" fontId="44" fillId="5" borderId="32" xfId="9" applyFont="1" applyBorder="1" applyAlignment="1">
      <alignment horizontal="left" vertical="top"/>
    </xf>
    <xf numFmtId="0" fontId="20" fillId="33" borderId="0" xfId="0" quotePrefix="1" applyFont="1" applyFill="1" applyBorder="1" applyAlignment="1">
      <alignment horizontal="left" vertical="top"/>
    </xf>
    <xf numFmtId="0" fontId="23" fillId="33" borderId="54" xfId="9" quotePrefix="1" applyFont="1" applyFill="1" applyBorder="1" applyAlignment="1">
      <alignment horizontal="left" vertical="top"/>
    </xf>
    <xf numFmtId="0" fontId="23" fillId="33" borderId="53" xfId="9" quotePrefix="1" applyFont="1" applyFill="1" applyBorder="1" applyAlignment="1">
      <alignment horizontal="left" vertical="top"/>
    </xf>
    <xf numFmtId="164" fontId="17" fillId="0" borderId="11" xfId="0" applyNumberFormat="1" applyFont="1" applyBorder="1" applyAlignment="1">
      <alignment horizontal="left" vertical="top"/>
    </xf>
    <xf numFmtId="0" fontId="20" fillId="33" borderId="13" xfId="0" quotePrefix="1" applyFont="1" applyFill="1" applyBorder="1" applyAlignment="1">
      <alignment horizontal="left" vertical="top"/>
    </xf>
    <xf numFmtId="0" fontId="17" fillId="0" borderId="20" xfId="0" applyFont="1" applyBorder="1" applyAlignment="1">
      <alignment horizontal="left" vertical="top"/>
    </xf>
    <xf numFmtId="165" fontId="23" fillId="0" borderId="0" xfId="0" applyNumberFormat="1" applyFont="1" applyBorder="1" applyAlignment="1">
      <alignment horizontal="left" vertical="top"/>
    </xf>
    <xf numFmtId="0" fontId="17" fillId="0" borderId="40" xfId="0" applyFont="1" applyBorder="1" applyAlignment="1">
      <alignment horizontal="left" vertical="top" wrapText="1"/>
    </xf>
    <xf numFmtId="0" fontId="17" fillId="0" borderId="20" xfId="0" applyFont="1" applyBorder="1" applyAlignment="1">
      <alignment horizontal="left" vertical="top" wrapText="1"/>
    </xf>
    <xf numFmtId="0" fontId="20" fillId="0" borderId="14" xfId="0" quotePrefix="1" applyFont="1" applyFill="1" applyBorder="1" applyAlignment="1">
      <alignment horizontal="left" vertical="top"/>
    </xf>
    <xf numFmtId="0" fontId="26" fillId="0" borderId="22" xfId="0" applyNumberFormat="1" applyFont="1" applyFill="1" applyBorder="1" applyAlignment="1">
      <alignment vertical="top" wrapText="1"/>
    </xf>
    <xf numFmtId="0" fontId="13" fillId="0" borderId="22" xfId="0" applyFont="1" applyFill="1" applyBorder="1"/>
    <xf numFmtId="0" fontId="26" fillId="0" borderId="16" xfId="0" applyFont="1" applyFill="1" applyBorder="1" applyAlignment="1">
      <alignment horizontal="left" vertical="top"/>
    </xf>
    <xf numFmtId="2" fontId="43" fillId="33" borderId="11" xfId="0" quotePrefix="1" applyNumberFormat="1" applyFont="1" applyFill="1" applyBorder="1" applyAlignment="1">
      <alignment horizontal="left" vertical="top"/>
    </xf>
    <xf numFmtId="165" fontId="17" fillId="0" borderId="13" xfId="0" applyNumberFormat="1" applyFont="1" applyBorder="1" applyAlignment="1">
      <alignment horizontal="left" vertical="top"/>
    </xf>
    <xf numFmtId="2" fontId="45" fillId="0" borderId="0" xfId="0" applyNumberFormat="1" applyFont="1"/>
    <xf numFmtId="0" fontId="25" fillId="0" borderId="0" xfId="0" applyFont="1" applyBorder="1"/>
    <xf numFmtId="0" fontId="17" fillId="0" borderId="41" xfId="0" applyFont="1" applyBorder="1" applyAlignment="1">
      <alignment horizontal="left" vertical="top"/>
    </xf>
    <xf numFmtId="1" fontId="17" fillId="0" borderId="13" xfId="42" applyNumberFormat="1" applyFont="1" applyFill="1" applyBorder="1" applyAlignment="1">
      <alignment horizontal="left" vertical="top"/>
    </xf>
    <xf numFmtId="0" fontId="43" fillId="0" borderId="14" xfId="0" applyFont="1" applyFill="1" applyBorder="1" applyAlignment="1">
      <alignment horizontal="left" vertical="top"/>
    </xf>
    <xf numFmtId="0" fontId="20" fillId="0" borderId="22" xfId="0" applyFont="1" applyFill="1" applyBorder="1"/>
    <xf numFmtId="0" fontId="24" fillId="0" borderId="22" xfId="0" applyFont="1" applyFill="1" applyBorder="1" applyAlignment="1">
      <alignment horizontal="left" vertical="top" wrapText="1"/>
    </xf>
    <xf numFmtId="0" fontId="17" fillId="0" borderId="16" xfId="0" applyFont="1" applyBorder="1" applyAlignment="1">
      <alignment vertical="top"/>
    </xf>
    <xf numFmtId="0" fontId="17" fillId="0" borderId="35" xfId="0" applyFont="1" applyBorder="1" applyAlignment="1">
      <alignment horizontal="left" vertical="top"/>
    </xf>
    <xf numFmtId="2" fontId="43" fillId="0" borderId="0" xfId="0" applyNumberFormat="1" applyFont="1" applyBorder="1" applyAlignment="1">
      <alignment horizontal="left" vertical="top"/>
    </xf>
    <xf numFmtId="0" fontId="25" fillId="35" borderId="0" xfId="0" applyFont="1" applyFill="1" applyBorder="1" applyAlignment="1">
      <alignment horizontal="left" vertical="top" wrapText="1"/>
    </xf>
    <xf numFmtId="0" fontId="0" fillId="0" borderId="0" xfId="0" applyFill="1"/>
    <xf numFmtId="165" fontId="17" fillId="0" borderId="0" xfId="0" applyNumberFormat="1" applyFont="1" applyFill="1" applyBorder="1" applyAlignment="1">
      <alignment horizontal="left" vertical="top" wrapText="1"/>
    </xf>
    <xf numFmtId="165" fontId="17" fillId="0" borderId="13" xfId="0" applyNumberFormat="1" applyFont="1" applyFill="1" applyBorder="1" applyAlignment="1">
      <alignment horizontal="left" vertical="top" wrapText="1"/>
    </xf>
    <xf numFmtId="0" fontId="23" fillId="33" borderId="56" xfId="9" quotePrefix="1" applyFont="1" applyFill="1" applyBorder="1" applyAlignment="1">
      <alignment horizontal="left" vertical="top"/>
    </xf>
    <xf numFmtId="2" fontId="43" fillId="0" borderId="0" xfId="0" applyNumberFormat="1" applyFont="1" applyFill="1" applyBorder="1" applyAlignment="1">
      <alignment horizontal="left" vertical="top" wrapText="1"/>
    </xf>
    <xf numFmtId="164" fontId="43" fillId="0" borderId="0" xfId="0" applyNumberFormat="1" applyFont="1" applyFill="1" applyBorder="1" applyAlignment="1">
      <alignment horizontal="left" vertical="top" wrapText="1"/>
    </xf>
    <xf numFmtId="0" fontId="20" fillId="33" borderId="11" xfId="0" quotePrefix="1" applyFont="1" applyFill="1" applyBorder="1" applyAlignment="1">
      <alignment horizontal="left" vertical="top" wrapText="1"/>
    </xf>
    <xf numFmtId="0" fontId="20" fillId="33" borderId="14" xfId="0" quotePrefix="1" applyFont="1" applyFill="1" applyBorder="1" applyAlignment="1">
      <alignment horizontal="left" vertical="top" wrapText="1"/>
    </xf>
    <xf numFmtId="0" fontId="20" fillId="33" borderId="0" xfId="0" quotePrefix="1" applyFont="1" applyFill="1" applyBorder="1" applyAlignment="1">
      <alignment horizontal="left" vertical="top" wrapText="1"/>
    </xf>
    <xf numFmtId="0" fontId="20" fillId="33" borderId="13" xfId="0" quotePrefix="1" applyFont="1" applyFill="1" applyBorder="1" applyAlignment="1">
      <alignment horizontal="left" vertical="top" wrapText="1"/>
    </xf>
    <xf numFmtId="0" fontId="17" fillId="0" borderId="0" xfId="0" applyFont="1" applyBorder="1"/>
    <xf numFmtId="0" fontId="17" fillId="0" borderId="13" xfId="0" applyFont="1" applyBorder="1" applyAlignment="1">
      <alignment vertical="top"/>
    </xf>
    <xf numFmtId="0" fontId="20" fillId="33" borderId="35" xfId="0" quotePrefix="1" applyFont="1" applyFill="1" applyBorder="1" applyAlignment="1">
      <alignment horizontal="left" vertical="top"/>
    </xf>
    <xf numFmtId="0" fontId="20" fillId="5" borderId="27" xfId="9" applyFont="1" applyBorder="1" applyAlignment="1">
      <alignment horizontal="left" vertical="top"/>
    </xf>
    <xf numFmtId="0" fontId="17" fillId="0" borderId="58" xfId="0" applyFont="1" applyBorder="1" applyAlignment="1">
      <alignment horizontal="left" vertical="top"/>
    </xf>
    <xf numFmtId="0" fontId="22" fillId="0" borderId="58" xfId="0" applyFont="1" applyBorder="1" applyAlignment="1">
      <alignment horizontal="left" vertical="top"/>
    </xf>
    <xf numFmtId="165" fontId="17" fillId="0" borderId="0" xfId="0" applyNumberFormat="1" applyFont="1" applyBorder="1" applyAlignment="1">
      <alignment horizontal="left" vertical="top"/>
    </xf>
    <xf numFmtId="0" fontId="23" fillId="33" borderId="59" xfId="9" quotePrefix="1" applyFont="1" applyFill="1" applyBorder="1" applyAlignment="1">
      <alignment horizontal="left" vertical="top"/>
    </xf>
    <xf numFmtId="0" fontId="23" fillId="33" borderId="60" xfId="9" quotePrefix="1" applyFont="1" applyFill="1" applyBorder="1" applyAlignment="1">
      <alignment horizontal="left" vertical="top"/>
    </xf>
    <xf numFmtId="2" fontId="43" fillId="33" borderId="14" xfId="0" quotePrefix="1" applyNumberFormat="1" applyFont="1" applyFill="1" applyBorder="1" applyAlignment="1">
      <alignment horizontal="left" vertical="top"/>
    </xf>
    <xf numFmtId="0" fontId="17" fillId="0" borderId="36" xfId="0" applyFont="1" applyBorder="1" applyAlignment="1">
      <alignment horizontal="left" vertical="top" wrapText="1"/>
    </xf>
    <xf numFmtId="0" fontId="20" fillId="33" borderId="58" xfId="0" quotePrefix="1" applyFont="1" applyFill="1" applyBorder="1" applyAlignment="1">
      <alignment horizontal="left" vertical="top"/>
    </xf>
    <xf numFmtId="2" fontId="23" fillId="33" borderId="0" xfId="0" quotePrefix="1" applyNumberFormat="1" applyFont="1" applyFill="1" applyBorder="1" applyAlignment="1">
      <alignment horizontal="left" vertical="top"/>
    </xf>
    <xf numFmtId="0" fontId="23" fillId="33" borderId="61" xfId="9" quotePrefix="1" applyFont="1" applyFill="1" applyBorder="1" applyAlignment="1">
      <alignment horizontal="left" vertical="top"/>
    </xf>
    <xf numFmtId="2" fontId="43" fillId="0" borderId="11" xfId="0" applyNumberFormat="1" applyFont="1" applyBorder="1" applyAlignment="1">
      <alignment horizontal="left" vertical="top"/>
    </xf>
    <xf numFmtId="0" fontId="31" fillId="5" borderId="62" xfId="9" applyFont="1" applyBorder="1" applyAlignment="1">
      <alignment horizontal="left" vertical="top"/>
    </xf>
    <xf numFmtId="0" fontId="21" fillId="0" borderId="23" xfId="0" applyFont="1" applyBorder="1" applyAlignment="1">
      <alignment horizontal="left" vertical="top"/>
    </xf>
    <xf numFmtId="0" fontId="21" fillId="0" borderId="13" xfId="0" applyFont="1" applyBorder="1" applyAlignment="1">
      <alignment horizontal="left" vertical="top"/>
    </xf>
    <xf numFmtId="0" fontId="26" fillId="35" borderId="13" xfId="0" applyFont="1" applyFill="1" applyBorder="1" applyAlignment="1">
      <alignment horizontal="left" vertical="top" wrapText="1"/>
    </xf>
    <xf numFmtId="0" fontId="24" fillId="0" borderId="63" xfId="0" applyFont="1" applyBorder="1" applyAlignment="1">
      <alignment horizontal="left" vertical="top" wrapText="1"/>
    </xf>
    <xf numFmtId="0" fontId="44" fillId="5" borderId="49" xfId="9" applyFont="1" applyBorder="1" applyAlignment="1">
      <alignment horizontal="left" vertical="top"/>
    </xf>
    <xf numFmtId="0" fontId="17" fillId="0" borderId="35" xfId="0" applyFont="1" applyBorder="1" applyAlignment="1">
      <alignment horizontal="left" vertical="top" wrapText="1"/>
    </xf>
    <xf numFmtId="0" fontId="47" fillId="0" borderId="19" xfId="0" applyFont="1" applyBorder="1" applyAlignment="1">
      <alignment horizontal="left" vertical="top" wrapText="1"/>
    </xf>
    <xf numFmtId="2" fontId="26" fillId="0" borderId="0" xfId="0" applyNumberFormat="1" applyFont="1" applyBorder="1" applyAlignment="1">
      <alignment horizontal="left" vertical="top" wrapText="1"/>
    </xf>
    <xf numFmtId="0" fontId="17" fillId="0" borderId="65" xfId="0" applyFont="1" applyFill="1" applyBorder="1" applyAlignment="1">
      <alignment horizontal="left" vertical="top" wrapText="1"/>
    </xf>
    <xf numFmtId="0" fontId="47" fillId="0" borderId="23" xfId="0" applyFont="1" applyFill="1" applyBorder="1" applyAlignment="1">
      <alignment horizontal="left" vertical="top"/>
    </xf>
    <xf numFmtId="0" fontId="25" fillId="0" borderId="66" xfId="0" applyFont="1" applyFill="1" applyBorder="1" applyAlignment="1">
      <alignment horizontal="left" vertical="top"/>
    </xf>
    <xf numFmtId="0" fontId="20" fillId="0" borderId="51" xfId="0" applyFont="1" applyBorder="1" applyAlignment="1">
      <alignment horizontal="left" vertical="top" wrapText="1"/>
    </xf>
    <xf numFmtId="0" fontId="20" fillId="0" borderId="48" xfId="0" applyFont="1" applyBorder="1" applyAlignment="1">
      <alignment horizontal="left" vertical="top" wrapText="1"/>
    </xf>
    <xf numFmtId="2" fontId="20" fillId="0" borderId="0" xfId="0" applyNumberFormat="1" applyFont="1" applyBorder="1" applyAlignment="1">
      <alignment horizontal="left" vertical="top"/>
    </xf>
    <xf numFmtId="0" fontId="20" fillId="0" borderId="0" xfId="43" applyNumberFormat="1" applyFont="1" applyBorder="1" applyAlignment="1">
      <alignment horizontal="left" vertical="top"/>
    </xf>
    <xf numFmtId="2" fontId="17" fillId="0" borderId="0" xfId="0" applyNumberFormat="1" applyFont="1"/>
    <xf numFmtId="0" fontId="25" fillId="0" borderId="58" xfId="0" applyFont="1" applyBorder="1" applyAlignment="1">
      <alignment horizontal="left" vertical="top" wrapText="1"/>
    </xf>
    <xf numFmtId="0" fontId="23" fillId="33" borderId="39" xfId="9" applyFont="1" applyFill="1" applyBorder="1" applyAlignment="1">
      <alignment horizontal="left" vertical="top"/>
    </xf>
    <xf numFmtId="2" fontId="17" fillId="0" borderId="44" xfId="0" applyNumberFormat="1" applyFont="1" applyBorder="1" applyAlignment="1">
      <alignment horizontal="left" vertical="top" wrapText="1"/>
    </xf>
    <xf numFmtId="1" fontId="20" fillId="0" borderId="0" xfId="0" applyNumberFormat="1" applyFont="1" applyBorder="1" applyAlignment="1">
      <alignment horizontal="left" vertical="top" wrapText="1"/>
    </xf>
    <xf numFmtId="1" fontId="20" fillId="0" borderId="0" xfId="0" applyNumberFormat="1" applyFont="1" applyBorder="1" applyAlignment="1">
      <alignment horizontal="left" wrapText="1"/>
    </xf>
    <xf numFmtId="0" fontId="22" fillId="0" borderId="22" xfId="0" applyNumberFormat="1" applyFont="1" applyBorder="1" applyAlignment="1">
      <alignment vertical="top" wrapText="1"/>
    </xf>
    <xf numFmtId="164" fontId="17" fillId="0" borderId="0" xfId="0" applyNumberFormat="1" applyFont="1" applyFill="1" applyBorder="1" applyAlignment="1">
      <alignment horizontal="left" vertical="top"/>
    </xf>
    <xf numFmtId="0" fontId="17" fillId="0" borderId="17" xfId="0" applyFont="1" applyBorder="1" applyAlignment="1">
      <alignment horizontal="left" vertical="top" wrapText="1"/>
    </xf>
    <xf numFmtId="164" fontId="17" fillId="0" borderId="0" xfId="0" applyNumberFormat="1" applyFont="1" applyBorder="1" applyAlignment="1">
      <alignment horizontal="left" vertical="top"/>
    </xf>
    <xf numFmtId="167" fontId="17" fillId="0" borderId="0" xfId="0" applyNumberFormat="1" applyFont="1" applyFill="1" applyBorder="1" applyAlignment="1">
      <alignment horizontal="left" vertical="top"/>
    </xf>
    <xf numFmtId="167" fontId="31" fillId="0" borderId="0" xfId="9" applyNumberFormat="1" applyFill="1" applyBorder="1" applyAlignment="1">
      <alignment horizontal="left" vertical="top"/>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37"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0" xfId="0" applyFont="1" applyBorder="1" applyAlignment="1">
      <alignment horizontal="left" vertical="center" wrapText="1" readingOrder="1"/>
    </xf>
    <xf numFmtId="0" fontId="38" fillId="0" borderId="0" xfId="0" applyFont="1" applyBorder="1" applyAlignment="1">
      <alignment vertical="center" wrapText="1"/>
    </xf>
    <xf numFmtId="0" fontId="39" fillId="0" borderId="10" xfId="0" applyFont="1" applyBorder="1" applyAlignment="1">
      <alignment horizontal="left" vertical="center" wrapText="1" readingOrder="1"/>
    </xf>
    <xf numFmtId="0" fontId="48" fillId="0" borderId="10" xfId="0" applyFont="1" applyBorder="1" applyAlignment="1">
      <alignment horizontal="left" vertical="center" wrapText="1" readingOrder="1"/>
    </xf>
    <xf numFmtId="0" fontId="40" fillId="0" borderId="0" xfId="0" applyFont="1" applyBorder="1" applyAlignment="1">
      <alignment vertical="center" wrapText="1"/>
    </xf>
    <xf numFmtId="0" fontId="41" fillId="0" borderId="10" xfId="0" applyFont="1" applyBorder="1" applyAlignment="1">
      <alignment horizontal="center" vertical="center" wrapText="1"/>
    </xf>
    <xf numFmtId="0" fontId="40" fillId="37" borderId="10" xfId="0" applyFont="1" applyFill="1" applyBorder="1" applyAlignment="1">
      <alignment horizontal="left" vertical="center" wrapText="1" readingOrder="1"/>
    </xf>
    <xf numFmtId="0" fontId="40" fillId="37" borderId="10" xfId="0" applyFont="1" applyFill="1" applyBorder="1" applyAlignment="1">
      <alignment horizontal="center" vertical="center" wrapText="1"/>
    </xf>
    <xf numFmtId="0" fontId="42" fillId="0" borderId="10" xfId="0" applyFont="1" applyBorder="1" applyAlignment="1">
      <alignment horizontal="left" vertical="center" wrapText="1" readingOrder="1"/>
    </xf>
    <xf numFmtId="0" fontId="37" fillId="0" borderId="0" xfId="0" applyFont="1" applyBorder="1" applyAlignment="1">
      <alignment horizontal="center" vertical="center" wrapText="1"/>
    </xf>
    <xf numFmtId="0" fontId="37" fillId="0" borderId="0" xfId="0" applyFont="1" applyBorder="1" applyAlignment="1">
      <alignment horizontal="left" vertical="center" wrapText="1"/>
    </xf>
    <xf numFmtId="0" fontId="38" fillId="0" borderId="0" xfId="0" applyFont="1" applyBorder="1" applyAlignment="1">
      <alignment horizontal="center" vertical="center" wrapText="1"/>
    </xf>
    <xf numFmtId="0" fontId="38" fillId="0" borderId="0" xfId="0" applyFont="1" applyBorder="1" applyAlignment="1">
      <alignment horizontal="left" vertical="center" wrapText="1" readingOrder="1"/>
    </xf>
    <xf numFmtId="1" fontId="17" fillId="0" borderId="17" xfId="0" applyNumberFormat="1" applyFont="1" applyBorder="1" applyAlignment="1">
      <alignment horizontal="left" vertical="top"/>
    </xf>
    <xf numFmtId="0" fontId="49" fillId="0" borderId="0" xfId="0" applyFont="1" applyBorder="1" applyAlignment="1">
      <alignment horizontal="left" vertical="top"/>
    </xf>
    <xf numFmtId="0" fontId="50" fillId="0" borderId="0" xfId="0" applyFont="1" applyBorder="1" applyAlignment="1">
      <alignment horizontal="left" vertical="top" wrapText="1"/>
    </xf>
    <xf numFmtId="0" fontId="51" fillId="0" borderId="0" xfId="0" applyFont="1" applyBorder="1" applyAlignment="1">
      <alignment horizontal="left" vertical="top"/>
    </xf>
    <xf numFmtId="0" fontId="49" fillId="0" borderId="0" xfId="0" applyFont="1" applyBorder="1" applyAlignment="1">
      <alignment horizontal="left" vertical="top" wrapText="1"/>
    </xf>
    <xf numFmtId="0" fontId="50" fillId="0" borderId="0" xfId="0" applyFont="1" applyBorder="1" applyAlignment="1">
      <alignment horizontal="left" vertical="top"/>
    </xf>
    <xf numFmtId="0" fontId="51" fillId="0" borderId="0" xfId="0" applyFont="1" applyBorder="1" applyAlignment="1">
      <alignment horizontal="left" vertical="top" wrapText="1"/>
    </xf>
    <xf numFmtId="0" fontId="52" fillId="0" borderId="0" xfId="0" applyFont="1" applyBorder="1" applyAlignment="1">
      <alignment horizontal="left" vertical="top"/>
    </xf>
    <xf numFmtId="0" fontId="53" fillId="0" borderId="0" xfId="0" applyFont="1" applyBorder="1" applyAlignment="1">
      <alignment horizontal="left" vertical="top"/>
    </xf>
    <xf numFmtId="0" fontId="31" fillId="38" borderId="33" xfId="9" applyFont="1" applyFill="1" applyBorder="1" applyAlignment="1">
      <alignment horizontal="left" vertical="top"/>
    </xf>
    <xf numFmtId="0" fontId="32" fillId="0" borderId="10" xfId="0" applyFont="1" applyBorder="1" applyAlignment="1">
      <alignment horizontal="left" vertical="top"/>
    </xf>
    <xf numFmtId="0" fontId="23" fillId="33" borderId="10" xfId="0" applyFont="1" applyFill="1" applyBorder="1" applyAlignment="1">
      <alignment horizontal="left" vertical="top"/>
    </xf>
    <xf numFmtId="1" fontId="43" fillId="0" borderId="10" xfId="0" applyNumberFormat="1" applyFont="1" applyFill="1" applyBorder="1" applyAlignment="1">
      <alignment horizontal="left" vertical="top" wrapText="1"/>
    </xf>
    <xf numFmtId="1" fontId="43" fillId="33" borderId="10" xfId="0" applyNumberFormat="1" applyFont="1" applyFill="1" applyBorder="1" applyAlignment="1">
      <alignment horizontal="left" vertical="top"/>
    </xf>
    <xf numFmtId="1" fontId="30" fillId="0" borderId="10" xfId="0" applyNumberFormat="1" applyFont="1" applyFill="1" applyBorder="1" applyAlignment="1">
      <alignment horizontal="left" vertical="top" wrapText="1"/>
    </xf>
    <xf numFmtId="1" fontId="30" fillId="33" borderId="10" xfId="0" applyNumberFormat="1" applyFont="1" applyFill="1" applyBorder="1" applyAlignment="1">
      <alignment horizontal="left" vertical="top"/>
    </xf>
    <xf numFmtId="2" fontId="43" fillId="0" borderId="11" xfId="0" applyNumberFormat="1" applyFont="1" applyFill="1" applyBorder="1" applyAlignment="1">
      <alignment horizontal="left" vertical="top"/>
    </xf>
    <xf numFmtId="2" fontId="43" fillId="0" borderId="14" xfId="0" applyNumberFormat="1" applyFont="1" applyFill="1" applyBorder="1" applyAlignment="1">
      <alignment horizontal="left" vertical="top"/>
    </xf>
    <xf numFmtId="0" fontId="31" fillId="5" borderId="4" xfId="9" applyAlignment="1">
      <alignment horizontal="left" vertical="top" wrapText="1"/>
    </xf>
    <xf numFmtId="2" fontId="21" fillId="0" borderId="0" xfId="0" applyNumberFormat="1" applyFont="1" applyBorder="1" applyAlignment="1">
      <alignment horizontal="left" vertical="top"/>
    </xf>
    <xf numFmtId="0" fontId="21" fillId="0" borderId="0" xfId="0" applyNumberFormat="1" applyFont="1" applyBorder="1" applyAlignment="1">
      <alignment horizontal="left" vertical="top"/>
    </xf>
    <xf numFmtId="0" fontId="21" fillId="0" borderId="0" xfId="0" applyFont="1"/>
    <xf numFmtId="0" fontId="13" fillId="0" borderId="0" xfId="0" applyFont="1"/>
    <xf numFmtId="2" fontId="21" fillId="0" borderId="0" xfId="0" applyNumberFormat="1" applyFont="1"/>
    <xf numFmtId="2" fontId="54" fillId="0" borderId="0" xfId="0" applyNumberFormat="1" applyFont="1" applyBorder="1" applyAlignment="1">
      <alignment horizontal="left" vertical="top"/>
    </xf>
    <xf numFmtId="0" fontId="54" fillId="0" borderId="0" xfId="0" applyFont="1" applyBorder="1" applyAlignment="1">
      <alignment horizontal="left" vertical="top"/>
    </xf>
    <xf numFmtId="0" fontId="54" fillId="0" borderId="0" xfId="0" applyFont="1"/>
    <xf numFmtId="0" fontId="54" fillId="0" borderId="0" xfId="0" applyNumberFormat="1" applyFont="1" applyBorder="1" applyAlignment="1">
      <alignment horizontal="left" vertical="top"/>
    </xf>
    <xf numFmtId="0" fontId="37" fillId="0" borderId="67" xfId="0" applyFont="1" applyBorder="1" applyAlignment="1">
      <alignment vertical="center" wrapText="1" readingOrder="1"/>
    </xf>
    <xf numFmtId="2" fontId="32" fillId="0" borderId="11" xfId="0" applyNumberFormat="1" applyFont="1" applyBorder="1" applyAlignment="1">
      <alignment horizontal="left" vertical="top"/>
    </xf>
    <xf numFmtId="0" fontId="17" fillId="0" borderId="41" xfId="0" applyFont="1" applyFill="1" applyBorder="1" applyAlignment="1">
      <alignment horizontal="left" vertical="top"/>
    </xf>
    <xf numFmtId="0" fontId="43" fillId="33" borderId="41" xfId="0" quotePrefix="1" applyFont="1" applyFill="1" applyBorder="1" applyAlignment="1">
      <alignment horizontal="left" vertical="top"/>
    </xf>
    <xf numFmtId="0" fontId="43" fillId="0" borderId="0" xfId="0" applyFont="1" applyFill="1" applyBorder="1" applyAlignment="1">
      <alignment horizontal="left" vertical="top"/>
    </xf>
    <xf numFmtId="2" fontId="23" fillId="0" borderId="0" xfId="0" applyNumberFormat="1" applyFont="1" applyFill="1" applyBorder="1" applyAlignment="1">
      <alignment horizontal="left" vertical="top"/>
    </xf>
    <xf numFmtId="0" fontId="43" fillId="0" borderId="13" xfId="0" applyFont="1" applyFill="1" applyBorder="1" applyAlignment="1">
      <alignment horizontal="left" vertical="top"/>
    </xf>
    <xf numFmtId="0" fontId="43" fillId="33" borderId="0" xfId="0" applyFont="1" applyFill="1" applyBorder="1" applyAlignment="1">
      <alignment horizontal="left" vertical="top" wrapText="1"/>
    </xf>
    <xf numFmtId="0" fontId="43" fillId="33" borderId="13" xfId="0" applyFont="1" applyFill="1" applyBorder="1" applyAlignment="1">
      <alignment horizontal="left" vertical="top"/>
    </xf>
    <xf numFmtId="0" fontId="43" fillId="33" borderId="11" xfId="0" quotePrefix="1" applyFont="1" applyFill="1" applyBorder="1" applyAlignment="1">
      <alignment horizontal="left" vertical="top"/>
    </xf>
    <xf numFmtId="0" fontId="43" fillId="33" borderId="14" xfId="0" quotePrefix="1" applyFont="1" applyFill="1" applyBorder="1" applyAlignment="1">
      <alignment horizontal="left" vertical="top"/>
    </xf>
    <xf numFmtId="0" fontId="56" fillId="33" borderId="35" xfId="0" applyFont="1" applyFill="1" applyBorder="1" applyAlignment="1">
      <alignment horizontal="left" vertical="top"/>
    </xf>
    <xf numFmtId="0" fontId="43" fillId="33" borderId="14" xfId="0" applyFont="1" applyFill="1" applyBorder="1" applyAlignment="1">
      <alignment horizontal="left" vertical="top" wrapText="1"/>
    </xf>
    <xf numFmtId="0" fontId="56" fillId="33" borderId="0" xfId="0" applyFont="1" applyFill="1" applyBorder="1" applyAlignment="1">
      <alignment horizontal="left" vertical="top" wrapText="1"/>
    </xf>
    <xf numFmtId="0" fontId="56" fillId="33" borderId="14" xfId="0" applyFont="1" applyFill="1" applyBorder="1" applyAlignment="1">
      <alignment horizontal="left" vertical="top" wrapText="1"/>
    </xf>
    <xf numFmtId="0" fontId="23" fillId="33" borderId="69" xfId="9" quotePrefix="1" applyFont="1" applyFill="1" applyBorder="1" applyAlignment="1">
      <alignment horizontal="left" vertical="top"/>
    </xf>
    <xf numFmtId="0" fontId="43" fillId="33" borderId="35" xfId="0" quotePrefix="1" applyFont="1" applyFill="1" applyBorder="1" applyAlignment="1">
      <alignment horizontal="left" vertical="top"/>
    </xf>
    <xf numFmtId="166" fontId="23" fillId="0" borderId="0" xfId="0" applyNumberFormat="1" applyFont="1" applyFill="1" applyBorder="1" applyAlignment="1">
      <alignment horizontal="left" vertical="top"/>
    </xf>
    <xf numFmtId="0" fontId="43" fillId="0" borderId="36" xfId="0" applyFont="1" applyBorder="1" applyAlignment="1">
      <alignment horizontal="left" vertical="top" wrapText="1"/>
    </xf>
    <xf numFmtId="2" fontId="43" fillId="0" borderId="35" xfId="0" applyNumberFormat="1" applyFont="1" applyBorder="1" applyAlignment="1">
      <alignment horizontal="left" vertical="top" wrapText="1"/>
    </xf>
    <xf numFmtId="166" fontId="20" fillId="0" borderId="0" xfId="0" applyNumberFormat="1" applyFont="1" applyBorder="1" applyAlignment="1">
      <alignment horizontal="left" vertical="top" wrapText="1"/>
    </xf>
    <xf numFmtId="2" fontId="43" fillId="33" borderId="35" xfId="0" quotePrefix="1" applyNumberFormat="1" applyFont="1" applyFill="1" applyBorder="1" applyAlignment="1">
      <alignment horizontal="left" vertical="top"/>
    </xf>
    <xf numFmtId="0" fontId="43" fillId="0" borderId="0" xfId="0" applyFont="1" applyBorder="1" applyAlignment="1">
      <alignment horizontal="left" vertical="top" wrapText="1"/>
    </xf>
    <xf numFmtId="0" fontId="56" fillId="33" borderId="69" xfId="9" quotePrefix="1" applyFont="1" applyFill="1" applyBorder="1" applyAlignment="1">
      <alignment horizontal="left" vertical="top"/>
    </xf>
    <xf numFmtId="0" fontId="56" fillId="33" borderId="35" xfId="0" quotePrefix="1" applyFont="1" applyFill="1" applyBorder="1" applyAlignment="1">
      <alignment horizontal="left" vertical="top"/>
    </xf>
    <xf numFmtId="0" fontId="26" fillId="0" borderId="0" xfId="0" applyFont="1" applyBorder="1" applyAlignment="1">
      <alignment horizontal="left" vertical="top" wrapText="1"/>
    </xf>
    <xf numFmtId="0" fontId="21" fillId="0" borderId="0" xfId="0" applyFont="1" applyAlignment="1">
      <alignment horizontal="left" vertical="top" wrapText="1"/>
    </xf>
    <xf numFmtId="0" fontId="21" fillId="0" borderId="0" xfId="0" quotePrefix="1" applyFont="1"/>
    <xf numFmtId="0" fontId="13" fillId="0" borderId="0" xfId="0" quotePrefix="1" applyFont="1"/>
    <xf numFmtId="0" fontId="21" fillId="35" borderId="0" xfId="0" applyFont="1" applyFill="1" applyBorder="1" applyAlignment="1">
      <alignment horizontal="left" vertical="top"/>
    </xf>
    <xf numFmtId="0" fontId="21" fillId="0" borderId="0" xfId="0" applyFont="1" applyFill="1" applyBorder="1" applyAlignment="1">
      <alignment horizontal="left" vertical="top" wrapText="1"/>
    </xf>
    <xf numFmtId="0" fontId="17" fillId="0" borderId="16" xfId="0" applyFont="1" applyFill="1" applyBorder="1" applyAlignment="1">
      <alignment horizontal="left" vertical="top"/>
    </xf>
    <xf numFmtId="0" fontId="17" fillId="0" borderId="22" xfId="0" applyFont="1" applyFill="1" applyBorder="1" applyAlignment="1">
      <alignment horizontal="left" vertical="top"/>
    </xf>
    <xf numFmtId="0" fontId="19" fillId="0" borderId="22" xfId="0" applyFont="1" applyFill="1" applyBorder="1"/>
    <xf numFmtId="0" fontId="28" fillId="0" borderId="18" xfId="0" applyFont="1" applyBorder="1" applyAlignment="1">
      <alignment horizontal="left" vertical="top"/>
    </xf>
    <xf numFmtId="0" fontId="28" fillId="0" borderId="23" xfId="0" applyFont="1" applyBorder="1" applyAlignment="1">
      <alignment horizontal="left" vertical="top"/>
    </xf>
    <xf numFmtId="0" fontId="17" fillId="5" borderId="32" xfId="9" applyFont="1" applyBorder="1" applyAlignment="1">
      <alignment horizontal="left" vertical="top"/>
    </xf>
    <xf numFmtId="166" fontId="19" fillId="0" borderId="0" xfId="0" applyNumberFormat="1" applyFont="1"/>
    <xf numFmtId="0" fontId="17" fillId="0" borderId="0" xfId="0" quotePrefix="1" applyFont="1"/>
    <xf numFmtId="0" fontId="19" fillId="0" borderId="0" xfId="0" quotePrefix="1" applyFont="1"/>
    <xf numFmtId="0" fontId="23" fillId="0" borderId="18" xfId="0" applyFont="1" applyFill="1" applyBorder="1" applyAlignment="1">
      <alignment horizontal="left" vertical="top"/>
    </xf>
    <xf numFmtId="0" fontId="18" fillId="0" borderId="0" xfId="0" quotePrefix="1" applyFont="1"/>
    <xf numFmtId="0" fontId="18" fillId="0" borderId="23" xfId="0" applyFont="1" applyBorder="1"/>
    <xf numFmtId="0" fontId="17" fillId="0" borderId="40" xfId="0" applyFont="1" applyBorder="1" applyAlignment="1">
      <alignment vertical="top"/>
    </xf>
    <xf numFmtId="0" fontId="23" fillId="0" borderId="0" xfId="0" applyFont="1" applyBorder="1"/>
    <xf numFmtId="0" fontId="23" fillId="33" borderId="35" xfId="0" quotePrefix="1" applyFont="1" applyFill="1" applyBorder="1" applyAlignment="1">
      <alignment horizontal="left" vertical="top"/>
    </xf>
    <xf numFmtId="0" fontId="23" fillId="0" borderId="19" xfId="0" applyFont="1" applyBorder="1"/>
    <xf numFmtId="165" fontId="21" fillId="0" borderId="0" xfId="0" applyNumberFormat="1" applyFont="1" applyFill="1" applyBorder="1" applyAlignment="1">
      <alignment horizontal="left" vertical="top"/>
    </xf>
    <xf numFmtId="0" fontId="23" fillId="0" borderId="23" xfId="0" applyFont="1" applyBorder="1"/>
    <xf numFmtId="0" fontId="20" fillId="34" borderId="50" xfId="0" quotePrefix="1" applyFont="1" applyFill="1" applyBorder="1" applyAlignment="1">
      <alignment horizontal="left" vertical="top"/>
    </xf>
    <xf numFmtId="0" fontId="17" fillId="0" borderId="0" xfId="0" quotePrefix="1" applyFont="1" applyFill="1" applyBorder="1" applyAlignment="1">
      <alignment horizontal="left" vertical="top" wrapText="1"/>
    </xf>
    <xf numFmtId="0" fontId="17" fillId="0" borderId="14" xfId="0" quotePrefix="1" applyFont="1" applyFill="1" applyBorder="1" applyAlignment="1">
      <alignment horizontal="left" vertical="top"/>
    </xf>
    <xf numFmtId="0" fontId="44" fillId="0" borderId="0" xfId="0" applyFont="1" applyBorder="1" applyAlignment="1">
      <alignment horizontal="left" vertical="top"/>
    </xf>
    <xf numFmtId="0" fontId="44" fillId="0" borderId="0" xfId="0" quotePrefix="1" applyFont="1"/>
    <xf numFmtId="0" fontId="43" fillId="0" borderId="13" xfId="0" applyFont="1" applyBorder="1" applyAlignment="1">
      <alignment horizontal="left" vertical="top"/>
    </xf>
    <xf numFmtId="0" fontId="43" fillId="0" borderId="44" xfId="0" applyFont="1" applyBorder="1" applyAlignment="1">
      <alignment horizontal="left" vertical="top"/>
    </xf>
    <xf numFmtId="0" fontId="44" fillId="33" borderId="35" xfId="0" quotePrefix="1" applyFont="1" applyFill="1" applyBorder="1" applyAlignment="1">
      <alignment horizontal="left" vertical="top"/>
    </xf>
    <xf numFmtId="0" fontId="20" fillId="0" borderId="44" xfId="0" applyFont="1" applyBorder="1" applyAlignment="1">
      <alignment horizontal="left" vertical="top" wrapText="1"/>
    </xf>
    <xf numFmtId="2" fontId="43" fillId="33" borderId="0" xfId="0" quotePrefix="1" applyNumberFormat="1" applyFont="1" applyFill="1" applyBorder="1" applyAlignment="1">
      <alignment horizontal="left" vertical="top"/>
    </xf>
    <xf numFmtId="2" fontId="46" fillId="33" borderId="13" xfId="0" applyNumberFormat="1" applyFont="1" applyFill="1" applyBorder="1" applyAlignment="1">
      <alignment horizontal="left" vertical="top"/>
    </xf>
    <xf numFmtId="0" fontId="46" fillId="33" borderId="30" xfId="9" applyFont="1" applyFill="1" applyBorder="1" applyAlignment="1">
      <alignment horizontal="left" vertical="top"/>
    </xf>
    <xf numFmtId="0" fontId="17" fillId="0" borderId="37" xfId="0" applyFont="1" applyBorder="1" applyAlignment="1">
      <alignment horizontal="left" vertical="top" wrapText="1"/>
    </xf>
    <xf numFmtId="0" fontId="57" fillId="0" borderId="16" xfId="0" applyFont="1" applyBorder="1" applyAlignment="1">
      <alignment vertical="top" wrapText="1"/>
    </xf>
    <xf numFmtId="0" fontId="44" fillId="0" borderId="18" xfId="0" applyFont="1" applyBorder="1" applyAlignment="1">
      <alignment horizontal="left" vertical="top" wrapText="1"/>
    </xf>
    <xf numFmtId="0" fontId="44" fillId="33" borderId="57" xfId="9" applyFont="1" applyFill="1" applyBorder="1" applyAlignment="1">
      <alignment horizontal="left" vertical="top"/>
    </xf>
    <xf numFmtId="0" fontId="17" fillId="33" borderId="20" xfId="0" quotePrefix="1" applyFont="1" applyFill="1" applyBorder="1" applyAlignment="1">
      <alignment horizontal="left" vertical="top"/>
    </xf>
    <xf numFmtId="0" fontId="31" fillId="5" borderId="4" xfId="9" applyFont="1"/>
    <xf numFmtId="0" fontId="24" fillId="0" borderId="0" xfId="0" applyFont="1"/>
    <xf numFmtId="0" fontId="23" fillId="0" borderId="0" xfId="0" applyFont="1"/>
    <xf numFmtId="1" fontId="20" fillId="33" borderId="14" xfId="0" quotePrefix="1" applyNumberFormat="1" applyFont="1" applyFill="1" applyBorder="1" applyAlignment="1">
      <alignment horizontal="left" vertical="top"/>
    </xf>
    <xf numFmtId="0" fontId="17" fillId="33" borderId="64" xfId="0" quotePrefix="1" applyFont="1" applyFill="1" applyBorder="1" applyAlignment="1">
      <alignment horizontal="left" vertical="top"/>
    </xf>
    <xf numFmtId="0" fontId="31" fillId="33" borderId="39" xfId="9" applyFont="1" applyFill="1" applyBorder="1" applyAlignment="1">
      <alignment horizontal="left" vertical="top"/>
    </xf>
    <xf numFmtId="0" fontId="31" fillId="33" borderId="25" xfId="9" applyFont="1" applyFill="1" applyBorder="1" applyAlignment="1">
      <alignment horizontal="left" vertical="top"/>
    </xf>
    <xf numFmtId="2" fontId="46" fillId="33" borderId="11" xfId="0" applyNumberFormat="1" applyFont="1" applyFill="1" applyBorder="1" applyAlignment="1">
      <alignment horizontal="left" vertical="top"/>
    </xf>
    <xf numFmtId="0" fontId="46" fillId="33" borderId="25" xfId="9" applyFont="1" applyFill="1" applyBorder="1" applyAlignment="1">
      <alignment horizontal="left" vertical="top"/>
    </xf>
    <xf numFmtId="166" fontId="46" fillId="33" borderId="11" xfId="0" applyNumberFormat="1" applyFont="1" applyFill="1" applyBorder="1" applyAlignment="1">
      <alignment horizontal="left" vertical="top"/>
    </xf>
    <xf numFmtId="165" fontId="46" fillId="33" borderId="11" xfId="0" applyNumberFormat="1" applyFont="1" applyFill="1" applyBorder="1" applyAlignment="1">
      <alignment horizontal="left" vertical="top"/>
    </xf>
    <xf numFmtId="0" fontId="46" fillId="0" borderId="37" xfId="0" applyFont="1" applyBorder="1" applyAlignment="1">
      <alignment horizontal="left" vertical="top"/>
    </xf>
    <xf numFmtId="165" fontId="31" fillId="0" borderId="0" xfId="9" applyNumberFormat="1" applyFill="1" applyBorder="1" applyAlignment="1">
      <alignment horizontal="left" vertical="top"/>
    </xf>
    <xf numFmtId="2" fontId="31" fillId="0" borderId="0" xfId="9" applyNumberFormat="1" applyFill="1" applyBorder="1" applyAlignment="1">
      <alignment horizontal="left" vertical="top"/>
    </xf>
    <xf numFmtId="168" fontId="31" fillId="0" borderId="0" xfId="9" applyNumberFormat="1" applyFill="1" applyBorder="1" applyAlignment="1">
      <alignment horizontal="left" vertical="top"/>
    </xf>
    <xf numFmtId="0" fontId="31" fillId="5" borderId="25" xfId="9" applyFont="1" applyBorder="1" applyAlignment="1">
      <alignment horizontal="left" vertical="top" wrapText="1"/>
    </xf>
    <xf numFmtId="2" fontId="23" fillId="0" borderId="0" xfId="0" applyNumberFormat="1" applyFont="1" applyBorder="1" applyAlignment="1">
      <alignment horizontal="left" vertical="top"/>
    </xf>
    <xf numFmtId="2" fontId="22" fillId="0" borderId="0" xfId="0" applyNumberFormat="1" applyFont="1" applyFill="1" applyBorder="1" applyAlignment="1">
      <alignment horizontal="center" vertical="top"/>
    </xf>
    <xf numFmtId="2" fontId="43" fillId="33" borderId="0" xfId="0" applyNumberFormat="1" applyFont="1" applyFill="1" applyBorder="1" applyAlignment="1">
      <alignment horizontal="left" vertical="top"/>
    </xf>
    <xf numFmtId="0" fontId="46" fillId="5" borderId="25" xfId="9" applyFont="1" applyBorder="1" applyAlignment="1">
      <alignment horizontal="left" vertical="top"/>
    </xf>
    <xf numFmtId="0" fontId="46" fillId="33" borderId="60" xfId="9" quotePrefix="1" applyFont="1" applyFill="1" applyBorder="1" applyAlignment="1">
      <alignment horizontal="left" vertical="top"/>
    </xf>
    <xf numFmtId="3" fontId="23" fillId="33" borderId="13" xfId="0" quotePrefix="1" applyNumberFormat="1" applyFont="1" applyFill="1" applyBorder="1" applyAlignment="1">
      <alignment horizontal="left" vertical="top"/>
    </xf>
    <xf numFmtId="2" fontId="43" fillId="33" borderId="0" xfId="0" applyNumberFormat="1" applyFont="1" applyFill="1" applyBorder="1" applyAlignment="1">
      <alignment horizontal="left" vertical="top" wrapText="1"/>
    </xf>
    <xf numFmtId="2" fontId="43" fillId="33" borderId="14" xfId="0" applyNumberFormat="1" applyFont="1" applyFill="1" applyBorder="1" applyAlignment="1">
      <alignment horizontal="left" vertical="top" wrapText="1"/>
    </xf>
    <xf numFmtId="2" fontId="43" fillId="33" borderId="43" xfId="0" applyNumberFormat="1" applyFont="1" applyFill="1" applyBorder="1" applyAlignment="1">
      <alignment horizontal="left" vertical="top" wrapText="1"/>
    </xf>
    <xf numFmtId="0" fontId="23" fillId="33" borderId="49" xfId="9" quotePrefix="1" applyFont="1" applyFill="1" applyBorder="1" applyAlignment="1">
      <alignment horizontal="left" vertical="top"/>
    </xf>
    <xf numFmtId="0" fontId="31" fillId="38" borderId="10" xfId="9" applyFont="1" applyFill="1" applyBorder="1" applyAlignment="1">
      <alignment horizontal="left" vertical="top"/>
    </xf>
    <xf numFmtId="0" fontId="17" fillId="0" borderId="38" xfId="0" applyFont="1" applyBorder="1" applyAlignment="1">
      <alignment horizontal="left" vertical="top" wrapText="1"/>
    </xf>
    <xf numFmtId="0" fontId="18" fillId="0" borderId="66" xfId="0" applyFont="1" applyBorder="1"/>
    <xf numFmtId="0" fontId="18" fillId="0" borderId="18" xfId="0" applyFont="1" applyBorder="1"/>
    <xf numFmtId="0" fontId="17" fillId="0" borderId="13" xfId="0" quotePrefix="1" applyFont="1" applyFill="1" applyBorder="1" applyAlignment="1">
      <alignment horizontal="left" vertical="top" wrapText="1"/>
    </xf>
    <xf numFmtId="0" fontId="17" fillId="0" borderId="11" xfId="0" quotePrefix="1" applyFont="1" applyFill="1" applyBorder="1" applyAlignment="1">
      <alignment horizontal="left" vertical="top" wrapText="1"/>
    </xf>
    <xf numFmtId="0" fontId="17" fillId="0" borderId="14" xfId="0" quotePrefix="1" applyFont="1" applyFill="1" applyBorder="1" applyAlignment="1">
      <alignment horizontal="left" vertical="top" wrapText="1"/>
    </xf>
    <xf numFmtId="0" fontId="31" fillId="5" borderId="39" xfId="9" applyFont="1" applyBorder="1" applyAlignment="1">
      <alignment horizontal="left" vertical="top" wrapText="1"/>
    </xf>
    <xf numFmtId="0" fontId="31" fillId="5" borderId="24" xfId="9" applyFont="1" applyBorder="1" applyAlignment="1">
      <alignment horizontal="left" vertical="top" wrapText="1"/>
    </xf>
    <xf numFmtId="165" fontId="23" fillId="33" borderId="0" xfId="0" quotePrefix="1" applyNumberFormat="1" applyFont="1" applyFill="1" applyBorder="1" applyAlignment="1">
      <alignment horizontal="left" vertical="top"/>
    </xf>
    <xf numFmtId="2" fontId="23" fillId="33" borderId="13" xfId="0" quotePrefix="1" applyNumberFormat="1" applyFont="1" applyFill="1" applyBorder="1" applyAlignment="1">
      <alignment horizontal="left" vertical="top"/>
    </xf>
    <xf numFmtId="2" fontId="23" fillId="33" borderId="11" xfId="0" applyNumberFormat="1" applyFont="1" applyFill="1" applyBorder="1" applyAlignment="1">
      <alignment horizontal="left" vertical="top"/>
    </xf>
    <xf numFmtId="2" fontId="23" fillId="33" borderId="14" xfId="0" applyNumberFormat="1" applyFont="1" applyFill="1" applyBorder="1" applyAlignment="1">
      <alignment horizontal="left" vertical="top"/>
    </xf>
    <xf numFmtId="2" fontId="30" fillId="33" borderId="11" xfId="0" quotePrefix="1" applyNumberFormat="1" applyFont="1" applyFill="1" applyBorder="1" applyAlignment="1">
      <alignment horizontal="left" vertical="top"/>
    </xf>
    <xf numFmtId="2" fontId="23" fillId="33" borderId="11" xfId="0" quotePrefix="1" applyNumberFormat="1" applyFont="1" applyFill="1" applyBorder="1" applyAlignment="1">
      <alignment horizontal="left" vertical="top"/>
    </xf>
    <xf numFmtId="2" fontId="23" fillId="33" borderId="14" xfId="0" quotePrefix="1" applyNumberFormat="1" applyFont="1" applyFill="1" applyBorder="1" applyAlignment="1">
      <alignment horizontal="left" vertical="top"/>
    </xf>
    <xf numFmtId="0" fontId="43" fillId="0" borderId="13" xfId="0" applyFont="1" applyBorder="1" applyAlignment="1">
      <alignment horizontal="left" vertical="top" wrapText="1"/>
    </xf>
    <xf numFmtId="0" fontId="44" fillId="5" borderId="24" xfId="9" applyFont="1" applyBorder="1" applyAlignment="1">
      <alignment horizontal="left" vertical="top" wrapText="1"/>
    </xf>
    <xf numFmtId="0" fontId="44" fillId="5" borderId="33" xfId="9" applyFont="1" applyBorder="1" applyAlignment="1">
      <alignment horizontal="left" vertical="top" wrapText="1"/>
    </xf>
    <xf numFmtId="164" fontId="25" fillId="0" borderId="0" xfId="0" applyNumberFormat="1" applyFont="1" applyBorder="1" applyAlignment="1">
      <alignment horizontal="left" vertical="top"/>
    </xf>
    <xf numFmtId="165" fontId="23" fillId="0" borderId="0" xfId="0" applyNumberFormat="1" applyFont="1" applyFill="1" applyBorder="1" applyAlignment="1">
      <alignment horizontal="left" vertical="top"/>
    </xf>
    <xf numFmtId="0" fontId="43" fillId="0" borderId="37" xfId="0" applyFont="1" applyBorder="1" applyAlignment="1">
      <alignment horizontal="left" vertical="top"/>
    </xf>
    <xf numFmtId="11" fontId="17" fillId="0" borderId="0" xfId="0" applyNumberFormat="1" applyFont="1" applyBorder="1" applyAlignment="1">
      <alignment horizontal="left" vertical="top"/>
    </xf>
    <xf numFmtId="0" fontId="20" fillId="0" borderId="58" xfId="0" applyFont="1" applyBorder="1" applyAlignment="1">
      <alignment horizontal="left" vertical="top"/>
    </xf>
    <xf numFmtId="0" fontId="20" fillId="34" borderId="58" xfId="0" quotePrefix="1" applyFont="1" applyFill="1" applyBorder="1" applyAlignment="1">
      <alignment horizontal="left" vertical="top"/>
    </xf>
    <xf numFmtId="0" fontId="20" fillId="34" borderId="35" xfId="0" quotePrefix="1" applyFont="1" applyFill="1" applyBorder="1" applyAlignment="1">
      <alignment horizontal="left" vertical="top" wrapText="1"/>
    </xf>
    <xf numFmtId="0" fontId="20" fillId="34" borderId="36" xfId="0" quotePrefix="1" applyFont="1" applyFill="1" applyBorder="1" applyAlignment="1">
      <alignment horizontal="left" vertical="top"/>
    </xf>
    <xf numFmtId="0" fontId="20" fillId="34" borderId="35" xfId="0" quotePrefix="1" applyFont="1" applyFill="1" applyBorder="1" applyAlignment="1">
      <alignment horizontal="left" vertical="top"/>
    </xf>
    <xf numFmtId="0" fontId="20" fillId="34" borderId="36" xfId="0" quotePrefix="1" applyFont="1" applyFill="1" applyBorder="1" applyAlignment="1">
      <alignment horizontal="left" vertical="top" wrapText="1"/>
    </xf>
    <xf numFmtId="0" fontId="31" fillId="5" borderId="72" xfId="9" applyFont="1" applyBorder="1" applyAlignment="1">
      <alignment horizontal="left" vertical="top"/>
    </xf>
    <xf numFmtId="165" fontId="43" fillId="0" borderId="0" xfId="0" applyNumberFormat="1" applyFont="1" applyBorder="1" applyAlignment="1">
      <alignment horizontal="left" vertical="top"/>
    </xf>
    <xf numFmtId="0" fontId="44" fillId="33" borderId="71" xfId="9" applyFont="1" applyFill="1" applyBorder="1" applyAlignment="1">
      <alignment horizontal="left" vertical="top"/>
    </xf>
    <xf numFmtId="165" fontId="44" fillId="33" borderId="51" xfId="0" applyNumberFormat="1" applyFont="1" applyFill="1" applyBorder="1" applyAlignment="1">
      <alignment horizontal="left" vertical="top"/>
    </xf>
    <xf numFmtId="165" fontId="44" fillId="33" borderId="12" xfId="0" applyNumberFormat="1" applyFont="1" applyFill="1" applyBorder="1" applyAlignment="1">
      <alignment horizontal="left" vertical="top"/>
    </xf>
    <xf numFmtId="1" fontId="44" fillId="33" borderId="12" xfId="0" applyNumberFormat="1" applyFont="1" applyFill="1" applyBorder="1" applyAlignment="1">
      <alignment horizontal="left" vertical="top"/>
    </xf>
    <xf numFmtId="0" fontId="44" fillId="33" borderId="74" xfId="9" applyFont="1" applyFill="1" applyBorder="1" applyAlignment="1">
      <alignment horizontal="left" vertical="top"/>
    </xf>
    <xf numFmtId="0" fontId="44" fillId="33" borderId="75" xfId="9" applyFont="1" applyFill="1" applyBorder="1" applyAlignment="1">
      <alignment horizontal="left" vertical="top"/>
    </xf>
    <xf numFmtId="165" fontId="44" fillId="33" borderId="48" xfId="0" applyNumberFormat="1" applyFont="1" applyFill="1" applyBorder="1" applyAlignment="1">
      <alignment horizontal="left" vertical="top"/>
    </xf>
    <xf numFmtId="165" fontId="44" fillId="33" borderId="15" xfId="0" applyNumberFormat="1" applyFont="1" applyFill="1" applyBorder="1" applyAlignment="1">
      <alignment horizontal="left" vertical="top"/>
    </xf>
    <xf numFmtId="0" fontId="44" fillId="33" borderId="60" xfId="9" quotePrefix="1" applyFont="1" applyFill="1" applyBorder="1" applyAlignment="1">
      <alignment horizontal="left" vertical="top"/>
    </xf>
    <xf numFmtId="167" fontId="23" fillId="0" borderId="0" xfId="0" applyNumberFormat="1" applyFont="1" applyFill="1" applyBorder="1" applyAlignment="1">
      <alignment horizontal="left" vertical="top"/>
    </xf>
    <xf numFmtId="165" fontId="18" fillId="0" borderId="0" xfId="0" applyNumberFormat="1" applyFont="1"/>
    <xf numFmtId="1" fontId="23" fillId="0" borderId="0" xfId="0" applyNumberFormat="1" applyFont="1" applyBorder="1" applyAlignment="1">
      <alignment horizontal="left" vertical="top"/>
    </xf>
    <xf numFmtId="0" fontId="22" fillId="0" borderId="16" xfId="0" applyNumberFormat="1" applyFont="1" applyBorder="1" applyAlignment="1">
      <alignment vertical="top" wrapText="1"/>
    </xf>
    <xf numFmtId="165" fontId="44" fillId="33" borderId="71" xfId="0" applyNumberFormat="1" applyFont="1" applyFill="1" applyBorder="1" applyAlignment="1">
      <alignment horizontal="left" vertical="top"/>
    </xf>
    <xf numFmtId="165" fontId="44" fillId="33" borderId="20" xfId="0" applyNumberFormat="1" applyFont="1" applyFill="1" applyBorder="1" applyAlignment="1">
      <alignment horizontal="left" vertical="top"/>
    </xf>
    <xf numFmtId="0" fontId="44" fillId="33" borderId="33" xfId="9" applyFont="1" applyFill="1" applyBorder="1" applyAlignment="1">
      <alignment horizontal="left" vertical="top"/>
    </xf>
    <xf numFmtId="0" fontId="44" fillId="33" borderId="39" xfId="9" applyFont="1" applyFill="1" applyBorder="1" applyAlignment="1">
      <alignment horizontal="left" vertical="top"/>
    </xf>
    <xf numFmtId="165" fontId="43" fillId="33" borderId="0" xfId="0" applyNumberFormat="1" applyFont="1" applyFill="1" applyBorder="1" applyAlignment="1">
      <alignment horizontal="left" vertical="top"/>
    </xf>
    <xf numFmtId="0" fontId="44" fillId="33" borderId="27" xfId="9" applyFont="1" applyFill="1" applyBorder="1" applyAlignment="1">
      <alignment horizontal="left" vertical="top"/>
    </xf>
    <xf numFmtId="165" fontId="43" fillId="33" borderId="13" xfId="0" applyNumberFormat="1" applyFont="1" applyFill="1" applyBorder="1" applyAlignment="1">
      <alignment horizontal="left" vertical="top"/>
    </xf>
    <xf numFmtId="0" fontId="44" fillId="33" borderId="59" xfId="9" quotePrefix="1" applyFont="1" applyFill="1" applyBorder="1" applyAlignment="1">
      <alignment horizontal="left" vertical="top"/>
    </xf>
    <xf numFmtId="0" fontId="44" fillId="33" borderId="56" xfId="9" quotePrefix="1" applyFont="1" applyFill="1" applyBorder="1" applyAlignment="1">
      <alignment horizontal="left" vertical="top"/>
    </xf>
    <xf numFmtId="0" fontId="44" fillId="33" borderId="54" xfId="9" quotePrefix="1" applyFont="1" applyFill="1" applyBorder="1" applyAlignment="1">
      <alignment horizontal="left" vertical="top"/>
    </xf>
    <xf numFmtId="0" fontId="44" fillId="33" borderId="53" xfId="9" quotePrefix="1" applyFont="1" applyFill="1" applyBorder="1" applyAlignment="1">
      <alignment horizontal="left" vertical="top"/>
    </xf>
    <xf numFmtId="0" fontId="44" fillId="33" borderId="14" xfId="0" quotePrefix="1" applyFont="1" applyFill="1" applyBorder="1" applyAlignment="1">
      <alignment horizontal="left" vertical="top"/>
    </xf>
    <xf numFmtId="165" fontId="43" fillId="33" borderId="40" xfId="0" applyNumberFormat="1" applyFont="1" applyFill="1" applyBorder="1" applyAlignment="1">
      <alignment horizontal="left" vertical="top"/>
    </xf>
    <xf numFmtId="0" fontId="56" fillId="33" borderId="73" xfId="0" applyFont="1" applyFill="1" applyBorder="1" applyAlignment="1">
      <alignment horizontal="left" vertical="top"/>
    </xf>
    <xf numFmtId="0" fontId="17" fillId="33" borderId="12" xfId="0" applyFont="1" applyFill="1" applyBorder="1" applyAlignment="1">
      <alignment horizontal="left" vertical="top"/>
    </xf>
    <xf numFmtId="0" fontId="17" fillId="33" borderId="11" xfId="0" applyFont="1" applyFill="1" applyBorder="1" applyAlignment="1">
      <alignment horizontal="left" vertical="top"/>
    </xf>
    <xf numFmtId="0" fontId="17" fillId="33" borderId="15" xfId="0" applyFont="1" applyFill="1" applyBorder="1" applyAlignment="1">
      <alignment horizontal="left" vertical="top"/>
    </xf>
    <xf numFmtId="0" fontId="17" fillId="33" borderId="14" xfId="0" applyFont="1" applyFill="1" applyBorder="1" applyAlignment="1">
      <alignment horizontal="left" vertical="top"/>
    </xf>
    <xf numFmtId="0" fontId="17" fillId="33" borderId="11" xfId="0" quotePrefix="1" applyFont="1" applyFill="1" applyBorder="1" applyAlignment="1">
      <alignment horizontal="left" vertical="top" wrapText="1"/>
    </xf>
    <xf numFmtId="0" fontId="17" fillId="33" borderId="41" xfId="0" quotePrefix="1" applyFont="1" applyFill="1" applyBorder="1" applyAlignment="1">
      <alignment horizontal="left" vertical="top"/>
    </xf>
    <xf numFmtId="0" fontId="17" fillId="0" borderId="20" xfId="0" applyFont="1" applyBorder="1" applyAlignment="1">
      <alignment vertical="top"/>
    </xf>
    <xf numFmtId="0" fontId="17" fillId="0" borderId="12" xfId="0" applyFont="1" applyBorder="1" applyAlignment="1">
      <alignment vertical="top"/>
    </xf>
    <xf numFmtId="0" fontId="17" fillId="0" borderId="15" xfId="0" applyFont="1" applyBorder="1" applyAlignment="1">
      <alignment vertical="top"/>
    </xf>
    <xf numFmtId="0" fontId="36" fillId="0" borderId="10" xfId="0" applyFont="1" applyBorder="1" applyAlignment="1">
      <alignment horizontal="left" vertical="center" wrapText="1" readingOrder="1"/>
    </xf>
    <xf numFmtId="0" fontId="59" fillId="0" borderId="0" xfId="0" applyFont="1" applyBorder="1" applyAlignment="1">
      <alignment horizontal="left" vertical="top"/>
    </xf>
    <xf numFmtId="2" fontId="59" fillId="0" borderId="0" xfId="0" applyNumberFormat="1" applyFont="1" applyBorder="1" applyAlignment="1">
      <alignment horizontal="left" vertical="top"/>
    </xf>
    <xf numFmtId="1" fontId="59" fillId="0" borderId="10" xfId="0" applyNumberFormat="1" applyFont="1" applyFill="1" applyBorder="1" applyAlignment="1">
      <alignment horizontal="left" vertical="top"/>
    </xf>
    <xf numFmtId="0" fontId="59" fillId="0" borderId="11" xfId="0" applyFont="1" applyFill="1" applyBorder="1" applyAlignment="1">
      <alignment horizontal="left" vertical="top" wrapText="1"/>
    </xf>
    <xf numFmtId="0" fontId="59" fillId="0" borderId="38" xfId="0" applyFont="1" applyBorder="1" applyAlignment="1">
      <alignment horizontal="left" vertical="top"/>
    </xf>
    <xf numFmtId="165" fontId="59" fillId="0" borderId="38" xfId="0" applyNumberFormat="1" applyFont="1" applyBorder="1" applyAlignment="1">
      <alignment horizontal="left" vertical="top"/>
    </xf>
    <xf numFmtId="165" fontId="59" fillId="0" borderId="0" xfId="0" applyNumberFormat="1" applyFont="1" applyBorder="1" applyAlignment="1">
      <alignment horizontal="left" vertical="top"/>
    </xf>
    <xf numFmtId="0" fontId="59" fillId="0" borderId="11" xfId="0" applyFont="1" applyBorder="1" applyAlignment="1">
      <alignment horizontal="left" vertical="top"/>
    </xf>
    <xf numFmtId="164" fontId="23" fillId="33" borderId="0" xfId="0" quotePrefix="1" applyNumberFormat="1" applyFont="1" applyFill="1" applyBorder="1" applyAlignment="1">
      <alignment horizontal="left" vertical="top"/>
    </xf>
    <xf numFmtId="2" fontId="20" fillId="33" borderId="11" xfId="0" quotePrefix="1" applyNumberFormat="1" applyFont="1" applyFill="1" applyBorder="1" applyAlignment="1">
      <alignment horizontal="left" vertical="top"/>
    </xf>
    <xf numFmtId="2" fontId="17" fillId="0" borderId="14" xfId="0" applyNumberFormat="1" applyFont="1" applyFill="1" applyBorder="1" applyAlignment="1">
      <alignment horizontal="left" vertical="top"/>
    </xf>
    <xf numFmtId="165" fontId="17" fillId="0" borderId="40" xfId="0" applyNumberFormat="1" applyFont="1" applyBorder="1" applyAlignment="1">
      <alignment horizontal="left" vertical="top"/>
    </xf>
    <xf numFmtId="1" fontId="44" fillId="33" borderId="51" xfId="0" applyNumberFormat="1" applyFont="1" applyFill="1" applyBorder="1" applyAlignment="1">
      <alignment horizontal="left" vertical="top"/>
    </xf>
    <xf numFmtId="1" fontId="44" fillId="33" borderId="48" xfId="0" applyNumberFormat="1" applyFont="1" applyFill="1" applyBorder="1" applyAlignment="1">
      <alignment horizontal="left" vertical="top"/>
    </xf>
    <xf numFmtId="165" fontId="20" fillId="33" borderId="14" xfId="0" quotePrefix="1" applyNumberFormat="1" applyFont="1" applyFill="1" applyBorder="1" applyAlignment="1">
      <alignment horizontal="left" vertical="top"/>
    </xf>
    <xf numFmtId="2" fontId="20" fillId="33" borderId="14" xfId="0" quotePrefix="1" applyNumberFormat="1" applyFont="1" applyFill="1" applyBorder="1" applyAlignment="1">
      <alignment horizontal="left" vertical="top"/>
    </xf>
    <xf numFmtId="164" fontId="20" fillId="33" borderId="14" xfId="0" quotePrefix="1" applyNumberFormat="1" applyFont="1" applyFill="1" applyBorder="1" applyAlignment="1">
      <alignment horizontal="left" vertical="top"/>
    </xf>
    <xf numFmtId="165" fontId="17" fillId="0" borderId="17" xfId="0" applyNumberFormat="1" applyFont="1" applyFill="1" applyBorder="1" applyAlignment="1">
      <alignment horizontal="left" vertical="top"/>
    </xf>
    <xf numFmtId="165" fontId="17" fillId="0" borderId="11" xfId="0" applyNumberFormat="1" applyFont="1" applyFill="1" applyBorder="1" applyAlignment="1">
      <alignment horizontal="left" vertical="top"/>
    </xf>
    <xf numFmtId="1" fontId="17" fillId="0" borderId="11" xfId="0" applyNumberFormat="1" applyFont="1" applyBorder="1" applyAlignment="1">
      <alignment horizontal="left" vertical="top"/>
    </xf>
    <xf numFmtId="164" fontId="20" fillId="33" borderId="13" xfId="0" quotePrefix="1" applyNumberFormat="1" applyFont="1" applyFill="1" applyBorder="1" applyAlignment="1">
      <alignment horizontal="left" vertical="top"/>
    </xf>
    <xf numFmtId="2" fontId="20" fillId="33" borderId="13" xfId="0" quotePrefix="1" applyNumberFormat="1" applyFont="1" applyFill="1" applyBorder="1" applyAlignment="1">
      <alignment horizontal="left" vertical="top"/>
    </xf>
    <xf numFmtId="165" fontId="23" fillId="33" borderId="11" xfId="0" applyNumberFormat="1" applyFont="1" applyFill="1" applyBorder="1" applyAlignment="1">
      <alignment horizontal="left" vertical="top"/>
    </xf>
    <xf numFmtId="165" fontId="17" fillId="0" borderId="11" xfId="0" applyNumberFormat="1" applyFont="1" applyBorder="1" applyAlignment="1">
      <alignment horizontal="left" vertical="top" wrapText="1"/>
    </xf>
    <xf numFmtId="165" fontId="20" fillId="33" borderId="11" xfId="0" quotePrefix="1" applyNumberFormat="1" applyFont="1" applyFill="1" applyBorder="1" applyAlignment="1">
      <alignment horizontal="left" vertical="top"/>
    </xf>
    <xf numFmtId="164" fontId="17" fillId="0" borderId="11" xfId="0" applyNumberFormat="1" applyFont="1" applyFill="1" applyBorder="1" applyAlignment="1">
      <alignment horizontal="left" vertical="top"/>
    </xf>
    <xf numFmtId="164" fontId="17" fillId="0" borderId="14" xfId="0" applyNumberFormat="1" applyFont="1" applyFill="1" applyBorder="1" applyAlignment="1">
      <alignment horizontal="left" vertical="top"/>
    </xf>
    <xf numFmtId="164" fontId="17" fillId="0" borderId="13" xfId="0" applyNumberFormat="1" applyFont="1" applyFill="1" applyBorder="1" applyAlignment="1">
      <alignment horizontal="left" vertical="top" wrapText="1"/>
    </xf>
    <xf numFmtId="164" fontId="23" fillId="33" borderId="11" xfId="0" quotePrefix="1" applyNumberFormat="1" applyFont="1" applyFill="1" applyBorder="1" applyAlignment="1">
      <alignment horizontal="left" vertical="top"/>
    </xf>
    <xf numFmtId="2" fontId="32" fillId="0" borderId="14" xfId="0" applyNumberFormat="1" applyFont="1" applyBorder="1" applyAlignment="1">
      <alignment horizontal="left" vertical="top"/>
    </xf>
    <xf numFmtId="0" fontId="37" fillId="0" borderId="52" xfId="0" applyFont="1" applyBorder="1" applyAlignment="1">
      <alignment vertical="center" readingOrder="1"/>
    </xf>
    <xf numFmtId="0" fontId="21" fillId="0" borderId="19" xfId="0" applyFont="1" applyBorder="1" applyAlignment="1">
      <alignment horizontal="left" vertical="top"/>
    </xf>
    <xf numFmtId="0" fontId="21" fillId="0" borderId="18" xfId="0" applyFont="1" applyBorder="1"/>
    <xf numFmtId="2" fontId="21" fillId="0" borderId="0" xfId="0" applyNumberFormat="1" applyFont="1" applyFill="1" applyBorder="1" applyAlignment="1">
      <alignment horizontal="left" vertical="top"/>
    </xf>
    <xf numFmtId="49" fontId="17" fillId="0" borderId="0" xfId="0" quotePrefix="1" applyNumberFormat="1" applyFont="1" applyFill="1" applyBorder="1" applyAlignment="1">
      <alignment horizontal="left" vertical="top" wrapText="1"/>
    </xf>
    <xf numFmtId="0" fontId="17" fillId="0" borderId="12" xfId="0" applyFont="1" applyFill="1" applyBorder="1" applyAlignment="1">
      <alignment horizontal="left" vertical="top" wrapText="1"/>
    </xf>
    <xf numFmtId="165" fontId="43" fillId="0" borderId="13" xfId="0" applyNumberFormat="1" applyFont="1" applyBorder="1" applyAlignment="1">
      <alignment horizontal="left" vertical="top"/>
    </xf>
    <xf numFmtId="2" fontId="17" fillId="0" borderId="37" xfId="0" applyNumberFormat="1" applyFont="1" applyBorder="1" applyAlignment="1">
      <alignment horizontal="left" vertical="top" wrapText="1"/>
    </xf>
    <xf numFmtId="0" fontId="17" fillId="0" borderId="0" xfId="0" applyFont="1" applyBorder="1" applyAlignment="1">
      <alignment wrapText="1"/>
    </xf>
    <xf numFmtId="0" fontId="43" fillId="0" borderId="0" xfId="0" applyFont="1" applyBorder="1" applyAlignment="1">
      <alignment wrapText="1"/>
    </xf>
    <xf numFmtId="0" fontId="23" fillId="33" borderId="12" xfId="0" quotePrefix="1" applyFont="1" applyFill="1" applyBorder="1" applyAlignment="1">
      <alignment horizontal="left" vertical="top"/>
    </xf>
    <xf numFmtId="0" fontId="21" fillId="0" borderId="13" xfId="0" applyFont="1" applyBorder="1" applyAlignment="1">
      <alignment horizontal="left" vertical="top" wrapText="1"/>
    </xf>
    <xf numFmtId="0" fontId="17" fillId="5" borderId="28" xfId="9" applyFont="1" applyBorder="1" applyAlignment="1">
      <alignment horizontal="left" vertical="top"/>
    </xf>
    <xf numFmtId="0" fontId="21" fillId="33" borderId="15" xfId="0" quotePrefix="1" applyFont="1" applyFill="1" applyBorder="1" applyAlignment="1">
      <alignment horizontal="left" vertical="top"/>
    </xf>
    <xf numFmtId="0" fontId="21" fillId="33" borderId="14" xfId="0" quotePrefix="1" applyFont="1" applyFill="1" applyBorder="1" applyAlignment="1">
      <alignment horizontal="left" vertical="top"/>
    </xf>
    <xf numFmtId="0" fontId="31" fillId="5" borderId="4" xfId="9" quotePrefix="1" applyAlignment="1">
      <alignment horizontal="left" vertical="top"/>
    </xf>
    <xf numFmtId="0" fontId="0" fillId="0" borderId="12" xfId="0" applyBorder="1"/>
    <xf numFmtId="0" fontId="25" fillId="33" borderId="48" xfId="9" quotePrefix="1" applyFont="1" applyFill="1" applyBorder="1" applyAlignment="1">
      <alignment horizontal="left" vertical="top"/>
    </xf>
    <xf numFmtId="0" fontId="17" fillId="0" borderId="63" xfId="0" applyFont="1" applyBorder="1" applyAlignment="1">
      <alignment horizontal="left" vertical="top"/>
    </xf>
    <xf numFmtId="0" fontId="25" fillId="33" borderId="51" xfId="9" quotePrefix="1" applyFont="1" applyFill="1" applyBorder="1" applyAlignment="1">
      <alignment horizontal="left" vertical="top"/>
    </xf>
    <xf numFmtId="0" fontId="21" fillId="33" borderId="12" xfId="0" quotePrefix="1" applyFont="1" applyFill="1" applyBorder="1" applyAlignment="1">
      <alignment horizontal="left" vertical="top"/>
    </xf>
    <xf numFmtId="0" fontId="21" fillId="33" borderId="11" xfId="0" quotePrefix="1" applyFont="1" applyFill="1" applyBorder="1" applyAlignment="1">
      <alignment horizontal="left" vertical="top"/>
    </xf>
    <xf numFmtId="0" fontId="20" fillId="0" borderId="11" xfId="0" quotePrefix="1" applyFont="1" applyFill="1" applyBorder="1" applyAlignment="1">
      <alignment horizontal="left" vertical="top"/>
    </xf>
    <xf numFmtId="0" fontId="31" fillId="5" borderId="76" xfId="9" applyFont="1" applyBorder="1" applyAlignment="1">
      <alignment horizontal="left" vertical="top"/>
    </xf>
    <xf numFmtId="0" fontId="21" fillId="33" borderId="0" xfId="0" quotePrefix="1" applyFont="1" applyFill="1" applyBorder="1" applyAlignment="1">
      <alignment horizontal="left" vertical="top"/>
    </xf>
    <xf numFmtId="0" fontId="31" fillId="5" borderId="21" xfId="9" quotePrefix="1" applyBorder="1" applyAlignment="1">
      <alignment horizontal="left" vertical="top"/>
    </xf>
    <xf numFmtId="0" fontId="21" fillId="33" borderId="31" xfId="9" quotePrefix="1" applyFont="1" applyFill="1" applyBorder="1" applyAlignment="1">
      <alignment horizontal="left" vertical="top"/>
    </xf>
    <xf numFmtId="0" fontId="21" fillId="33" borderId="24" xfId="9" quotePrefix="1" applyFont="1" applyFill="1" applyBorder="1" applyAlignment="1">
      <alignment horizontal="left" vertical="top"/>
    </xf>
    <xf numFmtId="0" fontId="21" fillId="33" borderId="13" xfId="0" quotePrefix="1" applyFont="1" applyFill="1" applyBorder="1" applyAlignment="1">
      <alignment horizontal="left" vertical="top"/>
    </xf>
    <xf numFmtId="0" fontId="31" fillId="5" borderId="28" xfId="9" quotePrefix="1" applyBorder="1" applyAlignment="1">
      <alignment horizontal="left" vertical="top"/>
    </xf>
    <xf numFmtId="0" fontId="21" fillId="33" borderId="32" xfId="9" quotePrefix="1" applyFont="1" applyFill="1" applyBorder="1" applyAlignment="1">
      <alignment horizontal="left" vertical="top"/>
    </xf>
    <xf numFmtId="0" fontId="21" fillId="33" borderId="27" xfId="9" quotePrefix="1" applyFont="1" applyFill="1" applyBorder="1" applyAlignment="1">
      <alignment horizontal="left" vertical="top"/>
    </xf>
    <xf numFmtId="0" fontId="31" fillId="5" borderId="4" xfId="9" applyBorder="1" applyAlignment="1">
      <alignment horizontal="left" vertical="top"/>
    </xf>
    <xf numFmtId="0" fontId="17" fillId="0" borderId="77" xfId="0" applyFont="1" applyBorder="1" applyAlignment="1">
      <alignment horizontal="left" vertical="top" wrapText="1"/>
    </xf>
    <xf numFmtId="0" fontId="17" fillId="0" borderId="78" xfId="0" applyFont="1" applyBorder="1" applyAlignment="1">
      <alignment horizontal="left" vertical="top" wrapText="1"/>
    </xf>
    <xf numFmtId="0" fontId="17" fillId="0" borderId="78" xfId="0" applyFont="1" applyBorder="1" applyAlignment="1">
      <alignment horizontal="left" vertical="top"/>
    </xf>
    <xf numFmtId="0" fontId="31" fillId="5" borderId="79" xfId="9" applyFont="1" applyBorder="1" applyAlignment="1">
      <alignment horizontal="left" vertical="top"/>
    </xf>
    <xf numFmtId="0" fontId="17" fillId="0" borderId="80" xfId="0" applyFont="1" applyBorder="1" applyAlignment="1">
      <alignment horizontal="left" vertical="top"/>
    </xf>
    <xf numFmtId="0" fontId="31" fillId="33" borderId="30" xfId="9" quotePrefix="1" applyFont="1" applyFill="1" applyBorder="1" applyAlignment="1">
      <alignment horizontal="left" vertical="top"/>
    </xf>
    <xf numFmtId="0" fontId="44" fillId="33" borderId="71" xfId="9" quotePrefix="1" applyFont="1" applyFill="1" applyBorder="1" applyAlignment="1">
      <alignment horizontal="left" vertical="top"/>
    </xf>
    <xf numFmtId="0" fontId="44" fillId="33" borderId="70" xfId="9" quotePrefix="1" applyFont="1" applyFill="1" applyBorder="1" applyAlignment="1">
      <alignment horizontal="left" vertical="top"/>
    </xf>
    <xf numFmtId="0" fontId="44" fillId="33" borderId="39" xfId="9" quotePrefix="1" applyFont="1" applyFill="1" applyBorder="1" applyAlignment="1">
      <alignment horizontal="left" vertical="top"/>
    </xf>
    <xf numFmtId="0" fontId="44" fillId="33" borderId="74" xfId="9" quotePrefix="1" applyFont="1" applyFill="1" applyBorder="1" applyAlignment="1">
      <alignment horizontal="left" vertical="top"/>
    </xf>
    <xf numFmtId="0" fontId="44" fillId="33" borderId="33" xfId="9" quotePrefix="1" applyFont="1" applyFill="1" applyBorder="1" applyAlignment="1">
      <alignment horizontal="left" vertical="top"/>
    </xf>
    <xf numFmtId="0" fontId="44" fillId="33" borderId="75" xfId="9" quotePrefix="1" applyFont="1" applyFill="1" applyBorder="1" applyAlignment="1">
      <alignment horizontal="left" vertical="top"/>
    </xf>
    <xf numFmtId="0" fontId="44" fillId="33" borderId="27" xfId="9" quotePrefix="1" applyFont="1" applyFill="1" applyBorder="1" applyAlignment="1">
      <alignment horizontal="left" vertical="top"/>
    </xf>
    <xf numFmtId="0" fontId="20" fillId="0" borderId="0" xfId="0" applyFont="1" applyFill="1" applyBorder="1" applyAlignment="1">
      <alignment vertical="top"/>
    </xf>
    <xf numFmtId="0" fontId="31" fillId="0" borderId="0" xfId="9" applyFont="1" applyFill="1" applyBorder="1" applyAlignment="1">
      <alignment horizontal="left" vertical="top"/>
    </xf>
    <xf numFmtId="164" fontId="20" fillId="33" borderId="11" xfId="0" applyNumberFormat="1" applyFont="1" applyFill="1" applyBorder="1" applyAlignment="1">
      <alignment horizontal="left" vertical="top" wrapText="1"/>
    </xf>
    <xf numFmtId="0" fontId="20" fillId="33" borderId="11" xfId="0" applyFont="1" applyFill="1" applyBorder="1" applyAlignment="1">
      <alignment horizontal="left" vertical="top" wrapText="1"/>
    </xf>
    <xf numFmtId="0" fontId="31" fillId="33" borderId="25" xfId="9" quotePrefix="1" applyFont="1" applyFill="1" applyBorder="1" applyAlignment="1">
      <alignment horizontal="left" vertical="top"/>
    </xf>
    <xf numFmtId="0" fontId="31" fillId="33" borderId="24" xfId="9" quotePrefix="1" applyFont="1" applyFill="1" applyBorder="1" applyAlignment="1">
      <alignment horizontal="left" vertical="top"/>
    </xf>
    <xf numFmtId="0" fontId="25" fillId="0" borderId="12" xfId="0" applyFont="1" applyBorder="1" applyAlignment="1">
      <alignment horizontal="left" vertical="top"/>
    </xf>
    <xf numFmtId="0" fontId="31" fillId="33" borderId="4" xfId="9" applyFont="1" applyFill="1" applyBorder="1" applyAlignment="1">
      <alignment horizontal="left" vertical="top"/>
    </xf>
    <xf numFmtId="0" fontId="17" fillId="33" borderId="44" xfId="0" applyFont="1" applyFill="1" applyBorder="1" applyAlignment="1">
      <alignment horizontal="left" vertical="top"/>
    </xf>
    <xf numFmtId="0" fontId="31" fillId="33" borderId="28" xfId="9" applyFont="1" applyFill="1" applyBorder="1" applyAlignment="1">
      <alignment horizontal="left" vertical="top"/>
    </xf>
    <xf numFmtId="0" fontId="17" fillId="0" borderId="37" xfId="0" applyFont="1" applyFill="1" applyBorder="1" applyAlignment="1">
      <alignment horizontal="left" vertical="top"/>
    </xf>
    <xf numFmtId="2" fontId="43" fillId="0" borderId="17" xfId="0" applyNumberFormat="1" applyFont="1" applyBorder="1" applyAlignment="1">
      <alignment horizontal="left" vertical="top"/>
    </xf>
    <xf numFmtId="2" fontId="43" fillId="0" borderId="0" xfId="0" applyNumberFormat="1" applyFont="1" applyBorder="1" applyAlignment="1">
      <alignment horizontal="left" vertical="top" wrapText="1"/>
    </xf>
    <xf numFmtId="1" fontId="17" fillId="0" borderId="11" xfId="0" applyNumberFormat="1" applyFont="1" applyFill="1" applyBorder="1" applyAlignment="1">
      <alignment horizontal="left" vertical="top"/>
    </xf>
    <xf numFmtId="1" fontId="43" fillId="0" borderId="0" xfId="0" applyNumberFormat="1" applyFont="1" applyFill="1" applyBorder="1" applyAlignment="1">
      <alignment horizontal="left" vertical="top"/>
    </xf>
    <xf numFmtId="0" fontId="31" fillId="33" borderId="27" xfId="9" quotePrefix="1" applyFont="1" applyFill="1" applyBorder="1" applyAlignment="1">
      <alignment horizontal="left" vertical="top"/>
    </xf>
    <xf numFmtId="0" fontId="31" fillId="33" borderId="24" xfId="9" applyFont="1" applyFill="1" applyBorder="1" applyAlignment="1">
      <alignment horizontal="left" vertical="top"/>
    </xf>
    <xf numFmtId="0" fontId="31" fillId="33" borderId="27" xfId="9" applyFont="1" applyFill="1" applyBorder="1" applyAlignment="1">
      <alignment horizontal="left" vertical="top"/>
    </xf>
    <xf numFmtId="164" fontId="43" fillId="33" borderId="14" xfId="0" quotePrefix="1" applyNumberFormat="1" applyFont="1" applyFill="1" applyBorder="1" applyAlignment="1">
      <alignment horizontal="left" vertical="top"/>
    </xf>
    <xf numFmtId="164" fontId="43" fillId="0" borderId="11" xfId="0" applyNumberFormat="1" applyFont="1" applyFill="1" applyBorder="1" applyAlignment="1">
      <alignment horizontal="left" vertical="top"/>
    </xf>
    <xf numFmtId="165" fontId="44" fillId="33" borderId="51" xfId="0" quotePrefix="1" applyNumberFormat="1" applyFont="1" applyFill="1" applyBorder="1" applyAlignment="1">
      <alignment horizontal="left" vertical="top"/>
    </xf>
    <xf numFmtId="0" fontId="46" fillId="0" borderId="11" xfId="0" applyFont="1" applyFill="1" applyBorder="1" applyAlignment="1">
      <alignment horizontal="left" vertical="top"/>
    </xf>
    <xf numFmtId="0" fontId="17" fillId="0" borderId="35" xfId="0" applyFont="1" applyFill="1" applyBorder="1" applyAlignment="1">
      <alignment horizontal="left" vertical="top" wrapText="1"/>
    </xf>
    <xf numFmtId="0" fontId="17" fillId="5" borderId="4" xfId="9" applyFont="1" applyBorder="1" applyAlignment="1">
      <alignment horizontal="left" vertical="top"/>
    </xf>
    <xf numFmtId="2" fontId="17" fillId="33" borderId="13" xfId="0" applyNumberFormat="1" applyFont="1" applyFill="1" applyBorder="1" applyAlignment="1">
      <alignment horizontal="left" vertical="top"/>
    </xf>
    <xf numFmtId="164" fontId="17" fillId="33" borderId="14" xfId="0" applyNumberFormat="1" applyFont="1" applyFill="1" applyBorder="1" applyAlignment="1">
      <alignment horizontal="left" vertical="top"/>
    </xf>
    <xf numFmtId="0" fontId="17" fillId="33" borderId="27" xfId="9" quotePrefix="1" applyFont="1" applyFill="1" applyBorder="1" applyAlignment="1">
      <alignment horizontal="left" vertical="top"/>
    </xf>
    <xf numFmtId="164" fontId="43" fillId="0" borderId="14" xfId="0" quotePrefix="1" applyNumberFormat="1" applyFont="1" applyFill="1" applyBorder="1" applyAlignment="1">
      <alignment horizontal="left" vertical="top"/>
    </xf>
    <xf numFmtId="0" fontId="44" fillId="33" borderId="25" xfId="9" applyFont="1" applyFill="1" applyBorder="1" applyAlignment="1">
      <alignment horizontal="left" vertical="top"/>
    </xf>
    <xf numFmtId="164" fontId="17" fillId="33" borderId="44" xfId="0" applyNumberFormat="1" applyFont="1" applyFill="1" applyBorder="1" applyAlignment="1">
      <alignment horizontal="left" vertical="top"/>
    </xf>
    <xf numFmtId="164" fontId="17" fillId="33" borderId="11" xfId="0" applyNumberFormat="1" applyFont="1" applyFill="1" applyBorder="1" applyAlignment="1">
      <alignment horizontal="left" vertical="top"/>
    </xf>
    <xf numFmtId="14" fontId="31" fillId="5" borderId="4" xfId="9" applyNumberFormat="1" applyAlignment="1">
      <alignment horizontal="left" vertical="top" wrapText="1"/>
    </xf>
    <xf numFmtId="0" fontId="6" fillId="2" borderId="0" xfId="6" applyBorder="1" applyAlignment="1">
      <alignment horizontal="right" vertical="top"/>
    </xf>
    <xf numFmtId="0" fontId="6" fillId="2" borderId="0" xfId="6" applyBorder="1" applyAlignment="1">
      <alignment horizontal="left" vertical="top"/>
    </xf>
    <xf numFmtId="0" fontId="17" fillId="0" borderId="38" xfId="0" applyFont="1" applyFill="1" applyBorder="1" applyAlignment="1">
      <alignment horizontal="left" vertical="top" wrapText="1"/>
    </xf>
    <xf numFmtId="0" fontId="6" fillId="2" borderId="0" xfId="6" applyBorder="1" applyAlignment="1">
      <alignment horizontal="left" vertical="top" wrapText="1"/>
    </xf>
    <xf numFmtId="0" fontId="7" fillId="3" borderId="0" xfId="7" applyBorder="1" applyAlignment="1">
      <alignment horizontal="left" vertical="top"/>
    </xf>
    <xf numFmtId="0" fontId="7" fillId="3" borderId="0" xfId="7" applyBorder="1" applyAlignment="1">
      <alignment horizontal="right" vertical="top"/>
    </xf>
    <xf numFmtId="0" fontId="17" fillId="0" borderId="0" xfId="0" applyNumberFormat="1" applyFont="1" applyFill="1" applyBorder="1" applyAlignment="1">
      <alignment horizontal="left" vertical="top"/>
    </xf>
    <xf numFmtId="0" fontId="17" fillId="0" borderId="13" xfId="0" applyNumberFormat="1" applyFont="1" applyFill="1" applyBorder="1" applyAlignment="1">
      <alignment horizontal="left" vertical="top"/>
    </xf>
    <xf numFmtId="0" fontId="17" fillId="0" borderId="37" xfId="0" quotePrefix="1" applyFont="1" applyFill="1" applyBorder="1" applyAlignment="1">
      <alignment horizontal="left" vertical="top" wrapText="1"/>
    </xf>
    <xf numFmtId="1" fontId="17" fillId="0" borderId="0" xfId="0" applyNumberFormat="1" applyFont="1" applyFill="1" applyBorder="1" applyAlignment="1">
      <alignment horizontal="left" vertical="top" wrapText="1"/>
    </xf>
    <xf numFmtId="1" fontId="17" fillId="0" borderId="13" xfId="0" applyNumberFormat="1" applyFont="1" applyFill="1" applyBorder="1" applyAlignment="1">
      <alignment horizontal="left" vertical="top" wrapText="1"/>
    </xf>
    <xf numFmtId="0" fontId="17" fillId="0" borderId="17" xfId="0" applyFont="1" applyFill="1" applyBorder="1" applyAlignment="1">
      <alignment horizontal="left" vertical="top" wrapText="1"/>
    </xf>
    <xf numFmtId="0" fontId="20" fillId="0" borderId="81" xfId="0" applyFont="1" applyBorder="1" applyAlignment="1">
      <alignment horizontal="left" vertical="top"/>
    </xf>
    <xf numFmtId="0" fontId="20" fillId="0" borderId="82" xfId="0" applyFont="1" applyBorder="1" applyAlignment="1">
      <alignment horizontal="left" vertical="top"/>
    </xf>
    <xf numFmtId="0" fontId="17" fillId="0" borderId="14" xfId="0" applyFont="1" applyBorder="1" applyAlignment="1">
      <alignment vertical="top" wrapText="1"/>
    </xf>
    <xf numFmtId="165" fontId="23" fillId="33" borderId="14" xfId="0" applyNumberFormat="1" applyFont="1" applyFill="1" applyBorder="1" applyAlignment="1">
      <alignment horizontal="left" vertical="top"/>
    </xf>
    <xf numFmtId="0" fontId="23" fillId="33" borderId="83" xfId="9" quotePrefix="1" applyFont="1" applyFill="1" applyBorder="1" applyAlignment="1">
      <alignment horizontal="left" vertical="top"/>
    </xf>
    <xf numFmtId="0" fontId="44" fillId="5" borderId="27" xfId="9" applyFont="1" applyBorder="1" applyAlignment="1">
      <alignment horizontal="left" vertical="top" wrapText="1"/>
    </xf>
    <xf numFmtId="0" fontId="17" fillId="0" borderId="63" xfId="0" applyFont="1" applyBorder="1" applyAlignment="1">
      <alignment horizontal="center" vertical="top" wrapText="1"/>
    </xf>
    <xf numFmtId="0" fontId="17" fillId="0" borderId="51" xfId="0" applyFont="1" applyFill="1" applyBorder="1" applyAlignment="1">
      <alignment horizontal="center" vertical="top" wrapText="1"/>
    </xf>
    <xf numFmtId="0" fontId="17" fillId="0" borderId="51" xfId="0" applyFont="1" applyBorder="1" applyAlignment="1">
      <alignment horizontal="left" vertical="top"/>
    </xf>
    <xf numFmtId="0" fontId="17" fillId="0" borderId="48" xfId="0" applyFont="1" applyFill="1" applyBorder="1" applyAlignment="1">
      <alignment horizontal="center" vertical="top" wrapText="1"/>
    </xf>
    <xf numFmtId="0" fontId="17" fillId="0" borderId="48" xfId="0" applyFont="1" applyBorder="1" applyAlignment="1">
      <alignment horizontal="left" vertical="top"/>
    </xf>
    <xf numFmtId="0" fontId="17" fillId="0" borderId="51" xfId="0" applyFont="1" applyBorder="1" applyAlignment="1">
      <alignment horizontal="left" vertical="top" wrapText="1"/>
    </xf>
    <xf numFmtId="0" fontId="17" fillId="0" borderId="48" xfId="0" applyFont="1" applyBorder="1" applyAlignment="1">
      <alignment horizontal="left" vertical="top" wrapText="1"/>
    </xf>
    <xf numFmtId="0" fontId="17" fillId="0" borderId="37" xfId="0" applyFont="1" applyFill="1" applyBorder="1" applyAlignment="1">
      <alignment horizontal="left" vertical="top" wrapText="1"/>
    </xf>
    <xf numFmtId="0" fontId="17" fillId="0" borderId="44" xfId="0" applyFont="1" applyFill="1" applyBorder="1" applyAlignment="1">
      <alignment horizontal="left" vertical="top" wrapText="1"/>
    </xf>
    <xf numFmtId="0" fontId="31" fillId="5" borderId="28" xfId="9" applyBorder="1" applyAlignment="1">
      <alignment horizontal="left" vertical="top"/>
    </xf>
    <xf numFmtId="0" fontId="17" fillId="0" borderId="11" xfId="0" quotePrefix="1" applyFont="1" applyFill="1" applyBorder="1" applyAlignment="1">
      <alignment horizontal="left" vertical="top"/>
    </xf>
    <xf numFmtId="0" fontId="17" fillId="33" borderId="37" xfId="0" applyFont="1" applyFill="1" applyBorder="1" applyAlignment="1">
      <alignment horizontal="left" vertical="top"/>
    </xf>
    <xf numFmtId="0" fontId="60" fillId="0" borderId="10" xfId="0" applyFont="1" applyBorder="1" applyAlignment="1">
      <alignment horizontal="center" vertical="center" wrapText="1"/>
    </xf>
    <xf numFmtId="0" fontId="17" fillId="39" borderId="0" xfId="0" applyFont="1" applyFill="1" applyBorder="1" applyAlignment="1">
      <alignment horizontal="left" vertical="top"/>
    </xf>
    <xf numFmtId="2" fontId="17" fillId="39" borderId="11" xfId="0" applyNumberFormat="1" applyFont="1" applyFill="1" applyBorder="1" applyAlignment="1">
      <alignment horizontal="left" vertical="top"/>
    </xf>
    <xf numFmtId="2" fontId="43" fillId="0" borderId="0" xfId="0" applyNumberFormat="1" applyFont="1" applyFill="1" applyBorder="1" applyAlignment="1">
      <alignment horizontal="left" vertical="top"/>
    </xf>
    <xf numFmtId="0" fontId="17" fillId="39" borderId="36" xfId="0" applyFont="1" applyFill="1" applyBorder="1" applyAlignment="1">
      <alignment horizontal="left" vertical="top"/>
    </xf>
    <xf numFmtId="0" fontId="20" fillId="39" borderId="13" xfId="0" applyFont="1" applyFill="1" applyBorder="1" applyAlignment="1">
      <alignment horizontal="left" vertical="top" wrapText="1"/>
    </xf>
    <xf numFmtId="0" fontId="20" fillId="0" borderId="68" xfId="0" applyFont="1" applyFill="1" applyBorder="1" applyAlignment="1">
      <alignment horizontal="left" vertical="top"/>
    </xf>
    <xf numFmtId="0" fontId="31" fillId="5" borderId="84" xfId="9" applyFont="1" applyBorder="1"/>
    <xf numFmtId="2" fontId="17" fillId="39" borderId="17" xfId="0" applyNumberFormat="1" applyFont="1" applyFill="1" applyBorder="1" applyAlignment="1">
      <alignment horizontal="left" vertical="top"/>
    </xf>
    <xf numFmtId="1" fontId="20" fillId="0" borderId="0" xfId="0" applyNumberFormat="1" applyFont="1" applyFill="1" applyBorder="1" applyAlignment="1">
      <alignment horizontal="left" vertical="top" wrapText="1"/>
    </xf>
    <xf numFmtId="1" fontId="20" fillId="0" borderId="0" xfId="0" applyNumberFormat="1" applyFont="1" applyFill="1" applyBorder="1" applyAlignment="1">
      <alignment horizontal="left" wrapText="1"/>
    </xf>
    <xf numFmtId="1" fontId="17" fillId="39" borderId="0" xfId="0" applyNumberFormat="1" applyFont="1" applyFill="1" applyBorder="1" applyAlignment="1">
      <alignment horizontal="left" vertical="top" wrapText="1"/>
    </xf>
    <xf numFmtId="1" fontId="17" fillId="39" borderId="13" xfId="0" applyNumberFormat="1" applyFont="1" applyFill="1" applyBorder="1" applyAlignment="1">
      <alignment horizontal="left" vertical="top" wrapText="1"/>
    </xf>
    <xf numFmtId="0" fontId="17" fillId="39" borderId="78" xfId="0" applyFont="1" applyFill="1" applyBorder="1" applyAlignment="1">
      <alignment horizontal="left" vertical="top"/>
    </xf>
    <xf numFmtId="0" fontId="20" fillId="39" borderId="0" xfId="0" applyFont="1" applyFill="1" applyBorder="1" applyAlignment="1">
      <alignment horizontal="left" vertical="top" wrapText="1"/>
    </xf>
    <xf numFmtId="165" fontId="17" fillId="39" borderId="11" xfId="0" applyNumberFormat="1" applyFont="1" applyFill="1" applyBorder="1" applyAlignment="1">
      <alignment horizontal="left" vertical="top" wrapText="1"/>
    </xf>
    <xf numFmtId="165" fontId="17" fillId="39" borderId="14" xfId="0" applyNumberFormat="1" applyFont="1" applyFill="1" applyBorder="1" applyAlignment="1">
      <alignment horizontal="left" vertical="top" wrapText="1"/>
    </xf>
    <xf numFmtId="0" fontId="0" fillId="0" borderId="0" xfId="0" applyAlignment="1"/>
    <xf numFmtId="164" fontId="43" fillId="0" borderId="37" xfId="0" applyNumberFormat="1" applyFont="1" applyFill="1" applyBorder="1" applyAlignment="1">
      <alignment horizontal="left" vertical="top" wrapText="1"/>
    </xf>
    <xf numFmtId="0" fontId="0" fillId="0" borderId="0" xfId="0"/>
    <xf numFmtId="2" fontId="17" fillId="0" borderId="44" xfId="0" applyNumberFormat="1" applyFont="1" applyFill="1" applyBorder="1" applyAlignment="1">
      <alignment horizontal="left" vertical="top"/>
    </xf>
    <xf numFmtId="2" fontId="43" fillId="0" borderId="44" xfId="0" applyNumberFormat="1" applyFont="1" applyFill="1" applyBorder="1" applyAlignment="1">
      <alignment horizontal="left" vertical="top"/>
    </xf>
    <xf numFmtId="2" fontId="43" fillId="0" borderId="37" xfId="0" applyNumberFormat="1" applyFont="1" applyFill="1" applyBorder="1" applyAlignment="1">
      <alignment horizontal="left" vertical="top"/>
    </xf>
    <xf numFmtId="164" fontId="17" fillId="0" borderId="44" xfId="0" applyNumberFormat="1" applyFont="1" applyFill="1" applyBorder="1" applyAlignment="1">
      <alignment horizontal="left" vertical="top"/>
    </xf>
    <xf numFmtId="164" fontId="17" fillId="0" borderId="13" xfId="0" applyNumberFormat="1" applyFont="1" applyFill="1" applyBorder="1" applyAlignment="1">
      <alignment horizontal="left" vertical="top"/>
    </xf>
    <xf numFmtId="164" fontId="17" fillId="0" borderId="38" xfId="0" applyNumberFormat="1" applyFont="1" applyFill="1" applyBorder="1" applyAlignment="1">
      <alignment horizontal="left" vertical="top"/>
    </xf>
    <xf numFmtId="164" fontId="17" fillId="0" borderId="37" xfId="0" applyNumberFormat="1" applyFont="1" applyFill="1" applyBorder="1" applyAlignment="1">
      <alignment horizontal="left" vertical="top"/>
    </xf>
    <xf numFmtId="2" fontId="43" fillId="0" borderId="13" xfId="0" applyNumberFormat="1" applyFont="1" applyFill="1" applyBorder="1" applyAlignment="1">
      <alignment horizontal="left" vertical="top"/>
    </xf>
    <xf numFmtId="0" fontId="17" fillId="0" borderId="35" xfId="0" applyFont="1" applyFill="1" applyBorder="1" applyAlignment="1">
      <alignment horizontal="left" vertical="top"/>
    </xf>
    <xf numFmtId="0" fontId="20" fillId="0" borderId="13" xfId="0" applyFont="1" applyFill="1" applyBorder="1" applyAlignment="1">
      <alignment horizontal="left" vertical="top" wrapText="1"/>
    </xf>
    <xf numFmtId="2" fontId="43" fillId="0" borderId="14" xfId="0" applyNumberFormat="1" applyFont="1" applyBorder="1" applyAlignment="1">
      <alignment horizontal="left" vertical="top"/>
    </xf>
    <xf numFmtId="1" fontId="43" fillId="0" borderId="0" xfId="0" applyNumberFormat="1" applyFont="1" applyBorder="1" applyAlignment="1">
      <alignment horizontal="left" vertical="top"/>
    </xf>
    <xf numFmtId="1" fontId="43" fillId="0" borderId="13" xfId="0" applyNumberFormat="1" applyFont="1" applyBorder="1" applyAlignment="1">
      <alignment horizontal="left" vertical="top"/>
    </xf>
    <xf numFmtId="2" fontId="17" fillId="0" borderId="17" xfId="0" applyNumberFormat="1" applyFont="1" applyFill="1" applyBorder="1" applyAlignment="1">
      <alignment horizontal="left" vertical="top"/>
    </xf>
    <xf numFmtId="2" fontId="17" fillId="34" borderId="0" xfId="0" applyNumberFormat="1" applyFont="1" applyFill="1" applyBorder="1" applyAlignment="1">
      <alignment horizontal="left" vertical="top"/>
    </xf>
    <xf numFmtId="2" fontId="17" fillId="0" borderId="41" xfId="0" applyNumberFormat="1" applyFont="1" applyFill="1" applyBorder="1" applyAlignment="1">
      <alignment horizontal="left" vertical="top"/>
    </xf>
    <xf numFmtId="166" fontId="43" fillId="0" borderId="0" xfId="0" applyNumberFormat="1" applyFont="1" applyFill="1" applyBorder="1" applyAlignment="1">
      <alignment horizontal="left" vertical="top" wrapText="1"/>
    </xf>
    <xf numFmtId="0" fontId="17" fillId="0" borderId="38" xfId="0" applyFont="1" applyFill="1" applyBorder="1" applyAlignment="1">
      <alignment horizontal="left" vertical="top"/>
    </xf>
    <xf numFmtId="0" fontId="20" fillId="0" borderId="12" xfId="0" applyFont="1" applyFill="1" applyBorder="1" applyAlignment="1">
      <alignment horizontal="left" vertical="top" wrapText="1"/>
    </xf>
    <xf numFmtId="0" fontId="20" fillId="0" borderId="15" xfId="0" applyFont="1" applyFill="1" applyBorder="1" applyAlignment="1">
      <alignment horizontal="left" vertical="top" wrapText="1"/>
    </xf>
    <xf numFmtId="166" fontId="43" fillId="0" borderId="13" xfId="0" applyNumberFormat="1" applyFont="1" applyFill="1" applyBorder="1" applyAlignment="1">
      <alignment horizontal="left" vertical="top" wrapText="1"/>
    </xf>
    <xf numFmtId="0" fontId="17" fillId="0" borderId="15" xfId="0" applyFont="1" applyFill="1" applyBorder="1" applyAlignment="1">
      <alignment horizontal="left" vertical="top"/>
    </xf>
    <xf numFmtId="0" fontId="59" fillId="0" borderId="14" xfId="0" applyFont="1" applyFill="1" applyBorder="1" applyAlignment="1">
      <alignment horizontal="left" vertical="top" wrapText="1"/>
    </xf>
    <xf numFmtId="2" fontId="59" fillId="0" borderId="11" xfId="0" applyNumberFormat="1" applyFont="1" applyFill="1" applyBorder="1" applyAlignment="1">
      <alignment horizontal="left" vertical="top"/>
    </xf>
    <xf numFmtId="2" fontId="59" fillId="0" borderId="0" xfId="0" applyNumberFormat="1" applyFont="1" applyFill="1" applyBorder="1" applyAlignment="1">
      <alignment horizontal="left" vertical="top"/>
    </xf>
    <xf numFmtId="2" fontId="59" fillId="0" borderId="13" xfId="0" applyNumberFormat="1" applyFont="1" applyFill="1" applyBorder="1" applyAlignment="1">
      <alignment horizontal="left" vertical="top"/>
    </xf>
    <xf numFmtId="164" fontId="59" fillId="0" borderId="11" xfId="0" applyNumberFormat="1" applyFont="1" applyFill="1" applyBorder="1" applyAlignment="1">
      <alignment horizontal="left" vertical="top"/>
    </xf>
    <xf numFmtId="0" fontId="59" fillId="0" borderId="11" xfId="0" applyFont="1" applyFill="1" applyBorder="1" applyAlignment="1">
      <alignment horizontal="left" vertical="top"/>
    </xf>
    <xf numFmtId="0" fontId="59" fillId="0" borderId="14" xfId="0" applyFont="1" applyFill="1" applyBorder="1" applyAlignment="1">
      <alignment horizontal="left" vertical="top"/>
    </xf>
    <xf numFmtId="164" fontId="17" fillId="0" borderId="14" xfId="0" applyNumberFormat="1" applyFont="1" applyBorder="1" applyAlignment="1">
      <alignment horizontal="left" vertical="top" wrapText="1"/>
    </xf>
    <xf numFmtId="2" fontId="30" fillId="33" borderId="55" xfId="0" quotePrefix="1" applyNumberFormat="1" applyFont="1" applyFill="1" applyBorder="1" applyAlignment="1">
      <alignment horizontal="left" vertical="top"/>
    </xf>
    <xf numFmtId="2" fontId="17" fillId="0" borderId="13" xfId="0" applyNumberFormat="1" applyFont="1" applyFill="1" applyBorder="1" applyAlignment="1">
      <alignment horizontal="left" vertical="top"/>
    </xf>
    <xf numFmtId="0" fontId="17" fillId="0" borderId="44" xfId="0" applyFont="1" applyFill="1" applyBorder="1" applyAlignment="1">
      <alignment horizontal="left" vertical="top"/>
    </xf>
    <xf numFmtId="165" fontId="23" fillId="33" borderId="13" xfId="0" quotePrefix="1" applyNumberFormat="1" applyFont="1" applyFill="1" applyBorder="1" applyAlignment="1">
      <alignment horizontal="left" vertical="top"/>
    </xf>
    <xf numFmtId="164" fontId="17" fillId="0" borderId="0" xfId="0" applyNumberFormat="1" applyFont="1" applyFill="1" applyBorder="1" applyAlignment="1">
      <alignment horizontal="left" vertical="top" wrapText="1"/>
    </xf>
    <xf numFmtId="0" fontId="20" fillId="0" borderId="22" xfId="0" applyFont="1" applyFill="1" applyBorder="1" applyAlignment="1">
      <alignment horizontal="left" vertical="top" wrapText="1"/>
    </xf>
    <xf numFmtId="0" fontId="17" fillId="0" borderId="15" xfId="0" applyFont="1" applyFill="1" applyBorder="1" applyAlignment="1">
      <alignment horizontal="left" vertical="top" wrapText="1"/>
    </xf>
    <xf numFmtId="0" fontId="20" fillId="0" borderId="35" xfId="0" applyFont="1" applyFill="1" applyBorder="1" applyAlignment="1">
      <alignment horizontal="left" vertical="top" wrapText="1"/>
    </xf>
    <xf numFmtId="0" fontId="20" fillId="0" borderId="0" xfId="0" applyFont="1" applyFill="1" applyBorder="1"/>
    <xf numFmtId="2" fontId="43" fillId="0" borderId="11" xfId="0" applyNumberFormat="1" applyFont="1" applyFill="1" applyBorder="1" applyAlignment="1">
      <alignment horizontal="left" vertical="top" wrapText="1"/>
    </xf>
    <xf numFmtId="2" fontId="43" fillId="0" borderId="14" xfId="0" applyNumberFormat="1" applyFont="1" applyFill="1" applyBorder="1" applyAlignment="1">
      <alignment horizontal="left" vertical="top" wrapText="1"/>
    </xf>
    <xf numFmtId="2" fontId="59" fillId="0" borderId="11" xfId="0" applyNumberFormat="1" applyFont="1" applyFill="1" applyBorder="1" applyAlignment="1">
      <alignment horizontal="left" vertical="top" wrapText="1"/>
    </xf>
    <xf numFmtId="2" fontId="59" fillId="0" borderId="14" xfId="0" applyNumberFormat="1" applyFont="1" applyFill="1" applyBorder="1" applyAlignment="1">
      <alignment horizontal="left" vertical="top" wrapText="1"/>
    </xf>
    <xf numFmtId="0" fontId="59" fillId="0" borderId="0" xfId="0" applyFont="1" applyFill="1" applyBorder="1" applyAlignment="1">
      <alignment horizontal="left" vertical="top"/>
    </xf>
    <xf numFmtId="0" fontId="59" fillId="0" borderId="13" xfId="0" applyFont="1" applyFill="1" applyBorder="1" applyAlignment="1">
      <alignment horizontal="left" vertical="top"/>
    </xf>
    <xf numFmtId="2" fontId="43" fillId="0" borderId="44" xfId="0" applyNumberFormat="1" applyFont="1" applyFill="1" applyBorder="1" applyAlignment="1">
      <alignment horizontal="left" vertical="top" wrapText="1"/>
    </xf>
    <xf numFmtId="2" fontId="43" fillId="0" borderId="37" xfId="0" applyNumberFormat="1" applyFont="1" applyFill="1" applyBorder="1" applyAlignment="1">
      <alignment horizontal="left" vertical="top" wrapText="1"/>
    </xf>
    <xf numFmtId="0" fontId="31" fillId="5" borderId="42" xfId="9" applyFont="1" applyBorder="1" applyAlignment="1">
      <alignment horizontal="left" vertical="top"/>
    </xf>
    <xf numFmtId="0" fontId="31" fillId="5" borderId="12" xfId="9" applyFont="1" applyBorder="1" applyAlignment="1">
      <alignment horizontal="left" vertical="top"/>
    </xf>
    <xf numFmtId="168" fontId="43" fillId="0" borderId="44" xfId="0" applyNumberFormat="1" applyFont="1" applyFill="1" applyBorder="1" applyAlignment="1">
      <alignment horizontal="left" vertical="top"/>
    </xf>
    <xf numFmtId="1" fontId="43" fillId="0" borderId="11" xfId="0" applyNumberFormat="1" applyFont="1" applyFill="1" applyBorder="1" applyAlignment="1">
      <alignment horizontal="left" vertical="top" wrapText="1"/>
    </xf>
    <xf numFmtId="1" fontId="43" fillId="0" borderId="37" xfId="0" applyNumberFormat="1" applyFont="1" applyFill="1" applyBorder="1" applyAlignment="1">
      <alignment horizontal="left" vertical="top" wrapText="1"/>
    </xf>
    <xf numFmtId="2" fontId="43" fillId="33" borderId="13" xfId="0" applyNumberFormat="1" applyFont="1" applyFill="1" applyBorder="1" applyAlignment="1">
      <alignment horizontal="left" vertical="top"/>
    </xf>
    <xf numFmtId="0" fontId="17" fillId="0" borderId="36" xfId="0" applyFont="1" applyFill="1" applyBorder="1" applyAlignment="1">
      <alignment horizontal="left" vertical="top"/>
    </xf>
    <xf numFmtId="165" fontId="17" fillId="0" borderId="0" xfId="0" applyNumberFormat="1" applyFont="1" applyFill="1" applyBorder="1" applyAlignment="1">
      <alignment horizontal="left" vertical="top"/>
    </xf>
    <xf numFmtId="0" fontId="17" fillId="33" borderId="0" xfId="0" applyFont="1" applyFill="1" applyBorder="1" applyAlignment="1">
      <alignment horizontal="left" vertical="top"/>
    </xf>
    <xf numFmtId="165" fontId="17" fillId="0" borderId="14" xfId="0" applyNumberFormat="1" applyFont="1" applyFill="1" applyBorder="1" applyAlignment="1">
      <alignment horizontal="left" vertical="top"/>
    </xf>
    <xf numFmtId="164" fontId="23" fillId="33" borderId="13" xfId="0" quotePrefix="1" applyNumberFormat="1" applyFont="1" applyFill="1" applyBorder="1" applyAlignment="1">
      <alignment horizontal="left" vertical="top"/>
    </xf>
    <xf numFmtId="0" fontId="59" fillId="0" borderId="38" xfId="0" applyFont="1" applyFill="1" applyBorder="1" applyAlignment="1">
      <alignment horizontal="left" vertical="top"/>
    </xf>
    <xf numFmtId="2" fontId="59" fillId="0" borderId="38" xfId="0" applyNumberFormat="1" applyFont="1" applyFill="1" applyBorder="1" applyAlignment="1">
      <alignment horizontal="left" vertical="top"/>
    </xf>
    <xf numFmtId="1" fontId="43" fillId="0" borderId="37" xfId="0" applyNumberFormat="1" applyFont="1" applyFill="1" applyBorder="1" applyAlignment="1">
      <alignment horizontal="left" vertical="top"/>
    </xf>
    <xf numFmtId="0" fontId="20" fillId="0" borderId="14" xfId="0" applyFont="1" applyFill="1" applyBorder="1" applyAlignment="1">
      <alignment horizontal="left" vertical="top" wrapText="1"/>
    </xf>
    <xf numFmtId="164" fontId="43" fillId="0" borderId="0" xfId="0" quotePrefix="1" applyNumberFormat="1" applyFont="1" applyFill="1" applyBorder="1" applyAlignment="1">
      <alignment horizontal="left" vertical="top"/>
    </xf>
    <xf numFmtId="164" fontId="43" fillId="0" borderId="13" xfId="0" quotePrefix="1" applyNumberFormat="1" applyFont="1" applyFill="1" applyBorder="1" applyAlignment="1">
      <alignment horizontal="left" vertical="top"/>
    </xf>
    <xf numFmtId="164" fontId="43" fillId="0" borderId="13" xfId="0" applyNumberFormat="1" applyFont="1" applyFill="1" applyBorder="1" applyAlignment="1">
      <alignment horizontal="left" vertical="top" wrapText="1"/>
    </xf>
    <xf numFmtId="0" fontId="17" fillId="0" borderId="12" xfId="0" applyFont="1" applyFill="1" applyBorder="1" applyAlignment="1">
      <alignment vertical="top" wrapText="1"/>
    </xf>
    <xf numFmtId="0" fontId="17" fillId="0" borderId="15" xfId="0" applyFont="1" applyFill="1" applyBorder="1" applyAlignment="1">
      <alignment vertical="top" wrapText="1"/>
    </xf>
    <xf numFmtId="0" fontId="17" fillId="0" borderId="13" xfId="0" applyFont="1" applyFill="1" applyBorder="1" applyAlignment="1">
      <alignment vertical="top" wrapText="1"/>
    </xf>
    <xf numFmtId="2" fontId="43" fillId="39" borderId="11" xfId="0" quotePrefix="1" applyNumberFormat="1" applyFont="1" applyFill="1" applyBorder="1" applyAlignment="1">
      <alignment horizontal="left" vertical="top"/>
    </xf>
    <xf numFmtId="0" fontId="20" fillId="0" borderId="36" xfId="0" applyFont="1" applyBorder="1" applyAlignment="1">
      <alignment vertical="top"/>
    </xf>
    <xf numFmtId="0" fontId="23" fillId="33" borderId="36" xfId="0" quotePrefix="1" applyFont="1" applyFill="1" applyBorder="1" applyAlignment="1">
      <alignment horizontal="left" vertical="top"/>
    </xf>
    <xf numFmtId="0" fontId="20" fillId="0" borderId="58" xfId="0" applyFont="1" applyFill="1" applyBorder="1" applyAlignment="1">
      <alignment horizontal="left" vertical="top" wrapText="1"/>
    </xf>
    <xf numFmtId="0" fontId="20" fillId="0" borderId="36" xfId="0" applyFont="1" applyFill="1" applyBorder="1" applyAlignment="1">
      <alignment horizontal="left" vertical="top" wrapText="1"/>
    </xf>
    <xf numFmtId="2" fontId="59" fillId="0" borderId="36" xfId="0" applyNumberFormat="1" applyFont="1" applyFill="1" applyBorder="1" applyAlignment="1">
      <alignment horizontal="left" vertical="top" wrapText="1"/>
    </xf>
    <xf numFmtId="0" fontId="59" fillId="0" borderId="35" xfId="0" applyFont="1" applyFill="1" applyBorder="1" applyAlignment="1">
      <alignment horizontal="left" vertical="top" wrapText="1"/>
    </xf>
    <xf numFmtId="0" fontId="23" fillId="0" borderId="19" xfId="0" applyFont="1" applyFill="1" applyBorder="1" applyAlignment="1">
      <alignment horizontal="left" vertical="top"/>
    </xf>
    <xf numFmtId="2" fontId="17" fillId="0" borderId="37" xfId="0" applyNumberFormat="1" applyFont="1" applyFill="1" applyBorder="1" applyAlignment="1">
      <alignment horizontal="left" vertical="top"/>
    </xf>
    <xf numFmtId="2" fontId="43" fillId="39" borderId="35" xfId="0" quotePrefix="1" applyNumberFormat="1" applyFont="1" applyFill="1" applyBorder="1" applyAlignment="1">
      <alignment horizontal="left" vertical="top"/>
    </xf>
    <xf numFmtId="0" fontId="17" fillId="0" borderId="78" xfId="0" applyFont="1" applyFill="1" applyBorder="1" applyAlignment="1">
      <alignment horizontal="left" vertical="top"/>
    </xf>
    <xf numFmtId="0" fontId="22" fillId="39" borderId="22" xfId="0" applyFont="1" applyFill="1" applyBorder="1" applyAlignment="1">
      <alignment horizontal="left" vertical="top" wrapText="1"/>
    </xf>
    <xf numFmtId="0" fontId="23" fillId="39" borderId="23" xfId="0" applyFont="1" applyFill="1" applyBorder="1" applyAlignment="1">
      <alignment horizontal="left" vertical="top"/>
    </xf>
    <xf numFmtId="0" fontId="23" fillId="33" borderId="85" xfId="9" quotePrefix="1" applyFont="1" applyFill="1" applyBorder="1" applyAlignment="1">
      <alignment horizontal="left" vertical="top"/>
    </xf>
    <xf numFmtId="0" fontId="23" fillId="33" borderId="86" xfId="9" quotePrefix="1" applyFont="1" applyFill="1" applyBorder="1" applyAlignment="1">
      <alignment horizontal="left" vertical="top"/>
    </xf>
    <xf numFmtId="0" fontId="31" fillId="34" borderId="0" xfId="9" applyFont="1" applyFill="1" applyBorder="1" applyAlignment="1">
      <alignment horizontal="left" vertical="top"/>
    </xf>
    <xf numFmtId="166" fontId="43" fillId="34" borderId="0" xfId="0" applyNumberFormat="1" applyFont="1" applyFill="1" applyBorder="1" applyAlignment="1">
      <alignment horizontal="left" vertical="top" wrapText="1"/>
    </xf>
    <xf numFmtId="0" fontId="20" fillId="34" borderId="11" xfId="0" applyFont="1" applyFill="1" applyBorder="1" applyAlignment="1">
      <alignment horizontal="left" vertical="top" wrapText="1"/>
    </xf>
    <xf numFmtId="0" fontId="17" fillId="39" borderId="13" xfId="0" applyFont="1" applyFill="1" applyBorder="1" applyAlignment="1">
      <alignment horizontal="left" vertical="top"/>
    </xf>
    <xf numFmtId="0" fontId="20" fillId="0" borderId="11" xfId="0" applyFont="1" applyBorder="1" applyAlignment="1">
      <alignment wrapText="1"/>
    </xf>
    <xf numFmtId="0" fontId="17" fillId="0" borderId="11" xfId="0" applyFont="1" applyBorder="1" applyAlignment="1">
      <alignment wrapText="1"/>
    </xf>
    <xf numFmtId="0" fontId="20" fillId="0" borderId="11" xfId="0" applyFont="1" applyFill="1" applyBorder="1" applyAlignment="1">
      <alignment horizontal="left" vertical="top" wrapText="1"/>
    </xf>
    <xf numFmtId="0" fontId="54" fillId="0" borderId="0" xfId="0" applyFont="1" applyBorder="1" applyAlignment="1">
      <alignment horizontal="left" vertical="top" wrapText="1"/>
    </xf>
    <xf numFmtId="0" fontId="31" fillId="5" borderId="4" xfId="9"/>
    <xf numFmtId="0" fontId="31" fillId="8" borderId="8" xfId="15" applyFont="1" applyAlignment="1">
      <alignment horizontal="left" vertical="top" wrapText="1"/>
    </xf>
    <xf numFmtId="0" fontId="31" fillId="8" borderId="8" xfId="15" applyFont="1" applyAlignment="1">
      <alignment horizontal="left" vertical="top"/>
    </xf>
    <xf numFmtId="0" fontId="31" fillId="8" borderId="87" xfId="15" applyFont="1" applyBorder="1" applyAlignment="1">
      <alignment horizontal="left" vertical="top"/>
    </xf>
    <xf numFmtId="0" fontId="31" fillId="8" borderId="88" xfId="15" applyFont="1" applyBorder="1" applyAlignment="1">
      <alignment horizontal="left" vertical="top"/>
    </xf>
    <xf numFmtId="0" fontId="31" fillId="8" borderId="89" xfId="15" applyFont="1" applyBorder="1" applyAlignment="1">
      <alignment horizontal="left" vertical="top"/>
    </xf>
    <xf numFmtId="2" fontId="20" fillId="0" borderId="35" xfId="0" applyNumberFormat="1" applyFont="1" applyBorder="1" applyAlignment="1">
      <alignment horizontal="left" vertical="top" wrapText="1"/>
    </xf>
    <xf numFmtId="0" fontId="61" fillId="0" borderId="0" xfId="0" applyFont="1" applyBorder="1" applyAlignment="1">
      <alignment horizontal="left" vertical="top" wrapText="1"/>
    </xf>
    <xf numFmtId="0" fontId="31" fillId="8" borderId="91" xfId="15" applyFont="1" applyBorder="1" applyAlignment="1">
      <alignment horizontal="left" vertical="top"/>
    </xf>
    <xf numFmtId="0" fontId="31" fillId="8" borderId="92" xfId="15" applyFont="1" applyBorder="1" applyAlignment="1">
      <alignment horizontal="left" vertical="top"/>
    </xf>
    <xf numFmtId="0" fontId="31" fillId="8" borderId="93" xfId="15" applyFont="1" applyBorder="1" applyAlignment="1">
      <alignment horizontal="left" vertical="top"/>
    </xf>
    <xf numFmtId="0" fontId="31" fillId="8" borderId="94" xfId="15" applyFont="1" applyBorder="1" applyAlignment="1">
      <alignment horizontal="left" vertical="top"/>
    </xf>
    <xf numFmtId="2" fontId="20" fillId="0" borderId="41" xfId="0" applyNumberFormat="1" applyFont="1" applyBorder="1" applyAlignment="1">
      <alignment horizontal="left" vertical="top" wrapText="1"/>
    </xf>
    <xf numFmtId="0" fontId="44" fillId="8" borderId="8" xfId="15" applyFont="1" applyAlignment="1">
      <alignment horizontal="left" vertical="top"/>
    </xf>
    <xf numFmtId="11" fontId="31" fillId="5" borderId="4" xfId="9" applyNumberFormat="1"/>
    <xf numFmtId="0" fontId="44" fillId="8" borderId="8" xfId="15" applyFont="1" applyBorder="1" applyAlignment="1">
      <alignment horizontal="left" vertical="top"/>
    </xf>
    <xf numFmtId="0" fontId="44" fillId="8" borderId="88" xfId="15" applyFont="1" applyBorder="1" applyAlignment="1">
      <alignment horizontal="left" vertical="top"/>
    </xf>
    <xf numFmtId="0" fontId="44" fillId="8" borderId="95" xfId="15" applyFont="1" applyBorder="1" applyAlignment="1">
      <alignment horizontal="left" vertical="top"/>
    </xf>
    <xf numFmtId="0" fontId="44" fillId="8" borderId="96" xfId="15" applyFont="1" applyBorder="1" applyAlignment="1">
      <alignment horizontal="left" vertical="top"/>
    </xf>
    <xf numFmtId="0" fontId="0" fillId="0" borderId="15" xfId="0" applyBorder="1"/>
    <xf numFmtId="0" fontId="20" fillId="0" borderId="15" xfId="0" applyFont="1" applyBorder="1"/>
    <xf numFmtId="0" fontId="44" fillId="8" borderId="97" xfId="15" applyFont="1" applyBorder="1" applyAlignment="1">
      <alignment horizontal="left" vertical="top"/>
    </xf>
    <xf numFmtId="0" fontId="44" fillId="8" borderId="98" xfId="15" applyFont="1" applyBorder="1" applyAlignment="1">
      <alignment horizontal="left" vertical="top"/>
    </xf>
    <xf numFmtId="0" fontId="31" fillId="33" borderId="49" xfId="9" quotePrefix="1" applyFont="1" applyFill="1" applyBorder="1" applyAlignment="1">
      <alignment horizontal="left" vertical="top"/>
    </xf>
    <xf numFmtId="0" fontId="44" fillId="8" borderId="92" xfId="15" applyFont="1" applyBorder="1" applyAlignment="1">
      <alignment horizontal="left" vertical="top"/>
    </xf>
    <xf numFmtId="0" fontId="44" fillId="8" borderId="87" xfId="15" applyFont="1" applyBorder="1" applyAlignment="1">
      <alignment horizontal="left" vertical="top"/>
    </xf>
    <xf numFmtId="0" fontId="44" fillId="8" borderId="91" xfId="15" applyFont="1" applyBorder="1" applyAlignment="1">
      <alignment horizontal="left" vertical="top"/>
    </xf>
    <xf numFmtId="0" fontId="31" fillId="8" borderId="90" xfId="15" applyFont="1" applyBorder="1" applyAlignment="1">
      <alignment horizontal="left" vertical="top"/>
    </xf>
    <xf numFmtId="1" fontId="46" fillId="33" borderId="11" xfId="0" applyNumberFormat="1" applyFont="1" applyFill="1" applyBorder="1" applyAlignment="1">
      <alignment horizontal="left" vertical="top"/>
    </xf>
    <xf numFmtId="1" fontId="17" fillId="0" borderId="11" xfId="0" applyNumberFormat="1" applyFont="1" applyFill="1" applyBorder="1" applyAlignment="1">
      <alignment horizontal="left" vertical="top" wrapText="1"/>
    </xf>
    <xf numFmtId="2" fontId="17" fillId="33" borderId="11" xfId="0" quotePrefix="1" applyNumberFormat="1" applyFont="1" applyFill="1" applyBorder="1" applyAlignment="1">
      <alignment horizontal="left" vertical="top"/>
    </xf>
    <xf numFmtId="2" fontId="17" fillId="33" borderId="14" xfId="0" quotePrefix="1" applyNumberFormat="1" applyFont="1" applyFill="1" applyBorder="1" applyAlignment="1">
      <alignment horizontal="left" vertical="top"/>
    </xf>
    <xf numFmtId="0" fontId="44" fillId="8" borderId="90" xfId="15" applyFont="1" applyBorder="1" applyAlignment="1">
      <alignment horizontal="left" vertical="top"/>
    </xf>
    <xf numFmtId="0" fontId="0" fillId="0" borderId="0" xfId="0"/>
    <xf numFmtId="0" fontId="20" fillId="0" borderId="52" xfId="0" applyFont="1" applyBorder="1" applyAlignment="1">
      <alignment horizontal="left" vertical="top" wrapText="1"/>
    </xf>
    <xf numFmtId="0" fontId="20" fillId="0" borderId="68" xfId="0" applyFont="1" applyBorder="1" applyAlignment="1">
      <alignment horizontal="left" vertical="top" wrapText="1"/>
    </xf>
    <xf numFmtId="0" fontId="38" fillId="33" borderId="10" xfId="0" applyFont="1" applyFill="1" applyBorder="1" applyAlignment="1">
      <alignment horizontal="center" vertical="center" wrapText="1"/>
    </xf>
    <xf numFmtId="0" fontId="38" fillId="33" borderId="10" xfId="0" applyFont="1" applyFill="1" applyBorder="1" applyAlignment="1">
      <alignment horizontal="left" vertical="center" wrapText="1" readingOrder="1"/>
    </xf>
    <xf numFmtId="0" fontId="42" fillId="33" borderId="10" xfId="0" applyFont="1" applyFill="1" applyBorder="1" applyAlignment="1">
      <alignment horizontal="left" vertical="center" wrapText="1" readingOrder="1"/>
    </xf>
    <xf numFmtId="0" fontId="0" fillId="0" borderId="0" xfId="0" applyAlignment="1"/>
    <xf numFmtId="0" fontId="21" fillId="0" borderId="0" xfId="0" applyFont="1" applyFill="1" applyAlignment="1">
      <alignment horizontal="left" vertical="top" wrapText="1"/>
    </xf>
    <xf numFmtId="0" fontId="21" fillId="0" borderId="0" xfId="0" applyFont="1" applyFill="1" applyAlignment="1">
      <alignment horizontal="left" vertical="top"/>
    </xf>
    <xf numFmtId="0" fontId="17" fillId="33" borderId="10" xfId="0" applyFont="1" applyFill="1" applyBorder="1" applyAlignment="1">
      <alignment horizontal="left" vertical="top"/>
    </xf>
    <xf numFmtId="0" fontId="17" fillId="0" borderId="23" xfId="0" applyFont="1" applyBorder="1" applyAlignment="1">
      <alignment horizontal="left" vertical="top" wrapText="1"/>
    </xf>
    <xf numFmtId="0" fontId="17" fillId="0" borderId="19" xfId="0" applyFont="1" applyBorder="1" applyAlignment="1">
      <alignment horizontal="left" vertical="top" wrapText="1"/>
    </xf>
    <xf numFmtId="0" fontId="17" fillId="0" borderId="10" xfId="0" applyFont="1" applyBorder="1" applyAlignment="1">
      <alignment horizontal="left" vertical="top"/>
    </xf>
    <xf numFmtId="0" fontId="64" fillId="0" borderId="19" xfId="0" applyFont="1" applyBorder="1" applyAlignment="1">
      <alignment horizontal="left" vertical="top" wrapText="1"/>
    </xf>
    <xf numFmtId="1" fontId="17" fillId="0" borderId="10" xfId="0" applyNumberFormat="1" applyFont="1" applyFill="1" applyBorder="1" applyAlignment="1">
      <alignment horizontal="left" vertical="top"/>
    </xf>
    <xf numFmtId="0" fontId="64" fillId="0" borderId="23" xfId="0" applyFont="1" applyBorder="1" applyAlignment="1">
      <alignment horizontal="left" vertical="top" wrapText="1"/>
    </xf>
    <xf numFmtId="0" fontId="17" fillId="0" borderId="19" xfId="0" applyFont="1" applyBorder="1" applyAlignment="1">
      <alignment horizontal="left" vertical="top"/>
    </xf>
    <xf numFmtId="0" fontId="17" fillId="0" borderId="19" xfId="0" applyFont="1" applyFill="1" applyBorder="1" applyAlignment="1">
      <alignment horizontal="left" vertical="top" wrapText="1"/>
    </xf>
    <xf numFmtId="0" fontId="17" fillId="0" borderId="19" xfId="0" applyFont="1" applyFill="1" applyBorder="1" applyAlignment="1">
      <alignment horizontal="left" vertical="top"/>
    </xf>
    <xf numFmtId="2" fontId="17" fillId="33" borderId="11" xfId="0" applyNumberFormat="1" applyFont="1" applyFill="1" applyBorder="1" applyAlignment="1">
      <alignment horizontal="left" vertical="top"/>
    </xf>
    <xf numFmtId="2" fontId="17" fillId="33" borderId="14" xfId="0" applyNumberFormat="1" applyFont="1" applyFill="1" applyBorder="1" applyAlignment="1">
      <alignment horizontal="left" vertical="top"/>
    </xf>
    <xf numFmtId="0" fontId="64" fillId="0" borderId="19" xfId="0" applyFont="1" applyFill="1" applyBorder="1" applyAlignment="1">
      <alignment horizontal="left" vertical="top"/>
    </xf>
    <xf numFmtId="0" fontId="64" fillId="0" borderId="23" xfId="0" applyFont="1" applyFill="1" applyBorder="1" applyAlignment="1">
      <alignment horizontal="left" vertical="top"/>
    </xf>
    <xf numFmtId="165" fontId="17" fillId="33" borderId="0" xfId="0" applyNumberFormat="1" applyFont="1" applyFill="1" applyBorder="1" applyAlignment="1">
      <alignment horizontal="left" vertical="top"/>
    </xf>
    <xf numFmtId="165" fontId="17" fillId="33" borderId="13" xfId="0" applyNumberFormat="1" applyFont="1" applyFill="1" applyBorder="1" applyAlignment="1">
      <alignment horizontal="left" vertical="top"/>
    </xf>
    <xf numFmtId="0" fontId="17" fillId="0" borderId="23" xfId="0" applyFont="1" applyFill="1" applyBorder="1" applyAlignment="1">
      <alignment horizontal="left" vertical="top" wrapText="1"/>
    </xf>
    <xf numFmtId="2" fontId="17" fillId="33" borderId="0" xfId="0" quotePrefix="1" applyNumberFormat="1" applyFont="1" applyFill="1" applyBorder="1" applyAlignment="1">
      <alignment horizontal="left" vertical="top"/>
    </xf>
    <xf numFmtId="2" fontId="17" fillId="33" borderId="13" xfId="0" quotePrefix="1" applyNumberFormat="1" applyFont="1" applyFill="1" applyBorder="1" applyAlignment="1">
      <alignment horizontal="left" vertical="top"/>
    </xf>
    <xf numFmtId="0" fontId="17" fillId="33" borderId="13" xfId="0" applyFont="1" applyFill="1" applyBorder="1" applyAlignment="1">
      <alignment horizontal="left" vertical="top"/>
    </xf>
    <xf numFmtId="2" fontId="17" fillId="33" borderId="41" xfId="0" applyNumberFormat="1" applyFont="1" applyFill="1" applyBorder="1" applyAlignment="1">
      <alignment horizontal="left" vertical="top"/>
    </xf>
    <xf numFmtId="0" fontId="17" fillId="33" borderId="20" xfId="0" applyFont="1" applyFill="1" applyBorder="1" applyAlignment="1">
      <alignment horizontal="left" vertical="top"/>
    </xf>
    <xf numFmtId="0" fontId="17" fillId="33" borderId="41" xfId="0" applyFont="1" applyFill="1" applyBorder="1" applyAlignment="1">
      <alignment horizontal="left" vertical="top"/>
    </xf>
    <xf numFmtId="169" fontId="17" fillId="33" borderId="51" xfId="42" quotePrefix="1" applyNumberFormat="1" applyFont="1" applyFill="1" applyBorder="1" applyAlignment="1">
      <alignment horizontal="left" vertical="top"/>
    </xf>
    <xf numFmtId="169" fontId="17" fillId="33" borderId="48" xfId="42" quotePrefix="1" applyNumberFormat="1" applyFont="1" applyFill="1" applyBorder="1" applyAlignment="1">
      <alignment horizontal="left" vertical="top"/>
    </xf>
    <xf numFmtId="165" fontId="17" fillId="33" borderId="0" xfId="0" quotePrefix="1" applyNumberFormat="1" applyFont="1" applyFill="1" applyBorder="1" applyAlignment="1">
      <alignment horizontal="left" vertical="top"/>
    </xf>
    <xf numFmtId="165" fontId="17" fillId="33" borderId="13" xfId="0" quotePrefix="1" applyNumberFormat="1" applyFont="1" applyFill="1" applyBorder="1" applyAlignment="1">
      <alignment horizontal="left" vertical="top"/>
    </xf>
    <xf numFmtId="0" fontId="17" fillId="0" borderId="14" xfId="0" applyFont="1" applyBorder="1"/>
    <xf numFmtId="0" fontId="17" fillId="0" borderId="13" xfId="0" applyFont="1" applyBorder="1"/>
    <xf numFmtId="0" fontId="17" fillId="0" borderId="23" xfId="0" applyFont="1" applyBorder="1"/>
    <xf numFmtId="0" fontId="17" fillId="0" borderId="19" xfId="0" applyFont="1" applyBorder="1"/>
    <xf numFmtId="0" fontId="17" fillId="33" borderId="73" xfId="0" applyFont="1" applyFill="1" applyBorder="1" applyAlignment="1">
      <alignment horizontal="left" vertical="top"/>
    </xf>
    <xf numFmtId="165" fontId="17" fillId="0" borderId="99" xfId="0" applyNumberFormat="1" applyFont="1" applyFill="1" applyBorder="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C000"/>
        </patternFill>
      </fill>
    </dxf>
  </dxfs>
  <tableStyles count="0" defaultTableStyle="TableStyleMedium2" defaultPivotStyle="PivotStyleLight16"/>
  <colors>
    <mruColors>
      <color rgb="FF0000FF"/>
      <color rgb="FF006600"/>
      <color rgb="FF008000"/>
      <color rgb="FF00FF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
  <sheetViews>
    <sheetView workbookViewId="0">
      <selection activeCell="I2" sqref="I2"/>
    </sheetView>
  </sheetViews>
  <sheetFormatPr defaultRowHeight="14.4" x14ac:dyDescent="0.3"/>
  <cols>
    <col min="2" max="2" width="14.33203125" bestFit="1" customWidth="1"/>
    <col min="3" max="3" width="22.6640625" bestFit="1" customWidth="1"/>
    <col min="4" max="5" width="2.6640625" customWidth="1"/>
    <col min="6" max="6" width="19.88671875" bestFit="1" customWidth="1"/>
    <col min="9" max="9" width="23.44140625" customWidth="1"/>
  </cols>
  <sheetData>
    <row r="1" spans="1:24" s="16" customFormat="1" ht="13.8" x14ac:dyDescent="0.3">
      <c r="A1" s="364"/>
      <c r="B1" s="364" t="s">
        <v>0</v>
      </c>
      <c r="C1" s="92"/>
      <c r="D1" s="364"/>
      <c r="E1" s="83"/>
      <c r="F1" s="92" t="s">
        <v>1</v>
      </c>
      <c r="G1" s="364"/>
      <c r="H1" s="364"/>
      <c r="I1" s="30"/>
      <c r="J1" s="364"/>
      <c r="K1" s="364"/>
      <c r="L1" s="92"/>
      <c r="M1" s="364"/>
      <c r="N1" s="364"/>
      <c r="O1" s="92"/>
      <c r="P1" s="364"/>
      <c r="Q1" s="364"/>
      <c r="R1" s="92"/>
      <c r="S1" s="364"/>
      <c r="T1" s="364"/>
      <c r="U1" s="92"/>
      <c r="V1" s="364"/>
      <c r="W1" s="364"/>
      <c r="X1" s="92"/>
    </row>
    <row r="2" spans="1:24" s="16" customFormat="1" x14ac:dyDescent="0.3">
      <c r="A2" s="364"/>
      <c r="B2" s="364" t="s">
        <v>2</v>
      </c>
      <c r="C2" s="92"/>
      <c r="D2" s="364"/>
      <c r="E2" s="364"/>
      <c r="F2" s="92" t="s">
        <v>3</v>
      </c>
      <c r="G2" s="364"/>
      <c r="H2" s="364"/>
      <c r="I2" s="982" t="s">
        <v>4</v>
      </c>
      <c r="J2" s="364" t="s">
        <v>5</v>
      </c>
      <c r="K2" s="364"/>
      <c r="L2" s="92"/>
      <c r="M2" s="364"/>
      <c r="N2" s="364"/>
      <c r="O2" s="92"/>
      <c r="P2" s="364"/>
      <c r="Q2" s="364"/>
      <c r="R2" s="92"/>
      <c r="S2" s="364"/>
      <c r="T2" s="364"/>
      <c r="U2" s="92"/>
      <c r="V2" s="364"/>
      <c r="W2" s="364"/>
      <c r="X2" s="92"/>
    </row>
    <row r="3" spans="1:24" s="16" customFormat="1" ht="27.6" x14ac:dyDescent="0.3">
      <c r="A3" s="364"/>
      <c r="B3" s="364" t="s">
        <v>6</v>
      </c>
      <c r="C3" s="92"/>
      <c r="D3" s="364"/>
      <c r="E3" s="83"/>
      <c r="F3" s="92" t="s">
        <v>7</v>
      </c>
      <c r="G3" s="364"/>
      <c r="H3" s="364"/>
      <c r="I3" s="530" t="s">
        <v>8</v>
      </c>
      <c r="J3" s="364"/>
      <c r="K3" s="364"/>
      <c r="L3" s="92"/>
      <c r="M3" s="364"/>
      <c r="N3" s="364"/>
      <c r="O3" s="92"/>
      <c r="P3" s="364"/>
      <c r="Q3" s="364"/>
      <c r="R3" s="92"/>
      <c r="S3" s="364"/>
      <c r="T3" s="364"/>
      <c r="U3" s="92"/>
      <c r="V3" s="364"/>
      <c r="W3" s="364"/>
      <c r="X3" s="92"/>
    </row>
    <row r="4" spans="1:24" s="16" customFormat="1" ht="27.6" x14ac:dyDescent="0.3">
      <c r="A4" s="364"/>
      <c r="B4" s="364" t="s">
        <v>9</v>
      </c>
      <c r="C4" s="92"/>
      <c r="D4" s="364"/>
      <c r="E4" s="83"/>
      <c r="F4" s="92" t="s">
        <v>10</v>
      </c>
      <c r="G4" s="364"/>
      <c r="H4" s="83"/>
      <c r="I4" s="530" t="s">
        <v>11</v>
      </c>
      <c r="J4" s="364"/>
      <c r="K4" s="68"/>
      <c r="L4" s="92"/>
      <c r="M4" s="364"/>
      <c r="N4" s="364"/>
      <c r="O4" s="92"/>
      <c r="P4" s="364"/>
      <c r="Q4" s="364"/>
      <c r="R4" s="92"/>
      <c r="S4" s="364"/>
      <c r="T4" s="364"/>
      <c r="U4" s="8"/>
      <c r="V4" s="364"/>
      <c r="W4" s="364"/>
      <c r="X4" s="8"/>
    </row>
    <row r="5" spans="1:24" s="16" customFormat="1" ht="13.8" x14ac:dyDescent="0.3">
      <c r="A5" s="364"/>
      <c r="B5" s="364"/>
      <c r="C5" s="92"/>
      <c r="D5" s="364"/>
      <c r="E5" s="83"/>
      <c r="F5" s="92" t="s">
        <v>12</v>
      </c>
      <c r="G5" s="364"/>
      <c r="H5" s="83"/>
      <c r="I5" s="807">
        <v>43754</v>
      </c>
      <c r="J5" s="364"/>
      <c r="K5" s="364"/>
      <c r="L5" s="92"/>
      <c r="M5" s="364"/>
      <c r="N5" s="364"/>
      <c r="O5" s="92"/>
      <c r="P5" s="364"/>
      <c r="Q5" s="364"/>
      <c r="R5" s="92"/>
      <c r="S5" s="364"/>
      <c r="T5" s="364"/>
      <c r="U5" s="92"/>
      <c r="V5" s="364"/>
      <c r="W5" s="364"/>
      <c r="X5" s="92"/>
    </row>
    <row r="6" spans="1:24" s="16" customFormat="1" ht="13.8" x14ac:dyDescent="0.3">
      <c r="A6" s="364"/>
      <c r="B6" s="364"/>
      <c r="C6" s="92"/>
      <c r="D6" s="364"/>
      <c r="E6" s="83"/>
      <c r="F6" s="92" t="s">
        <v>13</v>
      </c>
      <c r="G6" s="364"/>
      <c r="H6" s="83"/>
      <c r="I6" s="530" t="s">
        <v>14</v>
      </c>
      <c r="J6" s="364"/>
      <c r="K6" s="364"/>
      <c r="L6" s="92"/>
      <c r="M6" s="364"/>
      <c r="N6" s="364"/>
      <c r="O6" s="92"/>
      <c r="P6" s="364"/>
      <c r="Q6" s="364"/>
      <c r="R6" s="92"/>
      <c r="S6" s="364"/>
      <c r="T6" s="364"/>
      <c r="U6" s="92"/>
      <c r="V6" s="364"/>
      <c r="W6" s="364"/>
      <c r="X6" s="9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2:BB40"/>
  <sheetViews>
    <sheetView zoomScaleNormal="100" workbookViewId="0">
      <selection activeCell="J8" sqref="J8"/>
    </sheetView>
  </sheetViews>
  <sheetFormatPr defaultColWidth="9.109375" defaultRowHeight="13.8" outlineLevelCol="1" x14ac:dyDescent="0.3"/>
  <cols>
    <col min="1" max="1" width="3.6640625" style="364" customWidth="1"/>
    <col min="2" max="2" width="20.6640625" style="92" customWidth="1"/>
    <col min="3" max="3" width="32" style="92" customWidth="1"/>
    <col min="4" max="4" width="2.6640625" style="364" customWidth="1"/>
    <col min="5" max="5" width="28.109375" style="366" bestFit="1" customWidth="1"/>
    <col min="6" max="6" width="2.6640625" style="373" customWidth="1"/>
    <col min="7" max="7" width="27.109375" style="366" customWidth="1"/>
    <col min="8" max="8" width="2.6640625" style="373" customWidth="1"/>
    <col min="9" max="9" width="20.6640625" style="366" customWidth="1"/>
    <col min="10" max="10" width="2.109375" style="373" bestFit="1" customWidth="1"/>
    <col min="11" max="11" width="20.5546875" style="373" customWidth="1"/>
    <col min="12" max="12" width="2.109375" style="373" bestFit="1" customWidth="1"/>
    <col min="13" max="13" width="22" style="373" customWidth="1"/>
    <col min="14" max="14" width="2.109375" style="373" bestFit="1" customWidth="1" outlineLevel="1"/>
    <col min="15" max="15" width="24.88671875" style="373" bestFit="1" customWidth="1" outlineLevel="1"/>
    <col min="16" max="54" width="9.109375" style="373" outlineLevel="1"/>
    <col min="55" max="16384" width="9.109375" style="373"/>
  </cols>
  <sheetData>
    <row r="2" spans="1:54" s="364" customFormat="1" x14ac:dyDescent="0.3">
      <c r="B2" s="513" t="s">
        <v>0</v>
      </c>
      <c r="C2" s="513"/>
      <c r="D2" s="513"/>
      <c r="E2" s="513" t="s">
        <v>1</v>
      </c>
      <c r="J2" s="513"/>
      <c r="K2" s="516" t="s">
        <v>109</v>
      </c>
    </row>
    <row r="3" spans="1:54" s="364" customFormat="1" x14ac:dyDescent="0.3">
      <c r="B3" s="364" t="s">
        <v>2</v>
      </c>
      <c r="C3" s="98" t="s">
        <v>47</v>
      </c>
      <c r="E3" s="364" t="s">
        <v>3</v>
      </c>
      <c r="G3" s="98" t="str">
        <f>'Documentation Main Sheet'!I2</f>
        <v>r6055</v>
      </c>
      <c r="H3" s="397"/>
      <c r="J3" s="521"/>
      <c r="K3" s="364" t="s">
        <v>110</v>
      </c>
    </row>
    <row r="4" spans="1:54" s="364" customFormat="1" x14ac:dyDescent="0.3">
      <c r="B4" s="364" t="s">
        <v>6</v>
      </c>
      <c r="C4" s="364" t="str">
        <f>C3&amp;".cibd19"</f>
        <v>080006-Whse-Run08.cibd19</v>
      </c>
      <c r="E4" s="364" t="s">
        <v>7</v>
      </c>
      <c r="G4" s="364" t="str">
        <f>'Documentation Main Sheet'!I3</f>
        <v>Release package</v>
      </c>
      <c r="H4" s="397"/>
      <c r="J4" s="994">
        <v>1</v>
      </c>
      <c r="K4" s="373" t="s">
        <v>111</v>
      </c>
    </row>
    <row r="5" spans="1:54" s="364" customFormat="1" x14ac:dyDescent="0.3">
      <c r="B5" s="364" t="s">
        <v>9</v>
      </c>
      <c r="C5" s="364" t="s">
        <v>112</v>
      </c>
      <c r="E5" s="364" t="s">
        <v>10</v>
      </c>
      <c r="G5" s="364" t="str">
        <f>'Documentation Main Sheet'!I4</f>
        <v>CBECC-Com 2019.1.2 Release</v>
      </c>
      <c r="H5" s="397"/>
      <c r="J5" s="991">
        <v>1</v>
      </c>
      <c r="K5" s="373" t="s">
        <v>111</v>
      </c>
    </row>
    <row r="6" spans="1:54" s="364" customFormat="1" x14ac:dyDescent="0.3">
      <c r="B6" s="364" t="s">
        <v>17</v>
      </c>
      <c r="C6" s="92" t="s">
        <v>43</v>
      </c>
      <c r="E6" s="364" t="s">
        <v>12</v>
      </c>
      <c r="G6" s="68">
        <f>'Documentation Main Sheet'!I5</f>
        <v>43754</v>
      </c>
      <c r="H6" s="398"/>
      <c r="J6" s="524">
        <v>1</v>
      </c>
      <c r="K6" s="376" t="s">
        <v>113</v>
      </c>
    </row>
    <row r="7" spans="1:54" s="364" customFormat="1" x14ac:dyDescent="0.3">
      <c r="B7" s="364" t="s">
        <v>20</v>
      </c>
      <c r="C7" s="92" t="s">
        <v>45</v>
      </c>
      <c r="E7" s="364" t="s">
        <v>13</v>
      </c>
      <c r="G7" s="364" t="str">
        <f>'Documentation Main Sheet'!I6</f>
        <v>Jireh Peng</v>
      </c>
      <c r="H7" s="397"/>
      <c r="J7" s="525">
        <v>1</v>
      </c>
      <c r="K7" s="373" t="s">
        <v>114</v>
      </c>
    </row>
    <row r="8" spans="1:54" s="364" customFormat="1" x14ac:dyDescent="0.3">
      <c r="B8" s="364" t="s">
        <v>19</v>
      </c>
      <c r="C8" s="92" t="s">
        <v>27</v>
      </c>
      <c r="J8" s="996">
        <v>1</v>
      </c>
      <c r="K8" s="364" t="s">
        <v>115</v>
      </c>
    </row>
    <row r="9" spans="1:54" s="364" customFormat="1" x14ac:dyDescent="0.3">
      <c r="B9" s="92"/>
      <c r="C9" s="92"/>
      <c r="E9" s="92"/>
      <c r="G9" s="92"/>
      <c r="I9" s="92"/>
    </row>
    <row r="10" spans="1:54" s="93" customFormat="1" x14ac:dyDescent="0.3">
      <c r="A10" s="281"/>
      <c r="B10" s="302" t="s">
        <v>134</v>
      </c>
      <c r="C10" s="302"/>
      <c r="D10" s="282"/>
      <c r="E10" s="283"/>
      <c r="F10" s="281"/>
      <c r="G10" s="283"/>
      <c r="H10" s="281"/>
      <c r="I10" s="283"/>
      <c r="J10" s="283"/>
      <c r="K10" s="283"/>
    </row>
    <row r="11" spans="1:54" s="89" customFormat="1" x14ac:dyDescent="0.3">
      <c r="A11" s="27"/>
      <c r="B11" s="45" t="s">
        <v>64</v>
      </c>
      <c r="C11" s="91"/>
      <c r="D11" s="91"/>
      <c r="E11" s="70"/>
      <c r="F11" s="91"/>
      <c r="G11" s="70"/>
      <c r="H11" s="91"/>
      <c r="I11" s="70"/>
    </row>
    <row r="12" spans="1:54" s="364" customFormat="1" ht="14.4" x14ac:dyDescent="0.3">
      <c r="B12" s="84" t="s">
        <v>184</v>
      </c>
      <c r="C12" s="84"/>
      <c r="D12" s="90"/>
      <c r="E12" s="30"/>
      <c r="F12" s="89"/>
      <c r="G12" s="30"/>
      <c r="H12" s="89"/>
      <c r="I12" s="25"/>
      <c r="N12" s="89"/>
      <c r="O12" s="89"/>
      <c r="P12" s="89"/>
      <c r="Q12" s="89"/>
      <c r="R12" s="89"/>
      <c r="S12" s="89"/>
      <c r="T12" s="90"/>
      <c r="U12" s="90"/>
      <c r="V12" s="90"/>
      <c r="W12" s="982"/>
    </row>
    <row r="13" spans="1:54" s="90" customFormat="1" ht="27.6" x14ac:dyDescent="0.3">
      <c r="B13" s="115" t="s">
        <v>148</v>
      </c>
      <c r="C13" s="115"/>
      <c r="D13" s="219"/>
      <c r="E13" s="116" t="s">
        <v>863</v>
      </c>
      <c r="F13" s="36"/>
      <c r="G13" s="84"/>
      <c r="H13" s="36"/>
      <c r="I13" s="84"/>
      <c r="T13" s="369"/>
      <c r="U13" s="982"/>
      <c r="V13" s="982"/>
      <c r="W13" s="982"/>
    </row>
    <row r="14" spans="1:54" s="364" customFormat="1" ht="15" thickBot="1" x14ac:dyDescent="0.35">
      <c r="B14" s="215"/>
      <c r="C14" s="215"/>
      <c r="D14" s="239"/>
      <c r="E14" s="993" t="s">
        <v>866</v>
      </c>
      <c r="F14" s="89"/>
      <c r="G14" s="30"/>
      <c r="H14" s="89"/>
      <c r="I14" s="25"/>
      <c r="T14" s="369" t="s">
        <v>858</v>
      </c>
      <c r="U14" s="982" t="s">
        <v>859</v>
      </c>
      <c r="V14" s="982" t="s">
        <v>860</v>
      </c>
      <c r="W14" s="982" t="s">
        <v>861</v>
      </c>
    </row>
    <row r="15" spans="1:54" ht="15" thickTop="1" x14ac:dyDescent="0.3">
      <c r="A15" s="373"/>
      <c r="B15" s="180" t="s">
        <v>45</v>
      </c>
      <c r="C15" s="156"/>
      <c r="D15" s="976" t="str">
        <f>IF(E15=ROUND(T15,2),"x","")</f>
        <v>x</v>
      </c>
      <c r="E15" s="475">
        <v>0.14000000000000001</v>
      </c>
      <c r="I15" s="28"/>
      <c r="N15" s="809"/>
      <c r="O15" s="809"/>
      <c r="P15" s="809"/>
      <c r="Q15" s="809"/>
      <c r="R15" s="809"/>
      <c r="S15" s="808" t="s">
        <v>862</v>
      </c>
      <c r="T15" s="949">
        <v>0.1409</v>
      </c>
      <c r="U15" s="949">
        <v>0</v>
      </c>
      <c r="V15" s="949">
        <v>0</v>
      </c>
      <c r="W15" s="982"/>
    </row>
    <row r="16" spans="1:54" s="364" customFormat="1" ht="14.4" x14ac:dyDescent="0.3">
      <c r="B16" s="84"/>
      <c r="C16" s="84"/>
      <c r="E16" s="30"/>
      <c r="F16" s="89"/>
      <c r="G16" s="30"/>
      <c r="H16" s="89"/>
      <c r="I16" s="25"/>
      <c r="BB16" s="982"/>
    </row>
    <row r="17" spans="1:54" s="364" customFormat="1" ht="14.4" x14ac:dyDescent="0.3">
      <c r="B17" s="92"/>
      <c r="C17" s="92"/>
      <c r="E17" s="30"/>
      <c r="F17" s="89"/>
      <c r="G17" s="30"/>
      <c r="H17" s="89"/>
      <c r="I17" s="25"/>
      <c r="T17" s="369" t="s">
        <v>883</v>
      </c>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982"/>
    </row>
    <row r="18" spans="1:54" s="364" customFormat="1" ht="41.4" x14ac:dyDescent="0.3">
      <c r="B18" s="310" t="s">
        <v>884</v>
      </c>
      <c r="C18" s="470" t="s">
        <v>52</v>
      </c>
      <c r="D18" s="274"/>
      <c r="E18" s="279" t="s">
        <v>885</v>
      </c>
      <c r="F18" s="290"/>
      <c r="G18" s="268" t="s">
        <v>886</v>
      </c>
      <c r="H18" s="290"/>
      <c r="I18" s="268" t="s">
        <v>887</v>
      </c>
      <c r="J18" s="290"/>
      <c r="K18" s="268" t="s">
        <v>888</v>
      </c>
      <c r="T18" s="982" t="s">
        <v>870</v>
      </c>
      <c r="U18" s="982"/>
      <c r="V18" s="982"/>
      <c r="W18" s="982"/>
      <c r="X18" s="982"/>
      <c r="Y18" s="982"/>
      <c r="Z18" s="982"/>
      <c r="AA18" s="982"/>
      <c r="AB18" s="982" t="s">
        <v>889</v>
      </c>
      <c r="AC18" s="982"/>
      <c r="AD18" s="982"/>
      <c r="AE18" s="982"/>
      <c r="AF18" s="982"/>
      <c r="AG18" s="982"/>
      <c r="AH18" s="982"/>
      <c r="AI18" s="982" t="s">
        <v>890</v>
      </c>
      <c r="AJ18" s="982"/>
      <c r="AK18" s="982"/>
      <c r="AL18" s="982"/>
      <c r="AM18" s="982"/>
      <c r="AN18" s="982"/>
      <c r="AO18" s="982"/>
      <c r="AP18" s="982"/>
      <c r="AQ18" s="982"/>
      <c r="AR18" s="982"/>
      <c r="AS18" s="982" t="s">
        <v>891</v>
      </c>
      <c r="AT18" s="982"/>
      <c r="AU18" s="982"/>
      <c r="AV18" s="982"/>
      <c r="AW18" s="982"/>
      <c r="AX18" s="982"/>
      <c r="AY18" s="982"/>
      <c r="AZ18" s="982"/>
      <c r="BA18" s="982"/>
    </row>
    <row r="19" spans="1:54" s="83" customFormat="1" ht="15" thickBot="1" x14ac:dyDescent="0.35">
      <c r="B19" s="311"/>
      <c r="C19" s="477"/>
      <c r="D19" s="107"/>
      <c r="E19" s="208" t="s">
        <v>892</v>
      </c>
      <c r="F19" s="107"/>
      <c r="G19" s="999" t="s">
        <v>893</v>
      </c>
      <c r="H19" s="107"/>
      <c r="I19" s="999" t="s">
        <v>894</v>
      </c>
      <c r="J19" s="107"/>
      <c r="K19" s="999" t="s">
        <v>895</v>
      </c>
      <c r="L19" s="364"/>
      <c r="M19" s="364"/>
      <c r="N19" s="364"/>
      <c r="O19" s="364"/>
      <c r="T19" s="982" t="s">
        <v>121</v>
      </c>
      <c r="U19" s="982" t="s">
        <v>52</v>
      </c>
      <c r="V19" s="982" t="s">
        <v>896</v>
      </c>
      <c r="W19" s="982" t="s">
        <v>897</v>
      </c>
      <c r="X19" s="982" t="s">
        <v>898</v>
      </c>
      <c r="Y19" s="982" t="s">
        <v>899</v>
      </c>
      <c r="Z19" s="982" t="s">
        <v>900</v>
      </c>
      <c r="AA19" s="982" t="s">
        <v>901</v>
      </c>
      <c r="AB19" s="982" t="s">
        <v>902</v>
      </c>
      <c r="AC19" s="982" t="s">
        <v>903</v>
      </c>
      <c r="AD19" s="982" t="s">
        <v>904</v>
      </c>
      <c r="AE19" s="982" t="s">
        <v>905</v>
      </c>
      <c r="AF19" s="982" t="s">
        <v>906</v>
      </c>
      <c r="AG19" s="982" t="s">
        <v>907</v>
      </c>
      <c r="AH19" s="982"/>
      <c r="AI19" s="982" t="s">
        <v>908</v>
      </c>
      <c r="AJ19" s="982" t="s">
        <v>909</v>
      </c>
      <c r="AK19" s="982" t="s">
        <v>910</v>
      </c>
      <c r="AL19" s="982" t="s">
        <v>902</v>
      </c>
      <c r="AM19" s="982" t="s">
        <v>903</v>
      </c>
      <c r="AN19" s="982" t="s">
        <v>904</v>
      </c>
      <c r="AO19" s="982" t="s">
        <v>905</v>
      </c>
      <c r="AP19" s="982" t="s">
        <v>906</v>
      </c>
      <c r="AQ19" s="982" t="s">
        <v>907</v>
      </c>
      <c r="AR19" s="982"/>
      <c r="AS19" s="982" t="s">
        <v>908</v>
      </c>
      <c r="AT19" s="982" t="s">
        <v>909</v>
      </c>
      <c r="AU19" s="982" t="s">
        <v>910</v>
      </c>
      <c r="AV19" s="982" t="s">
        <v>902</v>
      </c>
      <c r="AW19" s="982" t="s">
        <v>903</v>
      </c>
      <c r="AX19" s="982" t="s">
        <v>904</v>
      </c>
      <c r="AY19" s="982" t="s">
        <v>905</v>
      </c>
      <c r="AZ19" s="982" t="s">
        <v>906</v>
      </c>
      <c r="BA19" s="982" t="s">
        <v>907</v>
      </c>
    </row>
    <row r="20" spans="1:54" ht="28.2" thickTop="1" x14ac:dyDescent="0.3">
      <c r="B20" s="130" t="s">
        <v>911</v>
      </c>
      <c r="C20" s="478" t="s">
        <v>912</v>
      </c>
      <c r="D20" s="951" t="str">
        <f>IF(E20=W20,"x","")</f>
        <v>x</v>
      </c>
      <c r="E20" s="373" t="s">
        <v>913</v>
      </c>
      <c r="F20" s="604"/>
      <c r="G20" s="977">
        <v>2550</v>
      </c>
      <c r="H20" s="604" t="s">
        <v>173</v>
      </c>
      <c r="I20" s="977" t="s">
        <v>173</v>
      </c>
      <c r="J20" s="604" t="s">
        <v>173</v>
      </c>
      <c r="K20" s="977" t="s">
        <v>173</v>
      </c>
      <c r="L20" s="364"/>
      <c r="M20" s="364"/>
      <c r="N20" s="809"/>
      <c r="O20" s="809"/>
      <c r="P20" s="809"/>
      <c r="Q20" s="809"/>
      <c r="R20" s="809"/>
      <c r="S20" s="808" t="s">
        <v>914</v>
      </c>
      <c r="T20" s="949" t="s">
        <v>911</v>
      </c>
      <c r="U20" s="949" t="s">
        <v>915</v>
      </c>
      <c r="V20" s="949">
        <v>2549.75</v>
      </c>
      <c r="W20" s="949" t="s">
        <v>913</v>
      </c>
      <c r="X20" s="949">
        <v>0</v>
      </c>
      <c r="Y20" s="949">
        <v>0.2</v>
      </c>
      <c r="Z20" s="949">
        <v>0.2</v>
      </c>
      <c r="AA20" s="949">
        <v>-99996</v>
      </c>
      <c r="AB20" s="949">
        <v>0</v>
      </c>
      <c r="AC20" s="949">
        <v>0</v>
      </c>
      <c r="AD20" s="949">
        <v>0</v>
      </c>
      <c r="AE20" s="949">
        <v>287.5</v>
      </c>
      <c r="AF20" s="949">
        <v>-99996</v>
      </c>
      <c r="AG20" s="949">
        <v>287.5</v>
      </c>
      <c r="AH20" s="949"/>
      <c r="AI20" s="949">
        <v>-8.0029400000000006</v>
      </c>
      <c r="AJ20" s="949">
        <v>-21.169</v>
      </c>
      <c r="AK20" s="949">
        <v>2.5</v>
      </c>
      <c r="AL20" s="949">
        <v>538.66700000000003</v>
      </c>
      <c r="AM20" s="949">
        <v>430.93299999999999</v>
      </c>
      <c r="AN20" s="949">
        <v>0.21126300000000001</v>
      </c>
      <c r="AO20" s="949">
        <v>287.5</v>
      </c>
      <c r="AP20" s="949">
        <v>-99996</v>
      </c>
      <c r="AQ20" s="949">
        <v>287.5</v>
      </c>
      <c r="AR20" s="949"/>
      <c r="AS20" s="949">
        <v>-16.0059</v>
      </c>
      <c r="AT20" s="949">
        <v>-8.8295700000000004</v>
      </c>
      <c r="AU20" s="949">
        <v>2.5</v>
      </c>
      <c r="AV20" s="949">
        <v>421.33300000000003</v>
      </c>
      <c r="AW20" s="949">
        <v>0</v>
      </c>
      <c r="AX20" s="949">
        <v>0</v>
      </c>
      <c r="AY20" s="949">
        <v>287.5</v>
      </c>
      <c r="AZ20" s="949">
        <v>-99996</v>
      </c>
      <c r="BA20" s="949">
        <v>1150</v>
      </c>
    </row>
    <row r="21" spans="1:54" ht="27.6" x14ac:dyDescent="0.3">
      <c r="B21" s="130" t="s">
        <v>916</v>
      </c>
      <c r="C21" s="478" t="s">
        <v>917</v>
      </c>
      <c r="D21" s="951" t="str">
        <f t="shared" ref="D21:D22" si="0">IF(E21=W21,"x","")</f>
        <v>x</v>
      </c>
      <c r="E21" s="373" t="s">
        <v>913</v>
      </c>
      <c r="F21" s="958" t="str">
        <f>IF(ROUND(G21,0)=ROUND(V21,0),"x","")</f>
        <v>x</v>
      </c>
      <c r="G21" s="978">
        <v>14998.6</v>
      </c>
      <c r="H21" s="958" t="str">
        <f>IF(ROUND(I21,0)=ROUND(AB21,0),"x","")</f>
        <v>x</v>
      </c>
      <c r="I21" s="978">
        <v>12300</v>
      </c>
      <c r="J21" s="958" t="str">
        <f>IF(ROUND(K21,2)=ROUND(AD21,2),"x","")</f>
        <v>x</v>
      </c>
      <c r="K21" s="978">
        <v>0.820102</v>
      </c>
      <c r="L21" s="364"/>
      <c r="M21" s="480"/>
      <c r="N21" s="364"/>
      <c r="O21" s="364"/>
      <c r="T21" s="949" t="s">
        <v>916</v>
      </c>
      <c r="U21" s="949" t="s">
        <v>918</v>
      </c>
      <c r="V21" s="949">
        <v>14998.6</v>
      </c>
      <c r="W21" s="949" t="s">
        <v>913</v>
      </c>
      <c r="X21" s="949">
        <v>0</v>
      </c>
      <c r="Y21" s="949">
        <v>0.2</v>
      </c>
      <c r="Z21" s="949">
        <v>0.2</v>
      </c>
      <c r="AA21" s="949">
        <v>-99996</v>
      </c>
      <c r="AB21" s="949">
        <v>12300.4</v>
      </c>
      <c r="AC21" s="949">
        <v>5535.16</v>
      </c>
      <c r="AD21" s="949">
        <v>0.820102</v>
      </c>
      <c r="AE21" s="949">
        <v>175</v>
      </c>
      <c r="AF21" s="949">
        <v>-99996</v>
      </c>
      <c r="AG21" s="949">
        <v>175</v>
      </c>
      <c r="AH21" s="949"/>
      <c r="AI21" s="949">
        <v>-99996</v>
      </c>
      <c r="AJ21" s="949">
        <v>-99996</v>
      </c>
      <c r="AK21" s="949">
        <v>-99996</v>
      </c>
      <c r="AL21" s="949">
        <v>0</v>
      </c>
      <c r="AM21" s="949">
        <v>0</v>
      </c>
      <c r="AN21" s="949">
        <v>0</v>
      </c>
      <c r="AO21" s="949">
        <v>175</v>
      </c>
      <c r="AP21" s="949">
        <v>-99996</v>
      </c>
      <c r="AQ21" s="949">
        <v>262.5</v>
      </c>
      <c r="AR21" s="949"/>
      <c r="AS21" s="949">
        <v>-99996</v>
      </c>
      <c r="AT21" s="949">
        <v>-99996</v>
      </c>
      <c r="AU21" s="949">
        <v>-99996</v>
      </c>
      <c r="AV21" s="949">
        <v>0</v>
      </c>
      <c r="AW21" s="949">
        <v>0</v>
      </c>
      <c r="AX21" s="949">
        <v>0</v>
      </c>
      <c r="AY21" s="949">
        <v>175</v>
      </c>
      <c r="AZ21" s="949">
        <v>-99996</v>
      </c>
      <c r="BA21" s="949">
        <v>350</v>
      </c>
    </row>
    <row r="22" spans="1:54" ht="27.6" x14ac:dyDescent="0.3">
      <c r="B22" s="180" t="s">
        <v>919</v>
      </c>
      <c r="C22" s="479" t="s">
        <v>917</v>
      </c>
      <c r="D22" s="952" t="str">
        <f t="shared" si="0"/>
        <v>x</v>
      </c>
      <c r="E22" s="165" t="s">
        <v>913</v>
      </c>
      <c r="F22" s="952" t="str">
        <f>IF(ROUND(G22,0)=ROUND(V22,0),"x","")</f>
        <v>x</v>
      </c>
      <c r="G22" s="198">
        <v>34497</v>
      </c>
      <c r="H22" s="952" t="str">
        <f>IF(ROUND(I22,0)=ROUND(AB22,0),"x","")</f>
        <v>x</v>
      </c>
      <c r="I22" s="198">
        <v>34324</v>
      </c>
      <c r="J22" s="952" t="str">
        <f>IF(ROUND(K22,2)=ROUND(AD22,2),"x","")</f>
        <v>x</v>
      </c>
      <c r="K22" s="198">
        <v>0.99</v>
      </c>
      <c r="L22" s="364"/>
      <c r="M22" s="480"/>
      <c r="N22" s="364"/>
      <c r="O22" s="364"/>
      <c r="T22" s="949" t="s">
        <v>919</v>
      </c>
      <c r="U22" s="949" t="s">
        <v>918</v>
      </c>
      <c r="V22" s="949">
        <v>34496.699999999997</v>
      </c>
      <c r="W22" s="949" t="s">
        <v>913</v>
      </c>
      <c r="X22" s="949">
        <v>0</v>
      </c>
      <c r="Y22" s="949">
        <v>0.2</v>
      </c>
      <c r="Z22" s="949">
        <v>0.2</v>
      </c>
      <c r="AA22" s="949">
        <v>-99996</v>
      </c>
      <c r="AB22" s="949">
        <v>34324.199999999997</v>
      </c>
      <c r="AC22" s="949">
        <v>15445.9</v>
      </c>
      <c r="AD22" s="949">
        <v>0.99499899999999997</v>
      </c>
      <c r="AE22" s="949">
        <v>175</v>
      </c>
      <c r="AF22" s="949">
        <v>-99996</v>
      </c>
      <c r="AG22" s="949">
        <v>175</v>
      </c>
      <c r="AH22" s="949"/>
      <c r="AI22" s="949">
        <v>-99996</v>
      </c>
      <c r="AJ22" s="949">
        <v>-99996</v>
      </c>
      <c r="AK22" s="949">
        <v>-99996</v>
      </c>
      <c r="AL22" s="949">
        <v>0</v>
      </c>
      <c r="AM22" s="949">
        <v>0</v>
      </c>
      <c r="AN22" s="949">
        <v>0</v>
      </c>
      <c r="AO22" s="949">
        <v>175</v>
      </c>
      <c r="AP22" s="949">
        <v>-99996</v>
      </c>
      <c r="AQ22" s="949">
        <v>262.5</v>
      </c>
      <c r="AR22" s="949"/>
      <c r="AS22" s="949">
        <v>-99996</v>
      </c>
      <c r="AT22" s="949">
        <v>-99996</v>
      </c>
      <c r="AU22" s="949">
        <v>-99996</v>
      </c>
      <c r="AV22" s="949">
        <v>0</v>
      </c>
      <c r="AW22" s="949">
        <v>0</v>
      </c>
      <c r="AX22" s="949">
        <v>0</v>
      </c>
      <c r="AY22" s="949">
        <v>175</v>
      </c>
      <c r="AZ22" s="949">
        <v>-99996</v>
      </c>
      <c r="BA22" s="949">
        <v>350</v>
      </c>
    </row>
    <row r="23" spans="1:54" s="364" customFormat="1" x14ac:dyDescent="0.3">
      <c r="B23" s="39"/>
      <c r="C23" s="39"/>
      <c r="D23" s="365"/>
      <c r="E23" s="363"/>
      <c r="F23" s="365"/>
      <c r="G23" s="363"/>
      <c r="H23" s="365"/>
      <c r="I23" s="363"/>
    </row>
    <row r="24" spans="1:54" s="364" customFormat="1" x14ac:dyDescent="0.3">
      <c r="B24" s="92"/>
      <c r="C24" s="92"/>
      <c r="D24" s="365"/>
      <c r="E24" s="90"/>
      <c r="F24" s="365"/>
      <c r="G24" s="366"/>
      <c r="H24" s="365"/>
      <c r="I24" s="363"/>
    </row>
    <row r="25" spans="1:54" s="93" customFormat="1" x14ac:dyDescent="0.3">
      <c r="A25" s="285"/>
      <c r="B25" s="308" t="s">
        <v>243</v>
      </c>
      <c r="C25" s="308"/>
      <c r="D25" s="285"/>
      <c r="E25" s="287"/>
      <c r="F25" s="285"/>
      <c r="G25" s="287"/>
      <c r="H25" s="287"/>
      <c r="I25" s="287"/>
      <c r="J25" s="287"/>
      <c r="K25" s="287"/>
    </row>
    <row r="26" spans="1:54" s="89" customFormat="1" x14ac:dyDescent="0.3">
      <c r="A26" s="78"/>
      <c r="B26" s="46" t="s">
        <v>64</v>
      </c>
      <c r="C26" s="91"/>
      <c r="D26" s="91"/>
      <c r="E26" s="70"/>
      <c r="F26" s="91"/>
      <c r="G26" s="70"/>
      <c r="H26" s="91"/>
      <c r="I26" s="70"/>
    </row>
    <row r="27" spans="1:54" s="364" customFormat="1" x14ac:dyDescent="0.3">
      <c r="B27" s="84" t="s">
        <v>184</v>
      </c>
      <c r="C27" s="84"/>
      <c r="D27" s="90"/>
      <c r="E27" s="30"/>
      <c r="F27" s="89"/>
      <c r="G27" s="30"/>
      <c r="H27" s="89"/>
      <c r="I27" s="25"/>
    </row>
    <row r="28" spans="1:54" s="90" customFormat="1" ht="27.6" x14ac:dyDescent="0.3">
      <c r="B28" s="115" t="s">
        <v>148</v>
      </c>
      <c r="C28" s="115"/>
      <c r="D28" s="219"/>
      <c r="E28" s="116" t="s">
        <v>863</v>
      </c>
      <c r="F28" s="36"/>
      <c r="G28" s="84"/>
      <c r="H28" s="36"/>
      <c r="I28" s="84"/>
    </row>
    <row r="29" spans="1:54" s="364" customFormat="1" ht="15" thickBot="1" x14ac:dyDescent="0.35">
      <c r="B29" s="215"/>
      <c r="C29" s="215"/>
      <c r="D29" s="239"/>
      <c r="E29" s="993" t="s">
        <v>866</v>
      </c>
      <c r="F29" s="89"/>
      <c r="G29" s="30"/>
      <c r="H29" s="89"/>
      <c r="I29" s="25"/>
      <c r="N29" s="93"/>
      <c r="O29" s="93"/>
      <c r="P29" s="93"/>
      <c r="Q29" s="93"/>
      <c r="R29" s="93"/>
      <c r="S29" s="93"/>
      <c r="T29" s="369" t="s">
        <v>858</v>
      </c>
      <c r="U29" s="982" t="s">
        <v>859</v>
      </c>
      <c r="V29" s="982" t="s">
        <v>860</v>
      </c>
      <c r="W29" s="982" t="s">
        <v>861</v>
      </c>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row>
    <row r="30" spans="1:54" ht="15" thickTop="1" x14ac:dyDescent="0.3">
      <c r="A30" s="373"/>
      <c r="B30" s="180" t="s">
        <v>45</v>
      </c>
      <c r="C30" s="156"/>
      <c r="D30" s="954" t="str">
        <f>IF(E30=ROUND(T30,2),"x","")</f>
        <v>x</v>
      </c>
      <c r="E30" s="301">
        <v>0.05</v>
      </c>
      <c r="G30" s="74"/>
      <c r="I30" s="28"/>
      <c r="N30" s="812"/>
      <c r="O30" s="812"/>
      <c r="P30" s="812"/>
      <c r="Q30" s="812"/>
      <c r="R30" s="812"/>
      <c r="S30" s="813" t="s">
        <v>880</v>
      </c>
      <c r="T30" s="949">
        <v>0.05</v>
      </c>
      <c r="U30" s="949">
        <v>0</v>
      </c>
      <c r="V30" s="949">
        <v>0</v>
      </c>
      <c r="W30" s="982"/>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row>
    <row r="31" spans="1:54" s="365" customFormat="1" ht="14.4" x14ac:dyDescent="0.3">
      <c r="B31" s="43"/>
      <c r="C31" s="43"/>
      <c r="D31" s="41"/>
      <c r="E31" s="53"/>
      <c r="G31" s="53"/>
      <c r="I31" s="53"/>
      <c r="N31" s="89"/>
      <c r="O31" s="89"/>
      <c r="P31" s="89"/>
      <c r="Q31" s="89"/>
      <c r="R31" s="89"/>
      <c r="S31" s="89"/>
      <c r="T31" s="90"/>
      <c r="U31" s="90"/>
      <c r="V31" s="90"/>
      <c r="W31" s="982"/>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row>
    <row r="32" spans="1:54" s="364" customFormat="1" ht="14.4" x14ac:dyDescent="0.3">
      <c r="B32" s="92"/>
      <c r="C32" s="92"/>
      <c r="D32" s="83"/>
      <c r="E32" s="92"/>
      <c r="F32" s="83"/>
      <c r="G32" s="30"/>
      <c r="I32" s="92"/>
      <c r="N32" s="90"/>
      <c r="O32" s="90"/>
      <c r="P32" s="90"/>
      <c r="Q32" s="90"/>
      <c r="R32" s="90"/>
      <c r="S32" s="90"/>
      <c r="T32" s="369" t="s">
        <v>883</v>
      </c>
      <c r="U32" s="373"/>
      <c r="V32" s="373"/>
      <c r="W32" s="373"/>
      <c r="X32" s="373"/>
      <c r="Y32" s="373"/>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row>
    <row r="33" spans="2:53" s="364" customFormat="1" ht="41.4" x14ac:dyDescent="0.3">
      <c r="B33" s="310" t="s">
        <v>884</v>
      </c>
      <c r="C33" s="470" t="s">
        <v>52</v>
      </c>
      <c r="D33" s="274"/>
      <c r="E33" s="268" t="s">
        <v>885</v>
      </c>
      <c r="F33" s="290"/>
      <c r="G33" s="268" t="s">
        <v>886</v>
      </c>
      <c r="H33" s="290"/>
      <c r="I33" s="268" t="s">
        <v>887</v>
      </c>
      <c r="J33" s="290"/>
      <c r="K33" s="268" t="s">
        <v>888</v>
      </c>
      <c r="T33" s="982" t="s">
        <v>870</v>
      </c>
      <c r="U33" s="982"/>
      <c r="V33" s="982"/>
      <c r="W33" s="982"/>
      <c r="X33" s="982"/>
      <c r="Y33" s="982"/>
      <c r="Z33" s="982"/>
      <c r="AA33" s="982"/>
      <c r="AB33" s="982" t="s">
        <v>889</v>
      </c>
      <c r="AC33" s="982"/>
      <c r="AD33" s="982"/>
      <c r="AE33" s="982"/>
      <c r="AF33" s="982"/>
      <c r="AG33" s="982"/>
      <c r="AH33" s="982"/>
      <c r="AI33" s="982" t="s">
        <v>890</v>
      </c>
      <c r="AJ33" s="982"/>
      <c r="AK33" s="982"/>
      <c r="AL33" s="982"/>
      <c r="AM33" s="982"/>
      <c r="AN33" s="982"/>
      <c r="AO33" s="982"/>
      <c r="AP33" s="982"/>
      <c r="AQ33" s="982"/>
      <c r="AR33" s="982"/>
      <c r="AS33" s="982" t="s">
        <v>891</v>
      </c>
      <c r="AT33" s="982"/>
      <c r="AU33" s="982"/>
      <c r="AV33" s="982"/>
      <c r="AW33" s="982"/>
      <c r="AX33" s="982"/>
      <c r="AY33" s="982"/>
      <c r="AZ33" s="982"/>
      <c r="BA33" s="982"/>
    </row>
    <row r="34" spans="2:53" s="83" customFormat="1" ht="15" thickBot="1" x14ac:dyDescent="0.35">
      <c r="B34" s="311"/>
      <c r="C34" s="477"/>
      <c r="D34" s="107"/>
      <c r="E34" s="1000" t="s">
        <v>892</v>
      </c>
      <c r="F34" s="107"/>
      <c r="G34" s="999" t="s">
        <v>893</v>
      </c>
      <c r="H34" s="107"/>
      <c r="I34" s="999" t="s">
        <v>894</v>
      </c>
      <c r="J34" s="107"/>
      <c r="K34" s="999" t="s">
        <v>895</v>
      </c>
      <c r="N34" s="373"/>
      <c r="O34" s="373"/>
      <c r="P34" s="373"/>
      <c r="Q34" s="373"/>
      <c r="R34" s="373"/>
      <c r="S34" s="373"/>
      <c r="T34" s="982" t="s">
        <v>121</v>
      </c>
      <c r="U34" s="982" t="s">
        <v>52</v>
      </c>
      <c r="V34" s="982" t="s">
        <v>896</v>
      </c>
      <c r="W34" s="982" t="s">
        <v>897</v>
      </c>
      <c r="X34" s="982" t="s">
        <v>898</v>
      </c>
      <c r="Y34" s="982" t="s">
        <v>899</v>
      </c>
      <c r="Z34" s="982" t="s">
        <v>900</v>
      </c>
      <c r="AA34" s="982" t="s">
        <v>901</v>
      </c>
      <c r="AB34" s="982" t="s">
        <v>902</v>
      </c>
      <c r="AC34" s="982" t="s">
        <v>903</v>
      </c>
      <c r="AD34" s="982" t="s">
        <v>904</v>
      </c>
      <c r="AE34" s="982" t="s">
        <v>905</v>
      </c>
      <c r="AF34" s="982" t="s">
        <v>906</v>
      </c>
      <c r="AG34" s="982" t="s">
        <v>907</v>
      </c>
      <c r="AH34" s="982"/>
      <c r="AI34" s="982" t="s">
        <v>908</v>
      </c>
      <c r="AJ34" s="982" t="s">
        <v>909</v>
      </c>
      <c r="AK34" s="982" t="s">
        <v>910</v>
      </c>
      <c r="AL34" s="982" t="s">
        <v>902</v>
      </c>
      <c r="AM34" s="982" t="s">
        <v>903</v>
      </c>
      <c r="AN34" s="982" t="s">
        <v>904</v>
      </c>
      <c r="AO34" s="982" t="s">
        <v>905</v>
      </c>
      <c r="AP34" s="982" t="s">
        <v>906</v>
      </c>
      <c r="AQ34" s="982" t="s">
        <v>907</v>
      </c>
      <c r="AR34" s="982"/>
      <c r="AS34" s="982" t="s">
        <v>908</v>
      </c>
      <c r="AT34" s="982" t="s">
        <v>909</v>
      </c>
      <c r="AU34" s="982" t="s">
        <v>910</v>
      </c>
      <c r="AV34" s="982" t="s">
        <v>902</v>
      </c>
      <c r="AW34" s="982" t="s">
        <v>903</v>
      </c>
      <c r="AX34" s="982" t="s">
        <v>904</v>
      </c>
      <c r="AY34" s="982" t="s">
        <v>905</v>
      </c>
      <c r="AZ34" s="982" t="s">
        <v>906</v>
      </c>
      <c r="BA34" s="982" t="s">
        <v>907</v>
      </c>
    </row>
    <row r="35" spans="2:53" ht="28.2" thickTop="1" x14ac:dyDescent="0.3">
      <c r="B35" s="130" t="s">
        <v>911</v>
      </c>
      <c r="C35" s="478" t="s">
        <v>912</v>
      </c>
      <c r="D35" s="951" t="str">
        <f>IF(E35=W35,"x","")</f>
        <v>x</v>
      </c>
      <c r="E35" s="373" t="s">
        <v>913</v>
      </c>
      <c r="F35" s="604"/>
      <c r="G35" s="977">
        <v>2550</v>
      </c>
      <c r="H35" s="604" t="s">
        <v>173</v>
      </c>
      <c r="I35" s="977" t="s">
        <v>173</v>
      </c>
      <c r="J35" s="604" t="s">
        <v>173</v>
      </c>
      <c r="K35" s="977" t="s">
        <v>173</v>
      </c>
      <c r="N35" s="812"/>
      <c r="O35" s="812"/>
      <c r="P35" s="812"/>
      <c r="Q35" s="812"/>
      <c r="R35" s="812"/>
      <c r="S35" s="813" t="s">
        <v>920</v>
      </c>
      <c r="T35" s="949" t="s">
        <v>911</v>
      </c>
      <c r="U35" s="949" t="s">
        <v>915</v>
      </c>
      <c r="V35" s="949">
        <v>2549.75</v>
      </c>
      <c r="W35" s="949" t="s">
        <v>913</v>
      </c>
      <c r="X35" s="949">
        <v>-99996</v>
      </c>
      <c r="Y35" s="949">
        <v>0.2</v>
      </c>
      <c r="Z35" s="949">
        <v>0.2</v>
      </c>
      <c r="AA35" s="949">
        <v>-99996</v>
      </c>
      <c r="AB35" s="949">
        <v>0</v>
      </c>
      <c r="AC35" s="949">
        <v>0</v>
      </c>
      <c r="AD35" s="949">
        <v>0</v>
      </c>
      <c r="AE35" s="949">
        <v>287.5</v>
      </c>
      <c r="AF35" s="949">
        <v>-99996</v>
      </c>
      <c r="AG35" s="949">
        <v>287.5</v>
      </c>
      <c r="AH35" s="949"/>
      <c r="AI35" s="949">
        <v>-8.0029400000000006</v>
      </c>
      <c r="AJ35" s="949">
        <v>-21.169</v>
      </c>
      <c r="AK35" s="949">
        <v>2.5</v>
      </c>
      <c r="AL35" s="949">
        <v>538.66700000000003</v>
      </c>
      <c r="AM35" s="949">
        <v>323.2</v>
      </c>
      <c r="AN35" s="949">
        <v>0.21126300000000001</v>
      </c>
      <c r="AO35" s="949">
        <v>287.5</v>
      </c>
      <c r="AP35" s="949">
        <v>-99996</v>
      </c>
      <c r="AQ35" s="949">
        <v>287.5</v>
      </c>
      <c r="AR35" s="949"/>
      <c r="AS35" s="949">
        <v>-16.0059</v>
      </c>
      <c r="AT35" s="949">
        <v>-8.8295700000000004</v>
      </c>
      <c r="AU35" s="949">
        <v>2.5</v>
      </c>
      <c r="AV35" s="949">
        <v>421.33300000000003</v>
      </c>
      <c r="AW35" s="949">
        <v>252.8</v>
      </c>
      <c r="AX35" s="949">
        <v>0.165245</v>
      </c>
      <c r="AY35" s="949">
        <v>287.5</v>
      </c>
      <c r="AZ35" s="949">
        <v>-99996</v>
      </c>
      <c r="BA35" s="949">
        <v>1150</v>
      </c>
    </row>
    <row r="36" spans="2:53" ht="27.6" x14ac:dyDescent="0.3">
      <c r="B36" s="130" t="s">
        <v>916</v>
      </c>
      <c r="C36" s="478" t="s">
        <v>917</v>
      </c>
      <c r="D36" s="951" t="str">
        <f t="shared" ref="D36:D37" si="1">IF(E36=W36,"x","")</f>
        <v>x</v>
      </c>
      <c r="E36" s="373" t="s">
        <v>913</v>
      </c>
      <c r="F36" s="958" t="str">
        <f>IF(ROUND(G36,0)=ROUND(V36,0),"x","")</f>
        <v>x</v>
      </c>
      <c r="G36" s="978">
        <v>14998.6</v>
      </c>
      <c r="H36" s="958" t="str">
        <f>IF(ROUND(I36,0)=ROUND(AB36,0),"x","")</f>
        <v>x</v>
      </c>
      <c r="I36" s="978">
        <v>12441</v>
      </c>
      <c r="J36" s="958" t="str">
        <f>IF(ROUND(K36,2)=ROUND(AD36,2),"x","")</f>
        <v>x</v>
      </c>
      <c r="K36" s="978">
        <v>0.82947700000000002</v>
      </c>
      <c r="N36" s="364"/>
      <c r="O36" s="364"/>
      <c r="P36" s="364"/>
      <c r="Q36" s="364"/>
      <c r="R36" s="364"/>
      <c r="S36" s="364"/>
      <c r="T36" s="949" t="s">
        <v>916</v>
      </c>
      <c r="U36" s="949" t="s">
        <v>918</v>
      </c>
      <c r="V36" s="949">
        <v>14998.6</v>
      </c>
      <c r="W36" s="949" t="s">
        <v>913</v>
      </c>
      <c r="X36" s="949">
        <v>-99996</v>
      </c>
      <c r="Y36" s="949">
        <v>0.2</v>
      </c>
      <c r="Z36" s="949">
        <v>0.2</v>
      </c>
      <c r="AA36" s="949">
        <v>-99996</v>
      </c>
      <c r="AB36" s="949">
        <v>12441</v>
      </c>
      <c r="AC36" s="949">
        <v>5598.43</v>
      </c>
      <c r="AD36" s="949">
        <v>0.82947700000000002</v>
      </c>
      <c r="AE36" s="949">
        <v>175</v>
      </c>
      <c r="AF36" s="949">
        <v>-99996</v>
      </c>
      <c r="AG36" s="949">
        <v>175</v>
      </c>
      <c r="AH36" s="949"/>
      <c r="AI36" s="949">
        <v>-99996</v>
      </c>
      <c r="AJ36" s="949">
        <v>-99996</v>
      </c>
      <c r="AK36" s="949">
        <v>-99996</v>
      </c>
      <c r="AL36" s="949">
        <v>0</v>
      </c>
      <c r="AM36" s="949">
        <v>0</v>
      </c>
      <c r="AN36" s="949">
        <v>0</v>
      </c>
      <c r="AO36" s="949">
        <v>175</v>
      </c>
      <c r="AP36" s="949">
        <v>-99996</v>
      </c>
      <c r="AQ36" s="949">
        <v>262.5</v>
      </c>
      <c r="AR36" s="949"/>
      <c r="AS36" s="949">
        <v>-99996</v>
      </c>
      <c r="AT36" s="949">
        <v>-99996</v>
      </c>
      <c r="AU36" s="949">
        <v>-99996</v>
      </c>
      <c r="AV36" s="949">
        <v>0</v>
      </c>
      <c r="AW36" s="949">
        <v>0</v>
      </c>
      <c r="AX36" s="949">
        <v>0</v>
      </c>
      <c r="AY36" s="949">
        <v>175</v>
      </c>
      <c r="AZ36" s="949">
        <v>-99996</v>
      </c>
      <c r="BA36" s="949">
        <v>350</v>
      </c>
    </row>
    <row r="37" spans="2:53" ht="27.6" x14ac:dyDescent="0.3">
      <c r="B37" s="180" t="s">
        <v>919</v>
      </c>
      <c r="C37" s="479" t="s">
        <v>917</v>
      </c>
      <c r="D37" s="952" t="str">
        <f t="shared" si="1"/>
        <v>x</v>
      </c>
      <c r="E37" s="165" t="s">
        <v>913</v>
      </c>
      <c r="F37" s="952" t="str">
        <f>IF(ROUND(G37,0)=ROUND(V37,0),"x","")</f>
        <v>x</v>
      </c>
      <c r="G37" s="198">
        <v>34497</v>
      </c>
      <c r="H37" s="952" t="str">
        <f>IF(ROUND(I37,0)=ROUND(AB37,0),"x","")</f>
        <v>x</v>
      </c>
      <c r="I37" s="198">
        <v>34176</v>
      </c>
      <c r="J37" s="952" t="str">
        <f>IF(ROUND(K37,2)=ROUND(AD37,2),"x","")</f>
        <v>x</v>
      </c>
      <c r="K37" s="198">
        <f>0.99</f>
        <v>0.99</v>
      </c>
      <c r="N37" s="364"/>
      <c r="O37" s="364"/>
      <c r="P37" s="364"/>
      <c r="Q37" s="364"/>
      <c r="R37" s="364"/>
      <c r="S37" s="364"/>
      <c r="T37" s="949" t="s">
        <v>919</v>
      </c>
      <c r="U37" s="949" t="s">
        <v>918</v>
      </c>
      <c r="V37" s="949">
        <v>34496.699999999997</v>
      </c>
      <c r="W37" s="949" t="s">
        <v>913</v>
      </c>
      <c r="X37" s="949">
        <v>-99996</v>
      </c>
      <c r="Y37" s="949">
        <v>0.2</v>
      </c>
      <c r="Z37" s="949">
        <v>0.2</v>
      </c>
      <c r="AA37" s="949">
        <v>-99996</v>
      </c>
      <c r="AB37" s="949">
        <v>34175.5</v>
      </c>
      <c r="AC37" s="949">
        <v>15379</v>
      </c>
      <c r="AD37" s="949">
        <v>0.99068900000000004</v>
      </c>
      <c r="AE37" s="949">
        <v>175</v>
      </c>
      <c r="AF37" s="949">
        <v>-99996</v>
      </c>
      <c r="AG37" s="949">
        <v>175</v>
      </c>
      <c r="AH37" s="949"/>
      <c r="AI37" s="949">
        <v>-99996</v>
      </c>
      <c r="AJ37" s="949">
        <v>-99996</v>
      </c>
      <c r="AK37" s="949">
        <v>-99996</v>
      </c>
      <c r="AL37" s="949">
        <v>0</v>
      </c>
      <c r="AM37" s="949">
        <v>0</v>
      </c>
      <c r="AN37" s="949">
        <v>0</v>
      </c>
      <c r="AO37" s="949">
        <v>175</v>
      </c>
      <c r="AP37" s="949">
        <v>-99996</v>
      </c>
      <c r="AQ37" s="949">
        <v>262.5</v>
      </c>
      <c r="AR37" s="949"/>
      <c r="AS37" s="949">
        <v>-99996</v>
      </c>
      <c r="AT37" s="949">
        <v>-99996</v>
      </c>
      <c r="AU37" s="949">
        <v>-99996</v>
      </c>
      <c r="AV37" s="949">
        <v>0</v>
      </c>
      <c r="AW37" s="949">
        <v>0</v>
      </c>
      <c r="AX37" s="949">
        <v>0</v>
      </c>
      <c r="AY37" s="949">
        <v>175</v>
      </c>
      <c r="AZ37" s="949">
        <v>-99996</v>
      </c>
      <c r="BA37" s="949">
        <v>350</v>
      </c>
    </row>
    <row r="39" spans="2:53" x14ac:dyDescent="0.3">
      <c r="E39" s="373"/>
    </row>
    <row r="40" spans="2:53" x14ac:dyDescent="0.3">
      <c r="E40" s="373"/>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DO241"/>
  <sheetViews>
    <sheetView zoomScale="70" zoomScaleNormal="70" workbookViewId="0">
      <pane xSplit="3" ySplit="12" topLeftCell="D13" activePane="bottomRight" state="frozen"/>
      <selection pane="topRight" activeCell="D1" sqref="D1"/>
      <selection pane="bottomLeft" activeCell="A13" sqref="A13"/>
      <selection pane="bottomRight" activeCell="Y88" sqref="Y88"/>
    </sheetView>
  </sheetViews>
  <sheetFormatPr defaultColWidth="9.109375" defaultRowHeight="13.8" outlineLevelCol="1" x14ac:dyDescent="0.3"/>
  <cols>
    <col min="1" max="1" width="3.6640625" style="109" customWidth="1"/>
    <col min="2" max="2" width="29.6640625" style="92" bestFit="1" customWidth="1"/>
    <col min="3" max="3" width="23.44140625" style="111" customWidth="1"/>
    <col min="4" max="4" width="2.6640625" style="113" customWidth="1"/>
    <col min="5" max="5" width="30" style="113" customWidth="1"/>
    <col min="6" max="6" width="2.6640625" style="113" customWidth="1"/>
    <col min="7" max="7" width="24.109375" style="112" customWidth="1"/>
    <col min="8" max="8" width="2.6640625" style="113" customWidth="1"/>
    <col min="9" max="9" width="12.33203125" style="113" customWidth="1"/>
    <col min="10" max="10" width="2.6640625" style="113" customWidth="1"/>
    <col min="11" max="11" width="17.33203125" style="113" customWidth="1"/>
    <col min="12" max="12" width="2.6640625" style="113" customWidth="1"/>
    <col min="13" max="13" width="12.6640625" style="113" customWidth="1"/>
    <col min="14" max="14" width="2.6640625" style="113" customWidth="1"/>
    <col min="15" max="15" width="16.33203125" style="113" customWidth="1"/>
    <col min="16" max="16" width="2.6640625" style="113" customWidth="1"/>
    <col min="17" max="17" width="13" style="113" customWidth="1"/>
    <col min="18" max="18" width="2.6640625" style="113" customWidth="1"/>
    <col min="19" max="19" width="14.6640625" style="113" customWidth="1"/>
    <col min="20" max="20" width="2.6640625" style="113" customWidth="1"/>
    <col min="21" max="21" width="15.33203125" style="113" customWidth="1"/>
    <col min="22" max="22" width="2.6640625" style="113" customWidth="1"/>
    <col min="23" max="23" width="19.109375" style="113" customWidth="1"/>
    <col min="24" max="24" width="2.6640625" style="113" customWidth="1"/>
    <col min="25" max="25" width="14.33203125" style="113" customWidth="1"/>
    <col min="26" max="26" width="2.6640625" style="373" customWidth="1"/>
    <col min="27" max="27" width="22.33203125" style="373" customWidth="1"/>
    <col min="28" max="28" width="2.6640625" style="113" customWidth="1"/>
    <col min="29" max="29" width="13.6640625" style="113" customWidth="1"/>
    <col min="30" max="30" width="2.6640625" style="113" customWidth="1"/>
    <col min="31" max="31" width="16" style="113" customWidth="1"/>
    <col min="32" max="32" width="7.5546875" style="373" bestFit="1" customWidth="1"/>
    <col min="33" max="33" width="10.88671875" style="373" customWidth="1"/>
    <col min="34" max="34" width="2.6640625" style="113" customWidth="1"/>
    <col min="35" max="35" width="15.6640625" style="110" bestFit="1" customWidth="1"/>
    <col min="36" max="36" width="2.6640625" style="373" customWidth="1"/>
    <col min="37" max="37" width="15.6640625" style="110" bestFit="1" customWidth="1"/>
    <col min="38" max="38" width="2.6640625" style="110" customWidth="1"/>
    <col min="39" max="39" width="14.33203125" style="110" bestFit="1" customWidth="1"/>
    <col min="40" max="45" width="9.109375" style="110" customWidth="1"/>
    <col min="46" max="46" width="33.44140625" style="373" customWidth="1" outlineLevel="1"/>
    <col min="47" max="47" width="54.33203125" style="373" bestFit="1" customWidth="1" outlineLevel="1"/>
    <col min="48" max="48" width="9.109375" style="373" customWidth="1" outlineLevel="1"/>
    <col min="49" max="49" width="54.33203125" style="373" customWidth="1" outlineLevel="1"/>
    <col min="50" max="62" width="9.109375" style="373" customWidth="1" outlineLevel="1"/>
    <col min="63" max="63" width="26" style="373" customWidth="1" outlineLevel="1"/>
    <col min="64" max="64" width="16.33203125" style="373" customWidth="1" outlineLevel="1"/>
    <col min="65" max="65" width="20.33203125" style="373" customWidth="1" outlineLevel="1"/>
    <col min="66" max="66" width="20.6640625" style="373" customWidth="1" outlineLevel="1"/>
    <col min="67" max="67" width="9.109375" style="373" customWidth="1" outlineLevel="1"/>
    <col min="68" max="68" width="14.88671875" style="373" customWidth="1" outlineLevel="1"/>
    <col min="69" max="79" width="9.109375" style="373" customWidth="1" outlineLevel="1"/>
    <col min="80" max="81" width="9.109375" style="373" customWidth="1"/>
    <col min="82" max="84" width="9.109375" style="373" customWidth="1" outlineLevel="1"/>
    <col min="85" max="85" width="16.44140625" style="373" customWidth="1" outlineLevel="1"/>
    <col min="86" max="86" width="29.6640625" style="373" customWidth="1" outlineLevel="1"/>
    <col min="87" max="93" width="9.109375" style="373" customWidth="1" outlineLevel="1"/>
    <col min="94" max="94" width="11.6640625" style="373" customWidth="1" outlineLevel="1"/>
    <col min="95" max="106" width="9.109375" style="373" customWidth="1" outlineLevel="1"/>
    <col min="107" max="107" width="24.5546875" style="373" customWidth="1" outlineLevel="1"/>
    <col min="108" max="116" width="9.109375" style="373" customWidth="1" outlineLevel="1"/>
    <col min="117" max="119" width="9.109375" style="373"/>
    <col min="120" max="16384" width="9.109375" style="113"/>
  </cols>
  <sheetData>
    <row r="1" spans="1:119" x14ac:dyDescent="0.3">
      <c r="A1" s="74"/>
      <c r="B1" s="74"/>
      <c r="C1" s="74"/>
      <c r="D1" s="74"/>
      <c r="E1" s="74"/>
      <c r="F1" s="74"/>
      <c r="G1" s="79"/>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15"/>
      <c r="AJ1" s="74"/>
      <c r="AK1" s="15"/>
      <c r="AL1" s="15"/>
      <c r="AM1" s="15"/>
      <c r="AN1" s="15"/>
      <c r="AO1" s="15"/>
      <c r="AP1" s="15"/>
      <c r="AQ1" s="15"/>
      <c r="AR1" s="15"/>
      <c r="AS1" s="15"/>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row>
    <row r="2" spans="1:119" s="109" customFormat="1" x14ac:dyDescent="0.3">
      <c r="A2" s="364"/>
      <c r="B2" s="513" t="s">
        <v>0</v>
      </c>
      <c r="C2" s="513"/>
      <c r="D2" s="520"/>
      <c r="E2" s="513" t="s">
        <v>1</v>
      </c>
      <c r="F2" s="364"/>
      <c r="G2" s="364"/>
      <c r="H2" s="364"/>
      <c r="I2" s="364"/>
      <c r="J2" s="513"/>
      <c r="K2" s="516" t="s">
        <v>109</v>
      </c>
      <c r="L2" s="364"/>
      <c r="M2" s="364"/>
      <c r="N2" s="364"/>
      <c r="O2" s="364"/>
      <c r="P2" s="364"/>
      <c r="Q2" s="364"/>
      <c r="R2" s="364"/>
      <c r="S2" s="364"/>
      <c r="T2" s="364"/>
      <c r="U2" s="364"/>
      <c r="V2" s="364"/>
      <c r="W2" s="364"/>
      <c r="X2" s="364"/>
      <c r="Y2" s="364"/>
      <c r="Z2" s="364"/>
      <c r="AA2" s="364"/>
      <c r="AB2" s="364"/>
      <c r="AC2" s="364"/>
      <c r="AD2" s="364"/>
      <c r="AE2" s="364"/>
      <c r="AF2" s="364"/>
      <c r="AG2" s="364"/>
      <c r="AH2" s="364"/>
      <c r="AI2" s="69"/>
      <c r="AJ2" s="364"/>
      <c r="AK2" s="69"/>
      <c r="AL2" s="69"/>
      <c r="AM2" s="69"/>
      <c r="AN2" s="69"/>
      <c r="AO2" s="69"/>
      <c r="AP2" s="69"/>
      <c r="AQ2" s="69"/>
      <c r="AR2" s="69"/>
      <c r="AS2" s="69"/>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364"/>
      <c r="DM2" s="364"/>
      <c r="DN2" s="364"/>
      <c r="DO2" s="364"/>
    </row>
    <row r="3" spans="1:119" s="109" customFormat="1" x14ac:dyDescent="0.3">
      <c r="A3" s="364"/>
      <c r="B3" s="364" t="s">
        <v>2</v>
      </c>
      <c r="C3" s="98" t="s">
        <v>54</v>
      </c>
      <c r="D3" s="364"/>
      <c r="E3" s="364" t="s">
        <v>3</v>
      </c>
      <c r="F3" s="364"/>
      <c r="G3" s="98" t="str">
        <f>'Documentation Main Sheet'!I2</f>
        <v>r6055</v>
      </c>
      <c r="H3" s="364"/>
      <c r="I3" s="397"/>
      <c r="J3" s="142"/>
      <c r="K3" s="364" t="s">
        <v>318</v>
      </c>
      <c r="L3" s="364"/>
      <c r="M3" s="364"/>
      <c r="N3" s="364"/>
      <c r="O3" s="364"/>
      <c r="P3" s="364"/>
      <c r="Q3" s="364"/>
      <c r="R3" s="364"/>
      <c r="S3" s="364"/>
      <c r="T3" s="364"/>
      <c r="U3" s="364"/>
      <c r="V3" s="364"/>
      <c r="W3" s="364"/>
      <c r="X3" s="364"/>
      <c r="Y3" s="364"/>
      <c r="Z3" s="364"/>
      <c r="AA3" s="364"/>
      <c r="AB3" s="364"/>
      <c r="AC3" s="364"/>
      <c r="AD3" s="364"/>
      <c r="AE3" s="364"/>
      <c r="AF3" s="364"/>
      <c r="AG3" s="364"/>
      <c r="AH3" s="364"/>
      <c r="AI3" s="69"/>
      <c r="AJ3" s="364"/>
      <c r="AK3" s="69"/>
      <c r="AL3" s="69"/>
      <c r="AM3" s="69"/>
      <c r="AN3" s="69"/>
      <c r="AO3" s="69"/>
      <c r="AP3" s="69"/>
      <c r="AQ3" s="69"/>
      <c r="AR3" s="69"/>
      <c r="AS3" s="69"/>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c r="DC3" s="364"/>
      <c r="DD3" s="364"/>
      <c r="DE3" s="364"/>
      <c r="DF3" s="364"/>
      <c r="DG3" s="364"/>
      <c r="DH3" s="364"/>
      <c r="DI3" s="364"/>
      <c r="DJ3" s="364"/>
      <c r="DK3" s="364"/>
      <c r="DL3" s="364"/>
      <c r="DM3" s="364"/>
      <c r="DN3" s="364"/>
      <c r="DO3" s="364"/>
    </row>
    <row r="4" spans="1:119" s="109" customFormat="1" x14ac:dyDescent="0.3">
      <c r="A4" s="364"/>
      <c r="B4" s="364" t="s">
        <v>6</v>
      </c>
      <c r="C4" s="364" t="str">
        <f>C3&amp;".cibd19"</f>
        <v>040006-OffLrg-Run11.cibd19</v>
      </c>
      <c r="D4" s="364"/>
      <c r="E4" s="364" t="s">
        <v>7</v>
      </c>
      <c r="F4" s="364"/>
      <c r="G4" s="364" t="str">
        <f>'Documentation Main Sheet'!I3</f>
        <v>Release package</v>
      </c>
      <c r="H4" s="364"/>
      <c r="I4" s="397"/>
      <c r="J4" s="521"/>
      <c r="K4" s="364" t="s">
        <v>110</v>
      </c>
      <c r="L4" s="364"/>
      <c r="M4" s="364"/>
      <c r="N4" s="364"/>
      <c r="O4" s="364"/>
      <c r="P4" s="364"/>
      <c r="Q4" s="364"/>
      <c r="R4" s="364"/>
      <c r="S4" s="364"/>
      <c r="T4" s="364"/>
      <c r="U4" s="364"/>
      <c r="V4" s="364"/>
      <c r="W4" s="364"/>
      <c r="X4" s="364"/>
      <c r="Y4" s="364"/>
      <c r="Z4" s="364"/>
      <c r="AA4" s="364"/>
      <c r="AB4" s="364"/>
      <c r="AC4" s="364"/>
      <c r="AD4" s="364"/>
      <c r="AE4" s="364"/>
      <c r="AF4" s="364"/>
      <c r="AG4" s="364"/>
      <c r="AH4" s="364"/>
      <c r="AI4" s="69"/>
      <c r="AJ4" s="364"/>
      <c r="AK4" s="69"/>
      <c r="AL4" s="69"/>
      <c r="AM4" s="69"/>
      <c r="AN4" s="69"/>
      <c r="AO4" s="69"/>
      <c r="AP4" s="69"/>
      <c r="AQ4" s="69"/>
      <c r="AR4" s="69"/>
      <c r="AS4" s="69"/>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row>
    <row r="5" spans="1:119" s="109" customFormat="1" x14ac:dyDescent="0.3">
      <c r="A5" s="364"/>
      <c r="B5" s="364" t="s">
        <v>9</v>
      </c>
      <c r="C5" s="364" t="s">
        <v>112</v>
      </c>
      <c r="D5" s="364"/>
      <c r="E5" s="364" t="s">
        <v>10</v>
      </c>
      <c r="F5" s="364"/>
      <c r="G5" s="364" t="str">
        <f>'Documentation Main Sheet'!I4</f>
        <v>CBECC-Com 2019.1.2 Release</v>
      </c>
      <c r="H5" s="364"/>
      <c r="I5" s="397"/>
      <c r="J5" s="523">
        <v>1</v>
      </c>
      <c r="K5" s="373" t="s">
        <v>111</v>
      </c>
      <c r="L5" s="364"/>
      <c r="M5" s="364"/>
      <c r="N5" s="364"/>
      <c r="O5" s="364"/>
      <c r="P5" s="68"/>
      <c r="Q5" s="364"/>
      <c r="R5" s="68"/>
      <c r="S5" s="364"/>
      <c r="T5" s="364"/>
      <c r="U5" s="364"/>
      <c r="V5" s="364"/>
      <c r="W5" s="364"/>
      <c r="X5" s="364"/>
      <c r="Y5" s="364"/>
      <c r="Z5" s="364"/>
      <c r="AA5" s="364"/>
      <c r="AB5" s="364"/>
      <c r="AC5" s="364"/>
      <c r="AD5" s="364"/>
      <c r="AE5" s="364"/>
      <c r="AF5" s="364"/>
      <c r="AG5" s="364"/>
      <c r="AH5" s="364"/>
      <c r="AI5" s="69"/>
      <c r="AJ5" s="364"/>
      <c r="AK5" s="69"/>
      <c r="AL5" s="69"/>
      <c r="AM5" s="69"/>
      <c r="AN5" s="69"/>
      <c r="AO5" s="69"/>
      <c r="AP5" s="69"/>
      <c r="AQ5" s="69"/>
      <c r="AR5" s="69"/>
      <c r="AS5" s="69"/>
      <c r="AT5" s="364"/>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64"/>
      <c r="DN5" s="364"/>
      <c r="DO5" s="364"/>
    </row>
    <row r="6" spans="1:119" s="109" customFormat="1" x14ac:dyDescent="0.3">
      <c r="A6" s="364"/>
      <c r="B6" s="364" t="s">
        <v>17</v>
      </c>
      <c r="C6" s="92" t="s">
        <v>38</v>
      </c>
      <c r="D6" s="364"/>
      <c r="E6" s="364" t="s">
        <v>12</v>
      </c>
      <c r="F6" s="364"/>
      <c r="G6" s="68">
        <f>'Documentation Main Sheet'!I5</f>
        <v>43754</v>
      </c>
      <c r="H6" s="364"/>
      <c r="I6" s="398"/>
      <c r="J6" s="526">
        <v>1</v>
      </c>
      <c r="K6" s="376" t="s">
        <v>113</v>
      </c>
      <c r="L6" s="364"/>
      <c r="M6" s="364"/>
      <c r="N6" s="364"/>
      <c r="O6" s="364"/>
      <c r="P6" s="364"/>
      <c r="Q6" s="364"/>
      <c r="R6" s="364"/>
      <c r="S6" s="364"/>
      <c r="T6" s="364"/>
      <c r="U6" s="364"/>
      <c r="V6" s="364"/>
      <c r="W6" s="364"/>
      <c r="X6" s="364"/>
      <c r="Y6" s="364"/>
      <c r="Z6" s="364"/>
      <c r="AA6" s="364"/>
      <c r="AB6" s="364"/>
      <c r="AC6" s="364"/>
      <c r="AD6" s="364"/>
      <c r="AE6" s="364"/>
      <c r="AF6" s="364"/>
      <c r="AG6" s="364"/>
      <c r="AH6" s="364"/>
      <c r="AI6" s="69"/>
      <c r="AJ6" s="364"/>
      <c r="AK6" s="69"/>
      <c r="AL6" s="69"/>
      <c r="AM6" s="69"/>
      <c r="AN6" s="69"/>
      <c r="AO6" s="69"/>
      <c r="AP6" s="69"/>
      <c r="AQ6" s="69"/>
      <c r="AR6" s="69"/>
      <c r="AS6" s="69"/>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c r="BW6" s="364"/>
      <c r="BX6" s="364"/>
      <c r="BY6" s="364"/>
      <c r="BZ6" s="364"/>
      <c r="CA6" s="364"/>
      <c r="CB6" s="364"/>
      <c r="CC6" s="364"/>
      <c r="CD6" s="364"/>
      <c r="CE6" s="364"/>
      <c r="CF6" s="364"/>
      <c r="CG6" s="364"/>
      <c r="CH6" s="364"/>
      <c r="CI6" s="364"/>
      <c r="CJ6" s="364"/>
      <c r="CK6" s="364"/>
      <c r="CL6" s="364"/>
      <c r="CM6" s="364"/>
      <c r="CN6" s="364"/>
      <c r="CO6" s="364"/>
      <c r="CP6" s="364"/>
      <c r="CQ6" s="364"/>
      <c r="CR6" s="364"/>
      <c r="CS6" s="364"/>
      <c r="CT6" s="364"/>
      <c r="CU6" s="364"/>
      <c r="CV6" s="364"/>
      <c r="CW6" s="364"/>
      <c r="CX6" s="364"/>
      <c r="CY6" s="364"/>
      <c r="CZ6" s="364"/>
      <c r="DA6" s="364"/>
      <c r="DB6" s="364"/>
      <c r="DC6" s="364"/>
      <c r="DD6" s="364"/>
      <c r="DE6" s="364"/>
      <c r="DF6" s="364"/>
      <c r="DG6" s="364"/>
      <c r="DH6" s="364"/>
      <c r="DI6" s="364"/>
      <c r="DJ6" s="364"/>
      <c r="DK6" s="364"/>
      <c r="DL6" s="364"/>
      <c r="DM6" s="364"/>
      <c r="DN6" s="364"/>
      <c r="DO6" s="364"/>
    </row>
    <row r="7" spans="1:119" s="109" customFormat="1" x14ac:dyDescent="0.3">
      <c r="A7" s="364"/>
      <c r="B7" s="364" t="s">
        <v>20</v>
      </c>
      <c r="C7" s="92" t="s">
        <v>52</v>
      </c>
      <c r="D7" s="364"/>
      <c r="E7" s="364" t="s">
        <v>13</v>
      </c>
      <c r="F7" s="364"/>
      <c r="G7" s="364" t="str">
        <f>'Documentation Main Sheet'!I6</f>
        <v>Jireh Peng</v>
      </c>
      <c r="H7" s="364"/>
      <c r="I7" s="364"/>
      <c r="J7" s="527">
        <v>1</v>
      </c>
      <c r="K7" s="373" t="s">
        <v>114</v>
      </c>
      <c r="L7" s="364"/>
      <c r="M7" s="364"/>
      <c r="N7" s="364"/>
      <c r="O7" s="364"/>
      <c r="P7" s="364"/>
      <c r="Q7" s="364"/>
      <c r="R7" s="364"/>
      <c r="S7" s="364"/>
      <c r="T7" s="364"/>
      <c r="U7" s="364"/>
      <c r="V7" s="364"/>
      <c r="W7" s="364"/>
      <c r="X7" s="364"/>
      <c r="Y7" s="364"/>
      <c r="Z7" s="364"/>
      <c r="AA7" s="364"/>
      <c r="AB7" s="364"/>
      <c r="AC7" s="364"/>
      <c r="AD7" s="364"/>
      <c r="AE7" s="364"/>
      <c r="AF7" s="364"/>
      <c r="AG7" s="364"/>
      <c r="AH7" s="364"/>
      <c r="AI7" s="69"/>
      <c r="AJ7" s="364"/>
      <c r="AK7" s="69"/>
      <c r="AL7" s="69"/>
      <c r="AM7" s="69"/>
      <c r="AN7" s="69"/>
      <c r="AO7" s="69"/>
      <c r="AP7" s="69"/>
      <c r="AQ7" s="69"/>
      <c r="AR7" s="69"/>
      <c r="AS7" s="69"/>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c r="CT7" s="364"/>
      <c r="CU7" s="364"/>
      <c r="CV7" s="364"/>
      <c r="CW7" s="364"/>
      <c r="CX7" s="364"/>
      <c r="CY7" s="364"/>
      <c r="CZ7" s="364"/>
      <c r="DA7" s="364"/>
      <c r="DB7" s="364"/>
      <c r="DC7" s="364"/>
      <c r="DD7" s="364"/>
      <c r="DE7" s="364"/>
      <c r="DF7" s="364"/>
      <c r="DG7" s="364"/>
      <c r="DH7" s="364"/>
      <c r="DI7" s="364"/>
      <c r="DJ7" s="364"/>
      <c r="DK7" s="364"/>
      <c r="DL7" s="364"/>
      <c r="DM7" s="364"/>
      <c r="DN7" s="364"/>
      <c r="DO7" s="364"/>
    </row>
    <row r="8" spans="1:119" s="109" customFormat="1" x14ac:dyDescent="0.3">
      <c r="A8" s="364"/>
      <c r="B8" s="364" t="s">
        <v>19</v>
      </c>
      <c r="C8" s="92" t="s">
        <v>27</v>
      </c>
      <c r="D8" s="364"/>
      <c r="E8" s="364"/>
      <c r="F8" s="364"/>
      <c r="G8" s="92"/>
      <c r="H8" s="364"/>
      <c r="I8" s="364"/>
      <c r="J8" s="702">
        <v>1</v>
      </c>
      <c r="K8" s="364" t="s">
        <v>115</v>
      </c>
      <c r="L8" s="364"/>
      <c r="M8" s="364"/>
      <c r="N8" s="364"/>
      <c r="O8" s="364"/>
      <c r="P8" s="364"/>
      <c r="Q8" s="364"/>
      <c r="R8" s="364"/>
      <c r="S8" s="364"/>
      <c r="T8" s="364"/>
      <c r="U8" s="364"/>
      <c r="V8" s="364"/>
      <c r="W8" s="364"/>
      <c r="X8" s="364"/>
      <c r="Y8" s="364"/>
      <c r="Z8" s="364"/>
      <c r="AA8" s="364"/>
      <c r="AB8" s="364"/>
      <c r="AC8" s="364"/>
      <c r="AD8" s="364"/>
      <c r="AE8" s="364"/>
      <c r="AF8" s="364"/>
      <c r="AG8" s="364"/>
      <c r="AH8" s="364"/>
      <c r="AI8" s="69"/>
      <c r="AJ8" s="364"/>
      <c r="AK8" s="69"/>
      <c r="AL8" s="69"/>
      <c r="AM8" s="69"/>
      <c r="AN8" s="69"/>
      <c r="AO8" s="69"/>
      <c r="AP8" s="69"/>
      <c r="AQ8" s="69"/>
      <c r="AR8" s="69"/>
      <c r="AS8" s="69"/>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4"/>
      <c r="BZ8" s="364"/>
      <c r="CA8" s="364"/>
      <c r="CB8" s="364"/>
      <c r="CC8" s="364"/>
      <c r="CD8" s="364"/>
      <c r="CE8" s="364"/>
      <c r="CF8" s="364"/>
      <c r="CG8" s="364"/>
      <c r="CH8" s="364"/>
      <c r="CI8" s="364"/>
      <c r="CJ8" s="364"/>
      <c r="CK8" s="364"/>
      <c r="CL8" s="364"/>
      <c r="CM8" s="364"/>
      <c r="CN8" s="364"/>
      <c r="CO8" s="364"/>
      <c r="CP8" s="364"/>
      <c r="CQ8" s="364"/>
      <c r="CR8" s="364"/>
      <c r="CS8" s="364"/>
      <c r="CT8" s="364"/>
      <c r="CU8" s="364"/>
      <c r="CV8" s="364"/>
      <c r="CW8" s="364"/>
      <c r="CX8" s="364"/>
      <c r="CY8" s="364"/>
      <c r="CZ8" s="364"/>
      <c r="DA8" s="364"/>
      <c r="DB8" s="364"/>
      <c r="DC8" s="364"/>
      <c r="DD8" s="364"/>
      <c r="DE8" s="364"/>
      <c r="DF8" s="364"/>
      <c r="DG8" s="364"/>
      <c r="DH8" s="364"/>
      <c r="DI8" s="364"/>
      <c r="DJ8" s="364"/>
      <c r="DK8" s="364"/>
      <c r="DL8" s="364"/>
      <c r="DM8" s="364"/>
      <c r="DN8" s="364"/>
      <c r="DO8" s="364"/>
    </row>
    <row r="9" spans="1:119" s="109" customFormat="1" x14ac:dyDescent="0.3">
      <c r="A9" s="364"/>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69"/>
      <c r="AJ9" s="364"/>
      <c r="AK9" s="69"/>
      <c r="AL9" s="69"/>
      <c r="AM9" s="69"/>
      <c r="AN9" s="69"/>
      <c r="AO9" s="69"/>
      <c r="AP9" s="69"/>
      <c r="AQ9" s="69"/>
      <c r="AR9" s="69"/>
      <c r="AS9" s="69"/>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c r="CQ9" s="364"/>
      <c r="CR9" s="364"/>
      <c r="CS9" s="364"/>
      <c r="CT9" s="364"/>
      <c r="CU9" s="364"/>
      <c r="CV9" s="364"/>
      <c r="CW9" s="364"/>
      <c r="CX9" s="364"/>
      <c r="CY9" s="364"/>
      <c r="CZ9" s="364"/>
      <c r="DA9" s="364"/>
      <c r="DB9" s="364"/>
      <c r="DC9" s="364"/>
      <c r="DD9" s="364"/>
      <c r="DE9" s="364"/>
      <c r="DF9" s="364"/>
      <c r="DG9" s="364"/>
      <c r="DH9" s="364"/>
      <c r="DI9" s="364"/>
      <c r="DJ9" s="364"/>
      <c r="DK9" s="364"/>
      <c r="DL9" s="364"/>
      <c r="DM9" s="364"/>
      <c r="DN9" s="364"/>
      <c r="DO9" s="364"/>
    </row>
    <row r="10" spans="1:119" s="96" customFormat="1" x14ac:dyDescent="0.3">
      <c r="A10" s="283"/>
      <c r="B10" s="336" t="s">
        <v>134</v>
      </c>
      <c r="C10" s="283"/>
      <c r="D10" s="283"/>
      <c r="E10" s="283"/>
      <c r="F10" s="283"/>
      <c r="G10" s="469" t="str">
        <f>IF(COUNTIF(F15:F39,"Error")&gt;0,"ERROR-"&amp;COUNTIF(F15:F39,"Error"),"")</f>
        <v/>
      </c>
      <c r="H10" s="469"/>
      <c r="I10" s="469" t="str">
        <f>IF(COUNTIF(H15:H39,"Error")&gt;0,"ERROR-"&amp;COUNTIF(H15:H39,"Error"),"")</f>
        <v/>
      </c>
      <c r="J10" s="283"/>
      <c r="K10" s="469" t="str">
        <f>IF(COUNTIF(J15:J39,"Error")&gt;0,"ERROR-"&amp;COUNTIF(J15:J39,"Error"),"")</f>
        <v/>
      </c>
      <c r="L10" s="283"/>
      <c r="M10" s="469" t="str">
        <f>IF(COUNTIF(L15:L39,"Error")&gt;0,"ERROR-"&amp;COUNTIF(L15:L39,"Error"),"")</f>
        <v/>
      </c>
      <c r="N10" s="283"/>
      <c r="O10" s="469" t="str">
        <f>IF(COUNTIF(N15:N39,"Error")&gt;0,"ERROR-"&amp;COUNTIF(N15:N39,"Error"),"")</f>
        <v/>
      </c>
      <c r="P10" s="283"/>
      <c r="Q10" s="469" t="str">
        <f>IF(COUNTIF(P15:P39,"Error")&gt;0,"ERROR-"&amp;COUNTIF(P15:P39,"Error"),"")</f>
        <v/>
      </c>
      <c r="R10" s="283"/>
      <c r="S10" s="469" t="str">
        <f>IF(COUNTIF(R15:R39,"Error")&gt;0,"ERROR-"&amp;COUNTIF(R15:R39,"Error"),"")</f>
        <v/>
      </c>
      <c r="T10" s="283"/>
      <c r="U10" s="469" t="str">
        <f>IF(COUNTIF(T15:T39,"Error")&gt;0,"ERROR-"&amp;COUNTIF(T15:T39,"Error"),"")</f>
        <v/>
      </c>
      <c r="V10" s="283"/>
      <c r="W10" s="469" t="str">
        <f>IF(COUNTIF(V15:V39,"Error")&gt;0,"ERROR-"&amp;COUNTIF(V15:V39,"Error"),"")</f>
        <v/>
      </c>
      <c r="X10" s="283"/>
      <c r="Y10" s="469" t="str">
        <f>IF(COUNTIF(X15:X39,"Error")&gt;0,"ERROR-"&amp;COUNTIF(X15:X39,"Error"),"")</f>
        <v>ERROR-21</v>
      </c>
      <c r="Z10" s="283"/>
      <c r="AA10" s="469" t="str">
        <f t="shared" ref="AA10" si="0">IF(COUNTIF(Z15:Z39,"Error")&gt;0,"ERROR-"&amp;COUNTIF(Z15:Z39,"Error"),"")</f>
        <v/>
      </c>
      <c r="AB10" s="283"/>
      <c r="AC10" s="469" t="str">
        <f t="shared" ref="AC10" si="1">IF(COUNTIF(AB15:AB39,"Error")&gt;0,"ERROR-"&amp;COUNTIF(AB15:AB39,"Error"),"")</f>
        <v/>
      </c>
      <c r="AD10" s="283"/>
      <c r="AE10" s="469" t="str">
        <f t="shared" ref="AE10" si="2">IF(COUNTIF(AD15:AD39,"Error")&gt;0,"ERROR-"&amp;COUNTIF(AD15:AD39,"Error"),"")</f>
        <v/>
      </c>
      <c r="AF10" s="283"/>
      <c r="AG10" s="469" t="str">
        <f t="shared" ref="AG10" si="3">IF(COUNTIF(AF15:AF39,"Error")&gt;0,"ERROR-"&amp;COUNTIF(AF15:AF39,"Error"),"")</f>
        <v/>
      </c>
      <c r="AH10" s="283"/>
      <c r="AI10" s="469" t="str">
        <f t="shared" ref="AI10" si="4">IF(COUNTIF(AH15:AH39,"Error")&gt;0,"ERROR-"&amp;COUNTIF(AH15:AH39,"Error"),"")</f>
        <v/>
      </c>
      <c r="AJ10" s="283"/>
      <c r="AK10" s="469" t="str">
        <f t="shared" ref="AK10" si="5">IF(COUNTIF(AJ15:AJ39,"Error")&gt;0,"ERROR-"&amp;COUNTIF(AJ15:AJ39,"Error"),"")</f>
        <v/>
      </c>
      <c r="AL10" s="283"/>
      <c r="AM10" s="469" t="str">
        <f t="shared" ref="AM10" si="6">IF(COUNTIF(AL15:AL39,"Error")&gt;0,"ERROR-"&amp;COUNTIF(AL15:AL39,"Error"),"")</f>
        <v/>
      </c>
      <c r="AT10" s="104" t="s">
        <v>921</v>
      </c>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D10" s="50" t="s">
        <v>921</v>
      </c>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row>
    <row r="11" spans="1:119" s="89" customFormat="1" x14ac:dyDescent="0.3">
      <c r="A11" s="77"/>
      <c r="B11" s="377" t="s">
        <v>922</v>
      </c>
      <c r="C11" s="77"/>
      <c r="D11" s="77"/>
      <c r="E11" s="77"/>
      <c r="F11" s="91"/>
      <c r="J11" s="91"/>
      <c r="K11" s="48"/>
      <c r="L11" s="91"/>
      <c r="N11" s="91"/>
      <c r="P11" s="91"/>
      <c r="R11" s="91"/>
      <c r="T11" s="91"/>
      <c r="V11" s="91"/>
      <c r="X11" s="91"/>
      <c r="Z11" s="91"/>
      <c r="AB11" s="91"/>
      <c r="AD11" s="91"/>
      <c r="AH11" s="91"/>
      <c r="AJ11" s="91"/>
      <c r="AL11" s="93"/>
      <c r="AM11" s="41"/>
      <c r="AN11" s="93"/>
      <c r="AO11" s="93"/>
      <c r="AP11" s="41"/>
      <c r="AT11" s="845" t="s">
        <v>923</v>
      </c>
      <c r="AU11" s="357"/>
      <c r="AV11" s="357"/>
      <c r="AW11" s="357"/>
      <c r="AX11" s="357"/>
      <c r="AY11" s="357"/>
      <c r="AZ11" s="357"/>
      <c r="BA11" s="357"/>
      <c r="BB11" s="357"/>
      <c r="BC11" s="357"/>
      <c r="BD11" s="357"/>
      <c r="BE11" s="357"/>
      <c r="BF11" s="357"/>
      <c r="BG11" s="357"/>
      <c r="BH11" s="357"/>
      <c r="BI11" s="357"/>
      <c r="BJ11" s="357"/>
      <c r="BK11" s="357"/>
      <c r="BL11" s="357"/>
      <c r="BM11" s="357"/>
      <c r="BN11" s="357"/>
      <c r="BO11" s="357"/>
      <c r="BP11" s="357"/>
      <c r="BQ11" s="357"/>
      <c r="BR11" s="357"/>
      <c r="BS11" s="92"/>
      <c r="BT11" s="92"/>
      <c r="BU11" s="92"/>
      <c r="BV11" s="357"/>
      <c r="BW11" s="357"/>
      <c r="BX11" s="357"/>
      <c r="BY11" s="357"/>
      <c r="BZ11" s="357"/>
      <c r="CA11" s="357"/>
      <c r="CB11" s="357"/>
      <c r="CC11" s="357"/>
      <c r="CD11" s="606" t="s">
        <v>923</v>
      </c>
      <c r="CE11" s="357"/>
      <c r="CF11" s="357"/>
      <c r="CG11" s="357"/>
      <c r="CH11" s="357"/>
      <c r="CI11" s="357"/>
      <c r="CJ11" s="357"/>
      <c r="CK11" s="357"/>
      <c r="CL11" s="357"/>
      <c r="CM11" s="357"/>
      <c r="CN11" s="357"/>
      <c r="CO11" s="357"/>
      <c r="CP11" s="357"/>
      <c r="CQ11" s="357"/>
      <c r="CR11" s="357"/>
      <c r="CS11" s="357"/>
      <c r="CT11" s="357"/>
      <c r="CU11" s="357"/>
      <c r="CV11" s="357"/>
      <c r="CW11" s="357"/>
      <c r="CX11" s="357"/>
      <c r="CY11" s="357"/>
      <c r="CZ11" s="357"/>
      <c r="DA11" s="357"/>
      <c r="DB11" s="357"/>
    </row>
    <row r="12" spans="1:119" s="89" customFormat="1" x14ac:dyDescent="0.3">
      <c r="B12" s="84" t="s">
        <v>870</v>
      </c>
      <c r="F12" s="91"/>
      <c r="J12" s="91"/>
      <c r="K12" s="48"/>
      <c r="L12" s="91"/>
      <c r="N12" s="91"/>
      <c r="P12" s="91"/>
      <c r="R12" s="91"/>
      <c r="T12" s="91"/>
      <c r="V12" s="91"/>
      <c r="X12" s="91"/>
      <c r="Z12" s="91"/>
      <c r="AB12" s="91"/>
      <c r="AD12" s="91"/>
      <c r="AH12" s="91"/>
      <c r="AJ12" s="91"/>
      <c r="AL12" s="93"/>
      <c r="AM12" s="41"/>
      <c r="AN12" s="93"/>
      <c r="AO12" s="93"/>
      <c r="AP12" s="41"/>
      <c r="AT12" s="357"/>
      <c r="AU12" s="357"/>
      <c r="AV12" s="357"/>
      <c r="AW12" s="357"/>
      <c r="AX12" s="357"/>
      <c r="AY12" s="357" t="s">
        <v>924</v>
      </c>
      <c r="AZ12" s="357"/>
      <c r="BA12" s="357"/>
      <c r="BB12" s="357"/>
      <c r="BC12" s="357" t="s">
        <v>925</v>
      </c>
      <c r="BD12" s="357"/>
      <c r="BE12" s="357"/>
      <c r="BF12" s="357"/>
      <c r="BG12" s="357" t="s">
        <v>925</v>
      </c>
      <c r="BH12" s="357"/>
      <c r="BI12" s="357"/>
      <c r="BJ12" s="357"/>
      <c r="BK12" s="357" t="s">
        <v>925</v>
      </c>
      <c r="BL12" s="357"/>
      <c r="BM12" s="357"/>
      <c r="BN12" s="357"/>
      <c r="BO12" s="357" t="s">
        <v>925</v>
      </c>
      <c r="BP12" s="357"/>
      <c r="BQ12" s="83"/>
      <c r="BR12" s="83"/>
      <c r="BU12" s="83"/>
      <c r="BV12" s="357"/>
      <c r="BW12" s="357"/>
      <c r="BX12" s="357"/>
      <c r="BY12" s="357"/>
      <c r="BZ12" s="357"/>
      <c r="CA12" s="357"/>
      <c r="CB12" s="357"/>
      <c r="CC12" s="357"/>
      <c r="CD12" s="357"/>
      <c r="CE12" s="357"/>
      <c r="CF12" s="357"/>
      <c r="CG12" s="357"/>
      <c r="CH12" s="357"/>
      <c r="CI12" s="357" t="s">
        <v>924</v>
      </c>
      <c r="CJ12" s="357"/>
      <c r="CK12" s="357"/>
      <c r="CL12" s="357"/>
      <c r="CM12" s="357" t="s">
        <v>925</v>
      </c>
      <c r="CN12" s="357"/>
      <c r="CO12" s="357"/>
      <c r="CP12" s="357"/>
      <c r="CQ12" s="357" t="s">
        <v>925</v>
      </c>
      <c r="CR12" s="357"/>
      <c r="CS12" s="357"/>
      <c r="CT12" s="357"/>
      <c r="CU12" s="357" t="s">
        <v>925</v>
      </c>
      <c r="CV12" s="357"/>
      <c r="CW12" s="357"/>
      <c r="CX12" s="357"/>
      <c r="CY12" s="357" t="s">
        <v>925</v>
      </c>
      <c r="CZ12" s="357"/>
    </row>
    <row r="13" spans="1:119" s="84" customFormat="1" ht="38.25" customHeight="1" x14ac:dyDescent="0.3">
      <c r="B13" s="115" t="s">
        <v>580</v>
      </c>
      <c r="C13" s="123" t="s">
        <v>52</v>
      </c>
      <c r="D13" s="274"/>
      <c r="E13" s="123" t="s">
        <v>524</v>
      </c>
      <c r="F13" s="274"/>
      <c r="G13" s="319" t="s">
        <v>528</v>
      </c>
      <c r="H13" s="488"/>
      <c r="I13" s="319" t="s">
        <v>529</v>
      </c>
      <c r="J13" s="274"/>
      <c r="K13" s="173" t="s">
        <v>926</v>
      </c>
      <c r="L13" s="274"/>
      <c r="M13" s="117" t="s">
        <v>927</v>
      </c>
      <c r="N13" s="226"/>
      <c r="O13" s="173" t="s">
        <v>928</v>
      </c>
      <c r="P13" s="274"/>
      <c r="Q13" s="117" t="s">
        <v>929</v>
      </c>
      <c r="R13" s="226"/>
      <c r="S13" s="173" t="s">
        <v>930</v>
      </c>
      <c r="T13" s="274"/>
      <c r="U13" s="117" t="s">
        <v>931</v>
      </c>
      <c r="V13" s="226"/>
      <c r="W13" s="173" t="s">
        <v>932</v>
      </c>
      <c r="X13" s="274"/>
      <c r="Y13" s="117" t="s">
        <v>933</v>
      </c>
      <c r="Z13" s="226"/>
      <c r="AA13" s="314" t="s">
        <v>934</v>
      </c>
      <c r="AB13" s="274"/>
      <c r="AC13" s="173" t="s">
        <v>935</v>
      </c>
      <c r="AD13" s="274"/>
      <c r="AE13" s="117" t="s">
        <v>530</v>
      </c>
      <c r="AF13" s="274"/>
      <c r="AG13" s="173" t="s">
        <v>531</v>
      </c>
      <c r="AH13" s="173"/>
      <c r="AI13" s="173" t="s">
        <v>532</v>
      </c>
      <c r="AJ13" s="274"/>
      <c r="AK13" s="117" t="s">
        <v>936</v>
      </c>
      <c r="AL13" s="274"/>
      <c r="AM13" s="117" t="s">
        <v>937</v>
      </c>
      <c r="AN13" s="86"/>
      <c r="AO13" s="88"/>
      <c r="AP13" s="313"/>
      <c r="AQ13" s="86"/>
      <c r="AR13" s="88"/>
      <c r="AT13" s="607" t="s">
        <v>870</v>
      </c>
      <c r="AU13" s="607"/>
      <c r="AV13" s="607"/>
      <c r="AW13" s="607"/>
      <c r="AX13" s="607"/>
      <c r="AY13" s="607" t="s">
        <v>938</v>
      </c>
      <c r="AZ13" s="607"/>
      <c r="BA13" s="607"/>
      <c r="BB13" s="607"/>
      <c r="BC13" s="607" t="s">
        <v>938</v>
      </c>
      <c r="BD13" s="607"/>
      <c r="BE13" s="607"/>
      <c r="BF13" s="607"/>
      <c r="BG13" s="607" t="s">
        <v>939</v>
      </c>
      <c r="BH13" s="607"/>
      <c r="BI13" s="607"/>
      <c r="BJ13" s="607"/>
      <c r="BK13" s="607" t="s">
        <v>940</v>
      </c>
      <c r="BL13" s="607"/>
      <c r="BM13" s="607"/>
      <c r="BN13" s="607"/>
      <c r="BO13" s="607" t="s">
        <v>941</v>
      </c>
      <c r="BP13" s="607"/>
      <c r="BQ13" s="607"/>
      <c r="BR13" s="607"/>
      <c r="BU13" s="90"/>
      <c r="BV13" s="90"/>
      <c r="BW13" s="90"/>
      <c r="BX13" s="607"/>
      <c r="BY13" s="607"/>
      <c r="BZ13" s="607"/>
      <c r="CA13" s="607"/>
      <c r="CB13" s="607"/>
      <c r="CC13" s="607"/>
      <c r="CD13" s="607" t="s">
        <v>870</v>
      </c>
      <c r="CE13" s="607"/>
      <c r="CF13" s="607"/>
      <c r="CG13" s="607"/>
      <c r="CH13" s="607"/>
      <c r="CI13" s="607" t="s">
        <v>938</v>
      </c>
      <c r="CJ13" s="607"/>
      <c r="CK13" s="607"/>
      <c r="CL13" s="607"/>
      <c r="CM13" s="607" t="s">
        <v>938</v>
      </c>
      <c r="CN13" s="607"/>
      <c r="CO13" s="607"/>
      <c r="CP13" s="607"/>
      <c r="CQ13" s="607" t="s">
        <v>939</v>
      </c>
      <c r="CR13" s="607"/>
      <c r="CS13" s="607"/>
      <c r="CT13" s="607"/>
      <c r="CU13" s="607" t="s">
        <v>940</v>
      </c>
      <c r="CV13" s="607"/>
      <c r="CW13" s="607"/>
      <c r="CX13" s="607"/>
      <c r="CY13" s="607" t="s">
        <v>941</v>
      </c>
      <c r="CZ13" s="607"/>
      <c r="DA13" s="607"/>
      <c r="DB13" s="607"/>
    </row>
    <row r="14" spans="1:119" s="109" customFormat="1" ht="42" thickBot="1" x14ac:dyDescent="0.35">
      <c r="A14" s="364"/>
      <c r="B14" s="315" t="s">
        <v>942</v>
      </c>
      <c r="C14" s="124"/>
      <c r="D14" s="315"/>
      <c r="E14" s="124"/>
      <c r="F14" s="315"/>
      <c r="G14" s="124" t="s">
        <v>540</v>
      </c>
      <c r="H14" s="132"/>
      <c r="I14" s="124"/>
      <c r="J14" s="315"/>
      <c r="K14" s="124" t="s">
        <v>943</v>
      </c>
      <c r="L14" s="315"/>
      <c r="M14" s="124" t="s">
        <v>944</v>
      </c>
      <c r="N14" s="315"/>
      <c r="O14" s="124" t="s">
        <v>945</v>
      </c>
      <c r="P14" s="315"/>
      <c r="Q14" s="124" t="s">
        <v>946</v>
      </c>
      <c r="R14" s="315"/>
      <c r="S14" s="124" t="s">
        <v>947</v>
      </c>
      <c r="T14" s="315"/>
      <c r="U14" s="124" t="s">
        <v>948</v>
      </c>
      <c r="V14" s="315"/>
      <c r="W14" s="124" t="s">
        <v>949</v>
      </c>
      <c r="X14" s="315"/>
      <c r="Y14" s="124" t="s">
        <v>950</v>
      </c>
      <c r="Z14" s="315"/>
      <c r="AA14" s="124" t="s">
        <v>951</v>
      </c>
      <c r="AB14" s="315"/>
      <c r="AC14" s="124" t="s">
        <v>538</v>
      </c>
      <c r="AD14" s="315"/>
      <c r="AE14" s="124" t="s">
        <v>541</v>
      </c>
      <c r="AF14" s="315"/>
      <c r="AG14" s="124" t="s">
        <v>542</v>
      </c>
      <c r="AH14" s="124"/>
      <c r="AI14" s="124"/>
      <c r="AJ14" s="315"/>
      <c r="AK14" s="124" t="s">
        <v>952</v>
      </c>
      <c r="AL14" s="315"/>
      <c r="AM14" s="149" t="s">
        <v>953</v>
      </c>
      <c r="AN14" s="82"/>
      <c r="AO14" s="82"/>
      <c r="AP14" s="82"/>
      <c r="AQ14" s="82"/>
      <c r="AR14" s="82"/>
      <c r="AS14" s="364"/>
      <c r="AT14" s="357" t="s">
        <v>121</v>
      </c>
      <c r="AU14" s="357" t="s">
        <v>523</v>
      </c>
      <c r="AV14" s="357" t="s">
        <v>52</v>
      </c>
      <c r="AW14" s="357" t="s">
        <v>896</v>
      </c>
      <c r="AX14" s="357" t="s">
        <v>954</v>
      </c>
      <c r="AY14" s="357" t="s">
        <v>955</v>
      </c>
      <c r="AZ14" s="357" t="s">
        <v>956</v>
      </c>
      <c r="BA14" s="357" t="s">
        <v>957</v>
      </c>
      <c r="BB14" s="357" t="s">
        <v>958</v>
      </c>
      <c r="BC14" s="357" t="s">
        <v>955</v>
      </c>
      <c r="BD14" s="357" t="s">
        <v>956</v>
      </c>
      <c r="BE14" s="357" t="s">
        <v>957</v>
      </c>
      <c r="BF14" s="357" t="s">
        <v>958</v>
      </c>
      <c r="BG14" s="357" t="s">
        <v>955</v>
      </c>
      <c r="BH14" s="357" t="s">
        <v>956</v>
      </c>
      <c r="BI14" s="357" t="s">
        <v>957</v>
      </c>
      <c r="BJ14" s="357" t="s">
        <v>958</v>
      </c>
      <c r="BK14" s="357" t="s">
        <v>955</v>
      </c>
      <c r="BL14" s="357" t="s">
        <v>956</v>
      </c>
      <c r="BM14" s="357" t="s">
        <v>957</v>
      </c>
      <c r="BN14" s="357" t="s">
        <v>958</v>
      </c>
      <c r="BO14" s="357" t="s">
        <v>955</v>
      </c>
      <c r="BP14" s="357" t="s">
        <v>956</v>
      </c>
      <c r="BQ14" s="357" t="s">
        <v>957</v>
      </c>
      <c r="BR14" s="357" t="s">
        <v>958</v>
      </c>
      <c r="BS14" s="364"/>
      <c r="BT14" s="364"/>
      <c r="BU14" s="364"/>
      <c r="BV14" s="364"/>
      <c r="BW14" s="364"/>
      <c r="BX14" s="357"/>
      <c r="BY14" s="357"/>
      <c r="BZ14" s="357"/>
      <c r="CA14" s="357"/>
      <c r="CB14" s="357"/>
      <c r="CC14" s="357"/>
      <c r="CD14" s="357" t="s">
        <v>121</v>
      </c>
      <c r="CE14" s="357" t="s">
        <v>523</v>
      </c>
      <c r="CF14" s="357" t="s">
        <v>52</v>
      </c>
      <c r="CG14" s="357" t="s">
        <v>896</v>
      </c>
      <c r="CH14" s="357" t="s">
        <v>954</v>
      </c>
      <c r="CI14" s="357" t="s">
        <v>955</v>
      </c>
      <c r="CJ14" s="357" t="s">
        <v>956</v>
      </c>
      <c r="CK14" s="357" t="s">
        <v>957</v>
      </c>
      <c r="CL14" s="357" t="s">
        <v>958</v>
      </c>
      <c r="CM14" s="357" t="s">
        <v>955</v>
      </c>
      <c r="CN14" s="357" t="s">
        <v>956</v>
      </c>
      <c r="CO14" s="357" t="s">
        <v>957</v>
      </c>
      <c r="CP14" s="357" t="s">
        <v>958</v>
      </c>
      <c r="CQ14" s="357" t="s">
        <v>955</v>
      </c>
      <c r="CR14" s="357" t="s">
        <v>956</v>
      </c>
      <c r="CS14" s="357" t="s">
        <v>957</v>
      </c>
      <c r="CT14" s="357" t="s">
        <v>958</v>
      </c>
      <c r="CU14" s="357" t="s">
        <v>955</v>
      </c>
      <c r="CV14" s="357" t="s">
        <v>956</v>
      </c>
      <c r="CW14" s="357" t="s">
        <v>957</v>
      </c>
      <c r="CX14" s="357" t="s">
        <v>958</v>
      </c>
      <c r="CY14" s="357" t="s">
        <v>955</v>
      </c>
      <c r="CZ14" s="357" t="s">
        <v>956</v>
      </c>
      <c r="DA14" s="357" t="s">
        <v>957</v>
      </c>
      <c r="DB14" s="357" t="s">
        <v>958</v>
      </c>
      <c r="DC14" s="364"/>
      <c r="DD14" s="364"/>
      <c r="DE14" s="364"/>
      <c r="DF14" s="364"/>
      <c r="DG14" s="364"/>
      <c r="DH14" s="364"/>
      <c r="DI14" s="364"/>
      <c r="DJ14" s="364"/>
      <c r="DK14" s="364"/>
      <c r="DL14" s="364"/>
      <c r="DM14" s="364"/>
      <c r="DN14" s="364"/>
      <c r="DO14" s="364"/>
    </row>
    <row r="15" spans="1:119" s="109" customFormat="1" ht="28.2" thickTop="1" x14ac:dyDescent="0.3">
      <c r="A15" s="364"/>
      <c r="B15" s="130" t="s">
        <v>959</v>
      </c>
      <c r="C15" s="562" t="s">
        <v>912</v>
      </c>
      <c r="D15" s="345" t="str">
        <f>IF($AW16=$E15,"X","ERROR")</f>
        <v>X</v>
      </c>
      <c r="E15" s="486">
        <v>38353</v>
      </c>
      <c r="F15" s="345" t="str">
        <f>IF($AZ65=$G15,"X","ERROR")</f>
        <v>X</v>
      </c>
      <c r="G15" s="787">
        <f>10*0.5</f>
        <v>5</v>
      </c>
      <c r="H15" s="611" t="str">
        <f>IF(ROUND($BA65,2)=$I15,"X","ERROR")</f>
        <v>X</v>
      </c>
      <c r="I15" s="613">
        <f>ROUND(E15/1000*G15,2)</f>
        <v>191.77</v>
      </c>
      <c r="J15" s="140" t="str">
        <f>IF($BB65=$K15,"X","ERROR")</f>
        <v>X</v>
      </c>
      <c r="K15" s="366" t="s">
        <v>960</v>
      </c>
      <c r="L15" s="345" t="str">
        <f>IF($BC65=$M15,"X","ERROR")</f>
        <v>X</v>
      </c>
      <c r="M15" s="393">
        <v>250</v>
      </c>
      <c r="N15" s="147" t="str">
        <f>IF($BD65=$O15,"X","ERROR")</f>
        <v>X</v>
      </c>
      <c r="O15" s="365">
        <v>200</v>
      </c>
      <c r="P15" s="345" t="str">
        <f>IF($AY16=$Q15,"X","ERROR")</f>
        <v>X</v>
      </c>
      <c r="Q15" s="871">
        <v>0.6</v>
      </c>
      <c r="R15" s="147" t="str">
        <f>IF($AZ16=$S15,"X","ERROR")</f>
        <v>X</v>
      </c>
      <c r="S15" s="373" t="s">
        <v>961</v>
      </c>
      <c r="T15" s="345" t="str">
        <f>IF($BG16=$U15,"X","ERROR")</f>
        <v>X</v>
      </c>
      <c r="U15" s="717">
        <v>1.5</v>
      </c>
      <c r="V15" s="147" t="str">
        <f>IF($BH16=$W15,"X","ERROR")</f>
        <v>X</v>
      </c>
      <c r="W15" s="365" t="s">
        <v>962</v>
      </c>
      <c r="X15" s="345" t="str">
        <f>IF(BE65=$Y15,"X","ERROR")</f>
        <v>ERROR</v>
      </c>
      <c r="Y15" s="846">
        <v>0.18</v>
      </c>
      <c r="Z15" s="147" t="str">
        <f>IF(BF65=$AA15,"X","ERROR")</f>
        <v>X</v>
      </c>
      <c r="AA15" s="365" t="s">
        <v>963</v>
      </c>
      <c r="AB15" s="345" t="str">
        <f>IF(BE203=$AC15,"X","ERROR")</f>
        <v>X</v>
      </c>
      <c r="AC15" s="512" t="s">
        <v>548</v>
      </c>
      <c r="AD15" s="345" t="str">
        <f>IF(BP203=$AE15,"X","ERROR")</f>
        <v>X</v>
      </c>
      <c r="AE15" s="512">
        <v>0</v>
      </c>
      <c r="AF15" s="140" t="str">
        <f>IF(BQ203=$AG15,"X","ERROR")</f>
        <v>X</v>
      </c>
      <c r="AG15" s="489">
        <v>0.15</v>
      </c>
      <c r="AH15" s="140" t="str">
        <f>IF(MAX(BJ172,BN172)=$AI15,"X","ERROR")</f>
        <v>X</v>
      </c>
      <c r="AI15" s="61">
        <f>ROUND(MAX(ROUND(I15,2)*AE15,AG15*E15),0)</f>
        <v>5753</v>
      </c>
      <c r="AJ15" s="345" t="str">
        <f>IF(BP65=$AK15,"X","ERROR")</f>
        <v>X</v>
      </c>
      <c r="AK15" s="393" t="s">
        <v>964</v>
      </c>
      <c r="AL15" s="345" t="str">
        <f>IF(BQ65=$AM15,"X","ERROR")</f>
        <v>X</v>
      </c>
      <c r="AM15" s="361" t="s">
        <v>965</v>
      </c>
      <c r="AN15" s="365"/>
      <c r="AO15" s="493"/>
      <c r="AP15" s="492"/>
      <c r="AQ15" s="492"/>
      <c r="AR15" s="63"/>
      <c r="AS15" s="364"/>
      <c r="AT15" s="357"/>
      <c r="AU15" s="357"/>
      <c r="AV15" s="357"/>
      <c r="AW15" s="357" t="s">
        <v>966</v>
      </c>
      <c r="AX15" s="357"/>
      <c r="AY15" s="357" t="s">
        <v>967</v>
      </c>
      <c r="AZ15" s="357"/>
      <c r="BA15" s="357" t="s">
        <v>968</v>
      </c>
      <c r="BB15" s="357" t="s">
        <v>969</v>
      </c>
      <c r="BC15" s="357" t="s">
        <v>967</v>
      </c>
      <c r="BD15" s="357"/>
      <c r="BE15" s="357" t="s">
        <v>968</v>
      </c>
      <c r="BF15" s="357" t="s">
        <v>969</v>
      </c>
      <c r="BG15" s="357" t="s">
        <v>967</v>
      </c>
      <c r="BH15" s="357"/>
      <c r="BI15" s="357" t="s">
        <v>968</v>
      </c>
      <c r="BJ15" s="357" t="s">
        <v>969</v>
      </c>
      <c r="BK15" s="357" t="s">
        <v>967</v>
      </c>
      <c r="BL15" s="357"/>
      <c r="BM15" s="357" t="s">
        <v>968</v>
      </c>
      <c r="BN15" s="357" t="s">
        <v>969</v>
      </c>
      <c r="BO15" s="357" t="s">
        <v>967</v>
      </c>
      <c r="BP15" s="357"/>
      <c r="BQ15" s="357" t="s">
        <v>968</v>
      </c>
      <c r="BR15" s="357" t="s">
        <v>969</v>
      </c>
      <c r="BS15" s="364"/>
      <c r="BT15" s="364"/>
      <c r="BU15" s="364"/>
      <c r="BV15" s="364"/>
      <c r="BW15" s="364"/>
      <c r="BX15" s="357"/>
      <c r="BY15" s="357"/>
      <c r="BZ15" s="357"/>
      <c r="CA15" s="357"/>
      <c r="CB15" s="357"/>
      <c r="CC15" s="357"/>
      <c r="CD15" s="357"/>
      <c r="CE15" s="357"/>
      <c r="CF15" s="357"/>
      <c r="CG15" s="357" t="s">
        <v>966</v>
      </c>
      <c r="CH15" s="357"/>
      <c r="CI15" s="357" t="s">
        <v>967</v>
      </c>
      <c r="CJ15" s="357"/>
      <c r="CK15" s="357" t="s">
        <v>968</v>
      </c>
      <c r="CL15" s="357" t="s">
        <v>969</v>
      </c>
      <c r="CM15" s="357" t="s">
        <v>967</v>
      </c>
      <c r="CN15" s="357"/>
      <c r="CO15" s="357" t="s">
        <v>968</v>
      </c>
      <c r="CP15" s="357" t="s">
        <v>969</v>
      </c>
      <c r="CQ15" s="357" t="s">
        <v>967</v>
      </c>
      <c r="CR15" s="357"/>
      <c r="CS15" s="357" t="s">
        <v>968</v>
      </c>
      <c r="CT15" s="357" t="s">
        <v>969</v>
      </c>
      <c r="CU15" s="357" t="s">
        <v>967</v>
      </c>
      <c r="CV15" s="357"/>
      <c r="CW15" s="357" t="s">
        <v>968</v>
      </c>
      <c r="CX15" s="357" t="s">
        <v>969</v>
      </c>
      <c r="CY15" s="357" t="s">
        <v>967</v>
      </c>
      <c r="CZ15" s="357"/>
      <c r="DA15" s="357" t="s">
        <v>968</v>
      </c>
      <c r="DB15" s="357" t="s">
        <v>969</v>
      </c>
      <c r="DC15" s="364"/>
      <c r="DD15" s="364"/>
      <c r="DE15" s="364"/>
      <c r="DF15" s="364"/>
      <c r="DG15" s="364"/>
      <c r="DH15" s="364"/>
      <c r="DI15" s="364"/>
      <c r="DJ15" s="364"/>
      <c r="DK15" s="364"/>
      <c r="DL15" s="364"/>
      <c r="DM15" s="364"/>
      <c r="DN15" s="364"/>
      <c r="DO15" s="364"/>
    </row>
    <row r="16" spans="1:119" s="109" customFormat="1" ht="27.6" x14ac:dyDescent="0.3">
      <c r="A16" s="364"/>
      <c r="B16" s="130" t="s">
        <v>970</v>
      </c>
      <c r="C16" s="562" t="s">
        <v>971</v>
      </c>
      <c r="D16" s="140" t="str">
        <f t="shared" ref="D16" si="7">IF($AW17=$E16,"X","ERROR")</f>
        <v>X</v>
      </c>
      <c r="E16" s="486">
        <v>27257.599999999999</v>
      </c>
      <c r="F16" s="140" t="str">
        <f>IF($AZ66=$G16,"X","ERROR")</f>
        <v>X</v>
      </c>
      <c r="G16" s="795">
        <f>ROUNDDOWN(16.67*0.5,3)</f>
        <v>8.3350000000000009</v>
      </c>
      <c r="H16" s="612" t="str">
        <f>IF(ROUND($BA66,2)=$I16,"X","ERROR")</f>
        <v>X</v>
      </c>
      <c r="I16" s="613">
        <f>ROUND(E16/1000*G16,2)</f>
        <v>227.19</v>
      </c>
      <c r="J16" s="140" t="str">
        <f>IF($BB66=$K16,"X","ERROR")</f>
        <v>X</v>
      </c>
      <c r="K16" s="366" t="s">
        <v>972</v>
      </c>
      <c r="L16" s="140" t="str">
        <f>IF($BC66=$M16,"X","ERROR")</f>
        <v>X</v>
      </c>
      <c r="M16" s="361">
        <v>250</v>
      </c>
      <c r="N16" s="147" t="str">
        <f>IF($BD66=$O16,"X","ERROR")</f>
        <v>X</v>
      </c>
      <c r="O16" s="365">
        <v>200</v>
      </c>
      <c r="P16" s="140" t="str">
        <f>IF($AY17=$Q16,"X","ERROR")</f>
        <v>X</v>
      </c>
      <c r="Q16" s="203">
        <v>1</v>
      </c>
      <c r="R16" s="147" t="str">
        <f>IF($AZ17=$S16,"X","ERROR")</f>
        <v>X</v>
      </c>
      <c r="S16" s="373" t="s">
        <v>973</v>
      </c>
      <c r="T16" s="140" t="str">
        <f>IF($BG17=$U16,"X","ERROR")</f>
        <v>X</v>
      </c>
      <c r="U16" s="718">
        <v>1</v>
      </c>
      <c r="V16" s="147" t="str">
        <f>IF($BH17=$W16,"X","ERROR")</f>
        <v>X</v>
      </c>
      <c r="W16" s="365" t="s">
        <v>974</v>
      </c>
      <c r="X16" s="140" t="str">
        <f>IF(BE66=$Y16,"X","ERROR")</f>
        <v>ERROR</v>
      </c>
      <c r="Y16" s="840">
        <v>0.18</v>
      </c>
      <c r="Z16" s="147" t="str">
        <f>IF(BF66=$AA16,"X","ERROR")</f>
        <v>X</v>
      </c>
      <c r="AA16" s="365" t="s">
        <v>975</v>
      </c>
      <c r="AB16" s="140" t="str">
        <f>IF(BE204=$AC16,"X","ERROR")</f>
        <v>X</v>
      </c>
      <c r="AC16" s="719" t="s">
        <v>548</v>
      </c>
      <c r="AD16" s="140" t="str">
        <f>IF(BP204=$AE16,"X","ERROR")</f>
        <v>X</v>
      </c>
      <c r="AE16" s="719">
        <v>15</v>
      </c>
      <c r="AF16" s="140" t="str">
        <f>IF(BQ204=$AG16,"X","ERROR")</f>
        <v>X</v>
      </c>
      <c r="AG16" s="489">
        <v>0.2</v>
      </c>
      <c r="AH16" s="140" t="str">
        <f>IF(MAX(BJ173,BN173)=$AI16,"X","ERROR")</f>
        <v>X</v>
      </c>
      <c r="AI16" s="61">
        <f>ROUND(MAX(ROUND(I16,2)*AE16,AG16*E16),0)</f>
        <v>5452</v>
      </c>
      <c r="AJ16" s="140" t="str">
        <f>IF(BP66=$AK16,"X","ERROR")</f>
        <v>X</v>
      </c>
      <c r="AK16" s="361" t="s">
        <v>976</v>
      </c>
      <c r="AL16" s="140" t="str">
        <f>IF(BQ66=$AM16,"X","ERROR")</f>
        <v>X</v>
      </c>
      <c r="AM16" s="361" t="s">
        <v>977</v>
      </c>
      <c r="AN16" s="365"/>
      <c r="AO16" s="619"/>
      <c r="AP16" s="20"/>
      <c r="AQ16" s="365"/>
      <c r="AR16" s="63"/>
      <c r="AS16" s="364"/>
      <c r="AT16" s="357" t="s">
        <v>959</v>
      </c>
      <c r="AU16" s="357" t="s">
        <v>170</v>
      </c>
      <c r="AV16" s="357" t="s">
        <v>915</v>
      </c>
      <c r="AW16" s="357">
        <v>38353</v>
      </c>
      <c r="AX16" s="357">
        <v>1</v>
      </c>
      <c r="AY16" s="357">
        <v>0.6</v>
      </c>
      <c r="AZ16" s="357" t="s">
        <v>961</v>
      </c>
      <c r="BA16" s="357">
        <v>2253.1</v>
      </c>
      <c r="BB16" s="357">
        <v>51847.9</v>
      </c>
      <c r="BC16" s="357"/>
      <c r="BD16" s="357"/>
      <c r="BE16" s="357"/>
      <c r="BF16" s="357"/>
      <c r="BG16" s="357">
        <v>1.5</v>
      </c>
      <c r="BH16" s="357" t="s">
        <v>962</v>
      </c>
      <c r="BI16" s="357">
        <v>2855.5</v>
      </c>
      <c r="BJ16" s="357">
        <v>164275</v>
      </c>
      <c r="BK16" s="357"/>
      <c r="BL16" s="357"/>
      <c r="BM16" s="357"/>
      <c r="BN16" s="357"/>
      <c r="BO16" s="357"/>
      <c r="BP16" s="357"/>
      <c r="BQ16" s="357"/>
      <c r="BR16" s="357"/>
      <c r="BS16" s="364"/>
      <c r="BT16" s="364"/>
      <c r="BU16" s="364"/>
      <c r="BV16" s="364"/>
      <c r="BW16" s="364"/>
      <c r="BX16" s="357"/>
      <c r="BY16" s="357"/>
      <c r="BZ16" s="357"/>
      <c r="CA16" s="357"/>
      <c r="CB16" s="357"/>
      <c r="CC16" s="357"/>
      <c r="CD16" s="357" t="s">
        <v>959</v>
      </c>
      <c r="CE16" s="357" t="s">
        <v>170</v>
      </c>
      <c r="CF16" s="357" t="s">
        <v>915</v>
      </c>
      <c r="CG16" s="357">
        <v>38353</v>
      </c>
      <c r="CH16" s="357">
        <v>1</v>
      </c>
      <c r="CI16" s="357">
        <v>0.6</v>
      </c>
      <c r="CJ16" s="357" t="s">
        <v>961</v>
      </c>
      <c r="CK16" s="357">
        <v>2253.1</v>
      </c>
      <c r="CL16" s="357">
        <v>51847.9</v>
      </c>
      <c r="CM16" s="357"/>
      <c r="CN16" s="357"/>
      <c r="CO16" s="357"/>
      <c r="CP16" s="357"/>
      <c r="CQ16" s="357">
        <v>1.5</v>
      </c>
      <c r="CR16" s="357" t="s">
        <v>962</v>
      </c>
      <c r="CS16" s="357">
        <v>2855.5</v>
      </c>
      <c r="CT16" s="357">
        <v>164275</v>
      </c>
      <c r="CU16" s="357"/>
      <c r="CV16" s="357"/>
      <c r="CW16" s="357"/>
      <c r="CX16" s="357"/>
      <c r="CY16" s="357"/>
      <c r="CZ16" s="357"/>
      <c r="DA16" s="357"/>
      <c r="DB16" s="357"/>
      <c r="DC16" s="364"/>
      <c r="DD16" s="364"/>
      <c r="DE16" s="364"/>
      <c r="DF16" s="364"/>
      <c r="DG16" s="364"/>
      <c r="DH16" s="364"/>
      <c r="DI16" s="364"/>
      <c r="DJ16" s="364"/>
      <c r="DK16" s="364"/>
      <c r="DL16" s="364"/>
      <c r="DM16" s="364"/>
      <c r="DN16" s="364"/>
      <c r="DO16" s="364"/>
    </row>
    <row r="17" spans="2:119" s="89" customFormat="1" ht="27.6" x14ac:dyDescent="0.3">
      <c r="B17" s="316" t="s">
        <v>978</v>
      </c>
      <c r="C17" s="70" t="s">
        <v>979</v>
      </c>
      <c r="D17" s="325" t="s">
        <v>173</v>
      </c>
      <c r="E17" s="406" t="s">
        <v>173</v>
      </c>
      <c r="F17" s="325" t="s">
        <v>173</v>
      </c>
      <c r="G17" s="715" t="s">
        <v>173</v>
      </c>
      <c r="H17" s="325" t="s">
        <v>173</v>
      </c>
      <c r="I17" s="406" t="s">
        <v>173</v>
      </c>
      <c r="J17" s="325" t="s">
        <v>173</v>
      </c>
      <c r="K17" s="406" t="s">
        <v>173</v>
      </c>
      <c r="L17" s="325" t="s">
        <v>173</v>
      </c>
      <c r="M17" s="406" t="s">
        <v>173</v>
      </c>
      <c r="N17" s="325" t="s">
        <v>173</v>
      </c>
      <c r="O17" s="406" t="s">
        <v>173</v>
      </c>
      <c r="P17" s="325" t="s">
        <v>173</v>
      </c>
      <c r="Q17" s="715" t="s">
        <v>173</v>
      </c>
      <c r="R17" s="325" t="s">
        <v>173</v>
      </c>
      <c r="S17" s="406" t="s">
        <v>173</v>
      </c>
      <c r="T17" s="325" t="s">
        <v>173</v>
      </c>
      <c r="U17" s="714" t="s">
        <v>173</v>
      </c>
      <c r="V17" s="325" t="s">
        <v>173</v>
      </c>
      <c r="W17" s="406" t="s">
        <v>173</v>
      </c>
      <c r="X17" s="325" t="s">
        <v>173</v>
      </c>
      <c r="Y17" s="715" t="s">
        <v>173</v>
      </c>
      <c r="Z17" s="325" t="s">
        <v>173</v>
      </c>
      <c r="AA17" s="419" t="s">
        <v>173</v>
      </c>
      <c r="AB17" s="325" t="s">
        <v>173</v>
      </c>
      <c r="AC17" s="609"/>
      <c r="AD17" s="325" t="s">
        <v>173</v>
      </c>
      <c r="AE17" s="609" t="s">
        <v>173</v>
      </c>
      <c r="AF17" s="325" t="s">
        <v>173</v>
      </c>
      <c r="AG17" s="716" t="s">
        <v>173</v>
      </c>
      <c r="AH17" s="325" t="s">
        <v>173</v>
      </c>
      <c r="AI17" s="406" t="s">
        <v>173</v>
      </c>
      <c r="AJ17" s="325" t="s">
        <v>173</v>
      </c>
      <c r="AK17" s="406" t="s">
        <v>173</v>
      </c>
      <c r="AL17" s="325" t="s">
        <v>173</v>
      </c>
      <c r="AM17" s="406" t="s">
        <v>173</v>
      </c>
      <c r="AN17" s="100"/>
      <c r="AO17" s="100"/>
      <c r="AP17" s="100"/>
      <c r="AQ17" s="100"/>
      <c r="AR17" s="100"/>
      <c r="AT17" s="357" t="s">
        <v>970</v>
      </c>
      <c r="AU17" s="357" t="s">
        <v>170</v>
      </c>
      <c r="AV17" s="357" t="s">
        <v>980</v>
      </c>
      <c r="AW17" s="357">
        <v>27257.599999999999</v>
      </c>
      <c r="AX17" s="357">
        <v>1</v>
      </c>
      <c r="AY17" s="357">
        <v>1</v>
      </c>
      <c r="AZ17" s="357" t="s">
        <v>973</v>
      </c>
      <c r="BA17" s="357">
        <v>3459.4</v>
      </c>
      <c r="BB17" s="357">
        <v>94295.1</v>
      </c>
      <c r="BC17" s="357"/>
      <c r="BD17" s="357"/>
      <c r="BE17" s="357"/>
      <c r="BF17" s="357"/>
      <c r="BG17" s="357">
        <v>1</v>
      </c>
      <c r="BH17" s="357" t="s">
        <v>974</v>
      </c>
      <c r="BI17" s="357">
        <v>3636.35</v>
      </c>
      <c r="BJ17" s="357">
        <v>99118.3</v>
      </c>
      <c r="BK17" s="357"/>
      <c r="BL17" s="357"/>
      <c r="BM17" s="357"/>
      <c r="BN17" s="357"/>
      <c r="BO17" s="357"/>
      <c r="BP17" s="357"/>
      <c r="BQ17" s="357"/>
      <c r="BR17" s="357"/>
      <c r="BX17" s="357"/>
      <c r="BY17" s="357"/>
      <c r="BZ17" s="357"/>
      <c r="CA17" s="357"/>
      <c r="CB17" s="357"/>
      <c r="CC17" s="357"/>
      <c r="CD17" s="357" t="s">
        <v>970</v>
      </c>
      <c r="CE17" s="357" t="s">
        <v>170</v>
      </c>
      <c r="CF17" s="357" t="s">
        <v>980</v>
      </c>
      <c r="CG17" s="357">
        <v>27257.599999999999</v>
      </c>
      <c r="CH17" s="357">
        <v>1</v>
      </c>
      <c r="CI17" s="357">
        <v>1</v>
      </c>
      <c r="CJ17" s="357" t="s">
        <v>973</v>
      </c>
      <c r="CK17" s="357">
        <v>3459.4</v>
      </c>
      <c r="CL17" s="357">
        <v>94295.1</v>
      </c>
      <c r="CM17" s="357"/>
      <c r="CN17" s="357"/>
      <c r="CO17" s="357"/>
      <c r="CP17" s="357"/>
      <c r="CQ17" s="357">
        <v>1</v>
      </c>
      <c r="CR17" s="357" t="s">
        <v>974</v>
      </c>
      <c r="CS17" s="357">
        <v>3636.35</v>
      </c>
      <c r="CT17" s="357">
        <v>99118.3</v>
      </c>
      <c r="CU17" s="357"/>
      <c r="CV17" s="357"/>
      <c r="CW17" s="357"/>
      <c r="CX17" s="357"/>
      <c r="CY17" s="357"/>
      <c r="CZ17" s="357"/>
      <c r="DA17" s="357"/>
      <c r="DB17" s="357"/>
    </row>
    <row r="18" spans="2:119" x14ac:dyDescent="0.3">
      <c r="B18" s="130" t="s">
        <v>981</v>
      </c>
      <c r="C18" s="562" t="s">
        <v>982</v>
      </c>
      <c r="D18" s="142" t="str">
        <f t="shared" ref="D18:D22" si="8">IF($AW19=$E18,"X","ERROR")</f>
        <v>X</v>
      </c>
      <c r="E18" s="486">
        <v>3373.61</v>
      </c>
      <c r="F18" s="142" t="str">
        <f>IF($AZ68=$G18,"X","ERROR")</f>
        <v>X</v>
      </c>
      <c r="G18" s="465">
        <f>66.67*0.5</f>
        <v>33.335000000000001</v>
      </c>
      <c r="H18" s="614" t="str">
        <f>IF(ROUND($BA68,2)=$I18,"X","ERROR")</f>
        <v>X</v>
      </c>
      <c r="I18" s="613">
        <f>ROUND(E18/1000*G18,2)</f>
        <v>112.46</v>
      </c>
      <c r="J18" s="142" t="str">
        <f>IF($BB68=$K18,"X","ERROR")</f>
        <v>X</v>
      </c>
      <c r="K18" s="366" t="s">
        <v>972</v>
      </c>
      <c r="L18" s="142" t="str">
        <f>IF($BC68=$M18,"X","ERROR")</f>
        <v>X</v>
      </c>
      <c r="M18" s="361">
        <v>250</v>
      </c>
      <c r="N18" s="181" t="str">
        <f>IF($BD68=$O18,"X","ERROR")</f>
        <v>X</v>
      </c>
      <c r="O18" s="365">
        <v>250</v>
      </c>
      <c r="P18" s="307" t="str">
        <f>IF($AY19=$Q18,"X","ERROR")</f>
        <v>X</v>
      </c>
      <c r="Q18" s="298">
        <v>0.85</v>
      </c>
      <c r="R18" s="147" t="str">
        <f>IF($AZ19=$S18,"X","ERROR")</f>
        <v>X</v>
      </c>
      <c r="S18" s="373" t="s">
        <v>973</v>
      </c>
      <c r="T18" s="307" t="str">
        <f>IF($BG19=$U18,"X","ERROR")</f>
        <v>X</v>
      </c>
      <c r="U18" s="718">
        <v>0.5</v>
      </c>
      <c r="V18" s="147" t="str">
        <f>IF($BH19=$W18,"X","ERROR")</f>
        <v>X</v>
      </c>
      <c r="W18" s="365" t="s">
        <v>974</v>
      </c>
      <c r="X18" s="307" t="str">
        <f>IF(BE68=$Y18,"X","ERROR")</f>
        <v>ERROR</v>
      </c>
      <c r="Y18" s="840">
        <v>0.09</v>
      </c>
      <c r="Z18" s="147" t="str">
        <f>IF(BF68=$AA18,"X","ERROR")</f>
        <v>X</v>
      </c>
      <c r="AA18" s="365" t="s">
        <v>975</v>
      </c>
      <c r="AB18" s="140" t="str">
        <f>IF(BE206=$AC18,"X","ERROR")</f>
        <v>X</v>
      </c>
      <c r="AC18" s="719" t="s">
        <v>548</v>
      </c>
      <c r="AD18" s="140" t="str">
        <f>IF(BP206=$AE18,"X","ERROR")</f>
        <v>X</v>
      </c>
      <c r="AE18" s="789">
        <v>14.9993</v>
      </c>
      <c r="AF18" s="140" t="str">
        <f>IF(BQ206=$AG18,"X","ERROR")</f>
        <v>X</v>
      </c>
      <c r="AG18" s="489">
        <v>0.15</v>
      </c>
      <c r="AH18" s="140" t="str">
        <f>IF(MAX(BJ175,BN175)=$AI18,"X","ERROR")</f>
        <v>X</v>
      </c>
      <c r="AI18" s="61">
        <f>ROUND(MAX(ROUND(I18,2)*AE18,AG18*E18),0)</f>
        <v>1687</v>
      </c>
      <c r="AJ18" s="307" t="str">
        <f>IF(BP68=$AK18,"X","ERROR")</f>
        <v>X</v>
      </c>
      <c r="AK18" s="361" t="s">
        <v>976</v>
      </c>
      <c r="AL18" s="307" t="str">
        <f>IF(BQ68=$AM18,"X","ERROR")</f>
        <v>X</v>
      </c>
      <c r="AM18" s="361" t="s">
        <v>977</v>
      </c>
      <c r="AN18" s="365"/>
      <c r="AO18" s="619"/>
      <c r="AP18" s="365"/>
      <c r="AQ18" s="365"/>
      <c r="AR18" s="63"/>
      <c r="AS18" s="365"/>
      <c r="AT18" s="357" t="s">
        <v>978</v>
      </c>
      <c r="AU18" s="357" t="s">
        <v>983</v>
      </c>
      <c r="AV18" s="357" t="s">
        <v>979</v>
      </c>
      <c r="AW18" s="357">
        <v>0</v>
      </c>
      <c r="AX18" s="357">
        <v>1</v>
      </c>
      <c r="AY18" s="357"/>
      <c r="AZ18" s="357"/>
      <c r="BA18" s="357"/>
      <c r="BB18" s="357"/>
      <c r="BC18" s="357"/>
      <c r="BD18" s="357"/>
      <c r="BE18" s="357"/>
      <c r="BF18" s="357"/>
      <c r="BG18" s="357"/>
      <c r="BH18" s="357"/>
      <c r="BI18" s="357"/>
      <c r="BJ18" s="357"/>
      <c r="BK18" s="357"/>
      <c r="BL18" s="357"/>
      <c r="BM18" s="357"/>
      <c r="BN18" s="357"/>
      <c r="BO18" s="357"/>
      <c r="BP18" s="357"/>
      <c r="BQ18" s="357"/>
      <c r="BR18" s="357"/>
      <c r="BU18" s="364"/>
      <c r="BV18" s="364"/>
      <c r="BW18" s="364"/>
      <c r="BX18" s="357"/>
      <c r="BY18" s="357"/>
      <c r="BZ18" s="357"/>
      <c r="CA18" s="357"/>
      <c r="CB18" s="357"/>
      <c r="CC18" s="357"/>
      <c r="CD18" s="357" t="s">
        <v>978</v>
      </c>
      <c r="CE18" s="357" t="s">
        <v>983</v>
      </c>
      <c r="CF18" s="357" t="s">
        <v>979</v>
      </c>
      <c r="CG18" s="357">
        <v>0</v>
      </c>
      <c r="CH18" s="357">
        <v>1</v>
      </c>
      <c r="CI18" s="357"/>
      <c r="CJ18" s="357"/>
      <c r="CK18" s="357"/>
      <c r="CL18" s="357"/>
      <c r="CM18" s="357"/>
      <c r="CN18" s="357"/>
      <c r="CO18" s="357"/>
      <c r="CP18" s="357"/>
      <c r="CQ18" s="357"/>
      <c r="CR18" s="357"/>
      <c r="CS18" s="357"/>
      <c r="CT18" s="357"/>
      <c r="CU18" s="357"/>
      <c r="CV18" s="357"/>
      <c r="CW18" s="357"/>
      <c r="CX18" s="357"/>
      <c r="CY18" s="357"/>
      <c r="CZ18" s="357"/>
      <c r="DA18" s="357"/>
      <c r="DB18" s="357"/>
    </row>
    <row r="19" spans="2:119" s="109" customFormat="1" ht="27.6" x14ac:dyDescent="0.3">
      <c r="B19" s="130" t="s">
        <v>984</v>
      </c>
      <c r="C19" s="562" t="s">
        <v>985</v>
      </c>
      <c r="D19" s="142" t="str">
        <f t="shared" si="8"/>
        <v>X</v>
      </c>
      <c r="E19" s="486">
        <v>2174.0500000000002</v>
      </c>
      <c r="F19" s="142" t="str">
        <f>IF($AZ69=$G19,"X","ERROR")</f>
        <v>X</v>
      </c>
      <c r="G19" s="465">
        <f>10*0.5</f>
        <v>5</v>
      </c>
      <c r="H19" s="614" t="str">
        <f>IF(ROUND($BA69,2)=$I19,"X","ERROR")</f>
        <v>X</v>
      </c>
      <c r="I19" s="613">
        <f>ROUND(E19/1000*G19,2)</f>
        <v>10.87</v>
      </c>
      <c r="J19" s="142" t="str">
        <f>IF($BB69=$K19,"X","ERROR")</f>
        <v>X</v>
      </c>
      <c r="K19" s="366" t="s">
        <v>972</v>
      </c>
      <c r="L19" s="142" t="str">
        <f>IF($BC69=$M19,"X","ERROR")</f>
        <v>X</v>
      </c>
      <c r="M19" s="361">
        <v>250</v>
      </c>
      <c r="N19" s="181" t="str">
        <f>IF($BD69=$O19,"X","ERROR")</f>
        <v>X</v>
      </c>
      <c r="O19" s="365">
        <v>250</v>
      </c>
      <c r="P19" s="140" t="str">
        <f>IF($AY20=$Q19,"X","ERROR")</f>
        <v>X</v>
      </c>
      <c r="Q19" s="203">
        <v>0.5</v>
      </c>
      <c r="R19" s="147" t="str">
        <f>IF($AZ20=$S19,"X","ERROR")</f>
        <v>X</v>
      </c>
      <c r="S19" s="373" t="s">
        <v>973</v>
      </c>
      <c r="T19" s="140" t="str">
        <f>IF($BG20=$U19,"X","ERROR")</f>
        <v>X</v>
      </c>
      <c r="U19" s="718">
        <v>0</v>
      </c>
      <c r="V19" s="147" t="str">
        <f>IF($BH20=$W19,"X","ERROR")</f>
        <v>X</v>
      </c>
      <c r="W19" s="872"/>
      <c r="X19" s="140" t="str">
        <f>IF(BE69=$Y19,"X","ERROR")</f>
        <v>ERROR</v>
      </c>
      <c r="Y19" s="840">
        <v>0</v>
      </c>
      <c r="Z19" s="147" t="str">
        <f>IF(BF69=$AA19,"X","ERROR")</f>
        <v>X</v>
      </c>
      <c r="AA19" s="365" t="s">
        <v>975</v>
      </c>
      <c r="AB19" s="140" t="str">
        <f>IF(BE207=$AC19,"X","ERROR")</f>
        <v>X</v>
      </c>
      <c r="AC19" s="719" t="s">
        <v>548</v>
      </c>
      <c r="AD19" s="140" t="str">
        <f>IF(BP207=$AE19,"X","ERROR")</f>
        <v>X</v>
      </c>
      <c r="AE19" s="719">
        <v>0</v>
      </c>
      <c r="AF19" s="140" t="str">
        <f>IF(BQ207=$AG19,"X","ERROR")</f>
        <v>X</v>
      </c>
      <c r="AG19" s="489">
        <v>0.15</v>
      </c>
      <c r="AH19" s="140" t="str">
        <f>IF(MAX(BJ176,BN176)=$AI19,"X","ERROR")</f>
        <v>X</v>
      </c>
      <c r="AI19" s="61">
        <f>ROUND(MAX(ROUND(I19,2)*AE19,AG19*E19),0)</f>
        <v>326</v>
      </c>
      <c r="AJ19" s="140" t="str">
        <f>IF(BP69=$AK19,"X","ERROR")</f>
        <v>X</v>
      </c>
      <c r="AK19" s="361" t="s">
        <v>976</v>
      </c>
      <c r="AL19" s="140" t="str">
        <f>IF(BQ69=$AM19,"X","ERROR")</f>
        <v>X</v>
      </c>
      <c r="AM19" s="361" t="s">
        <v>977</v>
      </c>
      <c r="AN19" s="365"/>
      <c r="AO19" s="63"/>
      <c r="AP19" s="63"/>
      <c r="AQ19" s="365"/>
      <c r="AR19" s="63"/>
      <c r="AS19" s="364"/>
      <c r="AT19" s="357" t="s">
        <v>981</v>
      </c>
      <c r="AU19" s="357" t="s">
        <v>170</v>
      </c>
      <c r="AV19" s="357" t="s">
        <v>986</v>
      </c>
      <c r="AW19" s="357">
        <v>3373.61</v>
      </c>
      <c r="AX19" s="357">
        <v>1</v>
      </c>
      <c r="AY19" s="357">
        <v>0.85</v>
      </c>
      <c r="AZ19" s="357" t="s">
        <v>973</v>
      </c>
      <c r="BA19" s="357">
        <v>3459.4</v>
      </c>
      <c r="BB19" s="357">
        <v>9920.07</v>
      </c>
      <c r="BC19" s="357"/>
      <c r="BD19" s="357"/>
      <c r="BE19" s="357"/>
      <c r="BF19" s="357"/>
      <c r="BG19" s="357">
        <v>0.5</v>
      </c>
      <c r="BH19" s="357" t="s">
        <v>974</v>
      </c>
      <c r="BI19" s="357">
        <v>3636.35</v>
      </c>
      <c r="BJ19" s="357">
        <v>6133.82</v>
      </c>
      <c r="BK19" s="357"/>
      <c r="BL19" s="357"/>
      <c r="BM19" s="357"/>
      <c r="BN19" s="357"/>
      <c r="BO19" s="357"/>
      <c r="BP19" s="357"/>
      <c r="BQ19" s="357"/>
      <c r="BR19" s="357"/>
      <c r="BS19" s="364"/>
      <c r="BT19" s="364"/>
      <c r="BU19" s="364"/>
      <c r="BV19" s="364"/>
      <c r="BW19" s="364"/>
      <c r="BX19" s="357"/>
      <c r="BY19" s="357"/>
      <c r="BZ19" s="357"/>
      <c r="CA19" s="357"/>
      <c r="CB19" s="357"/>
      <c r="CC19" s="357"/>
      <c r="CD19" s="357" t="s">
        <v>981</v>
      </c>
      <c r="CE19" s="357" t="s">
        <v>170</v>
      </c>
      <c r="CF19" s="357" t="s">
        <v>986</v>
      </c>
      <c r="CG19" s="357">
        <v>3373.61</v>
      </c>
      <c r="CH19" s="357">
        <v>1</v>
      </c>
      <c r="CI19" s="357">
        <v>0.85</v>
      </c>
      <c r="CJ19" s="357" t="s">
        <v>973</v>
      </c>
      <c r="CK19" s="357">
        <v>3459.4</v>
      </c>
      <c r="CL19" s="357">
        <v>9920.07</v>
      </c>
      <c r="CM19" s="357"/>
      <c r="CN19" s="357"/>
      <c r="CO19" s="357"/>
      <c r="CP19" s="357"/>
      <c r="CQ19" s="357">
        <v>0.5</v>
      </c>
      <c r="CR19" s="357" t="s">
        <v>974</v>
      </c>
      <c r="CS19" s="357">
        <v>3636.35</v>
      </c>
      <c r="CT19" s="357">
        <v>6133.82</v>
      </c>
      <c r="CU19" s="357"/>
      <c r="CV19" s="357"/>
      <c r="CW19" s="357"/>
      <c r="CX19" s="357"/>
      <c r="CY19" s="357"/>
      <c r="CZ19" s="357"/>
      <c r="DA19" s="357"/>
      <c r="DB19" s="357"/>
      <c r="DC19" s="364"/>
      <c r="DD19" s="364"/>
      <c r="DE19" s="364"/>
      <c r="DF19" s="364"/>
      <c r="DG19" s="364"/>
      <c r="DH19" s="364"/>
      <c r="DI19" s="364"/>
      <c r="DJ19" s="364"/>
      <c r="DK19" s="364"/>
      <c r="DL19" s="364"/>
      <c r="DM19" s="364"/>
      <c r="DN19" s="364"/>
      <c r="DO19" s="364"/>
    </row>
    <row r="20" spans="2:119" s="109" customFormat="1" ht="27.6" x14ac:dyDescent="0.3">
      <c r="B20" s="130" t="s">
        <v>987</v>
      </c>
      <c r="C20" s="562" t="s">
        <v>971</v>
      </c>
      <c r="D20" s="142" t="str">
        <f t="shared" si="8"/>
        <v>X</v>
      </c>
      <c r="E20" s="847">
        <v>3373.64</v>
      </c>
      <c r="F20" s="142" t="str">
        <f>IF($AZ70=$G20,"X","ERROR")</f>
        <v>X</v>
      </c>
      <c r="G20" s="795">
        <f t="shared" ref="G20:G21" si="9">ROUNDDOWN(16.67*0.5,3)</f>
        <v>8.3350000000000009</v>
      </c>
      <c r="H20" s="614" t="str">
        <f>IF(ROUND($BA70,2)=$I20,"X","ERROR")</f>
        <v>X</v>
      </c>
      <c r="I20" s="613">
        <f>ROUND(E20/1000*G20,2)</f>
        <v>28.12</v>
      </c>
      <c r="J20" s="142" t="str">
        <f>IF($BB70=$K20,"X","ERROR")</f>
        <v>X</v>
      </c>
      <c r="K20" s="366" t="s">
        <v>972</v>
      </c>
      <c r="L20" s="142" t="str">
        <f>IF($BC70=$M20,"X","ERROR")</f>
        <v>X</v>
      </c>
      <c r="M20" s="361">
        <v>250</v>
      </c>
      <c r="N20" s="181" t="str">
        <f>IF($BD70=$O20,"X","ERROR")</f>
        <v>X</v>
      </c>
      <c r="O20" s="365">
        <v>200</v>
      </c>
      <c r="P20" s="140" t="str">
        <f>IF($AY21=$Q20,"X","ERROR")</f>
        <v>X</v>
      </c>
      <c r="Q20" s="203">
        <v>1</v>
      </c>
      <c r="R20" s="147" t="str">
        <f>IF($AZ21=$S20,"X","ERROR")</f>
        <v>X</v>
      </c>
      <c r="S20" s="373" t="s">
        <v>973</v>
      </c>
      <c r="T20" s="140" t="str">
        <f>IF($BG21=$U20,"X","ERROR")</f>
        <v>X</v>
      </c>
      <c r="U20" s="718">
        <v>1</v>
      </c>
      <c r="V20" s="147" t="str">
        <f>IF($BH21=$W20,"X","ERROR")</f>
        <v>X</v>
      </c>
      <c r="W20" s="365" t="s">
        <v>974</v>
      </c>
      <c r="X20" s="140" t="str">
        <f>IF(BE70=$Y20,"X","ERROR")</f>
        <v>ERROR</v>
      </c>
      <c r="Y20" s="840">
        <v>0.18</v>
      </c>
      <c r="Z20" s="147" t="str">
        <f>IF(BF70=$AA20,"X","ERROR")</f>
        <v>X</v>
      </c>
      <c r="AA20" s="365" t="s">
        <v>975</v>
      </c>
      <c r="AB20" s="140" t="str">
        <f>IF(BE208=$AC20,"X","ERROR")</f>
        <v>X</v>
      </c>
      <c r="AC20" s="719" t="s">
        <v>548</v>
      </c>
      <c r="AD20" s="140" t="str">
        <f>IF(BP208=$AE20,"X","ERROR")</f>
        <v>X</v>
      </c>
      <c r="AE20" s="719">
        <v>15</v>
      </c>
      <c r="AF20" s="140" t="str">
        <f>IF(BQ208=$AG20,"X","ERROR")</f>
        <v>X</v>
      </c>
      <c r="AG20" s="489">
        <v>0.2</v>
      </c>
      <c r="AH20" s="140" t="str">
        <f>IF(MAX(BJ177,BN177)=$AI20,"X","ERROR")</f>
        <v>X</v>
      </c>
      <c r="AI20" s="61">
        <f>ROUND(MAX(ROUND(I20,2)*AE20,AG20*E20),0)</f>
        <v>675</v>
      </c>
      <c r="AJ20" s="140" t="str">
        <f>IF(BP70=$AK20,"X","ERROR")</f>
        <v>X</v>
      </c>
      <c r="AK20" s="361" t="s">
        <v>976</v>
      </c>
      <c r="AL20" s="140" t="str">
        <f>IF(BQ70=$AM20,"X","ERROR")</f>
        <v>X</v>
      </c>
      <c r="AM20" s="361" t="s">
        <v>977</v>
      </c>
      <c r="AN20" s="365"/>
      <c r="AO20" s="619"/>
      <c r="AP20" s="20"/>
      <c r="AQ20" s="365"/>
      <c r="AR20" s="63"/>
      <c r="AS20" s="364"/>
      <c r="AT20" s="357" t="s">
        <v>984</v>
      </c>
      <c r="AU20" s="357" t="s">
        <v>170</v>
      </c>
      <c r="AV20" s="357" t="s">
        <v>988</v>
      </c>
      <c r="AW20" s="357">
        <v>2174.0500000000002</v>
      </c>
      <c r="AX20" s="357">
        <v>1</v>
      </c>
      <c r="AY20" s="357">
        <v>0.5</v>
      </c>
      <c r="AZ20" s="357" t="s">
        <v>973</v>
      </c>
      <c r="BA20" s="357">
        <v>3459.4</v>
      </c>
      <c r="BB20" s="357">
        <v>3760.45</v>
      </c>
      <c r="BC20" s="357"/>
      <c r="BD20" s="357"/>
      <c r="BE20" s="357"/>
      <c r="BF20" s="357"/>
      <c r="BG20" s="357"/>
      <c r="BH20" s="357"/>
      <c r="BI20" s="357"/>
      <c r="BJ20" s="357"/>
      <c r="BK20" s="357"/>
      <c r="BL20" s="357"/>
      <c r="BM20" s="357"/>
      <c r="BN20" s="357"/>
      <c r="BO20" s="357"/>
      <c r="BP20" s="357"/>
      <c r="BQ20" s="357"/>
      <c r="BR20" s="357"/>
      <c r="BS20" s="364"/>
      <c r="BT20" s="364"/>
      <c r="BU20" s="364"/>
      <c r="BV20" s="364"/>
      <c r="BW20" s="364"/>
      <c r="BX20" s="357"/>
      <c r="BY20" s="357"/>
      <c r="BZ20" s="357"/>
      <c r="CA20" s="357"/>
      <c r="CB20" s="357"/>
      <c r="CC20" s="357"/>
      <c r="CD20" s="357" t="s">
        <v>984</v>
      </c>
      <c r="CE20" s="357" t="s">
        <v>170</v>
      </c>
      <c r="CF20" s="357" t="s">
        <v>988</v>
      </c>
      <c r="CG20" s="357">
        <v>2174.0500000000002</v>
      </c>
      <c r="CH20" s="357">
        <v>1</v>
      </c>
      <c r="CI20" s="357">
        <v>0.6</v>
      </c>
      <c r="CJ20" s="357" t="s">
        <v>973</v>
      </c>
      <c r="CK20" s="357">
        <v>3459.4</v>
      </c>
      <c r="CL20" s="357">
        <v>4512.55</v>
      </c>
      <c r="CM20" s="357"/>
      <c r="CN20" s="357"/>
      <c r="CO20" s="357"/>
      <c r="CP20" s="357"/>
      <c r="CQ20" s="357"/>
      <c r="CR20" s="357"/>
      <c r="CS20" s="357"/>
      <c r="CT20" s="357"/>
      <c r="CU20" s="357"/>
      <c r="CV20" s="357"/>
      <c r="CW20" s="357"/>
      <c r="CX20" s="357"/>
      <c r="CY20" s="357"/>
      <c r="CZ20" s="357"/>
      <c r="DA20" s="357"/>
      <c r="DB20" s="357"/>
      <c r="DC20" s="364"/>
      <c r="DD20" s="364"/>
      <c r="DE20" s="364"/>
      <c r="DF20" s="364"/>
      <c r="DG20" s="364"/>
      <c r="DH20" s="364"/>
      <c r="DI20" s="364"/>
      <c r="DJ20" s="364"/>
      <c r="DK20" s="364"/>
      <c r="DL20" s="364"/>
      <c r="DM20" s="364"/>
      <c r="DN20" s="364"/>
      <c r="DO20" s="364"/>
    </row>
    <row r="21" spans="2:119" s="109" customFormat="1" ht="27.6" x14ac:dyDescent="0.3">
      <c r="B21" s="130" t="s">
        <v>989</v>
      </c>
      <c r="C21" s="562" t="s">
        <v>971</v>
      </c>
      <c r="D21" s="142" t="str">
        <f t="shared" si="8"/>
        <v>X</v>
      </c>
      <c r="E21" s="486">
        <v>2174.04</v>
      </c>
      <c r="F21" s="142" t="str">
        <f>IF($AZ71=$G21,"X","ERROR")</f>
        <v>X</v>
      </c>
      <c r="G21" s="795">
        <f t="shared" si="9"/>
        <v>8.3350000000000009</v>
      </c>
      <c r="H21" s="614" t="str">
        <f>IF(ROUND($BA71,2)=$I21,"X","ERROR")</f>
        <v>X</v>
      </c>
      <c r="I21" s="613">
        <f>ROUND(E21/1000*G21,2)</f>
        <v>18.12</v>
      </c>
      <c r="J21" s="142" t="str">
        <f>IF($BB71=$K21,"X","ERROR")</f>
        <v>X</v>
      </c>
      <c r="K21" s="366" t="s">
        <v>972</v>
      </c>
      <c r="L21" s="142" t="str">
        <f>IF($BC71=$M21,"X","ERROR")</f>
        <v>X</v>
      </c>
      <c r="M21" s="361">
        <v>250</v>
      </c>
      <c r="N21" s="181" t="str">
        <f>IF($BD71=$O21,"X","ERROR")</f>
        <v>X</v>
      </c>
      <c r="O21" s="365">
        <v>200</v>
      </c>
      <c r="P21" s="140" t="str">
        <f>IF($AY22=$Q21,"X","ERROR")</f>
        <v>X</v>
      </c>
      <c r="Q21" s="203">
        <v>1</v>
      </c>
      <c r="R21" s="147" t="str">
        <f>IF($AZ22=$S21,"X","ERROR")</f>
        <v>X</v>
      </c>
      <c r="S21" s="373" t="s">
        <v>973</v>
      </c>
      <c r="T21" s="140" t="str">
        <f>IF($BG22=$U21,"X","ERROR")</f>
        <v>X</v>
      </c>
      <c r="U21" s="718">
        <v>1</v>
      </c>
      <c r="V21" s="147" t="str">
        <f>IF($BH22=$W21,"X","ERROR")</f>
        <v>X</v>
      </c>
      <c r="W21" s="365" t="s">
        <v>974</v>
      </c>
      <c r="X21" s="140" t="str">
        <f>IF(BE71=$Y21,"X","ERROR")</f>
        <v>ERROR</v>
      </c>
      <c r="Y21" s="840">
        <v>0.18</v>
      </c>
      <c r="Z21" s="147" t="str">
        <f>IF(BF71=$AA21,"X","ERROR")</f>
        <v>X</v>
      </c>
      <c r="AA21" s="365" t="s">
        <v>975</v>
      </c>
      <c r="AB21" s="140" t="str">
        <f>IF(BE209=$AC21,"X","ERROR")</f>
        <v>X</v>
      </c>
      <c r="AC21" s="719" t="s">
        <v>548</v>
      </c>
      <c r="AD21" s="140" t="str">
        <f>IF(BP209=$AE21,"X","ERROR")</f>
        <v>X</v>
      </c>
      <c r="AE21" s="719">
        <v>15</v>
      </c>
      <c r="AF21" s="140" t="str">
        <f>IF(BQ209=$AG21,"X","ERROR")</f>
        <v>X</v>
      </c>
      <c r="AG21" s="489">
        <v>0.2</v>
      </c>
      <c r="AH21" s="140" t="str">
        <f>IF(MAX(BJ178,BN178)=$AI21,"X","ERROR")</f>
        <v>X</v>
      </c>
      <c r="AI21" s="61">
        <f>ROUND(MAX(ROUND(I21,2)*AE21,AG21*E21),0)</f>
        <v>435</v>
      </c>
      <c r="AJ21" s="140" t="str">
        <f>IF(BP71=$AK21,"X","ERROR")</f>
        <v>X</v>
      </c>
      <c r="AK21" s="361" t="s">
        <v>976</v>
      </c>
      <c r="AL21" s="140" t="str">
        <f>IF(BQ71=$AM21,"X","ERROR")</f>
        <v>X</v>
      </c>
      <c r="AM21" s="361" t="s">
        <v>977</v>
      </c>
      <c r="AN21" s="365"/>
      <c r="AO21" s="619"/>
      <c r="AP21" s="20"/>
      <c r="AQ21" s="365"/>
      <c r="AR21" s="63"/>
      <c r="AS21" s="364"/>
      <c r="AT21" s="357" t="s">
        <v>987</v>
      </c>
      <c r="AU21" s="357" t="s">
        <v>170</v>
      </c>
      <c r="AV21" s="357" t="s">
        <v>980</v>
      </c>
      <c r="AW21" s="357">
        <v>3373.64</v>
      </c>
      <c r="AX21" s="357">
        <v>1</v>
      </c>
      <c r="AY21" s="357">
        <v>1</v>
      </c>
      <c r="AZ21" s="357" t="s">
        <v>973</v>
      </c>
      <c r="BA21" s="357">
        <v>3459.4</v>
      </c>
      <c r="BB21" s="357">
        <v>11670.8</v>
      </c>
      <c r="BC21" s="357"/>
      <c r="BD21" s="357"/>
      <c r="BE21" s="357"/>
      <c r="BF21" s="357"/>
      <c r="BG21" s="357">
        <v>1</v>
      </c>
      <c r="BH21" s="357" t="s">
        <v>974</v>
      </c>
      <c r="BI21" s="357">
        <v>3636.35</v>
      </c>
      <c r="BJ21" s="357">
        <v>12267.7</v>
      </c>
      <c r="BK21" s="357"/>
      <c r="BL21" s="357"/>
      <c r="BM21" s="357"/>
      <c r="BN21" s="357"/>
      <c r="BO21" s="357"/>
      <c r="BP21" s="357"/>
      <c r="BQ21" s="357"/>
      <c r="BR21" s="357"/>
      <c r="BS21" s="364"/>
      <c r="BT21" s="364"/>
      <c r="BU21" s="364"/>
      <c r="BV21" s="364"/>
      <c r="BW21" s="364"/>
      <c r="BX21" s="357"/>
      <c r="BY21" s="357"/>
      <c r="BZ21" s="357"/>
      <c r="CA21" s="357"/>
      <c r="CB21" s="357"/>
      <c r="CC21" s="357"/>
      <c r="CD21" s="357" t="s">
        <v>987</v>
      </c>
      <c r="CE21" s="357" t="s">
        <v>170</v>
      </c>
      <c r="CF21" s="357" t="s">
        <v>980</v>
      </c>
      <c r="CG21" s="357">
        <v>3373.64</v>
      </c>
      <c r="CH21" s="357">
        <v>1</v>
      </c>
      <c r="CI21" s="357">
        <v>1</v>
      </c>
      <c r="CJ21" s="357" t="s">
        <v>973</v>
      </c>
      <c r="CK21" s="357">
        <v>3459.4</v>
      </c>
      <c r="CL21" s="357">
        <v>11670.8</v>
      </c>
      <c r="CM21" s="357"/>
      <c r="CN21" s="357"/>
      <c r="CO21" s="357"/>
      <c r="CP21" s="357"/>
      <c r="CQ21" s="357">
        <v>1</v>
      </c>
      <c r="CR21" s="357" t="s">
        <v>974</v>
      </c>
      <c r="CS21" s="357">
        <v>3636.35</v>
      </c>
      <c r="CT21" s="357">
        <v>12267.7</v>
      </c>
      <c r="CU21" s="357"/>
      <c r="CV21" s="357"/>
      <c r="CW21" s="357"/>
      <c r="CX21" s="357"/>
      <c r="CY21" s="357"/>
      <c r="CZ21" s="357"/>
      <c r="DA21" s="357"/>
      <c r="DB21" s="357"/>
      <c r="DC21" s="364"/>
      <c r="DD21" s="364"/>
      <c r="DE21" s="364"/>
      <c r="DF21" s="364"/>
      <c r="DG21" s="364"/>
      <c r="DH21" s="364"/>
      <c r="DI21" s="364"/>
      <c r="DJ21" s="364"/>
      <c r="DK21" s="364"/>
      <c r="DL21" s="364"/>
      <c r="DM21" s="364"/>
      <c r="DN21" s="364"/>
      <c r="DO21" s="364"/>
    </row>
    <row r="22" spans="2:119" s="109" customFormat="1" x14ac:dyDescent="0.3">
      <c r="B22" s="130" t="s">
        <v>990</v>
      </c>
      <c r="C22" s="562" t="s">
        <v>991</v>
      </c>
      <c r="D22" s="142" t="str">
        <f t="shared" si="8"/>
        <v>X</v>
      </c>
      <c r="E22" s="486">
        <v>27257.599999999999</v>
      </c>
      <c r="F22" s="142" t="str">
        <f>IF($AZ72=$G22,"X","ERROR")</f>
        <v>X</v>
      </c>
      <c r="G22" s="465">
        <f>10*0.5</f>
        <v>5</v>
      </c>
      <c r="H22" s="614" t="str">
        <f>IF(ROUND($BA72,2)=$I22,"X","ERROR")</f>
        <v>X</v>
      </c>
      <c r="I22" s="613">
        <f>ROUND(E22/1000*G22,2)</f>
        <v>136.29</v>
      </c>
      <c r="J22" s="142" t="str">
        <f>IF($BB72=$K22,"X","ERROR")</f>
        <v>X</v>
      </c>
      <c r="K22" s="366" t="s">
        <v>992</v>
      </c>
      <c r="L22" s="142" t="str">
        <f>IF($BC72=$M22,"X","ERROR")</f>
        <v>X</v>
      </c>
      <c r="M22" s="361">
        <v>250</v>
      </c>
      <c r="N22" s="181" t="str">
        <f>IF($BD72=$O22,"X","ERROR")</f>
        <v>X</v>
      </c>
      <c r="O22" s="365">
        <v>200</v>
      </c>
      <c r="P22" s="140" t="str">
        <f>IF($AY23=$Q22,"X","ERROR")</f>
        <v>X</v>
      </c>
      <c r="Q22" s="203">
        <v>1</v>
      </c>
      <c r="R22" s="147" t="str">
        <f>IF($AZ23=$S22,"X","ERROR")</f>
        <v>X</v>
      </c>
      <c r="S22" s="373" t="s">
        <v>993</v>
      </c>
      <c r="T22" s="140" t="str">
        <f>IF($BG23=$U22,"X","ERROR")</f>
        <v>X</v>
      </c>
      <c r="U22" s="718">
        <v>1.5</v>
      </c>
      <c r="V22" s="147" t="str">
        <f>IF($BH23=$W22,"X","ERROR")</f>
        <v>X</v>
      </c>
      <c r="W22" s="20" t="s">
        <v>994</v>
      </c>
      <c r="X22" s="140" t="str">
        <f>IF(BE72=$Y22,"X","ERROR")</f>
        <v>ERROR</v>
      </c>
      <c r="Y22" s="840">
        <v>0.24</v>
      </c>
      <c r="Z22" s="147" t="str">
        <f>IF(BF72=$AA22,"X","ERROR")</f>
        <v>X</v>
      </c>
      <c r="AA22" s="365" t="s">
        <v>995</v>
      </c>
      <c r="AB22" s="140" t="str">
        <f>IF(BE210=$AC22,"X","ERROR")</f>
        <v>X</v>
      </c>
      <c r="AC22" s="719" t="s">
        <v>548</v>
      </c>
      <c r="AD22" s="140" t="str">
        <f>IF(BP210=$AE22,"X","ERROR")</f>
        <v>X</v>
      </c>
      <c r="AE22" s="719">
        <v>0</v>
      </c>
      <c r="AF22" s="140" t="str">
        <f>IF(BQ210=$AG22,"X","ERROR")</f>
        <v>X</v>
      </c>
      <c r="AG22" s="489">
        <v>0.15</v>
      </c>
      <c r="AH22" s="140" t="str">
        <f>IF(MAX(BJ179,BN179)=$AI22,"X","ERROR")</f>
        <v>X</v>
      </c>
      <c r="AI22" s="61">
        <f>ROUND(MAX(ROUND(I22,2)*AE22,AG22*E22),0)</f>
        <v>4089</v>
      </c>
      <c r="AJ22" s="140" t="str">
        <f>IF(BP72=$AK22,"X","ERROR")</f>
        <v>X</v>
      </c>
      <c r="AK22" s="202" t="s">
        <v>996</v>
      </c>
      <c r="AL22" s="140" t="str">
        <f>IF(BQ72=$AM22,"X","ERROR")</f>
        <v>X</v>
      </c>
      <c r="AM22" s="202" t="s">
        <v>997</v>
      </c>
      <c r="AN22" s="365"/>
      <c r="AO22" s="618"/>
      <c r="AP22" s="620"/>
      <c r="AQ22" s="365"/>
      <c r="AR22" s="63"/>
      <c r="AS22" s="364"/>
      <c r="AT22" s="357" t="s">
        <v>989</v>
      </c>
      <c r="AU22" s="357" t="s">
        <v>170</v>
      </c>
      <c r="AV22" s="357" t="s">
        <v>980</v>
      </c>
      <c r="AW22" s="357">
        <v>2174.04</v>
      </c>
      <c r="AX22" s="357">
        <v>1</v>
      </c>
      <c r="AY22" s="357">
        <v>1</v>
      </c>
      <c r="AZ22" s="357" t="s">
        <v>973</v>
      </c>
      <c r="BA22" s="357">
        <v>3459.4</v>
      </c>
      <c r="BB22" s="357">
        <v>7520.86</v>
      </c>
      <c r="BC22" s="357"/>
      <c r="BD22" s="357"/>
      <c r="BE22" s="357"/>
      <c r="BF22" s="357"/>
      <c r="BG22" s="357">
        <v>1</v>
      </c>
      <c r="BH22" s="357" t="s">
        <v>974</v>
      </c>
      <c r="BI22" s="357">
        <v>3636.35</v>
      </c>
      <c r="BJ22" s="357">
        <v>7905.56</v>
      </c>
      <c r="BK22" s="357"/>
      <c r="BL22" s="357"/>
      <c r="BM22" s="357"/>
      <c r="BN22" s="357"/>
      <c r="BO22" s="357"/>
      <c r="BP22" s="357"/>
      <c r="BQ22" s="357"/>
      <c r="BR22" s="357"/>
      <c r="BS22" s="364"/>
      <c r="BT22" s="364"/>
      <c r="BU22" s="364"/>
      <c r="BV22" s="364"/>
      <c r="BW22" s="364"/>
      <c r="BX22" s="357"/>
      <c r="BY22" s="357"/>
      <c r="BZ22" s="357"/>
      <c r="CA22" s="357"/>
      <c r="CB22" s="357"/>
      <c r="CC22" s="357"/>
      <c r="CD22" s="357" t="s">
        <v>989</v>
      </c>
      <c r="CE22" s="357" t="s">
        <v>170</v>
      </c>
      <c r="CF22" s="357" t="s">
        <v>980</v>
      </c>
      <c r="CG22" s="357">
        <v>2174.04</v>
      </c>
      <c r="CH22" s="357">
        <v>1</v>
      </c>
      <c r="CI22" s="357">
        <v>1</v>
      </c>
      <c r="CJ22" s="357" t="s">
        <v>973</v>
      </c>
      <c r="CK22" s="357">
        <v>3459.4</v>
      </c>
      <c r="CL22" s="357">
        <v>7520.86</v>
      </c>
      <c r="CM22" s="357"/>
      <c r="CN22" s="357"/>
      <c r="CO22" s="357"/>
      <c r="CP22" s="357"/>
      <c r="CQ22" s="357">
        <v>1</v>
      </c>
      <c r="CR22" s="357" t="s">
        <v>974</v>
      </c>
      <c r="CS22" s="357">
        <v>3636.35</v>
      </c>
      <c r="CT22" s="357">
        <v>7905.56</v>
      </c>
      <c r="CU22" s="357"/>
      <c r="CV22" s="357"/>
      <c r="CW22" s="357"/>
      <c r="CX22" s="357"/>
      <c r="CY22" s="357"/>
      <c r="CZ22" s="357"/>
      <c r="DA22" s="357"/>
      <c r="DB22" s="357"/>
      <c r="DC22" s="364"/>
      <c r="DD22" s="364"/>
      <c r="DE22" s="364"/>
      <c r="DF22" s="364"/>
      <c r="DG22" s="364"/>
      <c r="DH22" s="364"/>
      <c r="DI22" s="364"/>
      <c r="DJ22" s="364"/>
      <c r="DK22" s="364"/>
      <c r="DL22" s="364"/>
      <c r="DM22" s="364"/>
      <c r="DN22" s="364"/>
      <c r="DO22" s="364"/>
    </row>
    <row r="23" spans="2:119" s="89" customFormat="1" ht="27.6" x14ac:dyDescent="0.3">
      <c r="B23" s="316" t="s">
        <v>998</v>
      </c>
      <c r="C23" s="70" t="s">
        <v>979</v>
      </c>
      <c r="D23" s="325" t="s">
        <v>173</v>
      </c>
      <c r="E23" s="406" t="s">
        <v>173</v>
      </c>
      <c r="F23" s="325" t="s">
        <v>173</v>
      </c>
      <c r="G23" s="715" t="s">
        <v>173</v>
      </c>
      <c r="H23" s="325" t="s">
        <v>173</v>
      </c>
      <c r="I23" s="406" t="s">
        <v>173</v>
      </c>
      <c r="J23" s="325" t="s">
        <v>173</v>
      </c>
      <c r="K23" s="406" t="s">
        <v>173</v>
      </c>
      <c r="L23" s="325" t="s">
        <v>173</v>
      </c>
      <c r="M23" s="406" t="s">
        <v>173</v>
      </c>
      <c r="N23" s="325" t="s">
        <v>173</v>
      </c>
      <c r="O23" s="406" t="s">
        <v>173</v>
      </c>
      <c r="P23" s="325" t="s">
        <v>173</v>
      </c>
      <c r="Q23" s="715" t="s">
        <v>173</v>
      </c>
      <c r="R23" s="325" t="s">
        <v>173</v>
      </c>
      <c r="S23" s="406" t="s">
        <v>173</v>
      </c>
      <c r="T23" s="325" t="s">
        <v>173</v>
      </c>
      <c r="U23" s="714" t="s">
        <v>173</v>
      </c>
      <c r="V23" s="325" t="s">
        <v>173</v>
      </c>
      <c r="W23" s="406" t="s">
        <v>173</v>
      </c>
      <c r="X23" s="325" t="s">
        <v>173</v>
      </c>
      <c r="Y23" s="715" t="s">
        <v>173</v>
      </c>
      <c r="Z23" s="325" t="s">
        <v>173</v>
      </c>
      <c r="AA23" s="419" t="s">
        <v>173</v>
      </c>
      <c r="AB23" s="325" t="s">
        <v>173</v>
      </c>
      <c r="AC23" s="609"/>
      <c r="AD23" s="325" t="s">
        <v>173</v>
      </c>
      <c r="AE23" s="609" t="s">
        <v>173</v>
      </c>
      <c r="AF23" s="325" t="s">
        <v>173</v>
      </c>
      <c r="AG23" s="716" t="s">
        <v>173</v>
      </c>
      <c r="AH23" s="325" t="s">
        <v>173</v>
      </c>
      <c r="AI23" s="406" t="s">
        <v>173</v>
      </c>
      <c r="AJ23" s="325" t="s">
        <v>173</v>
      </c>
      <c r="AK23" s="406" t="s">
        <v>173</v>
      </c>
      <c r="AL23" s="325" t="s">
        <v>173</v>
      </c>
      <c r="AM23" s="406" t="s">
        <v>173</v>
      </c>
      <c r="AN23" s="100"/>
      <c r="AO23" s="100"/>
      <c r="AP23" s="100"/>
      <c r="AQ23" s="100"/>
      <c r="AR23" s="100"/>
      <c r="AT23" s="357" t="s">
        <v>990</v>
      </c>
      <c r="AU23" s="357" t="s">
        <v>170</v>
      </c>
      <c r="AV23" s="357" t="s">
        <v>999</v>
      </c>
      <c r="AW23" s="357">
        <v>27257.599999999999</v>
      </c>
      <c r="AX23" s="357">
        <v>5</v>
      </c>
      <c r="AY23" s="357">
        <v>1</v>
      </c>
      <c r="AZ23" s="357" t="s">
        <v>993</v>
      </c>
      <c r="BA23" s="357">
        <v>2806.45</v>
      </c>
      <c r="BB23" s="357">
        <v>382486</v>
      </c>
      <c r="BC23" s="357"/>
      <c r="BD23" s="357"/>
      <c r="BE23" s="357"/>
      <c r="BF23" s="357"/>
      <c r="BG23" s="357">
        <v>1.5</v>
      </c>
      <c r="BH23" s="357" t="s">
        <v>994</v>
      </c>
      <c r="BI23" s="357">
        <v>3045.8</v>
      </c>
      <c r="BJ23" s="357">
        <v>622660</v>
      </c>
      <c r="BK23" s="357"/>
      <c r="BL23" s="357"/>
      <c r="BM23" s="357"/>
      <c r="BN23" s="357"/>
      <c r="BO23" s="357"/>
      <c r="BP23" s="357"/>
      <c r="BQ23" s="357"/>
      <c r="BR23" s="357"/>
      <c r="BX23" s="357"/>
      <c r="BY23" s="357"/>
      <c r="BZ23" s="357"/>
      <c r="CA23" s="357"/>
      <c r="CB23" s="357"/>
      <c r="CC23" s="357"/>
      <c r="CD23" s="357" t="s">
        <v>990</v>
      </c>
      <c r="CE23" s="357" t="s">
        <v>170</v>
      </c>
      <c r="CF23" s="357" t="s">
        <v>999</v>
      </c>
      <c r="CG23" s="357">
        <v>27257.599999999999</v>
      </c>
      <c r="CH23" s="357">
        <v>5</v>
      </c>
      <c r="CI23" s="357">
        <v>1.1499999999999999</v>
      </c>
      <c r="CJ23" s="357" t="s">
        <v>993</v>
      </c>
      <c r="CK23" s="357">
        <v>2806.45</v>
      </c>
      <c r="CL23" s="357">
        <v>439859</v>
      </c>
      <c r="CM23" s="357"/>
      <c r="CN23" s="357"/>
      <c r="CO23" s="357"/>
      <c r="CP23" s="357"/>
      <c r="CQ23" s="357">
        <v>1.5</v>
      </c>
      <c r="CR23" s="357" t="s">
        <v>994</v>
      </c>
      <c r="CS23" s="357">
        <v>3045.8</v>
      </c>
      <c r="CT23" s="357">
        <v>622660</v>
      </c>
      <c r="CU23" s="357"/>
      <c r="CV23" s="357"/>
      <c r="CW23" s="357"/>
      <c r="CX23" s="357"/>
      <c r="CY23" s="357"/>
      <c r="CZ23" s="357"/>
      <c r="DA23" s="357"/>
      <c r="DB23" s="357"/>
    </row>
    <row r="24" spans="2:119" s="109" customFormat="1" x14ac:dyDescent="0.3">
      <c r="B24" s="130" t="s">
        <v>1000</v>
      </c>
      <c r="C24" s="739" t="s">
        <v>991</v>
      </c>
      <c r="D24" s="142" t="str">
        <f t="shared" ref="D24:D28" si="10">IF($AW25=$E24,"X","ERROR")</f>
        <v>X</v>
      </c>
      <c r="E24" s="848">
        <v>3373.61</v>
      </c>
      <c r="F24" s="142" t="str">
        <f>IF($AZ74=$G24,"X","ERROR")</f>
        <v>X</v>
      </c>
      <c r="G24" s="465">
        <f>10*0.5</f>
        <v>5</v>
      </c>
      <c r="H24" s="614" t="str">
        <f>IF(ROUND($BA74,2)=$I24,"X","ERROR")</f>
        <v>X</v>
      </c>
      <c r="I24" s="613">
        <f>ROUND(E24/1000*G24,2)</f>
        <v>16.87</v>
      </c>
      <c r="J24" s="142" t="str">
        <f>IF($BB74=$K24,"X","ERROR")</f>
        <v>X</v>
      </c>
      <c r="K24" s="366" t="s">
        <v>992</v>
      </c>
      <c r="L24" s="142" t="str">
        <f>IF($BC74=$M24,"X","ERROR")</f>
        <v>X</v>
      </c>
      <c r="M24" s="361">
        <v>250</v>
      </c>
      <c r="N24" s="181" t="str">
        <f>IF($BD74=$O24,"X","ERROR")</f>
        <v>X</v>
      </c>
      <c r="O24" s="365">
        <v>200</v>
      </c>
      <c r="P24" s="142" t="str">
        <f>IF($AY25=$Q24,"X","ERROR")</f>
        <v>X</v>
      </c>
      <c r="Q24" s="203">
        <v>1</v>
      </c>
      <c r="R24" s="147" t="str">
        <f>IF($AZ25=$S24,"X","ERROR")</f>
        <v>X</v>
      </c>
      <c r="S24" s="373" t="s">
        <v>993</v>
      </c>
      <c r="T24" s="142" t="str">
        <f>IF($BG25=$U24,"X","ERROR")</f>
        <v>X</v>
      </c>
      <c r="U24" s="718">
        <v>1.5</v>
      </c>
      <c r="V24" s="147" t="str">
        <f>IF($BH25=$W24,"X","ERROR")</f>
        <v>X</v>
      </c>
      <c r="W24" s="20" t="s">
        <v>994</v>
      </c>
      <c r="X24" s="142" t="str">
        <f>IF(BE74=$Y24,"X","ERROR")</f>
        <v>ERROR</v>
      </c>
      <c r="Y24" s="840">
        <v>0.24</v>
      </c>
      <c r="Z24" s="147" t="str">
        <f>IF(BF74=$AA24,"X","ERROR")</f>
        <v>X</v>
      </c>
      <c r="AA24" s="365" t="s">
        <v>995</v>
      </c>
      <c r="AB24" s="140" t="str">
        <f>IF(BE212=$AC24,"X","ERROR")</f>
        <v>X</v>
      </c>
      <c r="AC24" s="719" t="s">
        <v>548</v>
      </c>
      <c r="AD24" s="140" t="str">
        <f>IF(BP212=$AE24,"X","ERROR")</f>
        <v>X</v>
      </c>
      <c r="AE24" s="719">
        <v>0</v>
      </c>
      <c r="AF24" s="140" t="str">
        <f>IF(BQ212=$AG24,"X","ERROR")</f>
        <v>X</v>
      </c>
      <c r="AG24" s="489">
        <v>0.15</v>
      </c>
      <c r="AH24" s="140" t="str">
        <f>IF(MAX(BJ181,BN181)=$AI24,"X","ERROR")</f>
        <v>X</v>
      </c>
      <c r="AI24" s="61">
        <f>ROUND(MAX(ROUND(I24,2)*AE24,AG24*E24),0)</f>
        <v>506</v>
      </c>
      <c r="AJ24" s="142" t="str">
        <f>IF(BP74=$AK24,"X","ERROR")</f>
        <v>X</v>
      </c>
      <c r="AK24" s="202" t="s">
        <v>996</v>
      </c>
      <c r="AL24" s="142" t="str">
        <f>IF(BQ74=$AM24,"X","ERROR")</f>
        <v>X</v>
      </c>
      <c r="AM24" s="202" t="s">
        <v>997</v>
      </c>
      <c r="AN24" s="365"/>
      <c r="AO24" s="618"/>
      <c r="AP24" s="620"/>
      <c r="AQ24" s="365"/>
      <c r="AR24" s="63"/>
      <c r="AS24" s="364"/>
      <c r="AT24" s="357" t="s">
        <v>998</v>
      </c>
      <c r="AU24" s="357" t="s">
        <v>983</v>
      </c>
      <c r="AV24" s="357" t="s">
        <v>979</v>
      </c>
      <c r="AW24" s="357">
        <v>0</v>
      </c>
      <c r="AX24" s="357">
        <v>5</v>
      </c>
      <c r="AY24" s="357"/>
      <c r="AZ24" s="357"/>
      <c r="BA24" s="357"/>
      <c r="BB24" s="357"/>
      <c r="BC24" s="357"/>
      <c r="BD24" s="357"/>
      <c r="BE24" s="357"/>
      <c r="BF24" s="357"/>
      <c r="BG24" s="357"/>
      <c r="BH24" s="357"/>
      <c r="BI24" s="357"/>
      <c r="BJ24" s="357"/>
      <c r="BK24" s="357"/>
      <c r="BL24" s="357"/>
      <c r="BM24" s="357"/>
      <c r="BN24" s="357"/>
      <c r="BO24" s="357"/>
      <c r="BP24" s="357"/>
      <c r="BQ24" s="357"/>
      <c r="BR24" s="357"/>
      <c r="BS24" s="364"/>
      <c r="BT24" s="364"/>
      <c r="BU24" s="364"/>
      <c r="BV24" s="364"/>
      <c r="BW24" s="364"/>
      <c r="BX24" s="357"/>
      <c r="BY24" s="357"/>
      <c r="BZ24" s="357"/>
      <c r="CA24" s="357"/>
      <c r="CB24" s="357"/>
      <c r="CC24" s="357"/>
      <c r="CD24" s="357" t="s">
        <v>998</v>
      </c>
      <c r="CE24" s="357" t="s">
        <v>983</v>
      </c>
      <c r="CF24" s="357" t="s">
        <v>979</v>
      </c>
      <c r="CG24" s="357">
        <v>0</v>
      </c>
      <c r="CH24" s="357">
        <v>5</v>
      </c>
      <c r="CI24" s="357"/>
      <c r="CJ24" s="357"/>
      <c r="CK24" s="357"/>
      <c r="CL24" s="357"/>
      <c r="CM24" s="357"/>
      <c r="CN24" s="357"/>
      <c r="CO24" s="357"/>
      <c r="CP24" s="357"/>
      <c r="CQ24" s="357"/>
      <c r="CR24" s="357"/>
      <c r="CS24" s="357"/>
      <c r="CT24" s="357"/>
      <c r="CU24" s="357"/>
      <c r="CV24" s="357"/>
      <c r="CW24" s="357"/>
      <c r="CX24" s="357"/>
      <c r="CY24" s="357"/>
      <c r="CZ24" s="357"/>
      <c r="DA24" s="357"/>
      <c r="DB24" s="357"/>
      <c r="DC24" s="364"/>
      <c r="DD24" s="364"/>
      <c r="DE24" s="364"/>
      <c r="DF24" s="364"/>
      <c r="DG24" s="364"/>
      <c r="DH24" s="364"/>
      <c r="DI24" s="364"/>
      <c r="DJ24" s="364"/>
      <c r="DK24" s="364"/>
      <c r="DL24" s="364"/>
      <c r="DM24" s="364"/>
      <c r="DN24" s="364"/>
      <c r="DO24" s="364"/>
    </row>
    <row r="25" spans="2:119" s="109" customFormat="1" ht="27.6" x14ac:dyDescent="0.3">
      <c r="B25" s="130" t="s">
        <v>1001</v>
      </c>
      <c r="C25" s="739" t="s">
        <v>985</v>
      </c>
      <c r="D25" s="142" t="str">
        <f t="shared" si="10"/>
        <v>X</v>
      </c>
      <c r="E25" s="847">
        <v>2174.0500000000002</v>
      </c>
      <c r="F25" s="142" t="str">
        <f>IF($AZ75=$G25,"X","ERROR")</f>
        <v>X</v>
      </c>
      <c r="G25" s="465">
        <f>10*0.5</f>
        <v>5</v>
      </c>
      <c r="H25" s="614" t="str">
        <f>IF(ROUND($BA75,2)=$I25,"X","ERROR")</f>
        <v>X</v>
      </c>
      <c r="I25" s="613">
        <f>ROUND(E25/1000*G25,2)</f>
        <v>10.87</v>
      </c>
      <c r="J25" s="142" t="str">
        <f>IF($BB75=$K25,"X","ERROR")</f>
        <v>X</v>
      </c>
      <c r="K25" s="366" t="s">
        <v>992</v>
      </c>
      <c r="L25" s="142" t="str">
        <f>IF($BC75=$M25,"X","ERROR")</f>
        <v>X</v>
      </c>
      <c r="M25" s="361">
        <v>250</v>
      </c>
      <c r="N25" s="181" t="str">
        <f>IF($BD75=$O25,"X","ERROR")</f>
        <v>X</v>
      </c>
      <c r="O25" s="365">
        <v>250</v>
      </c>
      <c r="P25" s="140" t="str">
        <f>IF($AY26=$Q25,"X","ERROR")</f>
        <v>X</v>
      </c>
      <c r="Q25" s="203">
        <v>0.5</v>
      </c>
      <c r="R25" s="147" t="str">
        <f>IF($AZ26=$S25,"X","ERROR")</f>
        <v>X</v>
      </c>
      <c r="S25" s="373" t="s">
        <v>993</v>
      </c>
      <c r="T25" s="142" t="str">
        <f>IF($BG26=$U25,"X","ERROR")</f>
        <v>X</v>
      </c>
      <c r="U25" s="718">
        <v>0</v>
      </c>
      <c r="V25" s="147" t="str">
        <f>IF($BH26=$W25,"X","ERROR")</f>
        <v>X</v>
      </c>
      <c r="W25" s="872"/>
      <c r="X25" s="140" t="str">
        <f>IF(BE75=$Y25,"X","ERROR")</f>
        <v>ERROR</v>
      </c>
      <c r="Y25" s="840">
        <v>0</v>
      </c>
      <c r="Z25" s="147" t="str">
        <f>IF(BF75=$AA25,"X","ERROR")</f>
        <v>X</v>
      </c>
      <c r="AA25" s="365" t="s">
        <v>995</v>
      </c>
      <c r="AB25" s="140" t="str">
        <f>IF(BE213=$AC25,"X","ERROR")</f>
        <v>X</v>
      </c>
      <c r="AC25" s="719" t="s">
        <v>548</v>
      </c>
      <c r="AD25" s="140" t="str">
        <f>IF(BP213=$AE25,"X","ERROR")</f>
        <v>X</v>
      </c>
      <c r="AE25" s="719">
        <v>0</v>
      </c>
      <c r="AF25" s="140" t="str">
        <f>IF(BQ213=$AG25,"X","ERROR")</f>
        <v>X</v>
      </c>
      <c r="AG25" s="489">
        <v>0.15</v>
      </c>
      <c r="AH25" s="140" t="str">
        <f>IF(MAX(BJ182,BN182)=$AI25,"X","ERROR")</f>
        <v>X</v>
      </c>
      <c r="AI25" s="61">
        <f>ROUND(MAX(ROUND(I25,2)*AE25,AG25*E25),0)</f>
        <v>326</v>
      </c>
      <c r="AJ25" s="140" t="str">
        <f>IF(BP75=$AK25,"X","ERROR")</f>
        <v>X</v>
      </c>
      <c r="AK25" s="202" t="s">
        <v>996</v>
      </c>
      <c r="AL25" s="140" t="str">
        <f>IF(BQ75=$AM25,"X","ERROR")</f>
        <v>X</v>
      </c>
      <c r="AM25" s="202" t="s">
        <v>997</v>
      </c>
      <c r="AN25" s="365"/>
      <c r="AO25" s="63"/>
      <c r="AP25" s="63"/>
      <c r="AQ25" s="365"/>
      <c r="AR25" s="63"/>
      <c r="AS25" s="364"/>
      <c r="AT25" s="357" t="s">
        <v>1000</v>
      </c>
      <c r="AU25" s="357" t="s">
        <v>170</v>
      </c>
      <c r="AV25" s="357" t="s">
        <v>999</v>
      </c>
      <c r="AW25" s="357">
        <v>3373.61</v>
      </c>
      <c r="AX25" s="357">
        <v>5</v>
      </c>
      <c r="AY25" s="357">
        <v>1</v>
      </c>
      <c r="AZ25" s="357" t="s">
        <v>993</v>
      </c>
      <c r="BA25" s="357">
        <v>2806.45</v>
      </c>
      <c r="BB25" s="357">
        <v>47339.4</v>
      </c>
      <c r="BC25" s="357"/>
      <c r="BD25" s="357"/>
      <c r="BE25" s="357"/>
      <c r="BF25" s="357"/>
      <c r="BG25" s="357">
        <v>1.5</v>
      </c>
      <c r="BH25" s="357" t="s">
        <v>994</v>
      </c>
      <c r="BI25" s="357">
        <v>3045.8</v>
      </c>
      <c r="BJ25" s="357">
        <v>77065.100000000006</v>
      </c>
      <c r="BK25" s="357"/>
      <c r="BL25" s="357"/>
      <c r="BM25" s="357"/>
      <c r="BN25" s="357"/>
      <c r="BO25" s="357"/>
      <c r="BP25" s="357"/>
      <c r="BQ25" s="357"/>
      <c r="BR25" s="357"/>
      <c r="BS25" s="364"/>
      <c r="BT25" s="364"/>
      <c r="BU25" s="364"/>
      <c r="BV25" s="364"/>
      <c r="BW25" s="364"/>
      <c r="BX25" s="357"/>
      <c r="BY25" s="357"/>
      <c r="BZ25" s="357"/>
      <c r="CA25" s="357"/>
      <c r="CB25" s="357"/>
      <c r="CC25" s="357"/>
      <c r="CD25" s="357" t="s">
        <v>1000</v>
      </c>
      <c r="CE25" s="357" t="s">
        <v>170</v>
      </c>
      <c r="CF25" s="357" t="s">
        <v>999</v>
      </c>
      <c r="CG25" s="357">
        <v>3373.61</v>
      </c>
      <c r="CH25" s="357">
        <v>5</v>
      </c>
      <c r="CI25" s="357">
        <v>1.1499999999999999</v>
      </c>
      <c r="CJ25" s="357" t="s">
        <v>993</v>
      </c>
      <c r="CK25" s="357">
        <v>2806.45</v>
      </c>
      <c r="CL25" s="357">
        <v>54440.3</v>
      </c>
      <c r="CM25" s="357"/>
      <c r="CN25" s="357"/>
      <c r="CO25" s="357"/>
      <c r="CP25" s="357"/>
      <c r="CQ25" s="357">
        <v>1.5</v>
      </c>
      <c r="CR25" s="357" t="s">
        <v>994</v>
      </c>
      <c r="CS25" s="357">
        <v>3045.8</v>
      </c>
      <c r="CT25" s="357">
        <v>77065.100000000006</v>
      </c>
      <c r="CU25" s="357"/>
      <c r="CV25" s="357"/>
      <c r="CW25" s="357"/>
      <c r="CX25" s="357"/>
      <c r="CY25" s="357"/>
      <c r="CZ25" s="357"/>
      <c r="DA25" s="357"/>
      <c r="DB25" s="357"/>
      <c r="DC25" s="364"/>
      <c r="DD25" s="364"/>
      <c r="DE25" s="364"/>
      <c r="DF25" s="364"/>
      <c r="DG25" s="364"/>
      <c r="DH25" s="364"/>
      <c r="DI25" s="364"/>
      <c r="DJ25" s="364"/>
      <c r="DK25" s="364"/>
      <c r="DL25" s="364"/>
      <c r="DM25" s="364"/>
      <c r="DN25" s="364"/>
      <c r="DO25" s="364"/>
    </row>
    <row r="26" spans="2:119" s="109" customFormat="1" x14ac:dyDescent="0.3">
      <c r="B26" s="130" t="s">
        <v>1002</v>
      </c>
      <c r="C26" s="739" t="s">
        <v>991</v>
      </c>
      <c r="D26" s="142" t="str">
        <f t="shared" si="10"/>
        <v>X</v>
      </c>
      <c r="E26" s="848">
        <v>3373.64</v>
      </c>
      <c r="F26" s="142" t="str">
        <f>IF($AZ76=$G26,"X","ERROR")</f>
        <v>X</v>
      </c>
      <c r="G26" s="465">
        <f>10*0.5</f>
        <v>5</v>
      </c>
      <c r="H26" s="614" t="str">
        <f>IF(ROUND($BA76,2)=$I26,"X","ERROR")</f>
        <v>X</v>
      </c>
      <c r="I26" s="613">
        <f>ROUND(E26/1000*G26,2)</f>
        <v>16.87</v>
      </c>
      <c r="J26" s="142" t="str">
        <f>IF($BB76=$K26,"X","ERROR")</f>
        <v>X</v>
      </c>
      <c r="K26" s="366" t="s">
        <v>992</v>
      </c>
      <c r="L26" s="142" t="str">
        <f>IF($BC76=$M26,"X","ERROR")</f>
        <v>X</v>
      </c>
      <c r="M26" s="361">
        <v>250</v>
      </c>
      <c r="N26" s="181" t="str">
        <f>IF($BD76=$O26,"X","ERROR")</f>
        <v>X</v>
      </c>
      <c r="O26" s="365">
        <v>200</v>
      </c>
      <c r="P26" s="140" t="str">
        <f>IF($AY27=$Q26,"X","ERROR")</f>
        <v>X</v>
      </c>
      <c r="Q26" s="203">
        <v>1</v>
      </c>
      <c r="R26" s="147" t="str">
        <f>IF($AZ27=$S26,"X","ERROR")</f>
        <v>X</v>
      </c>
      <c r="S26" s="373" t="s">
        <v>993</v>
      </c>
      <c r="T26" s="142" t="str">
        <f>IF($BG27=$U26,"X","ERROR")</f>
        <v>X</v>
      </c>
      <c r="U26" s="718">
        <v>1.5</v>
      </c>
      <c r="V26" s="147" t="str">
        <f>IF($BH27=$W26,"X","ERROR")</f>
        <v>X</v>
      </c>
      <c r="W26" s="20" t="s">
        <v>994</v>
      </c>
      <c r="X26" s="140" t="str">
        <f>IF(BE76=$Y26,"X","ERROR")</f>
        <v>ERROR</v>
      </c>
      <c r="Y26" s="840">
        <v>0.24</v>
      </c>
      <c r="Z26" s="147" t="str">
        <f>IF(BF76=$AA26,"X","ERROR")</f>
        <v>X</v>
      </c>
      <c r="AA26" s="365" t="s">
        <v>995</v>
      </c>
      <c r="AB26" s="140" t="str">
        <f>IF(BE214=$AC26,"X","ERROR")</f>
        <v>X</v>
      </c>
      <c r="AC26" s="719" t="s">
        <v>548</v>
      </c>
      <c r="AD26" s="140" t="str">
        <f>IF(BP214=$AE26,"X","ERROR")</f>
        <v>X</v>
      </c>
      <c r="AE26" s="719">
        <v>0</v>
      </c>
      <c r="AF26" s="140" t="str">
        <f>IF(BQ214=$AG26,"X","ERROR")</f>
        <v>X</v>
      </c>
      <c r="AG26" s="489">
        <v>0.3</v>
      </c>
      <c r="AH26" s="140" t="str">
        <f>IF(MAX(BJ183,BN183)=$AI26,"X","ERROR")</f>
        <v>X</v>
      </c>
      <c r="AI26" s="61">
        <f>ROUND(MAX(ROUND(I26,2)*AE26,AG26*E26),0)</f>
        <v>1012</v>
      </c>
      <c r="AJ26" s="140" t="str">
        <f>IF(BP76=$AK26,"X","ERROR")</f>
        <v>X</v>
      </c>
      <c r="AK26" s="202" t="s">
        <v>996</v>
      </c>
      <c r="AL26" s="140" t="str">
        <f>IF(BQ76=$AM26,"X","ERROR")</f>
        <v>X</v>
      </c>
      <c r="AM26" s="202" t="s">
        <v>997</v>
      </c>
      <c r="AN26" s="365"/>
      <c r="AO26" s="618"/>
      <c r="AP26" s="620"/>
      <c r="AQ26" s="365"/>
      <c r="AR26" s="63"/>
      <c r="AS26" s="364"/>
      <c r="AT26" s="357" t="s">
        <v>1001</v>
      </c>
      <c r="AU26" s="357" t="s">
        <v>170</v>
      </c>
      <c r="AV26" s="357" t="s">
        <v>988</v>
      </c>
      <c r="AW26" s="357">
        <v>2174.0500000000002</v>
      </c>
      <c r="AX26" s="357">
        <v>5</v>
      </c>
      <c r="AY26" s="357">
        <v>0.5</v>
      </c>
      <c r="AZ26" s="357" t="s">
        <v>993</v>
      </c>
      <c r="BA26" s="357">
        <v>2806.45</v>
      </c>
      <c r="BB26" s="357">
        <v>15253.4</v>
      </c>
      <c r="BC26" s="357"/>
      <c r="BD26" s="357"/>
      <c r="BE26" s="357"/>
      <c r="BF26" s="357"/>
      <c r="BG26" s="357"/>
      <c r="BH26" s="357"/>
      <c r="BI26" s="357"/>
      <c r="BJ26" s="357"/>
      <c r="BK26" s="357"/>
      <c r="BL26" s="357"/>
      <c r="BM26" s="357"/>
      <c r="BN26" s="357"/>
      <c r="BO26" s="357"/>
      <c r="BP26" s="357"/>
      <c r="BQ26" s="357"/>
      <c r="BR26" s="357"/>
      <c r="BS26" s="364"/>
      <c r="BT26" s="364"/>
      <c r="BU26" s="364"/>
      <c r="BV26" s="364"/>
      <c r="BW26" s="364"/>
      <c r="BX26" s="357"/>
      <c r="BY26" s="357"/>
      <c r="BZ26" s="357"/>
      <c r="CA26" s="357"/>
      <c r="CB26" s="357"/>
      <c r="CC26" s="357"/>
      <c r="CD26" s="357" t="s">
        <v>1001</v>
      </c>
      <c r="CE26" s="357" t="s">
        <v>170</v>
      </c>
      <c r="CF26" s="357" t="s">
        <v>988</v>
      </c>
      <c r="CG26" s="357">
        <v>2174.0500000000002</v>
      </c>
      <c r="CH26" s="357">
        <v>5</v>
      </c>
      <c r="CI26" s="357">
        <v>0.6</v>
      </c>
      <c r="CJ26" s="357" t="s">
        <v>993</v>
      </c>
      <c r="CK26" s="357">
        <v>2806.45</v>
      </c>
      <c r="CL26" s="357">
        <v>18304.099999999999</v>
      </c>
      <c r="CM26" s="357"/>
      <c r="CN26" s="357"/>
      <c r="CO26" s="357"/>
      <c r="CP26" s="357"/>
      <c r="CQ26" s="357"/>
      <c r="CR26" s="357"/>
      <c r="CS26" s="357"/>
      <c r="CT26" s="357"/>
      <c r="CU26" s="364"/>
      <c r="CV26" s="364"/>
      <c r="CW26" s="364"/>
      <c r="CX26" s="364"/>
      <c r="CY26" s="364"/>
      <c r="CZ26" s="364"/>
      <c r="DA26" s="364"/>
      <c r="DB26" s="364"/>
      <c r="DC26" s="364"/>
      <c r="DD26" s="364"/>
      <c r="DE26" s="364"/>
      <c r="DF26" s="364"/>
      <c r="DG26" s="364"/>
      <c r="DH26" s="364"/>
      <c r="DI26" s="364"/>
      <c r="DJ26" s="364"/>
      <c r="DK26" s="364"/>
      <c r="DL26" s="364"/>
      <c r="DM26" s="364"/>
      <c r="DN26" s="364"/>
      <c r="DO26" s="364"/>
    </row>
    <row r="27" spans="2:119" s="109" customFormat="1" x14ac:dyDescent="0.3">
      <c r="B27" s="130" t="s">
        <v>1003</v>
      </c>
      <c r="C27" s="739" t="s">
        <v>991</v>
      </c>
      <c r="D27" s="142" t="str">
        <f t="shared" si="10"/>
        <v>X</v>
      </c>
      <c r="E27" s="848">
        <v>2174.04</v>
      </c>
      <c r="F27" s="142" t="str">
        <f>IF($AZ77=$G27,"X","ERROR")</f>
        <v>X</v>
      </c>
      <c r="G27" s="465">
        <f>10*0.5</f>
        <v>5</v>
      </c>
      <c r="H27" s="614" t="str">
        <f>IF(ROUND($BA77,2)=$I27,"X","ERROR")</f>
        <v>X</v>
      </c>
      <c r="I27" s="613">
        <f>ROUND(E27/1000*G27,2)</f>
        <v>10.87</v>
      </c>
      <c r="J27" s="142" t="str">
        <f>IF($BB77=$K27,"X","ERROR")</f>
        <v>X</v>
      </c>
      <c r="K27" s="366" t="s">
        <v>992</v>
      </c>
      <c r="L27" s="142" t="str">
        <f>IF($BC77=$M27,"X","ERROR")</f>
        <v>X</v>
      </c>
      <c r="M27" s="361">
        <v>250</v>
      </c>
      <c r="N27" s="181" t="str">
        <f>IF($BD77=$O27,"X","ERROR")</f>
        <v>X</v>
      </c>
      <c r="O27" s="365">
        <v>200</v>
      </c>
      <c r="P27" s="140" t="str">
        <f>IF($AY28=$Q27,"X","ERROR")</f>
        <v>X</v>
      </c>
      <c r="Q27" s="203">
        <v>1</v>
      </c>
      <c r="R27" s="147" t="str">
        <f>IF($AZ28=$S27,"X","ERROR")</f>
        <v>X</v>
      </c>
      <c r="S27" s="373" t="s">
        <v>993</v>
      </c>
      <c r="T27" s="142" t="str">
        <f>IF($BG28=$U27,"X","ERROR")</f>
        <v>X</v>
      </c>
      <c r="U27" s="718">
        <v>1.5</v>
      </c>
      <c r="V27" s="147" t="str">
        <f>IF($BH28=$W27,"X","ERROR")</f>
        <v>X</v>
      </c>
      <c r="W27" s="20" t="s">
        <v>994</v>
      </c>
      <c r="X27" s="140" t="str">
        <f>IF(BE77=$Y27,"X","ERROR")</f>
        <v>ERROR</v>
      </c>
      <c r="Y27" s="840">
        <v>0.24</v>
      </c>
      <c r="Z27" s="147" t="str">
        <f>IF(BF77=$AA27,"X","ERROR")</f>
        <v>X</v>
      </c>
      <c r="AA27" s="365" t="s">
        <v>995</v>
      </c>
      <c r="AB27" s="140" t="str">
        <f>IF(BE215=$AC27,"X","ERROR")</f>
        <v>X</v>
      </c>
      <c r="AC27" s="719" t="s">
        <v>548</v>
      </c>
      <c r="AD27" s="140" t="str">
        <f>IF(BP215=$AE27,"X","ERROR")</f>
        <v>X</v>
      </c>
      <c r="AE27" s="719">
        <v>0</v>
      </c>
      <c r="AF27" s="140" t="str">
        <f>IF(BQ215=$AG27,"X","ERROR")</f>
        <v>X</v>
      </c>
      <c r="AG27" s="489">
        <v>0.3</v>
      </c>
      <c r="AH27" s="140" t="str">
        <f>IF(MAX(BJ184,BN184)=$AI27,"X","ERROR")</f>
        <v>X</v>
      </c>
      <c r="AI27" s="61">
        <f>ROUND(MAX(ROUND(I27,2)*AE27,AG27*E27),0)</f>
        <v>652</v>
      </c>
      <c r="AJ27" s="140" t="str">
        <f>IF(BP77=$AK27,"X","ERROR")</f>
        <v>X</v>
      </c>
      <c r="AK27" s="202" t="s">
        <v>996</v>
      </c>
      <c r="AL27" s="140" t="str">
        <f>IF(BQ77=$AM27,"X","ERROR")</f>
        <v>X</v>
      </c>
      <c r="AM27" s="202" t="s">
        <v>997</v>
      </c>
      <c r="AN27" s="365"/>
      <c r="AO27" s="618"/>
      <c r="AP27" s="620"/>
      <c r="AQ27" s="365"/>
      <c r="AR27" s="63"/>
      <c r="AS27" s="364"/>
      <c r="AT27" s="357" t="s">
        <v>1002</v>
      </c>
      <c r="AU27" s="357" t="s">
        <v>170</v>
      </c>
      <c r="AV27" s="357" t="s">
        <v>999</v>
      </c>
      <c r="AW27" s="357">
        <v>3373.64</v>
      </c>
      <c r="AX27" s="357">
        <v>5</v>
      </c>
      <c r="AY27" s="357">
        <v>1</v>
      </c>
      <c r="AZ27" s="357" t="s">
        <v>993</v>
      </c>
      <c r="BA27" s="357">
        <v>2806.45</v>
      </c>
      <c r="BB27" s="357">
        <v>47339.7</v>
      </c>
      <c r="BC27" s="357"/>
      <c r="BD27" s="357"/>
      <c r="BE27" s="357"/>
      <c r="BF27" s="357"/>
      <c r="BG27" s="357">
        <v>1.5</v>
      </c>
      <c r="BH27" s="357" t="s">
        <v>994</v>
      </c>
      <c r="BI27" s="357">
        <v>3045.8</v>
      </c>
      <c r="BJ27" s="357">
        <v>77065.600000000006</v>
      </c>
      <c r="BK27" s="364"/>
      <c r="BL27" s="364"/>
      <c r="BM27" s="364"/>
      <c r="BN27" s="364"/>
      <c r="BO27" s="364"/>
      <c r="BP27" s="364"/>
      <c r="BQ27" s="364"/>
      <c r="BR27" s="364"/>
      <c r="BS27" s="364"/>
      <c r="BT27" s="364"/>
      <c r="BU27" s="364"/>
      <c r="BV27" s="364"/>
      <c r="BW27" s="364"/>
      <c r="BX27" s="357"/>
      <c r="BY27" s="357"/>
      <c r="BZ27" s="357"/>
      <c r="CA27" s="357"/>
      <c r="CB27" s="357"/>
      <c r="CC27" s="357"/>
      <c r="CD27" s="357" t="s">
        <v>1002</v>
      </c>
      <c r="CE27" s="357" t="s">
        <v>170</v>
      </c>
      <c r="CF27" s="357" t="s">
        <v>999</v>
      </c>
      <c r="CG27" s="357">
        <v>3373.64</v>
      </c>
      <c r="CH27" s="357">
        <v>5</v>
      </c>
      <c r="CI27" s="357">
        <v>1.1499999999999999</v>
      </c>
      <c r="CJ27" s="357" t="s">
        <v>993</v>
      </c>
      <c r="CK27" s="357">
        <v>2806.45</v>
      </c>
      <c r="CL27" s="357">
        <v>54440.6</v>
      </c>
      <c r="CM27" s="357"/>
      <c r="CN27" s="357"/>
      <c r="CO27" s="357"/>
      <c r="CP27" s="357"/>
      <c r="CQ27" s="357">
        <v>1.5</v>
      </c>
      <c r="CR27" s="357" t="s">
        <v>994</v>
      </c>
      <c r="CS27" s="357">
        <v>3045.8</v>
      </c>
      <c r="CT27" s="357">
        <v>77065.600000000006</v>
      </c>
      <c r="CU27" s="364"/>
      <c r="CV27" s="364"/>
      <c r="CW27" s="364"/>
      <c r="CX27" s="364"/>
      <c r="CY27" s="364"/>
      <c r="CZ27" s="364"/>
      <c r="DA27" s="364"/>
      <c r="DB27" s="364"/>
      <c r="DC27" s="364"/>
      <c r="DD27" s="364"/>
      <c r="DE27" s="364"/>
      <c r="DF27" s="364"/>
      <c r="DG27" s="364"/>
      <c r="DH27" s="364"/>
      <c r="DI27" s="364"/>
      <c r="DJ27" s="364"/>
      <c r="DK27" s="364"/>
      <c r="DL27" s="364"/>
      <c r="DM27" s="364"/>
      <c r="DN27" s="364"/>
      <c r="DO27" s="364"/>
    </row>
    <row r="28" spans="2:119" s="109" customFormat="1" ht="27.6" x14ac:dyDescent="0.3">
      <c r="B28" s="130" t="s">
        <v>1004</v>
      </c>
      <c r="C28" s="562" t="s">
        <v>912</v>
      </c>
      <c r="D28" s="142" t="str">
        <f t="shared" si="10"/>
        <v>X</v>
      </c>
      <c r="E28" s="847">
        <v>27257.599999999999</v>
      </c>
      <c r="F28" s="142" t="str">
        <f>IF($AZ78=$G28,"X","ERROR")</f>
        <v>X</v>
      </c>
      <c r="G28" s="788">
        <f>10*0.5</f>
        <v>5</v>
      </c>
      <c r="H28" s="614" t="str">
        <f>IF(ROUND($BA78,3)=$I28,"X","ERROR")</f>
        <v>X</v>
      </c>
      <c r="I28" s="615">
        <f>ROUND(E28/1000*G28,3)</f>
        <v>136.28800000000001</v>
      </c>
      <c r="J28" s="142" t="str">
        <f>IF($BB78=$K28,"X","ERROR")</f>
        <v>X</v>
      </c>
      <c r="K28" s="366" t="s">
        <v>960</v>
      </c>
      <c r="L28" s="142" t="str">
        <f>IF($BC78=$M28,"X","ERROR")</f>
        <v>X</v>
      </c>
      <c r="M28" s="361">
        <v>250</v>
      </c>
      <c r="N28" s="181" t="str">
        <f>IF($BD78=$O28,"X","ERROR")</f>
        <v>X</v>
      </c>
      <c r="O28" s="365">
        <v>200</v>
      </c>
      <c r="P28" s="140" t="str">
        <f>IF($AY29=$Q28,"X","ERROR")</f>
        <v>X</v>
      </c>
      <c r="Q28" s="298">
        <v>0.6</v>
      </c>
      <c r="R28" s="147" t="str">
        <f>IF($AZ29=$S28,"X","ERROR")</f>
        <v>X</v>
      </c>
      <c r="S28" s="373" t="s">
        <v>961</v>
      </c>
      <c r="T28" s="140" t="str">
        <f>IF($BG29=$U28,"X","ERROR")</f>
        <v>X</v>
      </c>
      <c r="U28" s="718">
        <v>1.5</v>
      </c>
      <c r="V28" s="147" t="str">
        <f>IF($BH29=$W28,"X","ERROR")</f>
        <v>X</v>
      </c>
      <c r="W28" s="365" t="s">
        <v>962</v>
      </c>
      <c r="X28" s="140" t="str">
        <f>IF(BE78=$Y28,"X","ERROR")</f>
        <v>ERROR</v>
      </c>
      <c r="Y28" s="840">
        <v>0.18</v>
      </c>
      <c r="Z28" s="147" t="str">
        <f>IF(BF78=$AA28,"X","ERROR")</f>
        <v>X</v>
      </c>
      <c r="AA28" s="365" t="s">
        <v>963</v>
      </c>
      <c r="AB28" s="140" t="str">
        <f>IF(BE216=$AC28,"X","ERROR")</f>
        <v>X</v>
      </c>
      <c r="AC28" s="789" t="s">
        <v>1005</v>
      </c>
      <c r="AD28" s="140" t="str">
        <f>IF(BP216=$AE28,"X","ERROR")</f>
        <v>X</v>
      </c>
      <c r="AE28" s="719">
        <v>0</v>
      </c>
      <c r="AF28" s="140" t="str">
        <f>IF(BQ216=$AG28,"X","ERROR")</f>
        <v>X</v>
      </c>
      <c r="AG28" s="489">
        <v>0.16197300000000001</v>
      </c>
      <c r="AH28" s="140" t="str">
        <f>IF(BJ185=$AI28,"X","ERROR")</f>
        <v>X</v>
      </c>
      <c r="AI28" s="61">
        <f>ROUND(MAX(ROUND(I28,2)*AE28,AG28*E28),0)</f>
        <v>4415</v>
      </c>
      <c r="AJ28" s="140" t="str">
        <f>IF(BP78=$AK28,"X","ERROR")</f>
        <v>X</v>
      </c>
      <c r="AK28" s="361" t="s">
        <v>964</v>
      </c>
      <c r="AL28" s="140" t="str">
        <f>IF(BQ78=$AM28,"X","ERROR")</f>
        <v>X</v>
      </c>
      <c r="AM28" s="361" t="s">
        <v>965</v>
      </c>
      <c r="AN28" s="365"/>
      <c r="AO28" s="365"/>
      <c r="AP28" s="365"/>
      <c r="AQ28" s="365"/>
      <c r="AR28" s="63"/>
      <c r="AS28" s="364"/>
      <c r="AT28" s="357" t="s">
        <v>1003</v>
      </c>
      <c r="AU28" s="357" t="s">
        <v>170</v>
      </c>
      <c r="AV28" s="357" t="s">
        <v>999</v>
      </c>
      <c r="AW28" s="357">
        <v>2174.04</v>
      </c>
      <c r="AX28" s="357">
        <v>5</v>
      </c>
      <c r="AY28" s="357">
        <v>1</v>
      </c>
      <c r="AZ28" s="357" t="s">
        <v>993</v>
      </c>
      <c r="BA28" s="357">
        <v>2806.45</v>
      </c>
      <c r="BB28" s="357">
        <v>30506.6</v>
      </c>
      <c r="BC28" s="357"/>
      <c r="BD28" s="357"/>
      <c r="BE28" s="357"/>
      <c r="BF28" s="357"/>
      <c r="BG28" s="357">
        <v>1.5</v>
      </c>
      <c r="BH28" s="357" t="s">
        <v>994</v>
      </c>
      <c r="BI28" s="357">
        <v>3045.8</v>
      </c>
      <c r="BJ28" s="357">
        <v>49662.6</v>
      </c>
      <c r="BK28" s="364"/>
      <c r="BL28" s="364"/>
      <c r="BM28" s="364"/>
      <c r="BN28" s="364"/>
      <c r="BO28" s="364"/>
      <c r="BP28" s="364"/>
      <c r="BQ28" s="364"/>
      <c r="BR28" s="364"/>
      <c r="BS28" s="364"/>
      <c r="BT28" s="364"/>
      <c r="BU28" s="364"/>
      <c r="BV28" s="364"/>
      <c r="BW28" s="364"/>
      <c r="BX28" s="357"/>
      <c r="BY28" s="357"/>
      <c r="BZ28" s="357"/>
      <c r="CA28" s="357"/>
      <c r="CB28" s="357"/>
      <c r="CC28" s="357"/>
      <c r="CD28" s="357" t="s">
        <v>1003</v>
      </c>
      <c r="CE28" s="357" t="s">
        <v>170</v>
      </c>
      <c r="CF28" s="357" t="s">
        <v>999</v>
      </c>
      <c r="CG28" s="357">
        <v>2174.04</v>
      </c>
      <c r="CH28" s="357">
        <v>5</v>
      </c>
      <c r="CI28" s="357">
        <v>1.1499999999999999</v>
      </c>
      <c r="CJ28" s="357" t="s">
        <v>993</v>
      </c>
      <c r="CK28" s="357">
        <v>2806.45</v>
      </c>
      <c r="CL28" s="357">
        <v>35082.6</v>
      </c>
      <c r="CM28" s="357"/>
      <c r="CN28" s="357"/>
      <c r="CO28" s="357"/>
      <c r="CP28" s="357"/>
      <c r="CQ28" s="357">
        <v>1.5</v>
      </c>
      <c r="CR28" s="357" t="s">
        <v>994</v>
      </c>
      <c r="CS28" s="357">
        <v>3045.8</v>
      </c>
      <c r="CT28" s="357">
        <v>49662.6</v>
      </c>
      <c r="CU28" s="364"/>
      <c r="CV28" s="364"/>
      <c r="CW28" s="364"/>
      <c r="CX28" s="364"/>
      <c r="CY28" s="364"/>
      <c r="CZ28" s="364"/>
      <c r="DA28" s="364"/>
      <c r="DB28" s="364"/>
      <c r="DC28" s="364"/>
      <c r="DD28" s="364"/>
      <c r="DE28" s="364"/>
      <c r="DF28" s="364"/>
      <c r="DG28" s="364"/>
      <c r="DH28" s="364"/>
      <c r="DI28" s="364"/>
      <c r="DJ28" s="364"/>
      <c r="DK28" s="364"/>
      <c r="DL28" s="364"/>
      <c r="DM28" s="364"/>
      <c r="DN28" s="364"/>
      <c r="DO28" s="364"/>
    </row>
    <row r="29" spans="2:119" s="89" customFormat="1" ht="27.6" x14ac:dyDescent="0.3">
      <c r="B29" s="316" t="s">
        <v>1006</v>
      </c>
      <c r="C29" s="70" t="s">
        <v>979</v>
      </c>
      <c r="D29" s="325" t="s">
        <v>173</v>
      </c>
      <c r="E29" s="406" t="s">
        <v>173</v>
      </c>
      <c r="F29" s="325" t="s">
        <v>173</v>
      </c>
      <c r="G29" s="715" t="s">
        <v>173</v>
      </c>
      <c r="H29" s="325" t="s">
        <v>173</v>
      </c>
      <c r="I29" s="406" t="s">
        <v>173</v>
      </c>
      <c r="J29" s="325" t="s">
        <v>173</v>
      </c>
      <c r="K29" s="406" t="s">
        <v>173</v>
      </c>
      <c r="L29" s="325" t="s">
        <v>173</v>
      </c>
      <c r="M29" s="406" t="s">
        <v>173</v>
      </c>
      <c r="N29" s="325" t="s">
        <v>173</v>
      </c>
      <c r="O29" s="406" t="s">
        <v>173</v>
      </c>
      <c r="P29" s="325" t="s">
        <v>173</v>
      </c>
      <c r="Q29" s="715" t="s">
        <v>173</v>
      </c>
      <c r="R29" s="325" t="s">
        <v>173</v>
      </c>
      <c r="S29" s="406" t="s">
        <v>173</v>
      </c>
      <c r="T29" s="325" t="s">
        <v>173</v>
      </c>
      <c r="U29" s="714" t="s">
        <v>173</v>
      </c>
      <c r="V29" s="325" t="s">
        <v>173</v>
      </c>
      <c r="W29" s="406" t="s">
        <v>173</v>
      </c>
      <c r="X29" s="325" t="s">
        <v>173</v>
      </c>
      <c r="Y29" s="715" t="s">
        <v>173</v>
      </c>
      <c r="Z29" s="325" t="s">
        <v>173</v>
      </c>
      <c r="AA29" s="419" t="s">
        <v>173</v>
      </c>
      <c r="AB29" s="325" t="s">
        <v>173</v>
      </c>
      <c r="AC29" s="609"/>
      <c r="AD29" s="325" t="s">
        <v>173</v>
      </c>
      <c r="AE29" s="609" t="s">
        <v>173</v>
      </c>
      <c r="AF29" s="325" t="s">
        <v>173</v>
      </c>
      <c r="AG29" s="716" t="s">
        <v>173</v>
      </c>
      <c r="AH29" s="325" t="s">
        <v>173</v>
      </c>
      <c r="AI29" s="406" t="s">
        <v>173</v>
      </c>
      <c r="AJ29" s="325" t="s">
        <v>173</v>
      </c>
      <c r="AK29" s="406" t="s">
        <v>173</v>
      </c>
      <c r="AL29" s="325" t="s">
        <v>173</v>
      </c>
      <c r="AM29" s="406" t="s">
        <v>173</v>
      </c>
      <c r="AN29" s="100"/>
      <c r="AO29" s="100"/>
      <c r="AP29" s="100"/>
      <c r="AQ29" s="100"/>
      <c r="AR29" s="100"/>
      <c r="AT29" s="357" t="s">
        <v>1004</v>
      </c>
      <c r="AU29" s="357" t="s">
        <v>170</v>
      </c>
      <c r="AV29" s="357" t="s">
        <v>915</v>
      </c>
      <c r="AW29" s="357">
        <v>27257.599999999999</v>
      </c>
      <c r="AX29" s="357">
        <v>5</v>
      </c>
      <c r="AY29" s="357">
        <v>0.6</v>
      </c>
      <c r="AZ29" s="357" t="s">
        <v>961</v>
      </c>
      <c r="BA29" s="357">
        <v>2253.1</v>
      </c>
      <c r="BB29" s="357">
        <v>184243</v>
      </c>
      <c r="BC29" s="357"/>
      <c r="BD29" s="357"/>
      <c r="BE29" s="357"/>
      <c r="BF29" s="357"/>
      <c r="BG29" s="357">
        <v>1.5</v>
      </c>
      <c r="BH29" s="357" t="s">
        <v>962</v>
      </c>
      <c r="BI29" s="357">
        <v>2855.5</v>
      </c>
      <c r="BJ29" s="357">
        <v>583756</v>
      </c>
      <c r="BK29" s="608"/>
      <c r="BL29" s="608"/>
      <c r="BM29" s="608"/>
      <c r="BN29" s="608"/>
      <c r="BO29" s="608"/>
      <c r="BP29" s="608"/>
      <c r="BQ29" s="608"/>
      <c r="BR29" s="608"/>
      <c r="BX29" s="357"/>
      <c r="BY29" s="357"/>
      <c r="BZ29" s="357"/>
      <c r="CA29" s="357"/>
      <c r="CB29" s="357"/>
      <c r="CC29" s="357"/>
      <c r="CD29" s="357" t="s">
        <v>1004</v>
      </c>
      <c r="CE29" s="357" t="s">
        <v>170</v>
      </c>
      <c r="CF29" s="357" t="s">
        <v>915</v>
      </c>
      <c r="CG29" s="357">
        <v>27257.599999999999</v>
      </c>
      <c r="CH29" s="357">
        <v>5</v>
      </c>
      <c r="CI29" s="357">
        <v>0.6</v>
      </c>
      <c r="CJ29" s="357" t="s">
        <v>961</v>
      </c>
      <c r="CK29" s="357">
        <v>2253.1</v>
      </c>
      <c r="CL29" s="357">
        <v>184243</v>
      </c>
      <c r="CM29" s="357"/>
      <c r="CN29" s="357"/>
      <c r="CO29" s="357"/>
      <c r="CP29" s="357"/>
      <c r="CQ29" s="357">
        <v>1.5</v>
      </c>
      <c r="CR29" s="357" t="s">
        <v>962</v>
      </c>
      <c r="CS29" s="357">
        <v>2855.5</v>
      </c>
      <c r="CT29" s="357">
        <v>583756</v>
      </c>
    </row>
    <row r="30" spans="2:119" s="109" customFormat="1" ht="27.6" x14ac:dyDescent="0.3">
      <c r="B30" s="130" t="s">
        <v>1007</v>
      </c>
      <c r="C30" s="562" t="s">
        <v>912</v>
      </c>
      <c r="D30" s="140" t="str">
        <f t="shared" ref="D30:D38" si="11">IF($AW31=$E30,"X","ERROR")</f>
        <v>X</v>
      </c>
      <c r="E30" s="486">
        <v>3373.61</v>
      </c>
      <c r="F30" s="140" t="str">
        <f t="shared" ref="F30:F38" si="12">IF($AZ80=$G30,"X","ERROR")</f>
        <v>X</v>
      </c>
      <c r="G30" s="788">
        <f>10*0.5</f>
        <v>5</v>
      </c>
      <c r="H30" s="614" t="str">
        <f t="shared" ref="H30:H38" si="13">IF(ROUND($BA80,2)=$I30,"X","ERROR")</f>
        <v>X</v>
      </c>
      <c r="I30" s="613">
        <f>ROUND(E30/1000*G30,2)</f>
        <v>16.87</v>
      </c>
      <c r="J30" s="140" t="str">
        <f t="shared" ref="J30:J38" si="14">IF($BB80=$K30,"X","ERROR")</f>
        <v>X</v>
      </c>
      <c r="K30" s="366" t="s">
        <v>960</v>
      </c>
      <c r="L30" s="140" t="str">
        <f t="shared" ref="L30:L38" si="15">IF($BC80=$M30,"X","ERROR")</f>
        <v>X</v>
      </c>
      <c r="M30" s="361">
        <v>250</v>
      </c>
      <c r="N30" s="181" t="str">
        <f t="shared" ref="N30:N38" si="16">IF($BD80=$O30,"X","ERROR")</f>
        <v>X</v>
      </c>
      <c r="O30" s="365">
        <v>200</v>
      </c>
      <c r="P30" s="140" t="str">
        <f t="shared" ref="P30:P38" si="17">IF($AY31=$Q30,"X","ERROR")</f>
        <v>X</v>
      </c>
      <c r="Q30" s="298">
        <v>0.6</v>
      </c>
      <c r="R30" s="147" t="str">
        <f t="shared" ref="R30:R38" si="18">IF($AZ31=$S30,"X","ERROR")</f>
        <v>X</v>
      </c>
      <c r="S30" s="373" t="s">
        <v>961</v>
      </c>
      <c r="T30" s="140" t="str">
        <f t="shared" ref="T30:T38" si="19">IF($BG31=$U30,"X","ERROR")</f>
        <v>X</v>
      </c>
      <c r="U30" s="718">
        <v>1.5</v>
      </c>
      <c r="V30" s="147" t="str">
        <f t="shared" ref="V30:V38" si="20">IF($BH31=$W30,"X","ERROR")</f>
        <v>X</v>
      </c>
      <c r="W30" s="20" t="s">
        <v>962</v>
      </c>
      <c r="X30" s="140" t="str">
        <f t="shared" ref="X30:X38" si="21">IF(BE80=$Y30,"X","ERROR")</f>
        <v>ERROR</v>
      </c>
      <c r="Y30" s="840">
        <v>0.18</v>
      </c>
      <c r="Z30" s="147" t="str">
        <f t="shared" ref="Z30:Z38" si="22">IF(BF80=$AA30,"X","ERROR")</f>
        <v>X</v>
      </c>
      <c r="AA30" s="365" t="s">
        <v>963</v>
      </c>
      <c r="AB30" s="140" t="str">
        <f t="shared" ref="AB30:AB38" si="23">IF(BE218=$AC30,"X","ERROR")</f>
        <v>X</v>
      </c>
      <c r="AC30" s="719" t="s">
        <v>548</v>
      </c>
      <c r="AD30" s="140" t="str">
        <f t="shared" ref="AD30:AD38" si="24">IF(BP218=$AE30,"X","ERROR")</f>
        <v>X</v>
      </c>
      <c r="AE30" s="719">
        <v>0</v>
      </c>
      <c r="AF30" s="140" t="str">
        <f t="shared" ref="AF30:AF38" si="25">IF(BQ218=$AG30,"X","ERROR")</f>
        <v>X</v>
      </c>
      <c r="AG30" s="489">
        <v>0.15</v>
      </c>
      <c r="AH30" s="140" t="str">
        <f t="shared" ref="AH30" si="26">IF(BJ187=$AI30,"X","ERROR")</f>
        <v>X</v>
      </c>
      <c r="AI30" s="61">
        <f t="shared" ref="AI30:AI38" si="27">ROUND(MAX(ROUND(I30,2)*AE30,AG30*E30),0)</f>
        <v>506</v>
      </c>
      <c r="AJ30" s="140" t="str">
        <f t="shared" ref="AJ30:AJ38" si="28">IF(BP80=$AK30,"X","ERROR")</f>
        <v>X</v>
      </c>
      <c r="AK30" s="361" t="s">
        <v>964</v>
      </c>
      <c r="AL30" s="140" t="str">
        <f t="shared" ref="AL30:AL38" si="29">IF(BQ80=$AM30,"X","ERROR")</f>
        <v>X</v>
      </c>
      <c r="AM30" s="361" t="s">
        <v>965</v>
      </c>
      <c r="AN30" s="365"/>
      <c r="AO30" s="63"/>
      <c r="AP30" s="365"/>
      <c r="AQ30" s="365"/>
      <c r="AR30" s="63"/>
      <c r="AS30" s="364"/>
      <c r="AT30" s="357" t="s">
        <v>1006</v>
      </c>
      <c r="AU30" s="357" t="s">
        <v>983</v>
      </c>
      <c r="AV30" s="357" t="s">
        <v>979</v>
      </c>
      <c r="AW30" s="357">
        <v>0</v>
      </c>
      <c r="AX30" s="357">
        <v>5</v>
      </c>
      <c r="AY30" s="357"/>
      <c r="AZ30" s="357"/>
      <c r="BA30" s="357"/>
      <c r="BB30" s="357"/>
      <c r="BC30" s="357"/>
      <c r="BD30" s="357"/>
      <c r="BE30" s="357"/>
      <c r="BF30" s="357"/>
      <c r="BG30" s="357"/>
      <c r="BH30" s="357"/>
      <c r="BI30" s="357"/>
      <c r="BJ30" s="357"/>
      <c r="BK30" s="364"/>
      <c r="BL30" s="364"/>
      <c r="BM30" s="364"/>
      <c r="BN30" s="364"/>
      <c r="BO30" s="364"/>
      <c r="BP30" s="364"/>
      <c r="BQ30" s="364"/>
      <c r="BR30" s="364"/>
      <c r="BS30" s="364"/>
      <c r="BT30" s="364"/>
      <c r="BU30" s="364"/>
      <c r="BV30" s="364"/>
      <c r="BW30" s="364"/>
      <c r="BX30" s="357"/>
      <c r="BY30" s="357"/>
      <c r="BZ30" s="357"/>
      <c r="CA30" s="357"/>
      <c r="CB30" s="357"/>
      <c r="CC30" s="357"/>
      <c r="CD30" s="357" t="s">
        <v>1006</v>
      </c>
      <c r="CE30" s="357" t="s">
        <v>983</v>
      </c>
      <c r="CF30" s="357" t="s">
        <v>979</v>
      </c>
      <c r="CG30" s="357">
        <v>0</v>
      </c>
      <c r="CH30" s="357">
        <v>5</v>
      </c>
      <c r="CI30" s="357"/>
      <c r="CJ30" s="357"/>
      <c r="CK30" s="357"/>
      <c r="CL30" s="357"/>
      <c r="CM30" s="357"/>
      <c r="CN30" s="357"/>
      <c r="CO30" s="357"/>
      <c r="CP30" s="357"/>
      <c r="CQ30" s="357"/>
      <c r="CR30" s="357"/>
      <c r="CS30" s="357"/>
      <c r="CT30" s="357"/>
      <c r="CU30" s="364"/>
      <c r="CV30" s="364"/>
      <c r="CW30" s="364"/>
      <c r="CX30" s="364"/>
      <c r="CY30" s="364"/>
      <c r="CZ30" s="364"/>
      <c r="DA30" s="364"/>
      <c r="DB30" s="364"/>
      <c r="DC30" s="364"/>
      <c r="DD30" s="364"/>
      <c r="DE30" s="364"/>
      <c r="DF30" s="364"/>
      <c r="DG30" s="364"/>
      <c r="DH30" s="364"/>
      <c r="DI30" s="364"/>
      <c r="DJ30" s="364"/>
      <c r="DK30" s="364"/>
      <c r="DL30" s="364"/>
      <c r="DM30" s="364"/>
      <c r="DN30" s="364"/>
      <c r="DO30" s="364"/>
    </row>
    <row r="31" spans="2:119" s="109" customFormat="1" ht="27.6" x14ac:dyDescent="0.3">
      <c r="B31" s="130" t="s">
        <v>1008</v>
      </c>
      <c r="C31" s="562" t="s">
        <v>985</v>
      </c>
      <c r="D31" s="140" t="str">
        <f t="shared" si="11"/>
        <v>X</v>
      </c>
      <c r="E31" s="847">
        <v>2174.0500000000002</v>
      </c>
      <c r="F31" s="140" t="str">
        <f t="shared" si="12"/>
        <v>X</v>
      </c>
      <c r="G31" s="788">
        <f>10*0.5</f>
        <v>5</v>
      </c>
      <c r="H31" s="614" t="str">
        <f t="shared" si="13"/>
        <v>X</v>
      </c>
      <c r="I31" s="613">
        <f t="shared" ref="I31:I38" si="30">ROUND(E31/1000*G31,2)</f>
        <v>10.87</v>
      </c>
      <c r="J31" s="140" t="str">
        <f t="shared" si="14"/>
        <v>X</v>
      </c>
      <c r="K31" s="366" t="s">
        <v>960</v>
      </c>
      <c r="L31" s="140" t="str">
        <f t="shared" si="15"/>
        <v>X</v>
      </c>
      <c r="M31" s="361">
        <v>250</v>
      </c>
      <c r="N31" s="181" t="str">
        <f t="shared" si="16"/>
        <v>X</v>
      </c>
      <c r="O31" s="365">
        <v>250</v>
      </c>
      <c r="P31" s="140" t="str">
        <f t="shared" si="17"/>
        <v>X</v>
      </c>
      <c r="Q31" s="203">
        <v>0.5</v>
      </c>
      <c r="R31" s="147" t="str">
        <f t="shared" si="18"/>
        <v>X</v>
      </c>
      <c r="S31" s="373" t="s">
        <v>961</v>
      </c>
      <c r="T31" s="140" t="str">
        <f t="shared" si="19"/>
        <v>X</v>
      </c>
      <c r="U31" s="718">
        <v>0</v>
      </c>
      <c r="V31" s="147" t="str">
        <f t="shared" si="20"/>
        <v>X</v>
      </c>
      <c r="W31" s="872"/>
      <c r="X31" s="140" t="str">
        <f t="shared" si="21"/>
        <v>ERROR</v>
      </c>
      <c r="Y31" s="840">
        <v>0</v>
      </c>
      <c r="Z31" s="147" t="str">
        <f t="shared" si="22"/>
        <v>X</v>
      </c>
      <c r="AA31" s="365" t="s">
        <v>963</v>
      </c>
      <c r="AB31" s="140" t="str">
        <f t="shared" si="23"/>
        <v>X</v>
      </c>
      <c r="AC31" s="719" t="s">
        <v>1009</v>
      </c>
      <c r="AD31" s="140" t="str">
        <f t="shared" si="24"/>
        <v>X</v>
      </c>
      <c r="AE31" s="719">
        <v>0</v>
      </c>
      <c r="AF31" s="140" t="str">
        <f t="shared" si="25"/>
        <v>X</v>
      </c>
      <c r="AG31" s="489">
        <v>0</v>
      </c>
      <c r="AH31" s="140" t="str">
        <f>IF(BJ188=$AI31,"X","ERROR")</f>
        <v>X</v>
      </c>
      <c r="AI31" s="61">
        <f t="shared" si="27"/>
        <v>0</v>
      </c>
      <c r="AJ31" s="140" t="str">
        <f t="shared" si="28"/>
        <v>X</v>
      </c>
      <c r="AK31" s="361" t="s">
        <v>1010</v>
      </c>
      <c r="AL31" s="140" t="str">
        <f t="shared" si="29"/>
        <v>X</v>
      </c>
      <c r="AM31" s="361" t="s">
        <v>1010</v>
      </c>
      <c r="AN31" s="365"/>
      <c r="AO31" s="63"/>
      <c r="AP31" s="63"/>
      <c r="AQ31" s="365"/>
      <c r="AR31" s="63"/>
      <c r="AS31" s="364"/>
      <c r="AT31" s="357" t="s">
        <v>1007</v>
      </c>
      <c r="AU31" s="357" t="s">
        <v>170</v>
      </c>
      <c r="AV31" s="357" t="s">
        <v>915</v>
      </c>
      <c r="AW31" s="357">
        <v>3373.61</v>
      </c>
      <c r="AX31" s="357">
        <v>5</v>
      </c>
      <c r="AY31" s="357">
        <v>0.6</v>
      </c>
      <c r="AZ31" s="357" t="s">
        <v>961</v>
      </c>
      <c r="BA31" s="357">
        <v>2253.1</v>
      </c>
      <c r="BB31" s="357">
        <v>22803.3</v>
      </c>
      <c r="BC31" s="357"/>
      <c r="BD31" s="357"/>
      <c r="BE31" s="357"/>
      <c r="BF31" s="357"/>
      <c r="BG31" s="357">
        <v>1.5</v>
      </c>
      <c r="BH31" s="357" t="s">
        <v>962</v>
      </c>
      <c r="BI31" s="357">
        <v>2855.5</v>
      </c>
      <c r="BJ31" s="357">
        <v>72250.100000000006</v>
      </c>
      <c r="BK31" s="364"/>
      <c r="BL31" s="364"/>
      <c r="BM31" s="364"/>
      <c r="BN31" s="364"/>
      <c r="BO31" s="364"/>
      <c r="BP31" s="364"/>
      <c r="BQ31" s="364"/>
      <c r="BR31" s="364"/>
      <c r="BS31" s="364"/>
      <c r="BT31" s="364"/>
      <c r="BU31" s="364"/>
      <c r="BV31" s="364"/>
      <c r="BW31" s="364"/>
      <c r="BX31" s="357"/>
      <c r="BY31" s="357"/>
      <c r="BZ31" s="357"/>
      <c r="CA31" s="357"/>
      <c r="CB31" s="357"/>
      <c r="CC31" s="357"/>
      <c r="CD31" s="357" t="s">
        <v>1007</v>
      </c>
      <c r="CE31" s="357" t="s">
        <v>170</v>
      </c>
      <c r="CF31" s="357" t="s">
        <v>915</v>
      </c>
      <c r="CG31" s="357">
        <v>3373.61</v>
      </c>
      <c r="CH31" s="357">
        <v>5</v>
      </c>
      <c r="CI31" s="357">
        <v>0.6</v>
      </c>
      <c r="CJ31" s="357" t="s">
        <v>961</v>
      </c>
      <c r="CK31" s="357">
        <v>2253.1</v>
      </c>
      <c r="CL31" s="357">
        <v>22803.3</v>
      </c>
      <c r="CM31" s="357"/>
      <c r="CN31" s="357"/>
      <c r="CO31" s="357"/>
      <c r="CP31" s="357"/>
      <c r="CQ31" s="357">
        <v>1.5</v>
      </c>
      <c r="CR31" s="357" t="s">
        <v>962</v>
      </c>
      <c r="CS31" s="357">
        <v>2855.5</v>
      </c>
      <c r="CT31" s="357">
        <v>72250.100000000006</v>
      </c>
      <c r="CU31" s="364"/>
      <c r="CV31" s="364"/>
      <c r="CW31" s="364"/>
      <c r="CX31" s="364"/>
      <c r="CY31" s="364"/>
      <c r="CZ31" s="364"/>
      <c r="DA31" s="364"/>
      <c r="DB31" s="364"/>
      <c r="DC31" s="364"/>
      <c r="DD31" s="364"/>
      <c r="DE31" s="364"/>
      <c r="DF31" s="364"/>
      <c r="DG31" s="364"/>
      <c r="DH31" s="364"/>
      <c r="DI31" s="364"/>
      <c r="DJ31" s="364"/>
      <c r="DK31" s="364"/>
      <c r="DL31" s="364"/>
      <c r="DM31" s="364"/>
      <c r="DN31" s="364"/>
      <c r="DO31" s="364"/>
    </row>
    <row r="32" spans="2:119" s="109" customFormat="1" ht="27.6" x14ac:dyDescent="0.3">
      <c r="B32" s="130" t="s">
        <v>1011</v>
      </c>
      <c r="C32" s="562" t="s">
        <v>912</v>
      </c>
      <c r="D32" s="140" t="str">
        <f t="shared" si="11"/>
        <v>X</v>
      </c>
      <c r="E32" s="847">
        <v>3373.64</v>
      </c>
      <c r="F32" s="140" t="str">
        <f t="shared" si="12"/>
        <v>X</v>
      </c>
      <c r="G32" s="788">
        <f>10*0.5</f>
        <v>5</v>
      </c>
      <c r="H32" s="614" t="str">
        <f t="shared" si="13"/>
        <v>X</v>
      </c>
      <c r="I32" s="613">
        <f t="shared" si="30"/>
        <v>16.87</v>
      </c>
      <c r="J32" s="140" t="str">
        <f t="shared" si="14"/>
        <v>X</v>
      </c>
      <c r="K32" s="366" t="s">
        <v>960</v>
      </c>
      <c r="L32" s="140" t="str">
        <f t="shared" si="15"/>
        <v>X</v>
      </c>
      <c r="M32" s="361">
        <v>250</v>
      </c>
      <c r="N32" s="181" t="str">
        <f t="shared" si="16"/>
        <v>X</v>
      </c>
      <c r="O32" s="365">
        <v>200</v>
      </c>
      <c r="P32" s="140" t="str">
        <f t="shared" si="17"/>
        <v>X</v>
      </c>
      <c r="Q32" s="298">
        <v>0.6</v>
      </c>
      <c r="R32" s="147" t="str">
        <f t="shared" si="18"/>
        <v>X</v>
      </c>
      <c r="S32" s="373" t="s">
        <v>961</v>
      </c>
      <c r="T32" s="140" t="str">
        <f t="shared" si="19"/>
        <v>X</v>
      </c>
      <c r="U32" s="718">
        <v>1.5</v>
      </c>
      <c r="V32" s="147" t="str">
        <f t="shared" si="20"/>
        <v>X</v>
      </c>
      <c r="W32" s="20" t="s">
        <v>962</v>
      </c>
      <c r="X32" s="140" t="str">
        <f t="shared" si="21"/>
        <v>ERROR</v>
      </c>
      <c r="Y32" s="840">
        <v>0.18</v>
      </c>
      <c r="Z32" s="147" t="str">
        <f t="shared" si="22"/>
        <v>X</v>
      </c>
      <c r="AA32" s="365" t="s">
        <v>963</v>
      </c>
      <c r="AB32" s="140" t="str">
        <f t="shared" si="23"/>
        <v>X</v>
      </c>
      <c r="AC32" s="719" t="s">
        <v>548</v>
      </c>
      <c r="AD32" s="140" t="str">
        <f t="shared" si="24"/>
        <v>X</v>
      </c>
      <c r="AE32" s="719">
        <v>0</v>
      </c>
      <c r="AF32" s="140" t="str">
        <f t="shared" si="25"/>
        <v>X</v>
      </c>
      <c r="AG32" s="489">
        <v>0.15</v>
      </c>
      <c r="AH32" s="140" t="str">
        <f t="shared" ref="AH32:AH33" si="31">IF(BJ189=$AI32,"X","ERROR")</f>
        <v>X</v>
      </c>
      <c r="AI32" s="61">
        <f t="shared" si="27"/>
        <v>506</v>
      </c>
      <c r="AJ32" s="140" t="str">
        <f t="shared" si="28"/>
        <v>X</v>
      </c>
      <c r="AK32" s="361" t="s">
        <v>964</v>
      </c>
      <c r="AL32" s="140" t="str">
        <f t="shared" si="29"/>
        <v>X</v>
      </c>
      <c r="AM32" s="361" t="s">
        <v>965</v>
      </c>
      <c r="AN32" s="365"/>
      <c r="AO32" s="63"/>
      <c r="AP32" s="365"/>
      <c r="AQ32" s="365"/>
      <c r="AR32" s="63"/>
      <c r="AS32" s="364"/>
      <c r="AT32" s="357" t="s">
        <v>1008</v>
      </c>
      <c r="AU32" s="357" t="s">
        <v>140</v>
      </c>
      <c r="AV32" s="357" t="s">
        <v>988</v>
      </c>
      <c r="AW32" s="357">
        <v>2174.0500000000002</v>
      </c>
      <c r="AX32" s="357">
        <v>5</v>
      </c>
      <c r="AY32" s="357">
        <v>0.5</v>
      </c>
      <c r="AZ32" s="357" t="s">
        <v>961</v>
      </c>
      <c r="BA32" s="357">
        <v>2253.1</v>
      </c>
      <c r="BB32" s="357">
        <v>12245.9</v>
      </c>
      <c r="BC32" s="357"/>
      <c r="BD32" s="357"/>
      <c r="BE32" s="357"/>
      <c r="BF32" s="357"/>
      <c r="BG32" s="357"/>
      <c r="BH32" s="357"/>
      <c r="BI32" s="357"/>
      <c r="BJ32" s="357"/>
      <c r="BK32" s="364"/>
      <c r="BL32" s="364"/>
      <c r="BM32" s="364"/>
      <c r="BN32" s="364"/>
      <c r="BO32" s="364"/>
      <c r="BP32" s="364"/>
      <c r="BQ32" s="364"/>
      <c r="BR32" s="364"/>
      <c r="BS32" s="364"/>
      <c r="BT32" s="364"/>
      <c r="BU32" s="364"/>
      <c r="BV32" s="364"/>
      <c r="BW32" s="364"/>
      <c r="BX32" s="357"/>
      <c r="BY32" s="357"/>
      <c r="BZ32" s="357"/>
      <c r="CA32" s="357"/>
      <c r="CB32" s="357"/>
      <c r="CC32" s="357"/>
      <c r="CD32" s="357" t="s">
        <v>1008</v>
      </c>
      <c r="CE32" s="357" t="s">
        <v>140</v>
      </c>
      <c r="CF32" s="357" t="s">
        <v>988</v>
      </c>
      <c r="CG32" s="357">
        <v>2174.0500000000002</v>
      </c>
      <c r="CH32" s="357">
        <v>5</v>
      </c>
      <c r="CI32" s="357">
        <v>0.6</v>
      </c>
      <c r="CJ32" s="357" t="s">
        <v>961</v>
      </c>
      <c r="CK32" s="357">
        <v>2253.1</v>
      </c>
      <c r="CL32" s="357">
        <v>14695.1</v>
      </c>
      <c r="CM32" s="357"/>
      <c r="CN32" s="357"/>
      <c r="CO32" s="357"/>
      <c r="CP32" s="357"/>
      <c r="CQ32" s="357"/>
      <c r="CR32" s="357"/>
      <c r="CS32" s="357"/>
      <c r="CT32" s="357"/>
      <c r="CU32" s="364"/>
      <c r="CV32" s="364"/>
      <c r="CW32" s="364"/>
      <c r="CX32" s="364"/>
      <c r="CY32" s="364"/>
      <c r="CZ32" s="364"/>
      <c r="DA32" s="364"/>
      <c r="DB32" s="364"/>
      <c r="DC32" s="364"/>
      <c r="DD32" s="364"/>
      <c r="DE32" s="364"/>
      <c r="DF32" s="364"/>
      <c r="DG32" s="364"/>
      <c r="DH32" s="364"/>
      <c r="DI32" s="364"/>
      <c r="DJ32" s="364"/>
      <c r="DK32" s="364"/>
      <c r="DL32" s="364"/>
      <c r="DM32" s="364"/>
      <c r="DN32" s="364"/>
      <c r="DO32" s="364"/>
    </row>
    <row r="33" spans="1:119" s="109" customFormat="1" ht="27.6" x14ac:dyDescent="0.3">
      <c r="A33" s="364"/>
      <c r="B33" s="130" t="s">
        <v>1012</v>
      </c>
      <c r="C33" s="562" t="s">
        <v>912</v>
      </c>
      <c r="D33" s="140" t="str">
        <f t="shared" si="11"/>
        <v>X</v>
      </c>
      <c r="E33" s="847">
        <v>2174.04</v>
      </c>
      <c r="F33" s="140" t="str">
        <f t="shared" si="12"/>
        <v>X</v>
      </c>
      <c r="G33" s="788">
        <f>10*0.5</f>
        <v>5</v>
      </c>
      <c r="H33" s="614" t="str">
        <f t="shared" si="13"/>
        <v>X</v>
      </c>
      <c r="I33" s="613">
        <f t="shared" si="30"/>
        <v>10.87</v>
      </c>
      <c r="J33" s="140" t="str">
        <f t="shared" si="14"/>
        <v>X</v>
      </c>
      <c r="K33" s="366" t="s">
        <v>960</v>
      </c>
      <c r="L33" s="140" t="str">
        <f t="shared" si="15"/>
        <v>X</v>
      </c>
      <c r="M33" s="361">
        <v>250</v>
      </c>
      <c r="N33" s="181" t="str">
        <f t="shared" si="16"/>
        <v>X</v>
      </c>
      <c r="O33" s="365">
        <v>200</v>
      </c>
      <c r="P33" s="140" t="str">
        <f t="shared" si="17"/>
        <v>X</v>
      </c>
      <c r="Q33" s="298">
        <v>0.6</v>
      </c>
      <c r="R33" s="147" t="str">
        <f t="shared" si="18"/>
        <v>X</v>
      </c>
      <c r="S33" s="373" t="s">
        <v>961</v>
      </c>
      <c r="T33" s="140" t="str">
        <f t="shared" si="19"/>
        <v>X</v>
      </c>
      <c r="U33" s="718">
        <v>1.5</v>
      </c>
      <c r="V33" s="147" t="str">
        <f t="shared" si="20"/>
        <v>X</v>
      </c>
      <c r="W33" s="20" t="s">
        <v>962</v>
      </c>
      <c r="X33" s="140" t="str">
        <f t="shared" si="21"/>
        <v>ERROR</v>
      </c>
      <c r="Y33" s="840">
        <v>0.18</v>
      </c>
      <c r="Z33" s="147" t="str">
        <f t="shared" si="22"/>
        <v>X</v>
      </c>
      <c r="AA33" s="365" t="s">
        <v>963</v>
      </c>
      <c r="AB33" s="140" t="str">
        <f t="shared" si="23"/>
        <v>X</v>
      </c>
      <c r="AC33" s="719" t="s">
        <v>548</v>
      </c>
      <c r="AD33" s="140" t="str">
        <f t="shared" si="24"/>
        <v>X</v>
      </c>
      <c r="AE33" s="719">
        <v>0</v>
      </c>
      <c r="AF33" s="140" t="str">
        <f t="shared" si="25"/>
        <v>X</v>
      </c>
      <c r="AG33" s="489">
        <v>0.15</v>
      </c>
      <c r="AH33" s="140" t="str">
        <f t="shared" si="31"/>
        <v>X</v>
      </c>
      <c r="AI33" s="61">
        <f t="shared" si="27"/>
        <v>326</v>
      </c>
      <c r="AJ33" s="140" t="str">
        <f t="shared" si="28"/>
        <v>X</v>
      </c>
      <c r="AK33" s="361" t="s">
        <v>964</v>
      </c>
      <c r="AL33" s="140" t="str">
        <f t="shared" si="29"/>
        <v>X</v>
      </c>
      <c r="AM33" s="361" t="s">
        <v>965</v>
      </c>
      <c r="AN33" s="365"/>
      <c r="AO33" s="63"/>
      <c r="AP33" s="365"/>
      <c r="AQ33" s="365"/>
      <c r="AR33" s="63"/>
      <c r="AS33" s="364"/>
      <c r="AT33" s="357" t="s">
        <v>1011</v>
      </c>
      <c r="AU33" s="357" t="s">
        <v>170</v>
      </c>
      <c r="AV33" s="357" t="s">
        <v>915</v>
      </c>
      <c r="AW33" s="357">
        <v>3373.64</v>
      </c>
      <c r="AX33" s="357">
        <v>5</v>
      </c>
      <c r="AY33" s="357">
        <v>0.6</v>
      </c>
      <c r="AZ33" s="357" t="s">
        <v>961</v>
      </c>
      <c r="BA33" s="357">
        <v>2253.1</v>
      </c>
      <c r="BB33" s="357">
        <v>22803.4</v>
      </c>
      <c r="BC33" s="357"/>
      <c r="BD33" s="357"/>
      <c r="BE33" s="357"/>
      <c r="BF33" s="357"/>
      <c r="BG33" s="357">
        <v>1.5</v>
      </c>
      <c r="BH33" s="357" t="s">
        <v>962</v>
      </c>
      <c r="BI33" s="357">
        <v>2855.5</v>
      </c>
      <c r="BJ33" s="357">
        <v>72250.600000000006</v>
      </c>
      <c r="BK33" s="364"/>
      <c r="BL33" s="364"/>
      <c r="BM33" s="364"/>
      <c r="BN33" s="364"/>
      <c r="BO33" s="364"/>
      <c r="BP33" s="364"/>
      <c r="BQ33" s="364"/>
      <c r="BR33" s="364"/>
      <c r="BS33" s="364"/>
      <c r="BT33" s="364"/>
      <c r="BU33" s="364"/>
      <c r="BV33" s="364"/>
      <c r="BW33" s="364"/>
      <c r="BX33" s="357"/>
      <c r="BY33" s="357"/>
      <c r="BZ33" s="357"/>
      <c r="CA33" s="357"/>
      <c r="CB33" s="357"/>
      <c r="CC33" s="357"/>
      <c r="CD33" s="357" t="s">
        <v>1011</v>
      </c>
      <c r="CE33" s="357" t="s">
        <v>170</v>
      </c>
      <c r="CF33" s="357" t="s">
        <v>915</v>
      </c>
      <c r="CG33" s="357">
        <v>3373.64</v>
      </c>
      <c r="CH33" s="357">
        <v>5</v>
      </c>
      <c r="CI33" s="357">
        <v>0.6</v>
      </c>
      <c r="CJ33" s="357" t="s">
        <v>961</v>
      </c>
      <c r="CK33" s="357">
        <v>2253.1</v>
      </c>
      <c r="CL33" s="357">
        <v>22803.4</v>
      </c>
      <c r="CM33" s="357"/>
      <c r="CN33" s="357"/>
      <c r="CO33" s="357"/>
      <c r="CP33" s="357"/>
      <c r="CQ33" s="357">
        <v>1.5</v>
      </c>
      <c r="CR33" s="357" t="s">
        <v>962</v>
      </c>
      <c r="CS33" s="357">
        <v>2855.5</v>
      </c>
      <c r="CT33" s="357">
        <v>72250.600000000006</v>
      </c>
      <c r="CU33" s="364"/>
      <c r="CV33" s="364"/>
      <c r="CW33" s="364"/>
      <c r="CX33" s="364"/>
      <c r="CY33" s="364"/>
      <c r="CZ33" s="364"/>
      <c r="DA33" s="364"/>
      <c r="DB33" s="364"/>
      <c r="DC33" s="364"/>
      <c r="DD33" s="364"/>
      <c r="DE33" s="364"/>
      <c r="DF33" s="364"/>
      <c r="DG33" s="364"/>
      <c r="DH33" s="364"/>
      <c r="DI33" s="364"/>
      <c r="DJ33" s="364"/>
      <c r="DK33" s="364"/>
      <c r="DL33" s="364"/>
      <c r="DM33" s="364"/>
      <c r="DN33" s="364"/>
      <c r="DO33" s="364"/>
    </row>
    <row r="34" spans="1:119" s="109" customFormat="1" ht="41.4" x14ac:dyDescent="0.3">
      <c r="A34" s="364"/>
      <c r="B34" s="130" t="s">
        <v>1013</v>
      </c>
      <c r="C34" s="562" t="s">
        <v>1014</v>
      </c>
      <c r="D34" s="140" t="str">
        <f t="shared" si="11"/>
        <v>X</v>
      </c>
      <c r="E34" s="847">
        <v>27257.599999999999</v>
      </c>
      <c r="F34" s="140" t="str">
        <f t="shared" si="12"/>
        <v>X</v>
      </c>
      <c r="G34" s="465">
        <f>66.67*0.5</f>
        <v>33.335000000000001</v>
      </c>
      <c r="H34" s="614" t="str">
        <f t="shared" si="13"/>
        <v>X</v>
      </c>
      <c r="I34" s="613">
        <f>ROUND(E34/1000*G34,2)</f>
        <v>908.63</v>
      </c>
      <c r="J34" s="140" t="str">
        <f t="shared" si="14"/>
        <v>X</v>
      </c>
      <c r="K34" s="72" t="s">
        <v>1015</v>
      </c>
      <c r="L34" s="140" t="str">
        <f t="shared" si="15"/>
        <v>X</v>
      </c>
      <c r="M34" s="361">
        <v>245</v>
      </c>
      <c r="N34" s="181" t="str">
        <f t="shared" si="16"/>
        <v>X</v>
      </c>
      <c r="O34" s="365">
        <v>155</v>
      </c>
      <c r="P34" s="140" t="str">
        <f t="shared" si="17"/>
        <v>X</v>
      </c>
      <c r="Q34" s="203">
        <v>1.2</v>
      </c>
      <c r="R34" s="147" t="str">
        <f t="shared" si="18"/>
        <v>X</v>
      </c>
      <c r="S34" s="366" t="s">
        <v>1016</v>
      </c>
      <c r="T34" s="140" t="str">
        <f t="shared" si="19"/>
        <v>X</v>
      </c>
      <c r="U34" s="718">
        <v>1</v>
      </c>
      <c r="V34" s="147" t="str">
        <f t="shared" si="20"/>
        <v>X</v>
      </c>
      <c r="W34" s="363" t="s">
        <v>1017</v>
      </c>
      <c r="X34" s="140" t="str">
        <f t="shared" si="21"/>
        <v>ERROR</v>
      </c>
      <c r="Y34" s="840">
        <v>0.09</v>
      </c>
      <c r="Z34" s="147" t="str">
        <f t="shared" si="22"/>
        <v>X</v>
      </c>
      <c r="AA34" s="363" t="s">
        <v>1018</v>
      </c>
      <c r="AB34" s="140" t="str">
        <f t="shared" si="23"/>
        <v>X</v>
      </c>
      <c r="AC34" s="719" t="s">
        <v>548</v>
      </c>
      <c r="AD34" s="140" t="str">
        <f t="shared" si="24"/>
        <v>X</v>
      </c>
      <c r="AE34" s="789">
        <v>14.9993</v>
      </c>
      <c r="AF34" s="140" t="str">
        <f t="shared" si="25"/>
        <v>X</v>
      </c>
      <c r="AG34" s="489">
        <v>0.15</v>
      </c>
      <c r="AH34" s="140" t="str">
        <f t="shared" ref="AH34:AH38" si="32">IF(MAX(BJ191,BN191)=$AI34,"X","ERROR")</f>
        <v>X</v>
      </c>
      <c r="AI34" s="61">
        <f t="shared" si="27"/>
        <v>13629</v>
      </c>
      <c r="AJ34" s="140" t="str">
        <f t="shared" si="28"/>
        <v>X</v>
      </c>
      <c r="AK34" s="360" t="s">
        <v>1019</v>
      </c>
      <c r="AL34" s="621" t="str">
        <f t="shared" si="29"/>
        <v>X</v>
      </c>
      <c r="AM34" s="360" t="s">
        <v>1020</v>
      </c>
      <c r="AN34" s="365"/>
      <c r="AO34" s="63"/>
      <c r="AP34" s="365"/>
      <c r="AQ34" s="365"/>
      <c r="AR34" s="63"/>
      <c r="AS34" s="364"/>
      <c r="AT34" s="357" t="s">
        <v>1012</v>
      </c>
      <c r="AU34" s="357" t="s">
        <v>170</v>
      </c>
      <c r="AV34" s="357" t="s">
        <v>915</v>
      </c>
      <c r="AW34" s="357">
        <v>2174.04</v>
      </c>
      <c r="AX34" s="357">
        <v>5</v>
      </c>
      <c r="AY34" s="357">
        <v>0.6</v>
      </c>
      <c r="AZ34" s="357" t="s">
        <v>961</v>
      </c>
      <c r="BA34" s="357">
        <v>2253.1</v>
      </c>
      <c r="BB34" s="357">
        <v>14695</v>
      </c>
      <c r="BC34" s="357"/>
      <c r="BD34" s="357"/>
      <c r="BE34" s="357"/>
      <c r="BF34" s="357"/>
      <c r="BG34" s="357">
        <v>1.5</v>
      </c>
      <c r="BH34" s="357" t="s">
        <v>962</v>
      </c>
      <c r="BI34" s="357">
        <v>2855.5</v>
      </c>
      <c r="BJ34" s="357">
        <v>46559.7</v>
      </c>
      <c r="BK34" s="364"/>
      <c r="BL34" s="364"/>
      <c r="BM34" s="364"/>
      <c r="BN34" s="364"/>
      <c r="BO34" s="364"/>
      <c r="BP34" s="364"/>
      <c r="BQ34" s="364"/>
      <c r="BR34" s="364"/>
      <c r="BS34" s="364"/>
      <c r="BT34" s="364"/>
      <c r="BU34" s="364"/>
      <c r="BV34" s="364"/>
      <c r="BW34" s="364"/>
      <c r="BX34" s="357"/>
      <c r="BY34" s="357"/>
      <c r="BZ34" s="357"/>
      <c r="CA34" s="357"/>
      <c r="CB34" s="357"/>
      <c r="CC34" s="357"/>
      <c r="CD34" s="357" t="s">
        <v>1012</v>
      </c>
      <c r="CE34" s="357" t="s">
        <v>170</v>
      </c>
      <c r="CF34" s="357" t="s">
        <v>915</v>
      </c>
      <c r="CG34" s="357">
        <v>2174.04</v>
      </c>
      <c r="CH34" s="357">
        <v>5</v>
      </c>
      <c r="CI34" s="357">
        <v>0.6</v>
      </c>
      <c r="CJ34" s="357" t="s">
        <v>961</v>
      </c>
      <c r="CK34" s="357">
        <v>2253.1</v>
      </c>
      <c r="CL34" s="357">
        <v>14695</v>
      </c>
      <c r="CM34" s="357"/>
      <c r="CN34" s="357"/>
      <c r="CO34" s="357"/>
      <c r="CP34" s="357"/>
      <c r="CQ34" s="357">
        <v>1.5</v>
      </c>
      <c r="CR34" s="357" t="s">
        <v>962</v>
      </c>
      <c r="CS34" s="357">
        <v>2855.5</v>
      </c>
      <c r="CT34" s="357">
        <v>46559.7</v>
      </c>
      <c r="CU34" s="364"/>
      <c r="CV34" s="364"/>
      <c r="CW34" s="364"/>
      <c r="CX34" s="364"/>
      <c r="CY34" s="364"/>
      <c r="CZ34" s="364"/>
      <c r="DA34" s="364"/>
      <c r="DB34" s="364"/>
      <c r="DC34" s="364"/>
      <c r="DD34" s="364"/>
      <c r="DE34" s="364"/>
      <c r="DF34" s="364"/>
      <c r="DG34" s="364"/>
      <c r="DH34" s="364"/>
      <c r="DI34" s="364"/>
      <c r="DJ34" s="364"/>
      <c r="DK34" s="364"/>
      <c r="DL34" s="364"/>
      <c r="DM34" s="364"/>
      <c r="DN34" s="364"/>
      <c r="DO34" s="364"/>
    </row>
    <row r="35" spans="1:119" s="109" customFormat="1" ht="41.4" x14ac:dyDescent="0.3">
      <c r="A35" s="364"/>
      <c r="B35" s="130" t="s">
        <v>1021</v>
      </c>
      <c r="C35" s="562" t="s">
        <v>1014</v>
      </c>
      <c r="D35" s="140" t="str">
        <f t="shared" si="11"/>
        <v>X</v>
      </c>
      <c r="E35" s="847">
        <v>3373.61</v>
      </c>
      <c r="F35" s="140" t="str">
        <f t="shared" si="12"/>
        <v>X</v>
      </c>
      <c r="G35" s="465">
        <f>66.67*0.5</f>
        <v>33.335000000000001</v>
      </c>
      <c r="H35" s="614" t="str">
        <f t="shared" si="13"/>
        <v>X</v>
      </c>
      <c r="I35" s="613">
        <f t="shared" si="30"/>
        <v>112.46</v>
      </c>
      <c r="J35" s="140" t="str">
        <f t="shared" si="14"/>
        <v>X</v>
      </c>
      <c r="K35" s="72" t="s">
        <v>1015</v>
      </c>
      <c r="L35" s="140" t="str">
        <f t="shared" si="15"/>
        <v>X</v>
      </c>
      <c r="M35" s="361">
        <v>245</v>
      </c>
      <c r="N35" s="181" t="str">
        <f t="shared" si="16"/>
        <v>X</v>
      </c>
      <c r="O35" s="365">
        <v>155</v>
      </c>
      <c r="P35" s="140" t="str">
        <f t="shared" si="17"/>
        <v>X</v>
      </c>
      <c r="Q35" s="203">
        <v>1.2</v>
      </c>
      <c r="R35" s="147" t="str">
        <f t="shared" si="18"/>
        <v>X</v>
      </c>
      <c r="S35" s="366" t="s">
        <v>1016</v>
      </c>
      <c r="T35" s="140" t="str">
        <f t="shared" si="19"/>
        <v>X</v>
      </c>
      <c r="U35" s="718">
        <v>1</v>
      </c>
      <c r="V35" s="147" t="str">
        <f t="shared" si="20"/>
        <v>X</v>
      </c>
      <c r="W35" s="363" t="s">
        <v>1017</v>
      </c>
      <c r="X35" s="140" t="str">
        <f t="shared" si="21"/>
        <v>ERROR</v>
      </c>
      <c r="Y35" s="840">
        <v>0.09</v>
      </c>
      <c r="Z35" s="147" t="str">
        <f t="shared" si="22"/>
        <v>X</v>
      </c>
      <c r="AA35" s="363" t="s">
        <v>1018</v>
      </c>
      <c r="AB35" s="140" t="str">
        <f t="shared" si="23"/>
        <v>X</v>
      </c>
      <c r="AC35" s="719" t="s">
        <v>548</v>
      </c>
      <c r="AD35" s="140" t="str">
        <f t="shared" si="24"/>
        <v>X</v>
      </c>
      <c r="AE35" s="789">
        <v>14.9993</v>
      </c>
      <c r="AF35" s="140" t="str">
        <f t="shared" si="25"/>
        <v>X</v>
      </c>
      <c r="AG35" s="489">
        <v>0.15</v>
      </c>
      <c r="AH35" s="140" t="str">
        <f t="shared" si="32"/>
        <v>X</v>
      </c>
      <c r="AI35" s="61">
        <f t="shared" si="27"/>
        <v>1687</v>
      </c>
      <c r="AJ35" s="140" t="str">
        <f t="shared" si="28"/>
        <v>X</v>
      </c>
      <c r="AK35" s="360" t="s">
        <v>1019</v>
      </c>
      <c r="AL35" s="621" t="str">
        <f t="shared" si="29"/>
        <v>X</v>
      </c>
      <c r="AM35" s="360" t="s">
        <v>1020</v>
      </c>
      <c r="AN35" s="365"/>
      <c r="AO35" s="63"/>
      <c r="AP35" s="365"/>
      <c r="AQ35" s="365"/>
      <c r="AR35" s="63"/>
      <c r="AS35" s="364"/>
      <c r="AT35" s="357" t="s">
        <v>1013</v>
      </c>
      <c r="AU35" s="357" t="s">
        <v>170</v>
      </c>
      <c r="AV35" s="357" t="s">
        <v>1022</v>
      </c>
      <c r="AW35" s="357">
        <v>27257.599999999999</v>
      </c>
      <c r="AX35" s="357">
        <v>1</v>
      </c>
      <c r="AY35" s="357">
        <v>1.2</v>
      </c>
      <c r="AZ35" s="357" t="s">
        <v>1016</v>
      </c>
      <c r="BA35" s="357">
        <v>3340.2</v>
      </c>
      <c r="BB35" s="357">
        <v>109255</v>
      </c>
      <c r="BC35" s="357"/>
      <c r="BD35" s="357"/>
      <c r="BE35" s="357"/>
      <c r="BF35" s="357"/>
      <c r="BG35" s="357">
        <v>1</v>
      </c>
      <c r="BH35" s="357" t="s">
        <v>1017</v>
      </c>
      <c r="BI35" s="357">
        <v>3838.95</v>
      </c>
      <c r="BJ35" s="357">
        <v>104641</v>
      </c>
      <c r="BK35" s="364"/>
      <c r="BL35" s="364"/>
      <c r="BM35" s="364"/>
      <c r="BN35" s="364"/>
      <c r="BO35" s="364"/>
      <c r="BP35" s="364"/>
      <c r="BQ35" s="364"/>
      <c r="BR35" s="364"/>
      <c r="BS35" s="364"/>
      <c r="BT35" s="364"/>
      <c r="BU35" s="364"/>
      <c r="BV35" s="364"/>
      <c r="BW35" s="364"/>
      <c r="BX35" s="357"/>
      <c r="BY35" s="357"/>
      <c r="BZ35" s="357"/>
      <c r="CA35" s="357"/>
      <c r="CB35" s="357"/>
      <c r="CC35" s="357"/>
      <c r="CD35" s="357" t="s">
        <v>1013</v>
      </c>
      <c r="CE35" s="357" t="s">
        <v>170</v>
      </c>
      <c r="CF35" s="357" t="s">
        <v>1022</v>
      </c>
      <c r="CG35" s="357">
        <v>27257.599999999999</v>
      </c>
      <c r="CH35" s="357">
        <v>1</v>
      </c>
      <c r="CI35" s="357">
        <v>0.85</v>
      </c>
      <c r="CJ35" s="357" t="s">
        <v>1016</v>
      </c>
      <c r="CK35" s="357">
        <v>3340.2</v>
      </c>
      <c r="CL35" s="357">
        <v>77389.100000000006</v>
      </c>
      <c r="CM35" s="357"/>
      <c r="CN35" s="357"/>
      <c r="CO35" s="357"/>
      <c r="CP35" s="357"/>
      <c r="CQ35" s="357">
        <v>1</v>
      </c>
      <c r="CR35" s="357" t="s">
        <v>1017</v>
      </c>
      <c r="CS35" s="357">
        <v>3838.95</v>
      </c>
      <c r="CT35" s="357">
        <v>104641</v>
      </c>
      <c r="CU35" s="364"/>
      <c r="CV35" s="364"/>
      <c r="CW35" s="364"/>
      <c r="CX35" s="364"/>
      <c r="CY35" s="364"/>
      <c r="CZ35" s="364"/>
      <c r="DA35" s="364"/>
      <c r="DB35" s="364"/>
      <c r="DC35" s="364"/>
      <c r="DD35" s="364"/>
      <c r="DE35" s="364"/>
      <c r="DF35" s="364"/>
      <c r="DG35" s="364"/>
      <c r="DH35" s="364"/>
      <c r="DI35" s="364"/>
      <c r="DJ35" s="364"/>
      <c r="DK35" s="364"/>
      <c r="DL35" s="364"/>
      <c r="DM35" s="364"/>
      <c r="DN35" s="364"/>
      <c r="DO35" s="364"/>
    </row>
    <row r="36" spans="1:119" s="109" customFormat="1" ht="27.6" x14ac:dyDescent="0.3">
      <c r="A36" s="364"/>
      <c r="B36" s="130" t="s">
        <v>1023</v>
      </c>
      <c r="C36" s="562" t="s">
        <v>985</v>
      </c>
      <c r="D36" s="140" t="str">
        <f t="shared" si="11"/>
        <v>X</v>
      </c>
      <c r="E36" s="847">
        <v>2174.0500000000002</v>
      </c>
      <c r="F36" s="140" t="str">
        <f t="shared" si="12"/>
        <v>X</v>
      </c>
      <c r="G36" s="465">
        <f>10*0.5</f>
        <v>5</v>
      </c>
      <c r="H36" s="614" t="str">
        <f t="shared" si="13"/>
        <v>X</v>
      </c>
      <c r="I36" s="613">
        <f t="shared" si="30"/>
        <v>10.87</v>
      </c>
      <c r="J36" s="140" t="str">
        <f t="shared" si="14"/>
        <v>X</v>
      </c>
      <c r="K36" s="366" t="s">
        <v>1015</v>
      </c>
      <c r="L36" s="140" t="str">
        <f t="shared" si="15"/>
        <v>X</v>
      </c>
      <c r="M36" s="361">
        <v>250</v>
      </c>
      <c r="N36" s="181" t="str">
        <f t="shared" si="16"/>
        <v>X</v>
      </c>
      <c r="O36" s="365">
        <v>250</v>
      </c>
      <c r="P36" s="140" t="str">
        <f t="shared" si="17"/>
        <v>X</v>
      </c>
      <c r="Q36" s="203">
        <v>0.5</v>
      </c>
      <c r="R36" s="147" t="str">
        <f t="shared" si="18"/>
        <v>X</v>
      </c>
      <c r="S36" s="373" t="s">
        <v>1016</v>
      </c>
      <c r="T36" s="140" t="str">
        <f t="shared" si="19"/>
        <v>X</v>
      </c>
      <c r="U36" s="718">
        <v>0</v>
      </c>
      <c r="V36" s="147" t="str">
        <f t="shared" si="20"/>
        <v>X</v>
      </c>
      <c r="W36" s="872"/>
      <c r="X36" s="140" t="str">
        <f t="shared" si="21"/>
        <v>ERROR</v>
      </c>
      <c r="Y36" s="840">
        <v>0</v>
      </c>
      <c r="Z36" s="147" t="str">
        <f t="shared" si="22"/>
        <v>X</v>
      </c>
      <c r="AA36" s="365" t="s">
        <v>1018</v>
      </c>
      <c r="AB36" s="140" t="str">
        <f t="shared" si="23"/>
        <v>X</v>
      </c>
      <c r="AC36" s="719" t="s">
        <v>548</v>
      </c>
      <c r="AD36" s="140" t="str">
        <f t="shared" si="24"/>
        <v>X</v>
      </c>
      <c r="AE36" s="719">
        <v>0</v>
      </c>
      <c r="AF36" s="140" t="str">
        <f t="shared" si="25"/>
        <v>X</v>
      </c>
      <c r="AG36" s="489">
        <v>0.15</v>
      </c>
      <c r="AH36" s="140" t="str">
        <f t="shared" si="32"/>
        <v>X</v>
      </c>
      <c r="AI36" s="61">
        <f t="shared" si="27"/>
        <v>326</v>
      </c>
      <c r="AJ36" s="140" t="str">
        <f t="shared" si="28"/>
        <v>X</v>
      </c>
      <c r="AK36" s="360" t="s">
        <v>1019</v>
      </c>
      <c r="AL36" s="621" t="str">
        <f t="shared" si="29"/>
        <v>X</v>
      </c>
      <c r="AM36" s="360" t="s">
        <v>1020</v>
      </c>
      <c r="AN36" s="365"/>
      <c r="AO36" s="63"/>
      <c r="AP36" s="63"/>
      <c r="AQ36" s="365"/>
      <c r="AR36" s="63"/>
      <c r="AS36" s="364"/>
      <c r="AT36" s="357" t="s">
        <v>1021</v>
      </c>
      <c r="AU36" s="357" t="s">
        <v>170</v>
      </c>
      <c r="AV36" s="357" t="s">
        <v>1022</v>
      </c>
      <c r="AW36" s="357">
        <v>3373.61</v>
      </c>
      <c r="AX36" s="357">
        <v>1</v>
      </c>
      <c r="AY36" s="357">
        <v>1.2</v>
      </c>
      <c r="AZ36" s="357" t="s">
        <v>1016</v>
      </c>
      <c r="BA36" s="357">
        <v>3340.2</v>
      </c>
      <c r="BB36" s="357">
        <v>13522.2</v>
      </c>
      <c r="BC36" s="357"/>
      <c r="BD36" s="357"/>
      <c r="BE36" s="357"/>
      <c r="BF36" s="357"/>
      <c r="BG36" s="357">
        <v>1</v>
      </c>
      <c r="BH36" s="357" t="s">
        <v>1017</v>
      </c>
      <c r="BI36" s="357">
        <v>3838.95</v>
      </c>
      <c r="BJ36" s="357">
        <v>12951.1</v>
      </c>
      <c r="BK36" s="364"/>
      <c r="BL36" s="364"/>
      <c r="BM36" s="364"/>
      <c r="BN36" s="364"/>
      <c r="BO36" s="364"/>
      <c r="BP36" s="364"/>
      <c r="BQ36" s="364"/>
      <c r="BR36" s="364"/>
      <c r="BS36" s="364"/>
      <c r="BT36" s="364"/>
      <c r="BU36" s="364"/>
      <c r="BV36" s="364"/>
      <c r="BW36" s="364"/>
      <c r="BX36" s="357"/>
      <c r="BY36" s="357"/>
      <c r="BZ36" s="357"/>
      <c r="CA36" s="357"/>
      <c r="CB36" s="357"/>
      <c r="CC36" s="357"/>
      <c r="CD36" s="357" t="s">
        <v>1021</v>
      </c>
      <c r="CE36" s="357" t="s">
        <v>170</v>
      </c>
      <c r="CF36" s="357" t="s">
        <v>1022</v>
      </c>
      <c r="CG36" s="357">
        <v>3373.61</v>
      </c>
      <c r="CH36" s="357">
        <v>1</v>
      </c>
      <c r="CI36" s="357">
        <v>0.85</v>
      </c>
      <c r="CJ36" s="357" t="s">
        <v>1016</v>
      </c>
      <c r="CK36" s="357">
        <v>3340.2</v>
      </c>
      <c r="CL36" s="357">
        <v>9578.26</v>
      </c>
      <c r="CM36" s="357"/>
      <c r="CN36" s="357"/>
      <c r="CO36" s="357"/>
      <c r="CP36" s="357"/>
      <c r="CQ36" s="357">
        <v>1</v>
      </c>
      <c r="CR36" s="357" t="s">
        <v>1017</v>
      </c>
      <c r="CS36" s="357">
        <v>3838.95</v>
      </c>
      <c r="CT36" s="357">
        <v>12951.1</v>
      </c>
      <c r="CU36" s="364"/>
      <c r="CV36" s="364"/>
      <c r="CW36" s="364"/>
      <c r="CX36" s="364"/>
      <c r="CY36" s="364"/>
      <c r="CZ36" s="364"/>
      <c r="DA36" s="364"/>
      <c r="DB36" s="364"/>
      <c r="DC36" s="364"/>
      <c r="DD36" s="364"/>
      <c r="DE36" s="364"/>
      <c r="DF36" s="364"/>
      <c r="DG36" s="364"/>
      <c r="DH36" s="364"/>
      <c r="DI36" s="364"/>
      <c r="DJ36" s="364"/>
      <c r="DK36" s="364"/>
      <c r="DL36" s="364"/>
      <c r="DM36" s="364"/>
      <c r="DN36" s="364"/>
      <c r="DO36" s="364"/>
    </row>
    <row r="37" spans="1:119" s="109" customFormat="1" ht="41.4" x14ac:dyDescent="0.3">
      <c r="A37" s="364"/>
      <c r="B37" s="130" t="s">
        <v>1024</v>
      </c>
      <c r="C37" s="562" t="s">
        <v>1014</v>
      </c>
      <c r="D37" s="140" t="str">
        <f t="shared" si="11"/>
        <v>X</v>
      </c>
      <c r="E37" s="847">
        <v>3373.64</v>
      </c>
      <c r="F37" s="140" t="str">
        <f t="shared" si="12"/>
        <v>X</v>
      </c>
      <c r="G37" s="465">
        <f>66.67*0.5</f>
        <v>33.335000000000001</v>
      </c>
      <c r="H37" s="614" t="str">
        <f t="shared" si="13"/>
        <v>X</v>
      </c>
      <c r="I37" s="613">
        <f t="shared" si="30"/>
        <v>112.46</v>
      </c>
      <c r="J37" s="140" t="str">
        <f t="shared" si="14"/>
        <v>X</v>
      </c>
      <c r="K37" s="72" t="s">
        <v>1015</v>
      </c>
      <c r="L37" s="140" t="str">
        <f t="shared" si="15"/>
        <v>X</v>
      </c>
      <c r="M37" s="361">
        <v>245</v>
      </c>
      <c r="N37" s="181" t="str">
        <f t="shared" si="16"/>
        <v>X</v>
      </c>
      <c r="O37" s="365">
        <v>155</v>
      </c>
      <c r="P37" s="140" t="str">
        <f t="shared" si="17"/>
        <v>X</v>
      </c>
      <c r="Q37" s="203">
        <v>1.2</v>
      </c>
      <c r="R37" s="147" t="str">
        <f t="shared" si="18"/>
        <v>X</v>
      </c>
      <c r="S37" s="366" t="s">
        <v>1016</v>
      </c>
      <c r="T37" s="140" t="str">
        <f t="shared" si="19"/>
        <v>X</v>
      </c>
      <c r="U37" s="718">
        <v>1</v>
      </c>
      <c r="V37" s="147" t="str">
        <f t="shared" si="20"/>
        <v>X</v>
      </c>
      <c r="W37" s="363" t="s">
        <v>1017</v>
      </c>
      <c r="X37" s="140" t="str">
        <f t="shared" si="21"/>
        <v>ERROR</v>
      </c>
      <c r="Y37" s="840">
        <v>0.09</v>
      </c>
      <c r="Z37" s="147" t="str">
        <f t="shared" si="22"/>
        <v>X</v>
      </c>
      <c r="AA37" s="363" t="s">
        <v>1018</v>
      </c>
      <c r="AB37" s="140" t="str">
        <f t="shared" si="23"/>
        <v>X</v>
      </c>
      <c r="AC37" s="719" t="s">
        <v>548</v>
      </c>
      <c r="AD37" s="140" t="str">
        <f t="shared" si="24"/>
        <v>X</v>
      </c>
      <c r="AE37" s="789">
        <v>14.9993</v>
      </c>
      <c r="AF37" s="140" t="str">
        <f t="shared" si="25"/>
        <v>X</v>
      </c>
      <c r="AG37" s="489">
        <v>0.15</v>
      </c>
      <c r="AH37" s="140" t="str">
        <f t="shared" si="32"/>
        <v>X</v>
      </c>
      <c r="AI37" s="61">
        <f t="shared" si="27"/>
        <v>1687</v>
      </c>
      <c r="AJ37" s="140" t="str">
        <f t="shared" si="28"/>
        <v>X</v>
      </c>
      <c r="AK37" s="360" t="s">
        <v>1019</v>
      </c>
      <c r="AL37" s="621" t="str">
        <f t="shared" si="29"/>
        <v>X</v>
      </c>
      <c r="AM37" s="360" t="s">
        <v>1020</v>
      </c>
      <c r="AN37" s="365"/>
      <c r="AO37" s="63"/>
      <c r="AP37" s="365"/>
      <c r="AQ37" s="365"/>
      <c r="AR37" s="63"/>
      <c r="AS37" s="364"/>
      <c r="AT37" s="357" t="s">
        <v>1023</v>
      </c>
      <c r="AU37" s="357" t="s">
        <v>170</v>
      </c>
      <c r="AV37" s="357" t="s">
        <v>988</v>
      </c>
      <c r="AW37" s="357">
        <v>2174.0500000000002</v>
      </c>
      <c r="AX37" s="357">
        <v>1</v>
      </c>
      <c r="AY37" s="357">
        <v>0.5</v>
      </c>
      <c r="AZ37" s="357" t="s">
        <v>1016</v>
      </c>
      <c r="BA37" s="357">
        <v>3340.2</v>
      </c>
      <c r="BB37" s="357">
        <v>3630.88</v>
      </c>
      <c r="BC37" s="357"/>
      <c r="BD37" s="357"/>
      <c r="BE37" s="357"/>
      <c r="BF37" s="357"/>
      <c r="BG37" s="357"/>
      <c r="BH37" s="357"/>
      <c r="BI37" s="357"/>
      <c r="BJ37" s="357"/>
      <c r="BK37" s="364"/>
      <c r="BL37" s="364"/>
      <c r="BM37" s="364"/>
      <c r="BN37" s="364"/>
      <c r="BO37" s="364"/>
      <c r="BP37" s="364"/>
      <c r="BQ37" s="364"/>
      <c r="BR37" s="364"/>
      <c r="BS37" s="364"/>
      <c r="BT37" s="364"/>
      <c r="BU37" s="364"/>
      <c r="BV37" s="364"/>
      <c r="BW37" s="364"/>
      <c r="BX37" s="357"/>
      <c r="BY37" s="357"/>
      <c r="BZ37" s="357"/>
      <c r="CA37" s="357"/>
      <c r="CB37" s="357"/>
      <c r="CC37" s="357"/>
      <c r="CD37" s="357" t="s">
        <v>1023</v>
      </c>
      <c r="CE37" s="357" t="s">
        <v>170</v>
      </c>
      <c r="CF37" s="357" t="s">
        <v>988</v>
      </c>
      <c r="CG37" s="357">
        <v>2174.0500000000002</v>
      </c>
      <c r="CH37" s="357">
        <v>1</v>
      </c>
      <c r="CI37" s="357">
        <v>0.6</v>
      </c>
      <c r="CJ37" s="357" t="s">
        <v>1016</v>
      </c>
      <c r="CK37" s="357">
        <v>3340.2</v>
      </c>
      <c r="CL37" s="357">
        <v>4357.0600000000004</v>
      </c>
      <c r="CM37" s="357"/>
      <c r="CN37" s="357"/>
      <c r="CO37" s="357"/>
      <c r="CP37" s="357"/>
      <c r="CQ37" s="357"/>
      <c r="CR37" s="357"/>
      <c r="CS37" s="357"/>
      <c r="CT37" s="357"/>
      <c r="CU37" s="364"/>
      <c r="CV37" s="364"/>
      <c r="CW37" s="364"/>
      <c r="CX37" s="364"/>
      <c r="CY37" s="364"/>
      <c r="CZ37" s="364"/>
      <c r="DA37" s="364"/>
      <c r="DB37" s="364"/>
      <c r="DC37" s="364"/>
      <c r="DD37" s="364"/>
      <c r="DE37" s="364"/>
      <c r="DF37" s="364"/>
      <c r="DG37" s="364"/>
      <c r="DH37" s="364"/>
      <c r="DI37" s="364"/>
      <c r="DJ37" s="364"/>
      <c r="DK37" s="364"/>
      <c r="DL37" s="364"/>
      <c r="DM37" s="364"/>
      <c r="DN37" s="364"/>
      <c r="DO37" s="364"/>
    </row>
    <row r="38" spans="1:119" s="109" customFormat="1" ht="41.4" x14ac:dyDescent="0.3">
      <c r="A38" s="364"/>
      <c r="B38" s="130" t="s">
        <v>1025</v>
      </c>
      <c r="C38" s="562" t="s">
        <v>1014</v>
      </c>
      <c r="D38" s="140" t="str">
        <f t="shared" si="11"/>
        <v>X</v>
      </c>
      <c r="E38" s="486">
        <v>2174.04</v>
      </c>
      <c r="F38" s="140" t="str">
        <f t="shared" si="12"/>
        <v>X</v>
      </c>
      <c r="G38" s="465">
        <f>66.67*0.5</f>
        <v>33.335000000000001</v>
      </c>
      <c r="H38" s="614" t="str">
        <f t="shared" si="13"/>
        <v>X</v>
      </c>
      <c r="I38" s="613">
        <f t="shared" si="30"/>
        <v>72.47</v>
      </c>
      <c r="J38" s="140" t="str">
        <f t="shared" si="14"/>
        <v>X</v>
      </c>
      <c r="K38" s="72" t="s">
        <v>1015</v>
      </c>
      <c r="L38" s="140" t="str">
        <f t="shared" si="15"/>
        <v>X</v>
      </c>
      <c r="M38" s="361">
        <v>245</v>
      </c>
      <c r="N38" s="181" t="str">
        <f t="shared" si="16"/>
        <v>X</v>
      </c>
      <c r="O38" s="365">
        <v>155</v>
      </c>
      <c r="P38" s="140" t="str">
        <f t="shared" si="17"/>
        <v>X</v>
      </c>
      <c r="Q38" s="203">
        <v>1.2</v>
      </c>
      <c r="R38" s="147" t="str">
        <f t="shared" si="18"/>
        <v>X</v>
      </c>
      <c r="S38" s="366" t="s">
        <v>1016</v>
      </c>
      <c r="T38" s="140" t="str">
        <f t="shared" si="19"/>
        <v>X</v>
      </c>
      <c r="U38" s="718">
        <v>1</v>
      </c>
      <c r="V38" s="147" t="str">
        <f t="shared" si="20"/>
        <v>X</v>
      </c>
      <c r="W38" s="363" t="s">
        <v>1017</v>
      </c>
      <c r="X38" s="140" t="str">
        <f t="shared" si="21"/>
        <v>ERROR</v>
      </c>
      <c r="Y38" s="840">
        <v>0.09</v>
      </c>
      <c r="Z38" s="147" t="str">
        <f t="shared" si="22"/>
        <v>X</v>
      </c>
      <c r="AA38" s="363" t="s">
        <v>1018</v>
      </c>
      <c r="AB38" s="140" t="str">
        <f t="shared" si="23"/>
        <v>X</v>
      </c>
      <c r="AC38" s="719" t="s">
        <v>548</v>
      </c>
      <c r="AD38" s="140" t="str">
        <f t="shared" si="24"/>
        <v>X</v>
      </c>
      <c r="AE38" s="789">
        <v>14.9993</v>
      </c>
      <c r="AF38" s="140" t="str">
        <f t="shared" si="25"/>
        <v>X</v>
      </c>
      <c r="AG38" s="489">
        <v>0.15</v>
      </c>
      <c r="AH38" s="140" t="str">
        <f t="shared" si="32"/>
        <v>X</v>
      </c>
      <c r="AI38" s="61">
        <f t="shared" si="27"/>
        <v>1087</v>
      </c>
      <c r="AJ38" s="140" t="str">
        <f t="shared" si="28"/>
        <v>X</v>
      </c>
      <c r="AK38" s="360" t="s">
        <v>1019</v>
      </c>
      <c r="AL38" s="621" t="str">
        <f t="shared" si="29"/>
        <v>X</v>
      </c>
      <c r="AM38" s="360" t="s">
        <v>1020</v>
      </c>
      <c r="AN38" s="365"/>
      <c r="AO38" s="63"/>
      <c r="AP38" s="365"/>
      <c r="AQ38" s="365"/>
      <c r="AR38" s="63"/>
      <c r="AS38" s="364"/>
      <c r="AT38" s="357" t="s">
        <v>1024</v>
      </c>
      <c r="AU38" s="357" t="s">
        <v>170</v>
      </c>
      <c r="AV38" s="357" t="s">
        <v>1022</v>
      </c>
      <c r="AW38" s="357">
        <v>3373.64</v>
      </c>
      <c r="AX38" s="357">
        <v>1</v>
      </c>
      <c r="AY38" s="357">
        <v>1.2</v>
      </c>
      <c r="AZ38" s="357" t="s">
        <v>1016</v>
      </c>
      <c r="BA38" s="357">
        <v>3340.2</v>
      </c>
      <c r="BB38" s="357">
        <v>13522.3</v>
      </c>
      <c r="BC38" s="357"/>
      <c r="BD38" s="357"/>
      <c r="BE38" s="357"/>
      <c r="BF38" s="357"/>
      <c r="BG38" s="357">
        <v>1</v>
      </c>
      <c r="BH38" s="357" t="s">
        <v>1017</v>
      </c>
      <c r="BI38" s="357">
        <v>3838.95</v>
      </c>
      <c r="BJ38" s="357">
        <v>12951.2</v>
      </c>
      <c r="BK38" s="364"/>
      <c r="BL38" s="364"/>
      <c r="BM38" s="364"/>
      <c r="BN38" s="364"/>
      <c r="BO38" s="364"/>
      <c r="BP38" s="364"/>
      <c r="BQ38" s="364"/>
      <c r="BR38" s="364"/>
      <c r="BS38" s="364"/>
      <c r="BT38" s="364"/>
      <c r="BU38" s="364"/>
      <c r="BV38" s="364"/>
      <c r="BW38" s="364"/>
      <c r="BX38" s="357"/>
      <c r="BY38" s="357"/>
      <c r="BZ38" s="357"/>
      <c r="CA38" s="357"/>
      <c r="CB38" s="357"/>
      <c r="CC38" s="357"/>
      <c r="CD38" s="357" t="s">
        <v>1024</v>
      </c>
      <c r="CE38" s="357" t="s">
        <v>170</v>
      </c>
      <c r="CF38" s="357" t="s">
        <v>1022</v>
      </c>
      <c r="CG38" s="357">
        <v>3373.64</v>
      </c>
      <c r="CH38" s="357">
        <v>1</v>
      </c>
      <c r="CI38" s="357">
        <v>0.85</v>
      </c>
      <c r="CJ38" s="357" t="s">
        <v>1016</v>
      </c>
      <c r="CK38" s="357">
        <v>3340.2</v>
      </c>
      <c r="CL38" s="357">
        <v>9578.32</v>
      </c>
      <c r="CM38" s="357"/>
      <c r="CN38" s="357"/>
      <c r="CO38" s="357"/>
      <c r="CP38" s="357"/>
      <c r="CQ38" s="357">
        <v>1</v>
      </c>
      <c r="CR38" s="357" t="s">
        <v>1017</v>
      </c>
      <c r="CS38" s="357">
        <v>3838.95</v>
      </c>
      <c r="CT38" s="357">
        <v>12951.2</v>
      </c>
      <c r="CU38" s="364"/>
      <c r="CV38" s="364"/>
      <c r="CW38" s="364"/>
      <c r="CX38" s="364"/>
      <c r="CY38" s="364"/>
      <c r="CZ38" s="364"/>
      <c r="DA38" s="364"/>
      <c r="DB38" s="364"/>
      <c r="DC38" s="364"/>
      <c r="DD38" s="364"/>
      <c r="DE38" s="364"/>
      <c r="DF38" s="364"/>
      <c r="DG38" s="364"/>
      <c r="DH38" s="364"/>
      <c r="DI38" s="364"/>
      <c r="DJ38" s="364"/>
      <c r="DK38" s="364"/>
      <c r="DL38" s="364"/>
      <c r="DM38" s="364"/>
      <c r="DN38" s="364"/>
      <c r="DO38" s="364"/>
    </row>
    <row r="39" spans="1:119" s="89" customFormat="1" ht="27.6" x14ac:dyDescent="0.3">
      <c r="B39" s="317" t="s">
        <v>1026</v>
      </c>
      <c r="C39" s="318" t="s">
        <v>979</v>
      </c>
      <c r="D39" s="325" t="s">
        <v>173</v>
      </c>
      <c r="E39" s="406" t="s">
        <v>173</v>
      </c>
      <c r="F39" s="325" t="s">
        <v>173</v>
      </c>
      <c r="G39" s="715" t="s">
        <v>173</v>
      </c>
      <c r="H39" s="325" t="s">
        <v>173</v>
      </c>
      <c r="I39" s="406" t="s">
        <v>173</v>
      </c>
      <c r="J39" s="325" t="s">
        <v>173</v>
      </c>
      <c r="K39" s="419" t="s">
        <v>173</v>
      </c>
      <c r="L39" s="325" t="s">
        <v>173</v>
      </c>
      <c r="M39" s="406" t="s">
        <v>173</v>
      </c>
      <c r="N39" s="325" t="s">
        <v>173</v>
      </c>
      <c r="O39" s="406" t="s">
        <v>173</v>
      </c>
      <c r="P39" s="325" t="s">
        <v>173</v>
      </c>
      <c r="Q39" s="715" t="s">
        <v>173</v>
      </c>
      <c r="R39" s="263" t="s">
        <v>173</v>
      </c>
      <c r="S39" s="419" t="s">
        <v>173</v>
      </c>
      <c r="T39" s="325" t="s">
        <v>173</v>
      </c>
      <c r="U39" s="714" t="s">
        <v>173</v>
      </c>
      <c r="V39" s="263" t="s">
        <v>173</v>
      </c>
      <c r="W39" s="419" t="s">
        <v>173</v>
      </c>
      <c r="X39" s="325" t="s">
        <v>173</v>
      </c>
      <c r="Y39" s="715" t="s">
        <v>173</v>
      </c>
      <c r="Z39" s="263" t="s">
        <v>173</v>
      </c>
      <c r="AA39" s="419" t="s">
        <v>173</v>
      </c>
      <c r="AB39" s="325" t="s">
        <v>173</v>
      </c>
      <c r="AC39" s="419"/>
      <c r="AD39" s="325" t="s">
        <v>173</v>
      </c>
      <c r="AE39" s="609" t="s">
        <v>173</v>
      </c>
      <c r="AF39" s="325" t="s">
        <v>173</v>
      </c>
      <c r="AG39" s="716" t="s">
        <v>173</v>
      </c>
      <c r="AH39" s="325" t="s">
        <v>173</v>
      </c>
      <c r="AI39" s="406" t="s">
        <v>173</v>
      </c>
      <c r="AJ39" s="325" t="s">
        <v>173</v>
      </c>
      <c r="AK39" s="406" t="s">
        <v>173</v>
      </c>
      <c r="AL39" s="325" t="s">
        <v>173</v>
      </c>
      <c r="AM39" s="406" t="s">
        <v>173</v>
      </c>
      <c r="AN39" s="100"/>
      <c r="AO39" s="100"/>
      <c r="AP39" s="100"/>
      <c r="AQ39" s="100"/>
      <c r="AR39" s="100"/>
      <c r="AT39" s="357" t="s">
        <v>1025</v>
      </c>
      <c r="AU39" s="357" t="s">
        <v>170</v>
      </c>
      <c r="AV39" s="357" t="s">
        <v>1022</v>
      </c>
      <c r="AW39" s="357">
        <v>2174.04</v>
      </c>
      <c r="AX39" s="357">
        <v>1</v>
      </c>
      <c r="AY39" s="357">
        <v>1.2</v>
      </c>
      <c r="AZ39" s="357" t="s">
        <v>1016</v>
      </c>
      <c r="BA39" s="357">
        <v>3340.2</v>
      </c>
      <c r="BB39" s="357">
        <v>8714.06</v>
      </c>
      <c r="BC39" s="357"/>
      <c r="BD39" s="357"/>
      <c r="BE39" s="357"/>
      <c r="BF39" s="357"/>
      <c r="BG39" s="357">
        <v>1</v>
      </c>
      <c r="BH39" s="357" t="s">
        <v>1017</v>
      </c>
      <c r="BI39" s="357">
        <v>3838.95</v>
      </c>
      <c r="BJ39" s="357">
        <v>8346.01</v>
      </c>
      <c r="BK39" s="93"/>
      <c r="BL39" s="93"/>
      <c r="BM39" s="93"/>
      <c r="BN39" s="93"/>
      <c r="BO39" s="93"/>
      <c r="BP39" s="93"/>
      <c r="BQ39" s="93"/>
      <c r="BR39" s="93"/>
      <c r="BU39" s="93"/>
      <c r="BV39" s="93"/>
      <c r="BW39" s="93"/>
      <c r="BX39" s="357"/>
      <c r="BY39" s="357"/>
      <c r="BZ39" s="357"/>
      <c r="CA39" s="357"/>
      <c r="CB39" s="357"/>
      <c r="CC39" s="357"/>
      <c r="CD39" s="357" t="s">
        <v>1025</v>
      </c>
      <c r="CE39" s="357" t="s">
        <v>170</v>
      </c>
      <c r="CF39" s="357" t="s">
        <v>1022</v>
      </c>
      <c r="CG39" s="357">
        <v>2174.04</v>
      </c>
      <c r="CH39" s="357">
        <v>1</v>
      </c>
      <c r="CI39" s="357">
        <v>0.85</v>
      </c>
      <c r="CJ39" s="357" t="s">
        <v>1016</v>
      </c>
      <c r="CK39" s="357">
        <v>3340.2</v>
      </c>
      <c r="CL39" s="357">
        <v>6172.46</v>
      </c>
      <c r="CM39" s="357"/>
      <c r="CN39" s="357"/>
      <c r="CO39" s="357"/>
      <c r="CP39" s="357"/>
      <c r="CQ39" s="357">
        <v>1</v>
      </c>
      <c r="CR39" s="357" t="s">
        <v>1017</v>
      </c>
      <c r="CS39" s="357">
        <v>3838.95</v>
      </c>
      <c r="CT39" s="357">
        <v>8346.01</v>
      </c>
    </row>
    <row r="40" spans="1:119" s="109" customFormat="1" x14ac:dyDescent="0.3">
      <c r="A40" s="364"/>
      <c r="B40" s="84"/>
      <c r="C40" s="30"/>
      <c r="D40" s="30"/>
      <c r="E40" s="30"/>
      <c r="F40" s="89"/>
      <c r="G40" s="651"/>
      <c r="H40" s="83"/>
      <c r="I40" s="83"/>
      <c r="J40" s="89"/>
      <c r="K40" s="48"/>
      <c r="L40" s="89"/>
      <c r="M40" s="82"/>
      <c r="N40" s="89"/>
      <c r="O40" s="82"/>
      <c r="P40" s="364"/>
      <c r="Q40" s="364"/>
      <c r="R40" s="364"/>
      <c r="S40" s="364"/>
      <c r="T40" s="364"/>
      <c r="U40" s="365"/>
      <c r="V40" s="364"/>
      <c r="W40" s="365"/>
      <c r="X40" s="364"/>
      <c r="Y40" s="364"/>
      <c r="Z40" s="364"/>
      <c r="AA40" s="364"/>
      <c r="AB40" s="364"/>
      <c r="AC40" s="364"/>
      <c r="AD40" s="364"/>
      <c r="AE40" s="364"/>
      <c r="AF40" s="364"/>
      <c r="AG40" s="364"/>
      <c r="AH40" s="364"/>
      <c r="AI40" s="364"/>
      <c r="AJ40" s="364"/>
      <c r="AK40" s="364"/>
      <c r="AL40" s="82"/>
      <c r="AM40" s="69"/>
      <c r="AN40" s="69"/>
      <c r="AO40" s="82"/>
      <c r="AP40" s="69"/>
      <c r="AQ40" s="364"/>
      <c r="AR40" s="364"/>
      <c r="AS40" s="364"/>
      <c r="AT40" s="357" t="s">
        <v>1026</v>
      </c>
      <c r="AU40" s="357" t="s">
        <v>983</v>
      </c>
      <c r="AV40" s="357" t="s">
        <v>979</v>
      </c>
      <c r="AW40" s="357">
        <v>0</v>
      </c>
      <c r="AX40" s="357">
        <v>1</v>
      </c>
      <c r="AY40" s="357"/>
      <c r="AZ40" s="357"/>
      <c r="BA40" s="357"/>
      <c r="BB40" s="357"/>
      <c r="BC40" s="357"/>
      <c r="BD40" s="357"/>
      <c r="BE40" s="357"/>
      <c r="BF40" s="357"/>
      <c r="BG40" s="357"/>
      <c r="BH40" s="357"/>
      <c r="BI40" s="89"/>
      <c r="BJ40" s="89"/>
      <c r="BK40" s="89"/>
      <c r="BL40" s="89"/>
      <c r="BM40" s="89"/>
      <c r="BN40" s="89"/>
      <c r="BO40" s="89"/>
      <c r="BP40" s="89"/>
      <c r="BQ40" s="89"/>
      <c r="BR40" s="89"/>
      <c r="BS40" s="364"/>
      <c r="BT40" s="364"/>
      <c r="BU40" s="89"/>
      <c r="BV40" s="89"/>
      <c r="BW40" s="89"/>
      <c r="BX40" s="89"/>
      <c r="BY40" s="89"/>
      <c r="BZ40" s="89"/>
      <c r="CA40" s="364"/>
      <c r="CB40" s="364"/>
      <c r="CC40" s="364"/>
      <c r="CD40" s="364" t="s">
        <v>1026</v>
      </c>
      <c r="CE40" s="364" t="s">
        <v>983</v>
      </c>
      <c r="CF40" s="364" t="s">
        <v>979</v>
      </c>
      <c r="CG40" s="364">
        <v>0</v>
      </c>
      <c r="CH40" s="364">
        <v>1</v>
      </c>
      <c r="CI40" s="364"/>
      <c r="CJ40" s="364"/>
      <c r="CK40" s="364"/>
      <c r="CL40" s="364"/>
      <c r="CM40" s="364"/>
      <c r="CN40" s="364"/>
      <c r="CO40" s="364"/>
      <c r="CP40" s="364"/>
      <c r="CQ40" s="364"/>
      <c r="CR40" s="364"/>
      <c r="CS40" s="364"/>
      <c r="CT40" s="364"/>
      <c r="CU40" s="364"/>
      <c r="CV40" s="364"/>
      <c r="CW40" s="364"/>
      <c r="CX40" s="364"/>
      <c r="CY40" s="364"/>
      <c r="CZ40" s="364"/>
      <c r="DA40" s="364"/>
      <c r="DB40" s="364"/>
      <c r="DC40" s="364"/>
      <c r="DD40" s="364"/>
      <c r="DE40" s="364"/>
      <c r="DF40" s="364"/>
      <c r="DG40" s="364"/>
      <c r="DH40" s="364"/>
      <c r="DI40" s="364"/>
      <c r="DJ40" s="364"/>
      <c r="DK40" s="364"/>
      <c r="DL40" s="364"/>
      <c r="DM40" s="364"/>
      <c r="DN40" s="364"/>
      <c r="DO40" s="364"/>
    </row>
    <row r="41" spans="1:119" s="109" customFormat="1" x14ac:dyDescent="0.3">
      <c r="A41" s="77"/>
      <c r="B41" s="377" t="s">
        <v>1027</v>
      </c>
      <c r="C41" s="77"/>
      <c r="D41" s="77"/>
      <c r="E41" s="77"/>
      <c r="F41" s="77"/>
      <c r="G41" s="77" t="str">
        <f>IF(COUNTIF(F45:F49,"Error")&gt;0,"ERROR-"&amp;COUNTIF(F45:F49,"Error"),"")</f>
        <v/>
      </c>
      <c r="H41" s="83"/>
      <c r="I41" s="83"/>
      <c r="J41" s="89"/>
      <c r="K41" s="48"/>
      <c r="L41" s="89"/>
      <c r="M41" s="82"/>
      <c r="N41" s="89"/>
      <c r="O41" s="82"/>
      <c r="P41" s="364"/>
      <c r="Q41" s="364"/>
      <c r="R41" s="364"/>
      <c r="S41" s="364"/>
      <c r="T41" s="364"/>
      <c r="U41" s="82"/>
      <c r="V41" s="364"/>
      <c r="W41" s="82"/>
      <c r="X41" s="364"/>
      <c r="Y41" s="364"/>
      <c r="Z41" s="364"/>
      <c r="AA41" s="364"/>
      <c r="AB41" s="364"/>
      <c r="AC41" s="364"/>
      <c r="AD41" s="364"/>
      <c r="AE41" s="92"/>
      <c r="AF41" s="92"/>
      <c r="AG41" s="92"/>
      <c r="AH41" s="364"/>
      <c r="AI41" s="92"/>
      <c r="AJ41" s="364"/>
      <c r="AK41" s="364"/>
      <c r="AL41" s="82"/>
      <c r="AM41" s="69"/>
      <c r="AN41" s="69"/>
      <c r="AO41" s="82"/>
      <c r="AP41" s="69"/>
      <c r="AQ41" s="364"/>
      <c r="AR41" s="364"/>
      <c r="AS41" s="364"/>
      <c r="AT41" s="92"/>
      <c r="AU41" s="90"/>
      <c r="AV41" s="69"/>
      <c r="AW41" s="69"/>
      <c r="AX41" s="364"/>
      <c r="AY41" s="364"/>
      <c r="AZ41" s="364"/>
      <c r="BA41" s="364"/>
      <c r="BB41" s="364"/>
      <c r="BC41" s="364"/>
      <c r="BD41" s="364"/>
      <c r="BE41" s="364"/>
      <c r="BF41" s="364"/>
      <c r="BG41" s="364"/>
      <c r="BH41" s="364"/>
      <c r="BI41" s="364"/>
      <c r="BJ41" s="364"/>
      <c r="BK41" s="364"/>
      <c r="BL41" s="364"/>
      <c r="BM41" s="364"/>
      <c r="BN41" s="364"/>
      <c r="BO41" s="364"/>
      <c r="BP41" s="364"/>
      <c r="BQ41" s="364"/>
      <c r="BR41" s="364"/>
      <c r="BS41" s="364"/>
      <c r="BT41" s="364"/>
      <c r="BU41" s="364"/>
      <c r="BV41" s="364"/>
      <c r="BW41" s="364"/>
      <c r="BX41" s="364"/>
      <c r="BY41" s="364"/>
      <c r="BZ41" s="364"/>
      <c r="CA41" s="364"/>
      <c r="CB41" s="364"/>
      <c r="CC41" s="364"/>
      <c r="CD41" s="364"/>
      <c r="CE41" s="364"/>
      <c r="CF41" s="364"/>
      <c r="CG41" s="364"/>
      <c r="CH41" s="364"/>
      <c r="CI41" s="364"/>
      <c r="CJ41" s="364"/>
      <c r="CK41" s="364"/>
      <c r="CL41" s="364"/>
      <c r="CM41" s="364"/>
      <c r="CN41" s="364"/>
      <c r="CO41" s="364"/>
      <c r="CP41" s="364"/>
      <c r="CQ41" s="364"/>
      <c r="CR41" s="364"/>
      <c r="CS41" s="364"/>
      <c r="CT41" s="364"/>
      <c r="CU41" s="364"/>
      <c r="CV41" s="364"/>
      <c r="CW41" s="364"/>
      <c r="CX41" s="364"/>
      <c r="CY41" s="364"/>
      <c r="CZ41" s="364"/>
      <c r="DA41" s="364"/>
      <c r="DB41" s="364"/>
      <c r="DC41" s="364"/>
      <c r="DD41" s="364"/>
      <c r="DE41" s="364"/>
      <c r="DF41" s="364"/>
      <c r="DG41" s="364"/>
      <c r="DH41" s="364"/>
      <c r="DI41" s="364"/>
      <c r="DJ41" s="364"/>
      <c r="DK41" s="364"/>
      <c r="DL41" s="364"/>
      <c r="DM41" s="364"/>
      <c r="DN41" s="364"/>
      <c r="DO41" s="364"/>
    </row>
    <row r="42" spans="1:119" s="364" customFormat="1" x14ac:dyDescent="0.3">
      <c r="B42" s="84" t="s">
        <v>1028</v>
      </c>
      <c r="C42" s="90"/>
      <c r="D42" s="90"/>
      <c r="E42" s="90"/>
      <c r="F42" s="89"/>
      <c r="G42" s="83"/>
      <c r="H42" s="83"/>
      <c r="I42" s="83"/>
      <c r="J42" s="89"/>
      <c r="K42" s="48"/>
      <c r="L42" s="89"/>
      <c r="M42" s="82"/>
      <c r="N42" s="89"/>
      <c r="O42" s="82"/>
      <c r="U42" s="82"/>
      <c r="W42" s="82"/>
      <c r="AE42" s="92"/>
      <c r="AF42" s="92"/>
      <c r="AG42" s="92"/>
      <c r="AI42" s="92"/>
      <c r="AL42" s="82"/>
      <c r="AM42" s="69"/>
      <c r="AN42" s="69"/>
      <c r="AO42" s="82"/>
      <c r="AP42" s="69"/>
      <c r="AT42" s="92"/>
      <c r="AU42" s="90"/>
      <c r="AV42" s="69"/>
      <c r="AW42" s="69"/>
    </row>
    <row r="43" spans="1:119" s="364" customFormat="1" ht="27.6" x14ac:dyDescent="0.3">
      <c r="B43" s="115" t="s">
        <v>121</v>
      </c>
      <c r="C43" s="123" t="s">
        <v>1029</v>
      </c>
      <c r="D43" s="123"/>
      <c r="E43" s="123" t="s">
        <v>1030</v>
      </c>
      <c r="F43" s="123"/>
      <c r="G43" s="116" t="s">
        <v>1031</v>
      </c>
      <c r="H43" s="83"/>
      <c r="I43" s="83"/>
      <c r="J43" s="89"/>
      <c r="K43" s="48"/>
      <c r="L43" s="89"/>
      <c r="M43" s="82"/>
      <c r="N43" s="89"/>
      <c r="O43" s="82"/>
      <c r="U43" s="82"/>
      <c r="W43" s="82"/>
      <c r="AE43" s="92"/>
      <c r="AF43" s="92"/>
      <c r="AG43" s="92"/>
      <c r="AI43" s="92"/>
      <c r="AL43" s="82"/>
      <c r="AM43" s="69"/>
      <c r="AN43" s="69"/>
      <c r="AO43" s="82"/>
      <c r="AP43" s="69"/>
      <c r="AT43" s="92"/>
      <c r="AU43" s="90"/>
      <c r="AV43" s="69"/>
      <c r="AW43" s="69"/>
    </row>
    <row r="44" spans="1:119" s="364" customFormat="1" ht="14.4" thickBot="1" x14ac:dyDescent="0.35">
      <c r="B44" s="315"/>
      <c r="C44" s="124"/>
      <c r="D44" s="124"/>
      <c r="E44" s="124"/>
      <c r="F44" s="124"/>
      <c r="G44" s="149"/>
      <c r="H44" s="83"/>
      <c r="I44" s="83"/>
      <c r="J44" s="89"/>
      <c r="K44" s="48"/>
      <c r="L44" s="89"/>
      <c r="M44" s="82"/>
      <c r="N44" s="89"/>
      <c r="O44" s="82"/>
      <c r="U44" s="82"/>
      <c r="W44" s="82"/>
      <c r="AE44" s="92"/>
      <c r="AF44" s="92"/>
      <c r="AG44" s="92"/>
      <c r="AI44" s="92"/>
      <c r="AL44" s="82"/>
      <c r="AM44" s="69"/>
      <c r="AN44" s="69"/>
      <c r="AO44" s="82"/>
      <c r="AP44" s="69"/>
      <c r="AT44" s="92"/>
      <c r="AU44" s="90"/>
      <c r="AV44" s="69"/>
      <c r="AW44" s="69"/>
    </row>
    <row r="45" spans="1:119" s="364" customFormat="1" ht="14.4" thickTop="1" x14ac:dyDescent="0.3">
      <c r="B45" s="130" t="s">
        <v>1032</v>
      </c>
      <c r="C45" s="364">
        <v>1</v>
      </c>
      <c r="E45" s="364">
        <v>38353</v>
      </c>
      <c r="F45" s="140" t="str">
        <f>IF($BJ161=$G45,"X","ERROR")</f>
        <v>X</v>
      </c>
      <c r="G45" s="490">
        <v>5753</v>
      </c>
      <c r="H45" s="83"/>
      <c r="I45" s="83"/>
      <c r="J45" s="89"/>
      <c r="K45" s="48"/>
      <c r="L45" s="89"/>
      <c r="M45" s="82"/>
      <c r="N45" s="89"/>
      <c r="O45" s="82"/>
      <c r="U45" s="82"/>
      <c r="W45" s="82"/>
      <c r="AE45" s="92"/>
      <c r="AF45" s="92"/>
      <c r="AG45" s="92"/>
      <c r="AI45" s="92"/>
      <c r="AL45" s="82"/>
      <c r="AM45" s="69"/>
      <c r="AN45" s="69"/>
      <c r="AO45" s="82"/>
      <c r="AP45" s="69"/>
      <c r="AT45" s="92"/>
      <c r="AU45" s="90"/>
      <c r="AV45" s="69"/>
      <c r="AW45" s="69"/>
    </row>
    <row r="46" spans="1:119" s="364" customFormat="1" x14ac:dyDescent="0.3">
      <c r="B46" s="130" t="s">
        <v>1033</v>
      </c>
      <c r="C46" s="364">
        <v>1</v>
      </c>
      <c r="E46" s="364">
        <v>38353</v>
      </c>
      <c r="F46" s="140" t="str">
        <f>IF($BJ162=$G46,"X","ERROR")</f>
        <v>X</v>
      </c>
      <c r="G46" s="361">
        <v>8574</v>
      </c>
      <c r="H46" s="83"/>
      <c r="I46" s="83"/>
      <c r="J46" s="89"/>
      <c r="K46" s="48"/>
      <c r="L46" s="89"/>
      <c r="M46" s="82"/>
      <c r="N46" s="89"/>
      <c r="O46" s="82"/>
      <c r="U46" s="82"/>
      <c r="W46" s="82"/>
      <c r="AE46" s="92"/>
      <c r="AF46" s="92"/>
      <c r="AG46" s="92"/>
      <c r="AI46" s="92"/>
      <c r="AL46" s="82"/>
      <c r="AM46" s="69"/>
      <c r="AN46" s="69"/>
      <c r="AO46" s="82"/>
      <c r="AP46" s="69"/>
      <c r="AT46" s="92"/>
      <c r="AU46" s="90"/>
      <c r="AV46" s="69"/>
      <c r="AW46" s="69"/>
    </row>
    <row r="47" spans="1:119" s="364" customFormat="1" x14ac:dyDescent="0.3">
      <c r="B47" s="130" t="s">
        <v>1034</v>
      </c>
      <c r="C47" s="364">
        <v>5</v>
      </c>
      <c r="E47" s="364">
        <v>191764.9</v>
      </c>
      <c r="F47" s="140" t="str">
        <f>IF($BJ163=$G47,"X","ERROR")</f>
        <v>X</v>
      </c>
      <c r="G47" s="361">
        <v>6585</v>
      </c>
      <c r="H47" s="83"/>
      <c r="I47" s="83"/>
      <c r="J47" s="89"/>
      <c r="K47" s="48"/>
      <c r="L47" s="89"/>
      <c r="M47" s="82"/>
      <c r="N47" s="89"/>
      <c r="O47" s="82"/>
      <c r="U47" s="82"/>
      <c r="W47" s="82"/>
      <c r="AE47" s="92"/>
      <c r="AF47" s="92"/>
      <c r="AG47" s="92"/>
      <c r="AI47" s="92"/>
      <c r="AL47" s="82"/>
      <c r="AM47" s="69"/>
      <c r="AN47" s="69"/>
      <c r="AO47" s="82"/>
      <c r="AP47" s="69"/>
      <c r="AT47" s="92"/>
      <c r="AU47" s="90"/>
      <c r="AV47" s="69"/>
      <c r="AW47" s="69"/>
    </row>
    <row r="48" spans="1:119" s="364" customFormat="1" x14ac:dyDescent="0.3">
      <c r="B48" s="130" t="s">
        <v>1035</v>
      </c>
      <c r="C48" s="364">
        <v>5</v>
      </c>
      <c r="E48" s="364">
        <v>191764.9</v>
      </c>
      <c r="F48" s="140" t="str">
        <f>IF($BJ164=$G48,"X","ERROR")</f>
        <v>X</v>
      </c>
      <c r="G48" s="202">
        <v>5753</v>
      </c>
      <c r="H48" s="83"/>
      <c r="I48" s="83"/>
      <c r="J48" s="89"/>
      <c r="K48" s="48"/>
      <c r="L48" s="89"/>
      <c r="M48" s="82"/>
      <c r="N48" s="89"/>
      <c r="O48" s="82"/>
      <c r="U48" s="82"/>
      <c r="W48" s="82"/>
      <c r="AE48" s="92"/>
      <c r="AF48" s="92"/>
      <c r="AG48" s="92"/>
      <c r="AI48" s="92"/>
      <c r="AL48" s="82"/>
      <c r="AM48" s="69"/>
      <c r="AN48" s="69"/>
      <c r="AO48" s="82"/>
      <c r="AP48" s="69"/>
      <c r="AT48" s="92"/>
      <c r="AU48" s="90"/>
      <c r="AV48" s="69"/>
      <c r="AW48" s="69"/>
    </row>
    <row r="49" spans="1:119" s="364" customFormat="1" x14ac:dyDescent="0.3">
      <c r="B49" s="180" t="s">
        <v>1036</v>
      </c>
      <c r="C49" s="157">
        <v>1</v>
      </c>
      <c r="D49" s="157"/>
      <c r="E49" s="157">
        <v>38353</v>
      </c>
      <c r="F49" s="140" t="str">
        <f>IF($BJ165=$G49,"X","ERROR")</f>
        <v>X</v>
      </c>
      <c r="G49" s="250">
        <v>18416</v>
      </c>
      <c r="H49" s="83"/>
      <c r="I49" s="83"/>
      <c r="J49" s="89"/>
      <c r="K49" s="48"/>
      <c r="L49" s="89"/>
      <c r="M49" s="82"/>
      <c r="N49" s="89"/>
      <c r="O49" s="82"/>
      <c r="U49" s="82"/>
      <c r="W49" s="82"/>
      <c r="AE49" s="92"/>
      <c r="AF49" s="92"/>
      <c r="AG49" s="92"/>
      <c r="AI49" s="92"/>
      <c r="AL49" s="82"/>
      <c r="AM49" s="69"/>
      <c r="AN49" s="69"/>
      <c r="AO49" s="82"/>
      <c r="AP49" s="69"/>
      <c r="AT49" s="92"/>
      <c r="AU49" s="90"/>
      <c r="AV49" s="69"/>
      <c r="AW49" s="69"/>
    </row>
    <row r="50" spans="1:119" s="364" customFormat="1" x14ac:dyDescent="0.3">
      <c r="B50" s="92"/>
      <c r="C50" s="90"/>
      <c r="D50" s="90"/>
      <c r="E50" s="90"/>
      <c r="F50" s="89"/>
      <c r="G50" s="83"/>
      <c r="H50" s="83"/>
      <c r="I50" s="83"/>
      <c r="J50" s="89"/>
      <c r="K50" s="48"/>
      <c r="L50" s="89"/>
      <c r="M50" s="82"/>
      <c r="N50" s="89"/>
      <c r="O50" s="82"/>
      <c r="U50" s="82"/>
      <c r="W50" s="82"/>
      <c r="AE50" s="92"/>
      <c r="AF50" s="92"/>
      <c r="AG50" s="92"/>
      <c r="AI50" s="92"/>
      <c r="AL50" s="82"/>
      <c r="AM50" s="69"/>
      <c r="AN50" s="69"/>
      <c r="AO50" s="82"/>
      <c r="AP50" s="69"/>
      <c r="AT50" s="92"/>
      <c r="AU50" s="90"/>
      <c r="AV50" s="69"/>
      <c r="AW50" s="69"/>
    </row>
    <row r="51" spans="1:119" s="364" customFormat="1" x14ac:dyDescent="0.3">
      <c r="B51" s="84" t="s">
        <v>870</v>
      </c>
      <c r="C51" s="90"/>
      <c r="D51" s="90"/>
      <c r="E51" s="90"/>
      <c r="F51" s="89"/>
      <c r="G51" s="83"/>
      <c r="H51" s="83"/>
      <c r="I51" s="83"/>
      <c r="J51" s="89"/>
      <c r="K51" s="48"/>
      <c r="L51" s="89"/>
      <c r="M51" s="82"/>
      <c r="N51" s="89"/>
      <c r="O51" s="82"/>
      <c r="U51" s="82"/>
      <c r="W51" s="82"/>
      <c r="AE51" s="92"/>
      <c r="AF51" s="92"/>
      <c r="AG51" s="92"/>
      <c r="AI51" s="92"/>
      <c r="AL51" s="82"/>
      <c r="AM51" s="69"/>
      <c r="AN51" s="69"/>
      <c r="AO51" s="82"/>
      <c r="AP51" s="69"/>
      <c r="AT51" s="92"/>
      <c r="AU51" s="90"/>
      <c r="AV51" s="69"/>
      <c r="AW51" s="69"/>
    </row>
    <row r="52" spans="1:119" s="364" customFormat="1" ht="27.6" x14ac:dyDescent="0.3">
      <c r="B52" s="115" t="s">
        <v>121</v>
      </c>
      <c r="C52" s="123"/>
      <c r="D52" s="123"/>
      <c r="E52" s="123" t="s">
        <v>1037</v>
      </c>
      <c r="F52" s="123"/>
      <c r="G52" s="116" t="s">
        <v>1038</v>
      </c>
      <c r="H52" s="83"/>
      <c r="I52" s="83"/>
      <c r="J52" s="89"/>
      <c r="K52" s="48"/>
      <c r="L52" s="89"/>
      <c r="M52" s="82"/>
      <c r="N52" s="89"/>
      <c r="O52" s="82"/>
      <c r="U52" s="82"/>
      <c r="W52" s="82"/>
      <c r="AE52" s="92"/>
      <c r="AF52" s="92"/>
      <c r="AG52" s="92"/>
      <c r="AI52" s="92"/>
      <c r="AL52" s="82"/>
      <c r="AM52" s="69"/>
      <c r="AN52" s="69"/>
      <c r="AO52" s="82"/>
      <c r="AP52" s="69"/>
      <c r="AT52" s="92"/>
      <c r="AU52" s="90"/>
      <c r="AV52" s="69"/>
      <c r="AW52" s="69"/>
    </row>
    <row r="53" spans="1:119" s="364" customFormat="1" ht="14.4" thickBot="1" x14ac:dyDescent="0.35">
      <c r="B53" s="315"/>
      <c r="C53" s="124"/>
      <c r="D53" s="124"/>
      <c r="E53" s="124"/>
      <c r="F53" s="124"/>
      <c r="G53" s="149"/>
      <c r="H53" s="83"/>
      <c r="I53" s="83"/>
      <c r="J53" s="89"/>
      <c r="K53" s="48"/>
      <c r="L53" s="89"/>
      <c r="M53" s="82"/>
      <c r="N53" s="89"/>
      <c r="O53" s="82"/>
      <c r="U53" s="82"/>
      <c r="W53" s="82"/>
      <c r="AE53" s="92"/>
      <c r="AF53" s="92"/>
      <c r="AG53" s="92"/>
      <c r="AI53" s="92"/>
      <c r="AL53" s="82"/>
      <c r="AM53" s="69"/>
      <c r="AN53" s="69"/>
      <c r="AO53" s="82"/>
      <c r="AP53" s="69"/>
      <c r="AT53" s="92"/>
      <c r="AU53" s="90"/>
      <c r="AV53" s="69"/>
      <c r="AW53" s="69"/>
    </row>
    <row r="54" spans="1:119" s="93" customFormat="1" ht="14.4" thickTop="1" x14ac:dyDescent="0.3">
      <c r="A54" s="364"/>
      <c r="B54" s="130" t="s">
        <v>990</v>
      </c>
      <c r="C54" s="364"/>
      <c r="D54" s="140" t="str">
        <f>IF(E54=BF179,"X","ERROR")</f>
        <v>X</v>
      </c>
      <c r="E54" s="817">
        <v>15</v>
      </c>
      <c r="F54" s="140" t="str">
        <f>IF(G54=BG179,"X","ERROR")</f>
        <v>X</v>
      </c>
      <c r="G54" s="819">
        <v>0.15</v>
      </c>
      <c r="H54" s="83"/>
      <c r="I54" s="17"/>
      <c r="J54" s="89"/>
      <c r="K54" s="48"/>
      <c r="L54" s="89"/>
      <c r="M54" s="82"/>
      <c r="N54" s="89"/>
      <c r="O54" s="82"/>
      <c r="P54" s="364"/>
      <c r="Q54" s="364"/>
      <c r="R54" s="364"/>
      <c r="S54" s="364"/>
      <c r="T54" s="364"/>
      <c r="U54" s="82"/>
      <c r="V54" s="364"/>
      <c r="W54" s="82"/>
      <c r="X54" s="364"/>
      <c r="Y54" s="364"/>
      <c r="Z54" s="364"/>
      <c r="AA54" s="364"/>
      <c r="AB54" s="364"/>
      <c r="AC54" s="364"/>
      <c r="AD54" s="364"/>
      <c r="AE54" s="92"/>
      <c r="AF54" s="92"/>
      <c r="AG54" s="92"/>
      <c r="AH54" s="364"/>
      <c r="AI54" s="92"/>
      <c r="AJ54" s="364"/>
      <c r="AK54" s="364"/>
      <c r="AL54" s="82"/>
      <c r="AM54" s="69"/>
      <c r="AT54" s="92"/>
      <c r="AU54" s="90"/>
      <c r="AV54" s="69"/>
      <c r="AW54" s="69"/>
      <c r="AX54" s="364"/>
      <c r="AY54" s="364"/>
      <c r="AZ54" s="364"/>
      <c r="BA54" s="364"/>
      <c r="BB54" s="364"/>
      <c r="BC54" s="364"/>
      <c r="BD54" s="364"/>
      <c r="BE54" s="364"/>
      <c r="BF54" s="364"/>
      <c r="BG54" s="364"/>
      <c r="BH54" s="364"/>
      <c r="BI54" s="364"/>
      <c r="BJ54" s="364"/>
      <c r="BK54" s="364"/>
      <c r="BL54" s="364"/>
      <c r="BM54" s="364"/>
      <c r="BN54" s="364"/>
      <c r="BO54" s="364"/>
      <c r="BP54" s="364"/>
      <c r="BQ54" s="364"/>
      <c r="BR54" s="364"/>
      <c r="BS54" s="364"/>
      <c r="BT54" s="364"/>
      <c r="BU54" s="364"/>
      <c r="BV54" s="364"/>
      <c r="BW54" s="364"/>
      <c r="BX54" s="364"/>
      <c r="BY54" s="364"/>
      <c r="BZ54" s="364"/>
      <c r="CA54" s="364"/>
      <c r="CB54" s="364"/>
      <c r="CC54" s="364"/>
      <c r="CD54" s="364"/>
      <c r="CE54" s="364"/>
      <c r="CF54" s="364"/>
      <c r="CG54" s="364"/>
      <c r="CH54" s="364"/>
      <c r="CI54" s="364"/>
      <c r="CJ54" s="364"/>
      <c r="CK54" s="364"/>
      <c r="CL54" s="364"/>
      <c r="CM54" s="364"/>
      <c r="CN54" s="364"/>
      <c r="CO54" s="364"/>
      <c r="CP54" s="364"/>
      <c r="CQ54" s="364"/>
      <c r="CR54" s="364"/>
      <c r="CS54" s="364"/>
      <c r="CT54" s="364"/>
      <c r="CU54" s="364"/>
      <c r="CV54" s="364"/>
      <c r="CW54" s="364"/>
      <c r="CX54" s="364"/>
      <c r="CY54" s="364"/>
      <c r="CZ54" s="364"/>
      <c r="DA54" s="364"/>
      <c r="DB54" s="364"/>
      <c r="DC54" s="364"/>
      <c r="DD54" s="364"/>
      <c r="DE54" s="364"/>
      <c r="DF54" s="364"/>
      <c r="DG54" s="364"/>
      <c r="DH54" s="364"/>
      <c r="DI54" s="364"/>
      <c r="DJ54" s="364"/>
      <c r="DK54" s="364"/>
      <c r="DL54" s="364"/>
    </row>
    <row r="55" spans="1:119" s="89" customFormat="1" x14ac:dyDescent="0.3">
      <c r="A55" s="364"/>
      <c r="B55" s="130" t="s">
        <v>1000</v>
      </c>
      <c r="C55" s="364"/>
      <c r="D55" s="140" t="str">
        <f t="shared" ref="D55" si="33">IF(E55=BF181,"X","ERROR")</f>
        <v>X</v>
      </c>
      <c r="E55" s="817">
        <v>15</v>
      </c>
      <c r="F55" s="140" t="str">
        <f t="shared" ref="F55:F56" si="34">IF(G55=BG181,"X","ERROR")</f>
        <v>X</v>
      </c>
      <c r="G55" s="361">
        <v>0.15</v>
      </c>
      <c r="H55" s="83"/>
      <c r="I55" s="83"/>
      <c r="K55" s="48"/>
      <c r="M55" s="82"/>
      <c r="O55" s="82"/>
      <c r="P55" s="364"/>
      <c r="Q55" s="364"/>
      <c r="R55" s="364"/>
      <c r="S55" s="364"/>
      <c r="T55" s="364"/>
      <c r="U55" s="82"/>
      <c r="V55" s="364"/>
      <c r="W55" s="82"/>
      <c r="X55" s="364"/>
      <c r="Y55" s="364"/>
      <c r="Z55" s="364"/>
      <c r="AA55" s="364"/>
      <c r="AB55" s="364"/>
      <c r="AC55" s="364"/>
      <c r="AD55" s="364"/>
      <c r="AE55" s="92"/>
      <c r="AF55" s="92"/>
      <c r="AG55" s="92"/>
      <c r="AH55" s="364"/>
      <c r="AI55" s="92"/>
      <c r="AJ55" s="364"/>
      <c r="AK55" s="364"/>
      <c r="AL55" s="82"/>
      <c r="AM55" s="69"/>
      <c r="AN55" s="93"/>
      <c r="AO55" s="93"/>
      <c r="AP55" s="93"/>
      <c r="AQ55" s="93"/>
      <c r="AR55" s="93"/>
      <c r="AT55" s="92"/>
      <c r="AU55" s="90"/>
      <c r="AV55" s="69"/>
      <c r="AW55" s="69"/>
      <c r="AX55" s="364"/>
      <c r="AY55" s="364"/>
      <c r="AZ55" s="364"/>
      <c r="BA55" s="364"/>
      <c r="BB55" s="364"/>
      <c r="BC55" s="364"/>
      <c r="BD55" s="364"/>
      <c r="BE55" s="364"/>
      <c r="BF55" s="364"/>
      <c r="BG55" s="364"/>
      <c r="BH55" s="364"/>
      <c r="BI55" s="364"/>
      <c r="BJ55" s="364"/>
      <c r="BK55" s="364"/>
      <c r="BL55" s="364"/>
      <c r="BM55" s="364"/>
      <c r="BN55" s="364"/>
      <c r="BO55" s="364"/>
      <c r="BP55" s="364"/>
      <c r="BQ55" s="364"/>
      <c r="BR55" s="364"/>
      <c r="BS55" s="364"/>
      <c r="BT55" s="364"/>
      <c r="BU55" s="364"/>
      <c r="BV55" s="364"/>
      <c r="BW55" s="364"/>
      <c r="BX55" s="364"/>
      <c r="BY55" s="364"/>
      <c r="BZ55" s="364"/>
      <c r="CA55" s="364"/>
      <c r="CB55" s="364"/>
      <c r="CC55" s="364"/>
      <c r="CD55" s="364"/>
      <c r="CE55" s="364"/>
      <c r="CF55" s="364"/>
      <c r="CG55" s="364"/>
      <c r="CH55" s="364"/>
      <c r="CI55" s="364"/>
      <c r="CJ55" s="364"/>
      <c r="CK55" s="364"/>
      <c r="CL55" s="364"/>
      <c r="CM55" s="364"/>
      <c r="CN55" s="364"/>
      <c r="CO55" s="364"/>
      <c r="CP55" s="364"/>
      <c r="CQ55" s="364"/>
      <c r="CR55" s="364"/>
      <c r="CS55" s="364"/>
      <c r="CT55" s="364"/>
      <c r="CU55" s="364"/>
      <c r="CV55" s="364"/>
      <c r="CW55" s="364"/>
      <c r="CX55" s="364"/>
      <c r="CY55" s="364"/>
      <c r="CZ55" s="364"/>
      <c r="DA55" s="364"/>
      <c r="DB55" s="364"/>
      <c r="DC55" s="364"/>
      <c r="DD55" s="364"/>
      <c r="DE55" s="364"/>
      <c r="DF55" s="364"/>
      <c r="DG55" s="364"/>
      <c r="DH55" s="364"/>
      <c r="DI55" s="364"/>
      <c r="DJ55" s="364"/>
      <c r="DK55" s="364"/>
      <c r="DL55" s="364"/>
    </row>
    <row r="56" spans="1:119" s="89" customFormat="1" x14ac:dyDescent="0.3">
      <c r="A56" s="364"/>
      <c r="B56" s="130" t="s">
        <v>1001</v>
      </c>
      <c r="C56" s="364"/>
      <c r="D56" s="140" t="str">
        <f>IF(E56=BF182,"X","ERROR")</f>
        <v>X</v>
      </c>
      <c r="E56" s="817">
        <v>15</v>
      </c>
      <c r="F56" s="140" t="str">
        <f t="shared" si="34"/>
        <v>X</v>
      </c>
      <c r="G56" s="361">
        <v>0.15</v>
      </c>
      <c r="H56" s="83"/>
      <c r="I56" s="83"/>
      <c r="K56" s="48"/>
      <c r="M56" s="82"/>
      <c r="O56" s="82"/>
      <c r="P56" s="364"/>
      <c r="Q56" s="364"/>
      <c r="R56" s="364"/>
      <c r="S56" s="364"/>
      <c r="T56" s="364"/>
      <c r="U56" s="82"/>
      <c r="V56" s="364"/>
      <c r="W56" s="82"/>
      <c r="X56" s="364"/>
      <c r="Y56" s="364"/>
      <c r="Z56" s="364"/>
      <c r="AA56" s="364"/>
      <c r="AB56" s="364"/>
      <c r="AC56" s="364"/>
      <c r="AD56" s="364"/>
      <c r="AE56" s="92"/>
      <c r="AF56" s="92"/>
      <c r="AG56" s="92"/>
      <c r="AH56" s="364"/>
      <c r="AI56" s="92"/>
      <c r="AJ56" s="364"/>
      <c r="AK56" s="364"/>
      <c r="AL56" s="82"/>
      <c r="AM56" s="69"/>
      <c r="AN56" s="93"/>
      <c r="AO56" s="93"/>
      <c r="AP56" s="93"/>
      <c r="AQ56" s="93"/>
      <c r="AR56" s="93"/>
      <c r="AT56" s="92"/>
      <c r="AU56" s="90"/>
      <c r="AV56" s="69"/>
      <c r="AW56" s="69"/>
      <c r="AX56" s="364"/>
      <c r="AY56" s="364"/>
      <c r="AZ56" s="364"/>
      <c r="BA56" s="364"/>
      <c r="BB56" s="364"/>
      <c r="BC56" s="364"/>
      <c r="BD56" s="364"/>
      <c r="BE56" s="364"/>
      <c r="BF56" s="364"/>
      <c r="BG56" s="364"/>
      <c r="BH56" s="364"/>
      <c r="BI56" s="364"/>
      <c r="BJ56" s="364"/>
      <c r="BK56" s="364"/>
      <c r="BL56" s="364"/>
      <c r="BM56" s="364"/>
      <c r="BN56" s="364"/>
      <c r="BO56" s="364"/>
      <c r="BP56" s="364"/>
      <c r="BQ56" s="364"/>
      <c r="BR56" s="364"/>
      <c r="BS56" s="364"/>
      <c r="BT56" s="364"/>
      <c r="BU56" s="364"/>
      <c r="BV56" s="364"/>
      <c r="BW56" s="364"/>
      <c r="BX56" s="364"/>
      <c r="BY56" s="364"/>
      <c r="BZ56" s="364"/>
      <c r="CA56" s="364"/>
      <c r="CB56" s="364"/>
      <c r="CC56" s="364"/>
      <c r="CD56" s="364"/>
      <c r="CE56" s="364"/>
      <c r="CF56" s="364"/>
      <c r="CG56" s="364"/>
      <c r="CH56" s="364"/>
      <c r="CI56" s="364"/>
      <c r="CJ56" s="364"/>
      <c r="CK56" s="364"/>
      <c r="CL56" s="364"/>
      <c r="CM56" s="364"/>
      <c r="CN56" s="364"/>
      <c r="CO56" s="364"/>
      <c r="CP56" s="364"/>
      <c r="CQ56" s="364"/>
      <c r="CR56" s="364"/>
      <c r="CS56" s="364"/>
      <c r="CT56" s="364"/>
      <c r="CU56" s="364"/>
      <c r="CV56" s="364"/>
      <c r="CW56" s="364"/>
      <c r="CX56" s="364"/>
      <c r="CY56" s="364"/>
      <c r="CZ56" s="364"/>
      <c r="DA56" s="364"/>
      <c r="DB56" s="364"/>
      <c r="DC56" s="364"/>
      <c r="DD56" s="364"/>
      <c r="DE56" s="364"/>
      <c r="DF56" s="364"/>
      <c r="DG56" s="364"/>
      <c r="DH56" s="364"/>
      <c r="DI56" s="364"/>
      <c r="DJ56" s="364"/>
      <c r="DK56" s="364"/>
      <c r="DL56" s="364"/>
    </row>
    <row r="57" spans="1:119" s="92" customFormat="1" x14ac:dyDescent="0.3">
      <c r="A57" s="364"/>
      <c r="B57" s="130" t="s">
        <v>1002</v>
      </c>
      <c r="C57" s="364"/>
      <c r="D57" s="140" t="str">
        <f t="shared" ref="D57:D58" si="35">IF(E57=BF183,"X","ERROR")</f>
        <v>X</v>
      </c>
      <c r="E57" s="817">
        <v>0</v>
      </c>
      <c r="F57" s="140" t="str">
        <f>IF(G57=BG183,"X","ERROR")</f>
        <v>X</v>
      </c>
      <c r="G57" s="361">
        <v>0.3</v>
      </c>
      <c r="H57" s="83"/>
      <c r="I57" s="83"/>
      <c r="J57" s="89"/>
      <c r="K57" s="48"/>
      <c r="L57" s="89"/>
      <c r="M57" s="82"/>
      <c r="N57" s="89"/>
      <c r="O57" s="82"/>
      <c r="P57" s="364"/>
      <c r="Q57" s="364"/>
      <c r="R57" s="364"/>
      <c r="S57" s="364"/>
      <c r="T57" s="364"/>
      <c r="U57" s="82"/>
      <c r="V57" s="364"/>
      <c r="W57" s="82"/>
      <c r="X57" s="364"/>
      <c r="Y57" s="364"/>
      <c r="Z57" s="364"/>
      <c r="AA57" s="364"/>
      <c r="AB57" s="364"/>
      <c r="AC57" s="364"/>
      <c r="AD57" s="364"/>
      <c r="AH57" s="364"/>
      <c r="AJ57" s="364"/>
      <c r="AK57" s="364"/>
      <c r="AL57" s="82"/>
      <c r="AM57" s="69"/>
      <c r="AN57" s="81"/>
      <c r="AO57" s="96"/>
      <c r="AP57" s="114"/>
      <c r="AQ57" s="81"/>
      <c r="AR57" s="96"/>
      <c r="AU57" s="90"/>
      <c r="AV57" s="69"/>
      <c r="AW57" s="69"/>
      <c r="AX57" s="364"/>
      <c r="AY57" s="364"/>
      <c r="AZ57" s="364"/>
      <c r="BA57" s="364"/>
      <c r="BB57" s="364"/>
      <c r="BC57" s="364"/>
      <c r="BD57" s="364"/>
      <c r="BE57" s="364"/>
      <c r="BF57" s="364"/>
      <c r="BG57" s="364"/>
      <c r="BH57" s="364"/>
      <c r="BI57" s="364"/>
      <c r="BJ57" s="364"/>
      <c r="BK57" s="364"/>
      <c r="BL57" s="364"/>
      <c r="BM57" s="364"/>
      <c r="BN57" s="364"/>
      <c r="BO57" s="364"/>
      <c r="BP57" s="364"/>
      <c r="BQ57" s="364"/>
      <c r="BR57" s="364"/>
      <c r="BS57" s="364"/>
      <c r="BT57" s="364"/>
      <c r="BU57" s="364"/>
      <c r="BV57" s="364"/>
      <c r="BW57" s="364"/>
      <c r="BX57" s="364"/>
      <c r="BY57" s="364"/>
      <c r="BZ57" s="364"/>
      <c r="CA57" s="364"/>
      <c r="CB57" s="364"/>
      <c r="CC57" s="364"/>
      <c r="CD57" s="364"/>
      <c r="CE57" s="364"/>
      <c r="CF57" s="364"/>
      <c r="CG57" s="364"/>
      <c r="CH57" s="364"/>
      <c r="CI57" s="364"/>
      <c r="CJ57" s="364"/>
      <c r="CK57" s="364"/>
      <c r="CL57" s="364"/>
      <c r="CM57" s="364"/>
      <c r="CN57" s="364"/>
      <c r="CO57" s="364"/>
      <c r="CP57" s="364"/>
      <c r="CQ57" s="364"/>
      <c r="CR57" s="364"/>
      <c r="CS57" s="364"/>
      <c r="CT57" s="364"/>
      <c r="CU57" s="364"/>
      <c r="CV57" s="364"/>
      <c r="CW57" s="364"/>
      <c r="CX57" s="364"/>
      <c r="CY57" s="364"/>
      <c r="CZ57" s="364"/>
      <c r="DA57" s="364"/>
      <c r="DB57" s="364"/>
      <c r="DC57" s="364"/>
      <c r="DD57" s="364"/>
      <c r="DE57" s="364"/>
      <c r="DF57" s="364"/>
      <c r="DG57" s="364"/>
      <c r="DH57" s="364"/>
      <c r="DI57" s="364"/>
      <c r="DJ57" s="364"/>
      <c r="DK57" s="364"/>
      <c r="DL57" s="364"/>
    </row>
    <row r="58" spans="1:119" s="83" customFormat="1" x14ac:dyDescent="0.3">
      <c r="A58" s="364"/>
      <c r="B58" s="180" t="s">
        <v>1003</v>
      </c>
      <c r="C58" s="157"/>
      <c r="D58" s="171" t="str">
        <f t="shared" si="35"/>
        <v>X</v>
      </c>
      <c r="E58" s="818">
        <v>0</v>
      </c>
      <c r="F58" s="171" t="str">
        <f t="shared" ref="F58" si="36">IF(G58=BG184,"X","ERROR")</f>
        <v>X</v>
      </c>
      <c r="G58" s="786">
        <v>0.3</v>
      </c>
      <c r="J58" s="89"/>
      <c r="K58" s="48"/>
      <c r="L58" s="89"/>
      <c r="M58" s="82"/>
      <c r="N58" s="89"/>
      <c r="O58" s="82"/>
      <c r="P58" s="364"/>
      <c r="Q58" s="364"/>
      <c r="R58" s="364"/>
      <c r="S58" s="364"/>
      <c r="T58" s="364"/>
      <c r="U58" s="82"/>
      <c r="V58" s="364"/>
      <c r="W58" s="82"/>
      <c r="X58" s="364"/>
      <c r="Y58" s="364"/>
      <c r="Z58" s="364"/>
      <c r="AA58" s="364"/>
      <c r="AB58" s="364"/>
      <c r="AC58" s="364"/>
      <c r="AD58" s="364"/>
      <c r="AE58" s="92"/>
      <c r="AF58" s="92"/>
      <c r="AG58" s="92"/>
      <c r="AH58" s="364"/>
      <c r="AI58" s="92"/>
      <c r="AJ58" s="364"/>
      <c r="AK58" s="364"/>
      <c r="AL58" s="82"/>
      <c r="AM58" s="69"/>
      <c r="AO58" s="82"/>
      <c r="AP58" s="82"/>
      <c r="AQ58" s="82"/>
      <c r="AR58" s="82"/>
      <c r="AT58" s="92"/>
      <c r="AU58" s="90"/>
      <c r="AV58" s="69"/>
      <c r="AW58" s="69"/>
      <c r="AX58" s="364"/>
      <c r="AY58" s="364"/>
      <c r="AZ58" s="364"/>
      <c r="BA58" s="364"/>
      <c r="BB58" s="364"/>
      <c r="BC58" s="364"/>
      <c r="BD58" s="364"/>
      <c r="BE58" s="364"/>
      <c r="BF58" s="364"/>
      <c r="BG58" s="364"/>
      <c r="BH58" s="364"/>
      <c r="BI58" s="364"/>
      <c r="BJ58" s="364"/>
      <c r="BK58" s="364"/>
      <c r="BL58" s="364"/>
      <c r="BM58" s="364"/>
      <c r="BN58" s="364"/>
      <c r="BO58" s="364"/>
      <c r="BP58" s="364"/>
      <c r="BQ58" s="364"/>
      <c r="BR58" s="364"/>
      <c r="BS58" s="364"/>
      <c r="BT58" s="364"/>
      <c r="BU58" s="364"/>
      <c r="BV58" s="364"/>
      <c r="BW58" s="364"/>
      <c r="BX58" s="364"/>
      <c r="BY58" s="364"/>
      <c r="BZ58" s="364"/>
      <c r="CA58" s="364"/>
      <c r="CB58" s="364"/>
      <c r="CC58" s="364"/>
      <c r="CD58" s="364"/>
      <c r="CE58" s="364"/>
      <c r="CF58" s="364"/>
      <c r="CG58" s="364"/>
      <c r="CH58" s="364"/>
      <c r="CI58" s="364"/>
      <c r="CJ58" s="364"/>
      <c r="CK58" s="364"/>
      <c r="CL58" s="364"/>
      <c r="CM58" s="364"/>
      <c r="CN58" s="364"/>
      <c r="CO58" s="364"/>
      <c r="CP58" s="364"/>
      <c r="CQ58" s="364"/>
      <c r="CR58" s="364"/>
      <c r="CS58" s="364"/>
      <c r="CT58" s="364"/>
      <c r="CU58" s="364"/>
      <c r="CV58" s="364"/>
      <c r="CW58" s="364"/>
      <c r="CX58" s="364"/>
      <c r="CY58" s="364"/>
      <c r="CZ58" s="364"/>
      <c r="DA58" s="364"/>
      <c r="DB58" s="364"/>
      <c r="DC58" s="364"/>
      <c r="DD58" s="364"/>
      <c r="DE58" s="364"/>
      <c r="DF58" s="364"/>
      <c r="DG58" s="364"/>
      <c r="DH58" s="364"/>
      <c r="DI58" s="364"/>
      <c r="DJ58" s="364"/>
      <c r="DK58" s="364"/>
      <c r="DL58" s="364"/>
    </row>
    <row r="59" spans="1:119" s="109" customFormat="1" x14ac:dyDescent="0.3">
      <c r="A59" s="364"/>
      <c r="B59" s="92"/>
      <c r="C59" s="90"/>
      <c r="D59" s="90"/>
      <c r="E59" s="90"/>
      <c r="F59" s="89"/>
      <c r="G59" s="83"/>
      <c r="H59" s="83"/>
      <c r="I59" s="83"/>
      <c r="J59" s="89"/>
      <c r="K59" s="48"/>
      <c r="L59" s="89"/>
      <c r="M59" s="82"/>
      <c r="N59" s="89"/>
      <c r="O59" s="82"/>
      <c r="P59" s="364"/>
      <c r="Q59" s="364"/>
      <c r="R59" s="364"/>
      <c r="S59" s="364"/>
      <c r="T59" s="364"/>
      <c r="U59" s="82"/>
      <c r="V59" s="364"/>
      <c r="W59" s="82"/>
      <c r="X59" s="364"/>
      <c r="Y59" s="364"/>
      <c r="Z59" s="364"/>
      <c r="AA59" s="364"/>
      <c r="AB59" s="364"/>
      <c r="AC59" s="364"/>
      <c r="AD59" s="364"/>
      <c r="AE59" s="92"/>
      <c r="AF59" s="92"/>
      <c r="AG59" s="92"/>
      <c r="AH59" s="364"/>
      <c r="AI59" s="92"/>
      <c r="AJ59" s="364"/>
      <c r="AK59" s="364"/>
      <c r="AL59" s="82"/>
      <c r="AM59" s="69"/>
      <c r="AN59" s="365"/>
      <c r="AO59" s="364"/>
      <c r="AP59" s="489"/>
      <c r="AQ59" s="365"/>
      <c r="AR59" s="63"/>
      <c r="AS59" s="364"/>
      <c r="AT59" s="92"/>
      <c r="AU59" s="90"/>
      <c r="AV59" s="69"/>
      <c r="AW59" s="69"/>
      <c r="AX59" s="364"/>
      <c r="AY59" s="364"/>
      <c r="AZ59" s="364"/>
      <c r="BA59" s="364"/>
      <c r="BB59" s="364"/>
      <c r="BC59" s="364"/>
      <c r="BD59" s="364"/>
      <c r="BE59" s="364"/>
      <c r="BF59" s="364"/>
      <c r="BG59" s="364"/>
      <c r="BH59" s="364"/>
      <c r="BI59" s="364"/>
      <c r="BJ59" s="364"/>
      <c r="BK59" s="364"/>
      <c r="BL59" s="364"/>
      <c r="BM59" s="364"/>
      <c r="BN59" s="364"/>
      <c r="BO59" s="364"/>
      <c r="BP59" s="364"/>
      <c r="BQ59" s="364"/>
      <c r="BR59" s="364"/>
      <c r="BS59" s="364"/>
      <c r="BT59" s="364"/>
      <c r="BU59" s="364"/>
      <c r="BV59" s="364"/>
      <c r="BW59" s="364"/>
      <c r="BX59" s="364"/>
      <c r="BY59" s="364"/>
      <c r="BZ59" s="364"/>
      <c r="CA59" s="364"/>
      <c r="CB59" s="364"/>
      <c r="CC59" s="364"/>
      <c r="CD59" s="364"/>
      <c r="CE59" s="364"/>
      <c r="CF59" s="364"/>
      <c r="CG59" s="364"/>
      <c r="CH59" s="364"/>
      <c r="CI59" s="364"/>
      <c r="CJ59" s="364"/>
      <c r="CK59" s="364"/>
      <c r="CL59" s="364"/>
      <c r="CM59" s="364"/>
      <c r="CN59" s="364"/>
      <c r="CO59" s="364"/>
      <c r="CP59" s="364"/>
      <c r="CQ59" s="364"/>
      <c r="CR59" s="364"/>
      <c r="CS59" s="364"/>
      <c r="CT59" s="364"/>
      <c r="CU59" s="364"/>
      <c r="CV59" s="364"/>
      <c r="CW59" s="364"/>
      <c r="CX59" s="364"/>
      <c r="CY59" s="364"/>
      <c r="CZ59" s="364"/>
      <c r="DA59" s="364"/>
      <c r="DB59" s="364"/>
      <c r="DC59" s="364"/>
      <c r="DD59" s="364"/>
      <c r="DE59" s="364"/>
      <c r="DF59" s="364"/>
      <c r="DG59" s="364"/>
      <c r="DH59" s="364"/>
      <c r="DI59" s="364"/>
      <c r="DJ59" s="364"/>
      <c r="DK59" s="364"/>
      <c r="DL59" s="364"/>
      <c r="DM59" s="364"/>
      <c r="DN59" s="364"/>
      <c r="DO59" s="364"/>
    </row>
    <row r="60" spans="1:119" s="109" customFormat="1" ht="14.4" x14ac:dyDescent="0.3">
      <c r="A60" s="285"/>
      <c r="B60" s="337" t="s">
        <v>243</v>
      </c>
      <c r="C60" s="285"/>
      <c r="D60" s="285"/>
      <c r="E60" s="285"/>
      <c r="F60" s="285"/>
      <c r="G60" s="337" t="str">
        <f>IF(COUNTIF(F65:F89,"Error")&gt;0,"ERROR-"&amp;COUNTIF(F65:F89,"Error"),"")</f>
        <v/>
      </c>
      <c r="H60" s="337"/>
      <c r="I60" s="337"/>
      <c r="J60" s="285"/>
      <c r="K60" s="337" t="str">
        <f>IF(COUNTIF(J65:J89,"Error")&gt;0,"ERROR-"&amp;COUNTIF(J65:J89,"Error"),"")</f>
        <v/>
      </c>
      <c r="L60" s="285"/>
      <c r="M60" s="337" t="str">
        <f>IF(COUNTIF(L65:L89,"Error")&gt;0,"ERROR-"&amp;COUNTIF(L65:L89,"Error"),"")</f>
        <v/>
      </c>
      <c r="N60" s="285"/>
      <c r="O60" s="337" t="str">
        <f>IF(COUNTIF(N65:N89,"Error")&gt;0,"ERROR-"&amp;COUNTIF(N65:N89,"Error"),"")</f>
        <v/>
      </c>
      <c r="P60" s="285"/>
      <c r="Q60" s="337" t="str">
        <f>IF(COUNTIF(P65:P89,"Error")&gt;0,"ERROR-"&amp;COUNTIF(P65:P89,"Error"),"")</f>
        <v>ERROR-5</v>
      </c>
      <c r="R60" s="285"/>
      <c r="S60" s="337" t="str">
        <f>IF(COUNTIF(R65:R89,"Error")&gt;0,"ERROR-"&amp;COUNTIF(R65:R89,"Error"),"")</f>
        <v/>
      </c>
      <c r="T60" s="285"/>
      <c r="U60" s="337" t="str">
        <f>IF(COUNTIF(T65:T89,"Error")&gt;0,"ERROR-"&amp;COUNTIF(T65:T89,"Error"),"")</f>
        <v/>
      </c>
      <c r="V60" s="285"/>
      <c r="W60" s="337" t="str">
        <f>IF(COUNTIF(V65:V89,"Error")&gt;0,"ERROR-"&amp;COUNTIF(V65:V89,"Error"),"")</f>
        <v/>
      </c>
      <c r="X60" s="285"/>
      <c r="Y60" s="337" t="str">
        <f>IF(COUNTIF(X65:X89,"Error")&gt;0,"ERROR-"&amp;COUNTIF(X65:X89,"Error"),"")</f>
        <v>ERROR-21</v>
      </c>
      <c r="Z60" s="285"/>
      <c r="AA60" s="337" t="str">
        <f t="shared" ref="AA60" si="37">IF(COUNTIF(Z65:Z89,"Error")&gt;0,"ERROR-"&amp;COUNTIF(Z65:Z89,"Error"),"")</f>
        <v/>
      </c>
      <c r="AB60" s="285"/>
      <c r="AC60" s="337" t="str">
        <f t="shared" ref="AC60" si="38">IF(COUNTIF(AB65:AB89,"Error")&gt;0,"ERROR-"&amp;COUNTIF(AB65:AB89,"Error"),"")</f>
        <v/>
      </c>
      <c r="AD60" s="285"/>
      <c r="AE60" s="337" t="str">
        <f t="shared" ref="AE60" si="39">IF(COUNTIF(AD65:AD89,"Error")&gt;0,"ERROR-"&amp;COUNTIF(AD65:AD89,"Error"),"")</f>
        <v/>
      </c>
      <c r="AF60" s="285"/>
      <c r="AG60" s="337" t="str">
        <f t="shared" ref="AG60" si="40">IF(COUNTIF(AF65:AF89,"Error")&gt;0,"ERROR-"&amp;COUNTIF(AF65:AF89,"Error"),"")</f>
        <v/>
      </c>
      <c r="AH60" s="285"/>
      <c r="AI60" s="337" t="str">
        <f t="shared" ref="AI60" si="41">IF(COUNTIF(AH65:AH89,"Error")&gt;0,"ERROR-"&amp;COUNTIF(AH65:AH89,"Error"),"")</f>
        <v/>
      </c>
      <c r="AJ60" s="285"/>
      <c r="AK60" s="337" t="str">
        <f t="shared" ref="AK60" si="42">IF(COUNTIF(AJ65:AJ89,"Error")&gt;0,"ERROR-"&amp;COUNTIF(AJ65:AJ89,"Error"),"")</f>
        <v/>
      </c>
      <c r="AL60" s="285"/>
      <c r="AM60" s="337" t="str">
        <f t="shared" ref="AM60" si="43">IF(COUNTIF(AL65:AL89,"Error")&gt;0,"ERROR-"&amp;COUNTIF(AL65:AL89,"Error"),"")</f>
        <v/>
      </c>
      <c r="AN60" s="365"/>
      <c r="AO60" s="364"/>
      <c r="AP60" s="64"/>
      <c r="AQ60" s="365"/>
      <c r="AR60" s="64"/>
      <c r="AS60" s="36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96"/>
      <c r="CC60" s="96"/>
      <c r="CD60" s="50"/>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364"/>
      <c r="DN60" s="364"/>
      <c r="DO60" s="364"/>
    </row>
    <row r="61" spans="1:119" s="109" customFormat="1" x14ac:dyDescent="0.3">
      <c r="A61" s="78"/>
      <c r="B61" s="50" t="s">
        <v>922</v>
      </c>
      <c r="C61" s="78"/>
      <c r="D61" s="78"/>
      <c r="E61" s="78"/>
      <c r="F61" s="91"/>
      <c r="G61" s="89"/>
      <c r="H61" s="89"/>
      <c r="I61" s="89"/>
      <c r="J61" s="91"/>
      <c r="K61" s="48"/>
      <c r="L61" s="91"/>
      <c r="M61" s="89"/>
      <c r="N61" s="91"/>
      <c r="O61" s="89"/>
      <c r="P61" s="91"/>
      <c r="Q61" s="89"/>
      <c r="R61" s="91"/>
      <c r="S61" s="89"/>
      <c r="T61" s="91"/>
      <c r="U61" s="89"/>
      <c r="V61" s="91"/>
      <c r="W61" s="89"/>
      <c r="X61" s="89"/>
      <c r="Y61" s="89"/>
      <c r="Z61" s="89"/>
      <c r="AA61" s="89"/>
      <c r="AB61" s="89"/>
      <c r="AC61" s="89"/>
      <c r="AD61" s="89"/>
      <c r="AE61" s="89"/>
      <c r="AF61" s="89"/>
      <c r="AG61" s="89"/>
      <c r="AH61" s="89"/>
      <c r="AI61" s="89"/>
      <c r="AJ61" s="89"/>
      <c r="AK61" s="89"/>
      <c r="AL61" s="89"/>
      <c r="AM61" s="89"/>
      <c r="AN61" s="75"/>
      <c r="AO61" s="364"/>
      <c r="AP61" s="75"/>
      <c r="AQ61" s="75"/>
      <c r="AR61" s="75"/>
      <c r="AS61" s="364"/>
      <c r="AT61" s="845" t="s">
        <v>1039</v>
      </c>
      <c r="AU61" s="357"/>
      <c r="AV61" s="357"/>
      <c r="AW61" s="357"/>
      <c r="AX61" s="357"/>
      <c r="AY61" s="357"/>
      <c r="AZ61" s="357"/>
      <c r="BA61" s="357"/>
      <c r="BB61" s="357"/>
      <c r="BC61" s="357"/>
      <c r="BD61" s="357"/>
      <c r="BE61" s="357"/>
      <c r="BF61" s="357"/>
      <c r="BG61" s="357"/>
      <c r="BH61" s="357"/>
      <c r="BI61" s="357"/>
      <c r="BJ61" s="357"/>
      <c r="BK61" s="357"/>
      <c r="BL61" s="357"/>
      <c r="BM61" s="357"/>
      <c r="BN61" s="357"/>
      <c r="BO61" s="357"/>
      <c r="BP61" s="357"/>
      <c r="BQ61" s="357"/>
      <c r="BR61" s="357"/>
      <c r="BS61" s="89"/>
      <c r="BT61" s="89"/>
      <c r="BU61" s="89"/>
      <c r="BV61" s="89"/>
      <c r="BW61" s="89"/>
      <c r="BX61" s="89"/>
      <c r="BY61" s="89"/>
      <c r="BZ61" s="89"/>
      <c r="CA61" s="89"/>
      <c r="CB61" s="89"/>
      <c r="CC61" s="89"/>
      <c r="CD61" s="606" t="s">
        <v>1039</v>
      </c>
      <c r="CE61" s="357"/>
      <c r="CF61" s="357"/>
      <c r="CG61" s="357"/>
      <c r="CH61" s="357"/>
      <c r="CI61" s="357"/>
      <c r="CJ61" s="357"/>
      <c r="CK61" s="357"/>
      <c r="CL61" s="357"/>
      <c r="CM61" s="357"/>
      <c r="CN61" s="357"/>
      <c r="CO61" s="357"/>
      <c r="CP61" s="357"/>
      <c r="CQ61" s="357"/>
      <c r="CR61" s="357"/>
      <c r="CS61" s="357"/>
      <c r="CT61" s="357"/>
      <c r="CU61" s="357"/>
      <c r="CV61" s="89"/>
      <c r="CW61" s="89"/>
      <c r="CX61" s="89"/>
      <c r="CY61" s="89"/>
      <c r="CZ61" s="89"/>
      <c r="DA61" s="89"/>
      <c r="DB61" s="89"/>
      <c r="DC61" s="89"/>
      <c r="DD61" s="89"/>
      <c r="DE61" s="89"/>
      <c r="DF61" s="89"/>
      <c r="DG61" s="89"/>
      <c r="DH61" s="89"/>
      <c r="DI61" s="89"/>
      <c r="DJ61" s="89"/>
      <c r="DK61" s="89"/>
      <c r="DL61" s="89"/>
      <c r="DM61" s="364"/>
      <c r="DN61" s="364"/>
      <c r="DO61" s="364"/>
    </row>
    <row r="62" spans="1:119" x14ac:dyDescent="0.3">
      <c r="A62" s="89"/>
      <c r="B62" s="84" t="s">
        <v>870</v>
      </c>
      <c r="C62" s="89"/>
      <c r="D62" s="89"/>
      <c r="E62" s="89"/>
      <c r="F62" s="91"/>
      <c r="G62" s="89"/>
      <c r="H62" s="89"/>
      <c r="I62" s="89"/>
      <c r="J62" s="91"/>
      <c r="K62" s="48"/>
      <c r="L62" s="91"/>
      <c r="M62" s="89"/>
      <c r="N62" s="91"/>
      <c r="O62" s="89"/>
      <c r="P62" s="91"/>
      <c r="Q62" s="89"/>
      <c r="R62" s="91"/>
      <c r="S62" s="89"/>
      <c r="T62" s="91"/>
      <c r="U62" s="89"/>
      <c r="V62" s="91"/>
      <c r="W62" s="89"/>
      <c r="X62" s="89"/>
      <c r="Y62" s="89"/>
      <c r="Z62" s="89"/>
      <c r="AA62" s="89"/>
      <c r="AB62" s="89"/>
      <c r="AC62" s="89"/>
      <c r="AD62" s="89"/>
      <c r="AE62" s="89"/>
      <c r="AF62" s="89"/>
      <c r="AG62" s="89"/>
      <c r="AH62" s="89"/>
      <c r="AI62" s="89"/>
      <c r="AJ62" s="89"/>
      <c r="AK62" s="89"/>
      <c r="AL62" s="89"/>
      <c r="AM62" s="89"/>
      <c r="AN62" s="365"/>
      <c r="AO62" s="364"/>
      <c r="AP62" s="619"/>
      <c r="AQ62" s="365"/>
      <c r="AR62" s="63"/>
      <c r="AS62" s="365"/>
      <c r="AT62" s="357" t="s">
        <v>870</v>
      </c>
      <c r="AU62" s="357"/>
      <c r="AV62" s="357"/>
      <c r="AW62" s="357"/>
      <c r="AX62" s="357"/>
      <c r="AY62" s="357"/>
      <c r="AZ62" s="357" t="s">
        <v>1040</v>
      </c>
      <c r="BA62" s="357"/>
      <c r="BB62" s="357"/>
      <c r="BC62" s="357"/>
      <c r="BD62" s="357"/>
      <c r="BE62" s="357" t="s">
        <v>1041</v>
      </c>
      <c r="BF62" s="357"/>
      <c r="BG62" s="357" t="s">
        <v>1027</v>
      </c>
      <c r="BH62" s="357"/>
      <c r="BI62" s="357"/>
      <c r="BJ62" s="357"/>
      <c r="BK62" s="357"/>
      <c r="BL62" s="357"/>
      <c r="BM62" s="357" t="s">
        <v>1042</v>
      </c>
      <c r="BN62" s="357"/>
      <c r="BO62" s="357"/>
      <c r="BP62" s="357" t="s">
        <v>1043</v>
      </c>
      <c r="BQ62" s="357"/>
      <c r="BR62" s="357"/>
      <c r="BS62" s="83"/>
      <c r="BT62" s="83"/>
      <c r="BU62" s="83"/>
      <c r="BV62" s="357"/>
      <c r="BW62" s="357"/>
      <c r="BX62" s="357"/>
      <c r="BY62" s="357"/>
      <c r="BZ62" s="357"/>
      <c r="CA62" s="357"/>
      <c r="CB62" s="357"/>
      <c r="CC62" s="357"/>
      <c r="CD62" s="357" t="s">
        <v>870</v>
      </c>
      <c r="CE62" s="357"/>
      <c r="CF62" s="357"/>
      <c r="CG62" s="357"/>
      <c r="CH62" s="357"/>
      <c r="CI62" s="357"/>
      <c r="CJ62" s="357" t="s">
        <v>1040</v>
      </c>
      <c r="CK62" s="357"/>
      <c r="CL62" s="357"/>
      <c r="CM62" s="357"/>
      <c r="CN62" s="357"/>
      <c r="CO62" s="357" t="s">
        <v>1041</v>
      </c>
      <c r="CP62" s="357"/>
      <c r="CQ62" s="357" t="s">
        <v>1027</v>
      </c>
      <c r="CR62" s="357"/>
      <c r="CS62" s="357"/>
      <c r="CT62" s="357"/>
      <c r="CU62" s="357"/>
      <c r="CV62" s="89"/>
      <c r="CW62" s="89" t="s">
        <v>1042</v>
      </c>
      <c r="CX62" s="89"/>
      <c r="CY62" s="89"/>
      <c r="CZ62" s="89" t="s">
        <v>1043</v>
      </c>
      <c r="DA62" s="89"/>
      <c r="DB62" s="89"/>
      <c r="DC62" s="89"/>
      <c r="DD62" s="89"/>
      <c r="DE62" s="89"/>
      <c r="DF62" s="89"/>
      <c r="DG62" s="89"/>
      <c r="DH62" s="89"/>
      <c r="DI62" s="89"/>
      <c r="DJ62" s="89"/>
      <c r="DK62" s="89"/>
      <c r="DL62" s="89"/>
    </row>
    <row r="63" spans="1:119" s="109" customFormat="1" ht="55.2" x14ac:dyDescent="0.3">
      <c r="A63" s="92"/>
      <c r="B63" s="115" t="s">
        <v>580</v>
      </c>
      <c r="C63" s="123" t="s">
        <v>52</v>
      </c>
      <c r="D63" s="115"/>
      <c r="E63" s="123" t="s">
        <v>524</v>
      </c>
      <c r="F63" s="274"/>
      <c r="G63" s="319" t="s">
        <v>528</v>
      </c>
      <c r="H63" s="488"/>
      <c r="I63" s="319" t="s">
        <v>529</v>
      </c>
      <c r="J63" s="274"/>
      <c r="K63" s="173" t="s">
        <v>926</v>
      </c>
      <c r="L63" s="274"/>
      <c r="M63" s="117" t="s">
        <v>927</v>
      </c>
      <c r="N63" s="226"/>
      <c r="O63" s="173" t="s">
        <v>928</v>
      </c>
      <c r="P63" s="274"/>
      <c r="Q63" s="117" t="s">
        <v>929</v>
      </c>
      <c r="R63" s="226"/>
      <c r="S63" s="173" t="s">
        <v>930</v>
      </c>
      <c r="T63" s="274"/>
      <c r="U63" s="117" t="s">
        <v>931</v>
      </c>
      <c r="V63" s="226"/>
      <c r="W63" s="173" t="s">
        <v>932</v>
      </c>
      <c r="X63" s="274"/>
      <c r="Y63" s="117" t="s">
        <v>933</v>
      </c>
      <c r="Z63" s="226"/>
      <c r="AA63" s="314" t="s">
        <v>934</v>
      </c>
      <c r="AB63" s="274"/>
      <c r="AC63" s="173" t="s">
        <v>526</v>
      </c>
      <c r="AD63" s="274"/>
      <c r="AE63" s="117" t="s">
        <v>530</v>
      </c>
      <c r="AF63" s="274"/>
      <c r="AG63" s="173" t="s">
        <v>531</v>
      </c>
      <c r="AH63" s="274"/>
      <c r="AI63" s="173" t="s">
        <v>532</v>
      </c>
      <c r="AJ63" s="274"/>
      <c r="AK63" s="117" t="s">
        <v>936</v>
      </c>
      <c r="AL63" s="274"/>
      <c r="AM63" s="117" t="s">
        <v>937</v>
      </c>
      <c r="AN63" s="365"/>
      <c r="AO63" s="364"/>
      <c r="AP63" s="619"/>
      <c r="AQ63" s="365"/>
      <c r="AR63" s="63"/>
      <c r="AS63" s="364"/>
      <c r="AT63" s="357" t="s">
        <v>121</v>
      </c>
      <c r="AU63" s="357" t="s">
        <v>523</v>
      </c>
      <c r="AV63" s="357" t="s">
        <v>52</v>
      </c>
      <c r="AW63" s="357" t="s">
        <v>896</v>
      </c>
      <c r="AX63" s="357" t="s">
        <v>1044</v>
      </c>
      <c r="AY63" s="357" t="s">
        <v>954</v>
      </c>
      <c r="AZ63" s="357" t="s">
        <v>1045</v>
      </c>
      <c r="BA63" s="357" t="s">
        <v>1046</v>
      </c>
      <c r="BB63" s="357" t="s">
        <v>956</v>
      </c>
      <c r="BC63" s="357" t="s">
        <v>1047</v>
      </c>
      <c r="BD63" s="357" t="s">
        <v>1048</v>
      </c>
      <c r="BE63" s="357" t="s">
        <v>1049</v>
      </c>
      <c r="BF63" s="357" t="s">
        <v>1050</v>
      </c>
      <c r="BG63" s="357" t="s">
        <v>1051</v>
      </c>
      <c r="BH63" s="357" t="s">
        <v>1052</v>
      </c>
      <c r="BI63" s="357" t="s">
        <v>1053</v>
      </c>
      <c r="BJ63" s="357" t="s">
        <v>1054</v>
      </c>
      <c r="BK63" s="357" t="s">
        <v>1055</v>
      </c>
      <c r="BL63" s="357" t="s">
        <v>1056</v>
      </c>
      <c r="BM63" s="357" t="s">
        <v>1057</v>
      </c>
      <c r="BN63" s="357" t="s">
        <v>956</v>
      </c>
      <c r="BO63" s="357" t="s">
        <v>1058</v>
      </c>
      <c r="BP63" s="357" t="s">
        <v>1059</v>
      </c>
      <c r="BQ63" s="357" t="s">
        <v>1060</v>
      </c>
      <c r="BR63" s="357"/>
      <c r="BS63" s="92"/>
      <c r="BT63" s="92"/>
      <c r="BU63" s="92"/>
      <c r="BV63" s="92"/>
      <c r="BW63" s="92"/>
      <c r="BX63" s="92"/>
      <c r="BY63" s="92"/>
      <c r="BZ63" s="92"/>
      <c r="CA63" s="92"/>
      <c r="CB63" s="92"/>
      <c r="CC63" s="92"/>
      <c r="CD63" s="357" t="s">
        <v>121</v>
      </c>
      <c r="CE63" s="357" t="s">
        <v>523</v>
      </c>
      <c r="CF63" s="357" t="s">
        <v>52</v>
      </c>
      <c r="CG63" s="357" t="s">
        <v>896</v>
      </c>
      <c r="CH63" s="357" t="s">
        <v>1044</v>
      </c>
      <c r="CI63" s="357" t="s">
        <v>954</v>
      </c>
      <c r="CJ63" s="357" t="s">
        <v>1045</v>
      </c>
      <c r="CK63" s="357" t="s">
        <v>1046</v>
      </c>
      <c r="CL63" s="357" t="s">
        <v>956</v>
      </c>
      <c r="CM63" s="357" t="s">
        <v>1047</v>
      </c>
      <c r="CN63" s="357" t="s">
        <v>1048</v>
      </c>
      <c r="CO63" s="357" t="s">
        <v>1049</v>
      </c>
      <c r="CP63" s="357" t="s">
        <v>1050</v>
      </c>
      <c r="CQ63" s="357" t="s">
        <v>1051</v>
      </c>
      <c r="CR63" s="357" t="s">
        <v>1052</v>
      </c>
      <c r="CS63" s="357" t="s">
        <v>1053</v>
      </c>
      <c r="CT63" s="357" t="s">
        <v>1054</v>
      </c>
      <c r="CU63" s="357" t="s">
        <v>1055</v>
      </c>
      <c r="CV63" s="92" t="s">
        <v>1056</v>
      </c>
      <c r="CW63" s="92" t="s">
        <v>1057</v>
      </c>
      <c r="CX63" s="92" t="s">
        <v>956</v>
      </c>
      <c r="CY63" s="92" t="s">
        <v>1058</v>
      </c>
      <c r="CZ63" s="92" t="s">
        <v>1059</v>
      </c>
      <c r="DA63" s="92" t="s">
        <v>1060</v>
      </c>
      <c r="DB63" s="92"/>
      <c r="DC63" s="92"/>
      <c r="DD63" s="92"/>
      <c r="DE63" s="92"/>
      <c r="DF63" s="92"/>
      <c r="DG63" s="92"/>
      <c r="DH63" s="92"/>
      <c r="DI63" s="92"/>
      <c r="DJ63" s="92"/>
      <c r="DK63" s="92"/>
      <c r="DL63" s="92"/>
      <c r="DM63" s="364"/>
      <c r="DN63" s="364"/>
      <c r="DO63" s="364"/>
    </row>
    <row r="64" spans="1:119" s="109" customFormat="1" ht="42" thickBot="1" x14ac:dyDescent="0.35">
      <c r="A64" s="83"/>
      <c r="B64" s="315" t="s">
        <v>942</v>
      </c>
      <c r="C64" s="124"/>
      <c r="D64" s="132"/>
      <c r="E64" s="124"/>
      <c r="F64" s="315"/>
      <c r="G64" s="124" t="s">
        <v>540</v>
      </c>
      <c r="H64" s="132"/>
      <c r="I64" s="124"/>
      <c r="J64" s="315"/>
      <c r="K64" s="124" t="s">
        <v>943</v>
      </c>
      <c r="L64" s="315"/>
      <c r="M64" s="124" t="s">
        <v>944</v>
      </c>
      <c r="N64" s="315"/>
      <c r="O64" s="124" t="s">
        <v>945</v>
      </c>
      <c r="P64" s="315"/>
      <c r="Q64" s="124" t="s">
        <v>946</v>
      </c>
      <c r="R64" s="315"/>
      <c r="S64" s="124" t="s">
        <v>947</v>
      </c>
      <c r="T64" s="315"/>
      <c r="U64" s="124" t="s">
        <v>948</v>
      </c>
      <c r="V64" s="315"/>
      <c r="W64" s="124" t="s">
        <v>949</v>
      </c>
      <c r="X64" s="315"/>
      <c r="Y64" s="124" t="s">
        <v>1061</v>
      </c>
      <c r="Z64" s="315"/>
      <c r="AA64" s="124" t="s">
        <v>951</v>
      </c>
      <c r="AB64" s="315"/>
      <c r="AC64" s="124" t="s">
        <v>538</v>
      </c>
      <c r="AD64" s="315"/>
      <c r="AE64" s="124" t="s">
        <v>541</v>
      </c>
      <c r="AF64" s="315"/>
      <c r="AG64" s="124" t="s">
        <v>542</v>
      </c>
      <c r="AH64" s="315"/>
      <c r="AI64" s="124"/>
      <c r="AJ64" s="315"/>
      <c r="AK64" s="124" t="s">
        <v>952</v>
      </c>
      <c r="AL64" s="315"/>
      <c r="AM64" s="149" t="s">
        <v>953</v>
      </c>
      <c r="AN64" s="365"/>
      <c r="AO64" s="364"/>
      <c r="AP64" s="64"/>
      <c r="AQ64" s="365"/>
      <c r="AR64" s="64"/>
      <c r="AS64" s="364"/>
      <c r="AT64" s="357"/>
      <c r="AU64" s="357"/>
      <c r="AV64" s="357"/>
      <c r="AW64" s="357" t="s">
        <v>966</v>
      </c>
      <c r="AX64" s="357"/>
      <c r="AY64" s="357"/>
      <c r="AZ64" s="357" t="s">
        <v>1062</v>
      </c>
      <c r="BA64" s="357" t="s">
        <v>1063</v>
      </c>
      <c r="BB64" s="357"/>
      <c r="BC64" s="357" t="s">
        <v>1064</v>
      </c>
      <c r="BD64" s="357" t="s">
        <v>1064</v>
      </c>
      <c r="BE64" s="357" t="s">
        <v>1065</v>
      </c>
      <c r="BF64" s="357"/>
      <c r="BG64" s="357" t="s">
        <v>1066</v>
      </c>
      <c r="BH64" s="357" t="s">
        <v>1067</v>
      </c>
      <c r="BI64" s="357" t="s">
        <v>1066</v>
      </c>
      <c r="BJ64" s="357" t="s">
        <v>1067</v>
      </c>
      <c r="BK64" s="357" t="s">
        <v>1068</v>
      </c>
      <c r="BL64" s="357" t="s">
        <v>1068</v>
      </c>
      <c r="BM64" s="357"/>
      <c r="BN64" s="357"/>
      <c r="BO64" s="357" t="s">
        <v>1066</v>
      </c>
      <c r="BP64" s="357"/>
      <c r="BQ64" s="357"/>
      <c r="BR64" s="357"/>
      <c r="BS64" s="364"/>
      <c r="BT64" s="364"/>
      <c r="BU64" s="364"/>
      <c r="BV64" s="357"/>
      <c r="BW64" s="357"/>
      <c r="BX64" s="357"/>
      <c r="BY64" s="357"/>
      <c r="BZ64" s="357"/>
      <c r="CA64" s="357"/>
      <c r="CB64" s="357"/>
      <c r="CC64" s="357"/>
      <c r="CD64" s="357"/>
      <c r="CE64" s="357"/>
      <c r="CF64" s="357"/>
      <c r="CG64" s="357" t="s">
        <v>966</v>
      </c>
      <c r="CH64" s="357"/>
      <c r="CI64" s="357"/>
      <c r="CJ64" s="357" t="s">
        <v>1062</v>
      </c>
      <c r="CK64" s="357" t="s">
        <v>1063</v>
      </c>
      <c r="CL64" s="357"/>
      <c r="CM64" s="357" t="s">
        <v>1064</v>
      </c>
      <c r="CN64" s="357" t="s">
        <v>1064</v>
      </c>
      <c r="CO64" s="357" t="s">
        <v>1065</v>
      </c>
      <c r="CP64" s="357"/>
      <c r="CQ64" s="357" t="s">
        <v>1066</v>
      </c>
      <c r="CR64" s="357" t="s">
        <v>1067</v>
      </c>
      <c r="CS64" s="357" t="s">
        <v>1066</v>
      </c>
      <c r="CT64" s="357" t="s">
        <v>1067</v>
      </c>
      <c r="CU64" s="357" t="s">
        <v>1068</v>
      </c>
      <c r="CV64" s="83" t="s">
        <v>1068</v>
      </c>
      <c r="CW64" s="83"/>
      <c r="CX64" s="83"/>
      <c r="CY64" s="83" t="s">
        <v>1066</v>
      </c>
      <c r="CZ64" s="83"/>
      <c r="DA64" s="83"/>
      <c r="DB64" s="83"/>
      <c r="DC64" s="83"/>
      <c r="DD64" s="83"/>
      <c r="DE64" s="83"/>
      <c r="DF64" s="83"/>
      <c r="DG64" s="83"/>
      <c r="DH64" s="83"/>
      <c r="DI64" s="83"/>
      <c r="DJ64" s="83"/>
      <c r="DK64" s="83"/>
      <c r="DL64" s="83"/>
      <c r="DM64" s="364"/>
      <c r="DN64" s="364"/>
      <c r="DO64" s="364"/>
    </row>
    <row r="65" spans="2:119" s="109" customFormat="1" ht="28.2" thickTop="1" x14ac:dyDescent="0.3">
      <c r="B65" s="133" t="s">
        <v>959</v>
      </c>
      <c r="C65" s="245" t="s">
        <v>912</v>
      </c>
      <c r="D65" s="345" t="str">
        <f>IF($CG16=$E65,"X","ERROR")</f>
        <v>X</v>
      </c>
      <c r="E65" s="486">
        <v>38353</v>
      </c>
      <c r="F65" s="307" t="str">
        <f>IF($CJ65=$G65,"X","ERROR")</f>
        <v>X</v>
      </c>
      <c r="G65" s="787">
        <f>10*0.5</f>
        <v>5</v>
      </c>
      <c r="H65" s="614" t="str">
        <f>IF(ROUND($CK65,1)=$I65,"X","ERROR")</f>
        <v>X</v>
      </c>
      <c r="I65" s="616">
        <f>ROUND(E65/1000*G65,1)</f>
        <v>191.8</v>
      </c>
      <c r="J65" s="142" t="str">
        <f>IF($CL65=$K65,"X","ERROR")</f>
        <v>X</v>
      </c>
      <c r="K65" s="366" t="s">
        <v>960</v>
      </c>
      <c r="L65" s="345" t="str">
        <f>IF($CM65=$M65,"X","ERROR")</f>
        <v>X</v>
      </c>
      <c r="M65" s="393">
        <v>250</v>
      </c>
      <c r="N65" s="181" t="str">
        <f>IF($CN65=$O65,"X","ERROR")</f>
        <v>X</v>
      </c>
      <c r="O65" s="365">
        <v>200</v>
      </c>
      <c r="P65" s="345" t="str">
        <f>IF($CI16=$Q65,"X","ERROR")</f>
        <v>X</v>
      </c>
      <c r="Q65" s="871">
        <v>0.6</v>
      </c>
      <c r="R65" s="181" t="str">
        <f>IF($CJ16=$S65,"X","ERROR")</f>
        <v>X</v>
      </c>
      <c r="S65" s="373" t="s">
        <v>961</v>
      </c>
      <c r="T65" s="345" t="str">
        <f>IF($CQ16=$U65,"X","ERROR")</f>
        <v>X</v>
      </c>
      <c r="U65" s="717">
        <v>1.5</v>
      </c>
      <c r="V65" s="181" t="str">
        <f>IF($CR16=$W65,"X","ERROR")</f>
        <v>X</v>
      </c>
      <c r="W65" s="365" t="s">
        <v>962</v>
      </c>
      <c r="X65" s="345" t="str">
        <f>IF($CO65=$Y65,"X","ERROR")</f>
        <v>ERROR</v>
      </c>
      <c r="Y65" s="846">
        <v>0.18</v>
      </c>
      <c r="Z65" s="181" t="str">
        <f>IF($CP65=$AA65,"X","ERROR")</f>
        <v>X</v>
      </c>
      <c r="AA65" s="365" t="s">
        <v>963</v>
      </c>
      <c r="AB65" s="345" t="str">
        <f>IF(CO203=$AC65,"X","ERROR")</f>
        <v>X</v>
      </c>
      <c r="AC65" s="512" t="s">
        <v>548</v>
      </c>
      <c r="AD65" s="345" t="str">
        <f>IF(CZ203=$AE65,"X","ERROR")</f>
        <v>X</v>
      </c>
      <c r="AE65" s="348">
        <v>0</v>
      </c>
      <c r="AF65" s="140" t="str">
        <f>IF(DA203=$AG65,"X","ERROR")</f>
        <v>X</v>
      </c>
      <c r="AG65" s="491">
        <v>0.15</v>
      </c>
      <c r="AH65" s="140" t="str">
        <f>IF(ROUND(MAX(CZ203*CN203,DA203*CJ203),0)=$AI65,"X","ERROR")</f>
        <v>X</v>
      </c>
      <c r="AI65" s="790">
        <f>ROUND(MAX(I65*AE65,AG65*E65),0)</f>
        <v>5753</v>
      </c>
      <c r="AJ65" s="307" t="str">
        <f>IF($CZ65=$AK65,"X","ERROR")</f>
        <v>X</v>
      </c>
      <c r="AK65" s="393" t="s">
        <v>964</v>
      </c>
      <c r="AL65" s="307" t="str">
        <f>IF($DA65=$AM65,"X","ERROR")</f>
        <v>X</v>
      </c>
      <c r="AM65" s="361" t="s">
        <v>965</v>
      </c>
      <c r="AN65" s="365"/>
      <c r="AO65" s="364"/>
      <c r="AP65" s="64"/>
      <c r="AQ65" s="365"/>
      <c r="AR65" s="64"/>
      <c r="AS65" s="364"/>
      <c r="AT65" s="357" t="s">
        <v>959</v>
      </c>
      <c r="AU65" s="357" t="s">
        <v>170</v>
      </c>
      <c r="AV65" s="357" t="s">
        <v>915</v>
      </c>
      <c r="AW65" s="357">
        <v>38352.97</v>
      </c>
      <c r="AX65" s="357" t="s">
        <v>1032</v>
      </c>
      <c r="AY65" s="357">
        <v>1</v>
      </c>
      <c r="AZ65" s="357">
        <v>5</v>
      </c>
      <c r="BA65" s="357">
        <v>191.76499999999999</v>
      </c>
      <c r="BB65" s="357" t="s">
        <v>960</v>
      </c>
      <c r="BC65" s="357">
        <v>250</v>
      </c>
      <c r="BD65" s="357">
        <v>200</v>
      </c>
      <c r="BE65" s="357">
        <v>-99996</v>
      </c>
      <c r="BF65" s="357" t="s">
        <v>963</v>
      </c>
      <c r="BG65" s="357">
        <v>0.15</v>
      </c>
      <c r="BH65" s="357">
        <v>30</v>
      </c>
      <c r="BI65" s="357">
        <v>0.15</v>
      </c>
      <c r="BJ65" s="357">
        <v>30</v>
      </c>
      <c r="BK65" s="357">
        <v>5752.95</v>
      </c>
      <c r="BL65" s="357">
        <v>0</v>
      </c>
      <c r="BM65" s="357" t="s">
        <v>1069</v>
      </c>
      <c r="BN65" s="357" t="s">
        <v>1070</v>
      </c>
      <c r="BO65" s="357">
        <v>4.48E-2</v>
      </c>
      <c r="BP65" s="357" t="s">
        <v>550</v>
      </c>
      <c r="BQ65" s="357" t="s">
        <v>551</v>
      </c>
      <c r="BR65" s="357"/>
      <c r="BS65" s="373"/>
      <c r="BT65" s="373"/>
      <c r="BU65" s="373"/>
      <c r="BV65" s="357"/>
      <c r="BW65" s="357"/>
      <c r="BX65" s="357"/>
      <c r="BY65" s="357"/>
      <c r="BZ65" s="357"/>
      <c r="CA65" s="357"/>
      <c r="CB65" s="357"/>
      <c r="CC65" s="357"/>
      <c r="CD65" s="357" t="s">
        <v>959</v>
      </c>
      <c r="CE65" s="357" t="s">
        <v>170</v>
      </c>
      <c r="CF65" s="357" t="s">
        <v>915</v>
      </c>
      <c r="CG65" s="357">
        <v>38352.974399999999</v>
      </c>
      <c r="CH65" s="357" t="s">
        <v>1032</v>
      </c>
      <c r="CI65" s="357">
        <v>1</v>
      </c>
      <c r="CJ65" s="357">
        <v>5</v>
      </c>
      <c r="CK65" s="357">
        <v>191.76499999999999</v>
      </c>
      <c r="CL65" s="357" t="s">
        <v>960</v>
      </c>
      <c r="CM65" s="357">
        <v>250</v>
      </c>
      <c r="CN65" s="357">
        <v>200</v>
      </c>
      <c r="CO65" s="357">
        <v>-99996</v>
      </c>
      <c r="CP65" s="357" t="s">
        <v>963</v>
      </c>
      <c r="CQ65" s="357">
        <v>0.15</v>
      </c>
      <c r="CR65" s="357">
        <v>30</v>
      </c>
      <c r="CS65" s="357">
        <v>0.15</v>
      </c>
      <c r="CT65" s="357">
        <v>30</v>
      </c>
      <c r="CU65" s="357">
        <v>5752.95</v>
      </c>
      <c r="CV65" s="364">
        <v>0</v>
      </c>
      <c r="CW65" s="364" t="s">
        <v>1069</v>
      </c>
      <c r="CX65" s="364" t="s">
        <v>1070</v>
      </c>
      <c r="CY65" s="364">
        <v>4.48E-2</v>
      </c>
      <c r="CZ65" s="364" t="s">
        <v>550</v>
      </c>
      <c r="DA65" s="364" t="s">
        <v>551</v>
      </c>
      <c r="DB65" s="364"/>
      <c r="DC65" s="364"/>
      <c r="DD65" s="364"/>
      <c r="DE65" s="364"/>
      <c r="DF65" s="364"/>
      <c r="DG65" s="364"/>
      <c r="DH65" s="364"/>
      <c r="DI65" s="364"/>
      <c r="DJ65" s="364"/>
      <c r="DK65" s="364"/>
      <c r="DL65" s="364"/>
      <c r="DM65" s="364"/>
      <c r="DN65" s="364"/>
      <c r="DO65" s="364"/>
    </row>
    <row r="66" spans="2:119" s="109" customFormat="1" ht="27.6" x14ac:dyDescent="0.3">
      <c r="B66" s="133" t="s">
        <v>970</v>
      </c>
      <c r="C66" s="245" t="s">
        <v>971</v>
      </c>
      <c r="D66" s="140" t="str">
        <f t="shared" ref="D66" si="44">IF($CG17=$E66,"X","ERROR")</f>
        <v>X</v>
      </c>
      <c r="E66" s="486">
        <v>27257.599999999999</v>
      </c>
      <c r="F66" s="142" t="str">
        <f>IF($CJ66=$G66,"X","ERROR")</f>
        <v>X</v>
      </c>
      <c r="G66" s="528">
        <f>ROUND(16.67*0.5,3)</f>
        <v>8.3350000000000009</v>
      </c>
      <c r="H66" s="614" t="str">
        <f>IF(ROUND($CK66,1)=$I66,"X","ERROR")</f>
        <v>X</v>
      </c>
      <c r="I66" s="616">
        <f>ROUND(E66/1000*G66,1)</f>
        <v>227.2</v>
      </c>
      <c r="J66" s="142" t="str">
        <f>IF($CL66=$K66,"X","ERROR")</f>
        <v>X</v>
      </c>
      <c r="K66" s="366" t="s">
        <v>972</v>
      </c>
      <c r="L66" s="142" t="str">
        <f>IF($CM66=$M66,"X","ERROR")</f>
        <v>X</v>
      </c>
      <c r="M66" s="361">
        <v>250</v>
      </c>
      <c r="N66" s="181" t="str">
        <f>IF($CN66=$O66,"X","ERROR")</f>
        <v>X</v>
      </c>
      <c r="O66" s="365">
        <v>200</v>
      </c>
      <c r="P66" s="142" t="str">
        <f>IF($CI17=$Q66,"X","ERROR")</f>
        <v>X</v>
      </c>
      <c r="Q66" s="298">
        <v>1</v>
      </c>
      <c r="R66" s="181" t="str">
        <f>IF($CJ17=$S66,"X","ERROR")</f>
        <v>X</v>
      </c>
      <c r="S66" s="373" t="s">
        <v>973</v>
      </c>
      <c r="T66" s="142" t="str">
        <f>IF($CQ17=$U66,"X","ERROR")</f>
        <v>X</v>
      </c>
      <c r="U66" s="718">
        <v>1</v>
      </c>
      <c r="V66" s="181" t="str">
        <f>IF($CR17=$W66,"X","ERROR")</f>
        <v>X</v>
      </c>
      <c r="W66" s="365" t="s">
        <v>974</v>
      </c>
      <c r="X66" s="142" t="str">
        <f>IF($CO66=$Y66,"X","ERROR")</f>
        <v>ERROR</v>
      </c>
      <c r="Y66" s="840">
        <v>0.18</v>
      </c>
      <c r="Z66" s="181" t="str">
        <f>IF($CP66=$AA66,"X","ERROR")</f>
        <v>X</v>
      </c>
      <c r="AA66" s="365" t="s">
        <v>975</v>
      </c>
      <c r="AB66" s="140" t="str">
        <f>IF(CO204=$AC66,"X","ERROR")</f>
        <v>X</v>
      </c>
      <c r="AC66" s="719" t="s">
        <v>548</v>
      </c>
      <c r="AD66" s="142" t="str">
        <f>IF(CZ204=$AE66,"X","ERROR")</f>
        <v>X</v>
      </c>
      <c r="AE66" s="361">
        <v>0</v>
      </c>
      <c r="AF66" s="140" t="str">
        <f>IF(DA204=$AG66,"X","ERROR")</f>
        <v>X</v>
      </c>
      <c r="AG66" s="418">
        <v>0.2</v>
      </c>
      <c r="AH66" s="140" t="str">
        <f>IF(ROUND(MAX(CZ204*CN204,DA204*CJ204),0)=$AI66,"X","ERROR")</f>
        <v>X</v>
      </c>
      <c r="AI66" s="790">
        <f>ROUND(MAX(I66*AE66,AG66*E66),0)</f>
        <v>5452</v>
      </c>
      <c r="AJ66" s="142" t="str">
        <f>IF($CZ66=$AK66,"X","ERROR")</f>
        <v>X</v>
      </c>
      <c r="AK66" s="361" t="s">
        <v>976</v>
      </c>
      <c r="AL66" s="142" t="str">
        <f>IF($DA66=$AM66,"X","ERROR")</f>
        <v>X</v>
      </c>
      <c r="AM66" s="361" t="s">
        <v>977</v>
      </c>
      <c r="AN66" s="365"/>
      <c r="AO66" s="364"/>
      <c r="AP66" s="620"/>
      <c r="AQ66" s="365"/>
      <c r="AR66" s="63"/>
      <c r="AS66" s="364"/>
      <c r="AT66" s="357" t="s">
        <v>970</v>
      </c>
      <c r="AU66" s="357" t="s">
        <v>170</v>
      </c>
      <c r="AV66" s="357" t="s">
        <v>980</v>
      </c>
      <c r="AW66" s="357">
        <v>27257.64</v>
      </c>
      <c r="AX66" s="357" t="s">
        <v>1033</v>
      </c>
      <c r="AY66" s="357">
        <v>1</v>
      </c>
      <c r="AZ66" s="357">
        <v>8.3350000000000009</v>
      </c>
      <c r="BA66" s="357">
        <v>227.19200000000001</v>
      </c>
      <c r="BB66" s="357" t="s">
        <v>972</v>
      </c>
      <c r="BC66" s="357">
        <v>250</v>
      </c>
      <c r="BD66" s="357">
        <v>200</v>
      </c>
      <c r="BE66" s="357">
        <v>-99996</v>
      </c>
      <c r="BF66" s="357" t="s">
        <v>975</v>
      </c>
      <c r="BG66" s="357">
        <v>0.2</v>
      </c>
      <c r="BH66" s="357">
        <v>23.995200000000001</v>
      </c>
      <c r="BI66" s="357">
        <v>0.2</v>
      </c>
      <c r="BJ66" s="357">
        <v>23.995200000000001</v>
      </c>
      <c r="BK66" s="357">
        <v>5451.53</v>
      </c>
      <c r="BL66" s="357">
        <v>3407.89</v>
      </c>
      <c r="BM66" s="357" t="s">
        <v>1069</v>
      </c>
      <c r="BN66" s="357" t="s">
        <v>1071</v>
      </c>
      <c r="BO66" s="357">
        <v>4.48E-2</v>
      </c>
      <c r="BP66" s="357" t="s">
        <v>1072</v>
      </c>
      <c r="BQ66" s="357" t="s">
        <v>1073</v>
      </c>
      <c r="BR66" s="357"/>
      <c r="BS66" s="364"/>
      <c r="BT66" s="364"/>
      <c r="BU66" s="364"/>
      <c r="BV66" s="357"/>
      <c r="BW66" s="357"/>
      <c r="BX66" s="357"/>
      <c r="BY66" s="357"/>
      <c r="BZ66" s="357"/>
      <c r="CA66" s="357"/>
      <c r="CB66" s="357"/>
      <c r="CC66" s="357"/>
      <c r="CD66" s="357" t="s">
        <v>970</v>
      </c>
      <c r="CE66" s="357" t="s">
        <v>170</v>
      </c>
      <c r="CF66" s="357" t="s">
        <v>980</v>
      </c>
      <c r="CG66" s="357">
        <v>27257.6404</v>
      </c>
      <c r="CH66" s="357" t="s">
        <v>1033</v>
      </c>
      <c r="CI66" s="357">
        <v>1</v>
      </c>
      <c r="CJ66" s="357">
        <v>8.3350000000000009</v>
      </c>
      <c r="CK66" s="357">
        <v>227.19200000000001</v>
      </c>
      <c r="CL66" s="357" t="s">
        <v>972</v>
      </c>
      <c r="CM66" s="357">
        <v>250</v>
      </c>
      <c r="CN66" s="357">
        <v>200</v>
      </c>
      <c r="CO66" s="357">
        <v>-99996</v>
      </c>
      <c r="CP66" s="357" t="s">
        <v>975</v>
      </c>
      <c r="CQ66" s="357">
        <v>0.2</v>
      </c>
      <c r="CR66" s="357">
        <v>23.995200000000001</v>
      </c>
      <c r="CS66" s="357">
        <v>0.2</v>
      </c>
      <c r="CT66" s="357">
        <v>23.995200000000001</v>
      </c>
      <c r="CU66" s="357">
        <v>5451.53</v>
      </c>
      <c r="CV66" s="364">
        <v>0</v>
      </c>
      <c r="CW66" s="364" t="s">
        <v>1069</v>
      </c>
      <c r="CX66" s="364" t="s">
        <v>1071</v>
      </c>
      <c r="CY66" s="364">
        <v>4.48E-2</v>
      </c>
      <c r="CZ66" s="364" t="s">
        <v>1072</v>
      </c>
      <c r="DA66" s="364" t="s">
        <v>1073</v>
      </c>
      <c r="DB66" s="364"/>
      <c r="DC66" s="364"/>
      <c r="DD66" s="364"/>
      <c r="DE66" s="364"/>
      <c r="DF66" s="364"/>
      <c r="DG66" s="364"/>
      <c r="DH66" s="364"/>
      <c r="DI66" s="364"/>
      <c r="DJ66" s="364"/>
      <c r="DK66" s="364"/>
      <c r="DL66" s="364"/>
      <c r="DM66" s="364"/>
      <c r="DN66" s="364"/>
      <c r="DO66" s="364"/>
    </row>
    <row r="67" spans="2:119" s="109" customFormat="1" ht="27.6" x14ac:dyDescent="0.3">
      <c r="B67" s="316" t="s">
        <v>978</v>
      </c>
      <c r="C67" s="70" t="s">
        <v>979</v>
      </c>
      <c r="D67" s="325" t="s">
        <v>173</v>
      </c>
      <c r="E67" s="406" t="s">
        <v>173</v>
      </c>
      <c r="F67" s="325" t="s">
        <v>173</v>
      </c>
      <c r="G67" s="715" t="s">
        <v>173</v>
      </c>
      <c r="H67" s="325" t="s">
        <v>173</v>
      </c>
      <c r="I67" s="406" t="s">
        <v>173</v>
      </c>
      <c r="J67" s="325" t="s">
        <v>173</v>
      </c>
      <c r="K67" s="419" t="s">
        <v>173</v>
      </c>
      <c r="L67" s="325" t="s">
        <v>173</v>
      </c>
      <c r="M67" s="406" t="s">
        <v>173</v>
      </c>
      <c r="N67" s="263" t="s">
        <v>173</v>
      </c>
      <c r="O67" s="419" t="s">
        <v>173</v>
      </c>
      <c r="P67" s="325" t="s">
        <v>173</v>
      </c>
      <c r="Q67" s="715" t="s">
        <v>173</v>
      </c>
      <c r="R67" s="263" t="s">
        <v>173</v>
      </c>
      <c r="S67" s="419" t="s">
        <v>173</v>
      </c>
      <c r="T67" s="325" t="s">
        <v>173</v>
      </c>
      <c r="U67" s="714" t="s">
        <v>173</v>
      </c>
      <c r="V67" s="263" t="s">
        <v>173</v>
      </c>
      <c r="W67" s="419" t="s">
        <v>173</v>
      </c>
      <c r="X67" s="610" t="s">
        <v>173</v>
      </c>
      <c r="Y67" s="721" t="s">
        <v>173</v>
      </c>
      <c r="Z67" s="610" t="s">
        <v>173</v>
      </c>
      <c r="AA67" s="419" t="s">
        <v>173</v>
      </c>
      <c r="AB67" s="325" t="s">
        <v>173</v>
      </c>
      <c r="AC67" s="419" t="s">
        <v>173</v>
      </c>
      <c r="AD67" s="610" t="s">
        <v>173</v>
      </c>
      <c r="AE67" s="419" t="s">
        <v>173</v>
      </c>
      <c r="AF67" s="610" t="s">
        <v>173</v>
      </c>
      <c r="AG67" s="720" t="s">
        <v>173</v>
      </c>
      <c r="AH67" s="325" t="s">
        <v>173</v>
      </c>
      <c r="AI67" s="419"/>
      <c r="AJ67" s="610" t="s">
        <v>173</v>
      </c>
      <c r="AK67" s="419" t="s">
        <v>173</v>
      </c>
      <c r="AL67" s="610" t="s">
        <v>173</v>
      </c>
      <c r="AM67" s="406" t="s">
        <v>173</v>
      </c>
      <c r="AN67" s="75"/>
      <c r="AO67" s="364"/>
      <c r="AP67" s="75"/>
      <c r="AQ67" s="75"/>
      <c r="AR67" s="75"/>
      <c r="AS67" s="364"/>
      <c r="AT67" s="357" t="s">
        <v>978</v>
      </c>
      <c r="AU67" s="357" t="s">
        <v>983</v>
      </c>
      <c r="AV67" s="357" t="s">
        <v>979</v>
      </c>
      <c r="AW67" s="357">
        <v>0</v>
      </c>
      <c r="AX67" s="357" t="s">
        <v>1033</v>
      </c>
      <c r="AY67" s="357">
        <v>1</v>
      </c>
      <c r="AZ67" s="357">
        <v>-99996</v>
      </c>
      <c r="BA67" s="357">
        <v>0</v>
      </c>
      <c r="BB67" s="357"/>
      <c r="BC67" s="357">
        <v>-99996</v>
      </c>
      <c r="BD67" s="357">
        <v>-99996</v>
      </c>
      <c r="BE67" s="357">
        <v>-99996</v>
      </c>
      <c r="BF67" s="357" t="s">
        <v>1010</v>
      </c>
      <c r="BG67" s="357">
        <v>0</v>
      </c>
      <c r="BH67" s="357">
        <v>0</v>
      </c>
      <c r="BI67" s="357">
        <v>0</v>
      </c>
      <c r="BJ67" s="357">
        <v>0</v>
      </c>
      <c r="BK67" s="357">
        <v>0</v>
      </c>
      <c r="BL67" s="357">
        <v>0</v>
      </c>
      <c r="BM67" s="357" t="s">
        <v>1069</v>
      </c>
      <c r="BN67" s="357" t="s">
        <v>1074</v>
      </c>
      <c r="BO67" s="357">
        <v>4.48E-2</v>
      </c>
      <c r="BP67" s="357" t="s">
        <v>1010</v>
      </c>
      <c r="BQ67" s="357" t="s">
        <v>1010</v>
      </c>
      <c r="BR67" s="357"/>
      <c r="BS67" s="364"/>
      <c r="BT67" s="364"/>
      <c r="BU67" s="364"/>
      <c r="BV67" s="357"/>
      <c r="BW67" s="357"/>
      <c r="BX67" s="357"/>
      <c r="BY67" s="357"/>
      <c r="BZ67" s="357"/>
      <c r="CA67" s="357"/>
      <c r="CB67" s="357"/>
      <c r="CC67" s="357"/>
      <c r="CD67" s="357" t="s">
        <v>978</v>
      </c>
      <c r="CE67" s="357" t="s">
        <v>983</v>
      </c>
      <c r="CF67" s="357" t="s">
        <v>979</v>
      </c>
      <c r="CG67" s="357">
        <v>0</v>
      </c>
      <c r="CH67" s="357" t="s">
        <v>1033</v>
      </c>
      <c r="CI67" s="357">
        <v>1</v>
      </c>
      <c r="CJ67" s="357">
        <v>-99996</v>
      </c>
      <c r="CK67" s="357">
        <v>0</v>
      </c>
      <c r="CL67" s="357"/>
      <c r="CM67" s="357">
        <v>-99996</v>
      </c>
      <c r="CN67" s="357">
        <v>-99996</v>
      </c>
      <c r="CO67" s="357">
        <v>-99996</v>
      </c>
      <c r="CP67" s="357" t="s">
        <v>1010</v>
      </c>
      <c r="CQ67" s="357">
        <v>0</v>
      </c>
      <c r="CR67" s="357">
        <v>0</v>
      </c>
      <c r="CS67" s="357">
        <v>0</v>
      </c>
      <c r="CT67" s="357">
        <v>0</v>
      </c>
      <c r="CU67" s="357">
        <v>0</v>
      </c>
      <c r="CV67" s="364">
        <v>0</v>
      </c>
      <c r="CW67" s="364" t="s">
        <v>1069</v>
      </c>
      <c r="CX67" s="364" t="s">
        <v>1074</v>
      </c>
      <c r="CY67" s="364">
        <v>4.48E-2</v>
      </c>
      <c r="CZ67" s="364" t="s">
        <v>1010</v>
      </c>
      <c r="DA67" s="364" t="s">
        <v>1010</v>
      </c>
      <c r="DB67" s="364"/>
      <c r="DC67" s="364"/>
      <c r="DD67" s="364"/>
      <c r="DE67" s="364"/>
      <c r="DF67" s="364"/>
      <c r="DG67" s="364"/>
      <c r="DH67" s="364"/>
      <c r="DI67" s="364"/>
      <c r="DJ67" s="364"/>
      <c r="DK67" s="364"/>
      <c r="DL67" s="364"/>
      <c r="DM67" s="364"/>
      <c r="DN67" s="364"/>
      <c r="DO67" s="364"/>
    </row>
    <row r="68" spans="2:119" s="109" customFormat="1" x14ac:dyDescent="0.3">
      <c r="B68" s="133" t="s">
        <v>981</v>
      </c>
      <c r="C68" s="245" t="s">
        <v>982</v>
      </c>
      <c r="D68" s="142" t="str">
        <f t="shared" ref="D68:D72" si="45">IF($CG19=$E68,"X","ERROR")</f>
        <v>X</v>
      </c>
      <c r="E68" s="486">
        <v>3373.61</v>
      </c>
      <c r="F68" s="142" t="str">
        <f>IF($CJ68=$G68,"X","ERROR")</f>
        <v>X</v>
      </c>
      <c r="G68" s="465">
        <f>66.67*0.5</f>
        <v>33.335000000000001</v>
      </c>
      <c r="H68" s="614" t="str">
        <f>IF(ROUND($CK68,1)=$I68,"X","ERROR")</f>
        <v>X</v>
      </c>
      <c r="I68" s="616">
        <f>ROUND(E68/1000*G68,1)</f>
        <v>112.5</v>
      </c>
      <c r="J68" s="142" t="str">
        <f>IF($CL68=$K68,"X","ERROR")</f>
        <v>X</v>
      </c>
      <c r="K68" s="185" t="s">
        <v>972</v>
      </c>
      <c r="L68" s="307" t="str">
        <f>IF($CM68=$M68,"X","ERROR")</f>
        <v>X</v>
      </c>
      <c r="M68" s="361">
        <v>250</v>
      </c>
      <c r="N68" s="181" t="str">
        <f>IF($CN68=$O68,"X","ERROR")</f>
        <v>X</v>
      </c>
      <c r="O68" s="365">
        <v>250</v>
      </c>
      <c r="P68" s="142" t="str">
        <f>IF($CI19=$Q68,"X","ERROR")</f>
        <v>X</v>
      </c>
      <c r="Q68" s="298">
        <v>0.85</v>
      </c>
      <c r="R68" s="181" t="str">
        <f>IF($CJ19=$S68,"X","ERROR")</f>
        <v>X</v>
      </c>
      <c r="S68" s="373" t="s">
        <v>973</v>
      </c>
      <c r="T68" s="307" t="str">
        <f>IF($CQ19=$U68,"X","ERROR")</f>
        <v>X</v>
      </c>
      <c r="U68" s="718">
        <v>0.5</v>
      </c>
      <c r="V68" s="181" t="str">
        <f>IF($CR19=$W68,"X","ERROR")</f>
        <v>X</v>
      </c>
      <c r="W68" s="365" t="s">
        <v>974</v>
      </c>
      <c r="X68" s="307" t="str">
        <f>IF($CO68=$Y68,"X","ERROR")</f>
        <v>ERROR</v>
      </c>
      <c r="Y68" s="840">
        <v>0.09</v>
      </c>
      <c r="Z68" s="181" t="str">
        <f>IF($CP68=$AA68,"X","ERROR")</f>
        <v>X</v>
      </c>
      <c r="AA68" s="365" t="s">
        <v>975</v>
      </c>
      <c r="AB68" s="140" t="str">
        <f>IF(CO206=$AC68,"X","ERROR")</f>
        <v>X</v>
      </c>
      <c r="AC68" s="719" t="s">
        <v>548</v>
      </c>
      <c r="AD68" s="142" t="str">
        <f>IF(CZ206=$AE68,"X","ERROR")</f>
        <v>X</v>
      </c>
      <c r="AE68" s="361">
        <v>14.9993</v>
      </c>
      <c r="AF68" s="140" t="str">
        <f>IF(DA206=$AG68,"X","ERROR")</f>
        <v>X</v>
      </c>
      <c r="AG68" s="418">
        <v>0.15</v>
      </c>
      <c r="AH68" s="140" t="str">
        <f>IF(ROUND(MAX(CZ206*CN206,DA206*CJ206),0)=$AI68,"X","ERROR")</f>
        <v>X</v>
      </c>
      <c r="AI68" s="790">
        <f>ROUND(MAX(I68*AE68,AG68*E68),0)</f>
        <v>1687</v>
      </c>
      <c r="AJ68" s="307" t="str">
        <f>IF($CZ68=$AK68,"X","ERROR")</f>
        <v>X</v>
      </c>
      <c r="AK68" s="361" t="s">
        <v>976</v>
      </c>
      <c r="AL68" s="181" t="str">
        <f>IF($DA68=$AM68,"X","ERROR")</f>
        <v>X</v>
      </c>
      <c r="AM68" s="361" t="s">
        <v>977</v>
      </c>
      <c r="AN68" s="365"/>
      <c r="AO68" s="364"/>
      <c r="AP68" s="620"/>
      <c r="AQ68" s="365"/>
      <c r="AR68" s="63"/>
      <c r="AS68" s="364"/>
      <c r="AT68" s="357" t="s">
        <v>981</v>
      </c>
      <c r="AU68" s="357" t="s">
        <v>170</v>
      </c>
      <c r="AV68" s="357" t="s">
        <v>986</v>
      </c>
      <c r="AW68" s="357">
        <v>3373.6129999999998</v>
      </c>
      <c r="AX68" s="357" t="s">
        <v>1033</v>
      </c>
      <c r="AY68" s="357">
        <v>1</v>
      </c>
      <c r="AZ68" s="357">
        <v>33.335000000000001</v>
      </c>
      <c r="BA68" s="357">
        <v>112.459</v>
      </c>
      <c r="BB68" s="357" t="s">
        <v>972</v>
      </c>
      <c r="BC68" s="357">
        <v>250</v>
      </c>
      <c r="BD68" s="357">
        <v>250</v>
      </c>
      <c r="BE68" s="357">
        <v>-99996</v>
      </c>
      <c r="BF68" s="357" t="s">
        <v>975</v>
      </c>
      <c r="BG68" s="357">
        <v>0.5</v>
      </c>
      <c r="BH68" s="357">
        <v>14.9993</v>
      </c>
      <c r="BI68" s="357">
        <v>0.5</v>
      </c>
      <c r="BJ68" s="357">
        <v>14.9993</v>
      </c>
      <c r="BK68" s="357">
        <v>506.04199999999997</v>
      </c>
      <c r="BL68" s="357">
        <v>1686.81</v>
      </c>
      <c r="BM68" s="357" t="s">
        <v>1069</v>
      </c>
      <c r="BN68" s="357" t="s">
        <v>1071</v>
      </c>
      <c r="BO68" s="357">
        <v>4.48E-2</v>
      </c>
      <c r="BP68" s="357" t="s">
        <v>1072</v>
      </c>
      <c r="BQ68" s="357" t="s">
        <v>1073</v>
      </c>
      <c r="BR68" s="357"/>
      <c r="BS68" s="364"/>
      <c r="BT68" s="364"/>
      <c r="BU68" s="364"/>
      <c r="BV68" s="357"/>
      <c r="BW68" s="357"/>
      <c r="BX68" s="357"/>
      <c r="BY68" s="357"/>
      <c r="BZ68" s="357"/>
      <c r="CA68" s="357"/>
      <c r="CB68" s="357"/>
      <c r="CC68" s="357"/>
      <c r="CD68" s="357" t="s">
        <v>981</v>
      </c>
      <c r="CE68" s="357" t="s">
        <v>170</v>
      </c>
      <c r="CF68" s="357" t="s">
        <v>986</v>
      </c>
      <c r="CG68" s="357">
        <v>3373.6127000000001</v>
      </c>
      <c r="CH68" s="357" t="s">
        <v>1033</v>
      </c>
      <c r="CI68" s="357">
        <v>1</v>
      </c>
      <c r="CJ68" s="357">
        <v>33.335000000000001</v>
      </c>
      <c r="CK68" s="357">
        <v>112.459</v>
      </c>
      <c r="CL68" s="357" t="s">
        <v>972</v>
      </c>
      <c r="CM68" s="357">
        <v>250</v>
      </c>
      <c r="CN68" s="357">
        <v>250</v>
      </c>
      <c r="CO68" s="357">
        <v>-99996</v>
      </c>
      <c r="CP68" s="357" t="s">
        <v>975</v>
      </c>
      <c r="CQ68" s="357">
        <v>0.5</v>
      </c>
      <c r="CR68" s="357">
        <v>14.9993</v>
      </c>
      <c r="CS68" s="357">
        <v>0.5</v>
      </c>
      <c r="CT68" s="357">
        <v>14.9993</v>
      </c>
      <c r="CU68" s="357">
        <v>506.04199999999997</v>
      </c>
      <c r="CV68" s="373">
        <v>1686.81</v>
      </c>
      <c r="CW68" s="373" t="s">
        <v>1069</v>
      </c>
      <c r="CX68" s="373" t="s">
        <v>1071</v>
      </c>
      <c r="CY68" s="373">
        <v>4.48E-2</v>
      </c>
      <c r="CZ68" s="373" t="s">
        <v>1072</v>
      </c>
      <c r="DA68" s="373" t="s">
        <v>1073</v>
      </c>
      <c r="DB68" s="373"/>
      <c r="DC68" s="373"/>
      <c r="DD68" s="373"/>
      <c r="DE68" s="373"/>
      <c r="DF68" s="373"/>
      <c r="DG68" s="373"/>
      <c r="DH68" s="373"/>
      <c r="DI68" s="373"/>
      <c r="DJ68" s="373"/>
      <c r="DK68" s="373"/>
      <c r="DL68" s="373"/>
      <c r="DM68" s="364"/>
      <c r="DN68" s="364"/>
      <c r="DO68" s="364"/>
    </row>
    <row r="69" spans="2:119" s="109" customFormat="1" ht="27.6" x14ac:dyDescent="0.3">
      <c r="B69" s="133" t="s">
        <v>984</v>
      </c>
      <c r="C69" s="245" t="s">
        <v>985</v>
      </c>
      <c r="D69" s="142" t="str">
        <f t="shared" si="45"/>
        <v>X</v>
      </c>
      <c r="E69" s="486">
        <v>2174.0500000000002</v>
      </c>
      <c r="F69" s="142" t="str">
        <f>IF($CJ69=$G69,"X","ERROR")</f>
        <v>X</v>
      </c>
      <c r="G69" s="465">
        <f>10*0.5</f>
        <v>5</v>
      </c>
      <c r="H69" s="614" t="str">
        <f>IF(ROUND($CK69,1)=$I69,"X","ERROR")</f>
        <v>X</v>
      </c>
      <c r="I69" s="616">
        <f>ROUND(E69/1000*G69,1)</f>
        <v>10.9</v>
      </c>
      <c r="J69" s="142" t="str">
        <f>IF($CL69=$K69,"X","ERROR")</f>
        <v>X</v>
      </c>
      <c r="K69" s="185" t="s">
        <v>972</v>
      </c>
      <c r="L69" s="142" t="str">
        <f>IF($CM69=$M69,"X","ERROR")</f>
        <v>X</v>
      </c>
      <c r="M69" s="361">
        <v>250</v>
      </c>
      <c r="N69" s="181" t="str">
        <f>IF($CN69=$O69,"X","ERROR")</f>
        <v>X</v>
      </c>
      <c r="O69" s="365">
        <v>250</v>
      </c>
      <c r="P69" s="142" t="str">
        <f>IF($CI20=$Q69,"X","ERROR")</f>
        <v>X</v>
      </c>
      <c r="Q69" s="298">
        <v>0.6</v>
      </c>
      <c r="R69" s="181" t="str">
        <f>IF($CJ20=$S69,"X","ERROR")</f>
        <v>X</v>
      </c>
      <c r="S69" s="373" t="s">
        <v>973</v>
      </c>
      <c r="T69" s="142" t="str">
        <f>IF($CQ20=$U69,"X","ERROR")</f>
        <v>X</v>
      </c>
      <c r="U69" s="718">
        <v>0</v>
      </c>
      <c r="V69" s="181" t="str">
        <f>IF($CR20=$W69,"X","ERROR")</f>
        <v>X</v>
      </c>
      <c r="W69" s="872"/>
      <c r="X69" s="142" t="str">
        <f>IF($CO69=$Y69,"X","ERROR")</f>
        <v>ERROR</v>
      </c>
      <c r="Y69" s="840">
        <v>0</v>
      </c>
      <c r="Z69" s="181" t="str">
        <f>IF($CP69=$AA69,"X","ERROR")</f>
        <v>X</v>
      </c>
      <c r="AA69" s="365" t="s">
        <v>975</v>
      </c>
      <c r="AB69" s="140" t="str">
        <f>IF(CO207=$AC69,"X","ERROR")</f>
        <v>X</v>
      </c>
      <c r="AC69" s="719" t="s">
        <v>548</v>
      </c>
      <c r="AD69" s="142" t="str">
        <f>IF(CZ207=$AE69,"X","ERROR")</f>
        <v>X</v>
      </c>
      <c r="AE69" s="202">
        <v>0</v>
      </c>
      <c r="AF69" s="140" t="str">
        <f>IF(DA207=$AG69,"X","ERROR")</f>
        <v>X</v>
      </c>
      <c r="AG69" s="418">
        <v>0.15</v>
      </c>
      <c r="AH69" s="140" t="str">
        <f>IF(ROUND(MAX(CZ207*CN207,DA207*CJ207),0)=$AI69,"X","ERROR")</f>
        <v>X</v>
      </c>
      <c r="AI69" s="790">
        <f>ROUND(MAX(I69*AE69,AG69*E69),0)</f>
        <v>326</v>
      </c>
      <c r="AJ69" s="142" t="str">
        <f>IF($CZ69=$AK69,"X","ERROR")</f>
        <v>X</v>
      </c>
      <c r="AK69" s="361" t="s">
        <v>976</v>
      </c>
      <c r="AL69" s="181" t="str">
        <f>IF($DA69=$AM69,"X","ERROR")</f>
        <v>X</v>
      </c>
      <c r="AM69" s="361" t="s">
        <v>977</v>
      </c>
      <c r="AN69" s="365"/>
      <c r="AO69" s="364"/>
      <c r="AP69" s="619"/>
      <c r="AQ69" s="365"/>
      <c r="AR69" s="63"/>
      <c r="AS69" s="364"/>
      <c r="AT69" s="357" t="s">
        <v>984</v>
      </c>
      <c r="AU69" s="357" t="s">
        <v>170</v>
      </c>
      <c r="AV69" s="357" t="s">
        <v>988</v>
      </c>
      <c r="AW69" s="357">
        <v>2174.0500000000002</v>
      </c>
      <c r="AX69" s="357" t="s">
        <v>1033</v>
      </c>
      <c r="AY69" s="357">
        <v>1</v>
      </c>
      <c r="AZ69" s="357">
        <v>5</v>
      </c>
      <c r="BA69" s="357">
        <v>10.8703</v>
      </c>
      <c r="BB69" s="357" t="s">
        <v>972</v>
      </c>
      <c r="BC69" s="357">
        <v>250</v>
      </c>
      <c r="BD69" s="357">
        <v>250</v>
      </c>
      <c r="BE69" s="357">
        <v>-99996</v>
      </c>
      <c r="BF69" s="357" t="s">
        <v>975</v>
      </c>
      <c r="BG69" s="357">
        <v>0.15</v>
      </c>
      <c r="BH69" s="357">
        <v>30</v>
      </c>
      <c r="BI69" s="357">
        <v>0.15</v>
      </c>
      <c r="BJ69" s="357">
        <v>30</v>
      </c>
      <c r="BK69" s="357">
        <v>326.108</v>
      </c>
      <c r="BL69" s="357">
        <v>0</v>
      </c>
      <c r="BM69" s="357" t="s">
        <v>1069</v>
      </c>
      <c r="BN69" s="357" t="s">
        <v>1071</v>
      </c>
      <c r="BO69" s="364">
        <v>4.48E-2</v>
      </c>
      <c r="BP69" s="364" t="s">
        <v>1072</v>
      </c>
      <c r="BQ69" s="364" t="s">
        <v>1073</v>
      </c>
      <c r="BR69" s="364"/>
      <c r="BS69" s="364"/>
      <c r="BT69" s="364"/>
      <c r="BU69" s="364"/>
      <c r="BV69" s="357"/>
      <c r="BW69" s="357"/>
      <c r="BX69" s="357"/>
      <c r="BY69" s="357"/>
      <c r="BZ69" s="357"/>
      <c r="CA69" s="357"/>
      <c r="CB69" s="357"/>
      <c r="CC69" s="357"/>
      <c r="CD69" s="357" t="s">
        <v>984</v>
      </c>
      <c r="CE69" s="357" t="s">
        <v>170</v>
      </c>
      <c r="CF69" s="357" t="s">
        <v>988</v>
      </c>
      <c r="CG69" s="357">
        <v>2174.0502999999999</v>
      </c>
      <c r="CH69" s="357" t="s">
        <v>1033</v>
      </c>
      <c r="CI69" s="357">
        <v>1</v>
      </c>
      <c r="CJ69" s="357">
        <v>5</v>
      </c>
      <c r="CK69" s="357">
        <v>10.8703</v>
      </c>
      <c r="CL69" s="357" t="s">
        <v>972</v>
      </c>
      <c r="CM69" s="357">
        <v>250</v>
      </c>
      <c r="CN69" s="357">
        <v>250</v>
      </c>
      <c r="CO69" s="357">
        <v>-99996</v>
      </c>
      <c r="CP69" s="357" t="s">
        <v>975</v>
      </c>
      <c r="CQ69" s="357">
        <v>0.15</v>
      </c>
      <c r="CR69" s="357">
        <v>30</v>
      </c>
      <c r="CS69" s="357">
        <v>0.15</v>
      </c>
      <c r="CT69" s="357">
        <v>30</v>
      </c>
      <c r="CU69" s="357">
        <v>326.108</v>
      </c>
      <c r="CV69" s="364">
        <v>0</v>
      </c>
      <c r="CW69" s="364" t="s">
        <v>1069</v>
      </c>
      <c r="CX69" s="364" t="s">
        <v>1071</v>
      </c>
      <c r="CY69" s="364">
        <v>4.48E-2</v>
      </c>
      <c r="CZ69" s="364" t="s">
        <v>1072</v>
      </c>
      <c r="DA69" s="364" t="s">
        <v>1073</v>
      </c>
      <c r="DB69" s="364"/>
      <c r="DC69" s="364"/>
      <c r="DD69" s="364"/>
      <c r="DE69" s="364"/>
      <c r="DF69" s="364"/>
      <c r="DG69" s="364"/>
      <c r="DH69" s="364"/>
      <c r="DI69" s="364"/>
      <c r="DJ69" s="364"/>
      <c r="DK69" s="364"/>
      <c r="DL69" s="364"/>
      <c r="DM69" s="364"/>
      <c r="DN69" s="364"/>
      <c r="DO69" s="364"/>
    </row>
    <row r="70" spans="2:119" s="109" customFormat="1" ht="27.6" x14ac:dyDescent="0.3">
      <c r="B70" s="133" t="s">
        <v>987</v>
      </c>
      <c r="C70" s="245" t="s">
        <v>971</v>
      </c>
      <c r="D70" s="142" t="str">
        <f t="shared" si="45"/>
        <v>X</v>
      </c>
      <c r="E70" s="486">
        <v>3373.64</v>
      </c>
      <c r="F70" s="142" t="str">
        <f>IF($CJ70=$G70,"X","ERROR")</f>
        <v>X</v>
      </c>
      <c r="G70" s="528">
        <f t="shared" ref="G70:G71" si="46">ROUND(16.67*0.5,3)</f>
        <v>8.3350000000000009</v>
      </c>
      <c r="H70" s="614" t="str">
        <f>IF(ROUND($CK70,1)=$I70,"X","ERROR")</f>
        <v>X</v>
      </c>
      <c r="I70" s="616">
        <f>ROUND(E70/1000*G70,1)</f>
        <v>28.1</v>
      </c>
      <c r="J70" s="142" t="str">
        <f>IF($CL70=$K70,"X","ERROR")</f>
        <v>X</v>
      </c>
      <c r="K70" s="366" t="s">
        <v>972</v>
      </c>
      <c r="L70" s="142" t="str">
        <f>IF($CM70=$M70,"X","ERROR")</f>
        <v>X</v>
      </c>
      <c r="M70" s="361">
        <v>250</v>
      </c>
      <c r="N70" s="181" t="str">
        <f>IF($CN70=$O70,"X","ERROR")</f>
        <v>X</v>
      </c>
      <c r="O70" s="365">
        <v>200</v>
      </c>
      <c r="P70" s="142" t="str">
        <f>IF($CI21=$Q70,"X","ERROR")</f>
        <v>X</v>
      </c>
      <c r="Q70" s="298">
        <v>1</v>
      </c>
      <c r="R70" s="181" t="str">
        <f>IF($CJ21=$S70,"X","ERROR")</f>
        <v>X</v>
      </c>
      <c r="S70" s="373" t="s">
        <v>973</v>
      </c>
      <c r="T70" s="142" t="str">
        <f>IF($CQ21=$U70,"X","ERROR")</f>
        <v>X</v>
      </c>
      <c r="U70" s="718">
        <v>1</v>
      </c>
      <c r="V70" s="181" t="str">
        <f>IF($CR21=$W70,"X","ERROR")</f>
        <v>X</v>
      </c>
      <c r="W70" s="365" t="s">
        <v>974</v>
      </c>
      <c r="X70" s="142" t="str">
        <f>IF($CO70=$Y70,"X","ERROR")</f>
        <v>ERROR</v>
      </c>
      <c r="Y70" s="840">
        <v>0.18</v>
      </c>
      <c r="Z70" s="181" t="str">
        <f>IF($CP70=$AA70,"X","ERROR")</f>
        <v>X</v>
      </c>
      <c r="AA70" s="365" t="s">
        <v>975</v>
      </c>
      <c r="AB70" s="140" t="str">
        <f>IF(CO208=$AC70,"X","ERROR")</f>
        <v>X</v>
      </c>
      <c r="AC70" s="719" t="s">
        <v>548</v>
      </c>
      <c r="AD70" s="142" t="str">
        <f>IF(CZ208=$AE70,"X","ERROR")</f>
        <v>X</v>
      </c>
      <c r="AE70" s="361">
        <v>0</v>
      </c>
      <c r="AF70" s="140" t="str">
        <f>IF(DA208=$AG70,"X","ERROR")</f>
        <v>X</v>
      </c>
      <c r="AG70" s="418">
        <v>0.2</v>
      </c>
      <c r="AH70" s="140" t="str">
        <f>IF(ROUND(MAX(CZ208*CN208,DA208*CJ208),0)=$AI70,"X","ERROR")</f>
        <v>X</v>
      </c>
      <c r="AI70" s="790">
        <f>ROUND(MAX(I70*AE70,AG70*E70),0)</f>
        <v>675</v>
      </c>
      <c r="AJ70" s="142" t="str">
        <f>IF($CZ70=$AK70,"X","ERROR")</f>
        <v>X</v>
      </c>
      <c r="AK70" s="361" t="s">
        <v>976</v>
      </c>
      <c r="AL70" s="181" t="str">
        <f>IF($DA70=$AM70,"X","ERROR")</f>
        <v>X</v>
      </c>
      <c r="AM70" s="361" t="s">
        <v>977</v>
      </c>
      <c r="AN70" s="365"/>
      <c r="AO70" s="364"/>
      <c r="AP70" s="620"/>
      <c r="AQ70" s="365"/>
      <c r="AR70" s="63"/>
      <c r="AS70" s="364"/>
      <c r="AT70" s="357" t="s">
        <v>987</v>
      </c>
      <c r="AU70" s="357" t="s">
        <v>170</v>
      </c>
      <c r="AV70" s="357" t="s">
        <v>980</v>
      </c>
      <c r="AW70" s="357">
        <v>3373.6350000000002</v>
      </c>
      <c r="AX70" s="357" t="s">
        <v>1033</v>
      </c>
      <c r="AY70" s="357">
        <v>1</v>
      </c>
      <c r="AZ70" s="357">
        <v>8.3350000000000009</v>
      </c>
      <c r="BA70" s="357">
        <v>28.119199999999999</v>
      </c>
      <c r="BB70" s="357" t="s">
        <v>972</v>
      </c>
      <c r="BC70" s="357">
        <v>250</v>
      </c>
      <c r="BD70" s="357">
        <v>200</v>
      </c>
      <c r="BE70" s="357">
        <v>-99996</v>
      </c>
      <c r="BF70" s="357" t="s">
        <v>975</v>
      </c>
      <c r="BG70" s="357">
        <v>0.2</v>
      </c>
      <c r="BH70" s="357">
        <v>23.995200000000001</v>
      </c>
      <c r="BI70" s="357">
        <v>0.2</v>
      </c>
      <c r="BJ70" s="357">
        <v>23.995200000000001</v>
      </c>
      <c r="BK70" s="357">
        <v>674.72699999999998</v>
      </c>
      <c r="BL70" s="357">
        <v>421.78899999999999</v>
      </c>
      <c r="BM70" s="357" t="s">
        <v>1069</v>
      </c>
      <c r="BN70" s="357" t="s">
        <v>1071</v>
      </c>
      <c r="BO70" s="364">
        <v>4.48E-2</v>
      </c>
      <c r="BP70" s="364" t="s">
        <v>1072</v>
      </c>
      <c r="BQ70" s="364" t="s">
        <v>1073</v>
      </c>
      <c r="BR70" s="364"/>
      <c r="BS70" s="364"/>
      <c r="BT70" s="364"/>
      <c r="BU70" s="364"/>
      <c r="BV70" s="357"/>
      <c r="BW70" s="357"/>
      <c r="BX70" s="357"/>
      <c r="BY70" s="357"/>
      <c r="BZ70" s="357"/>
      <c r="CA70" s="357"/>
      <c r="CB70" s="357"/>
      <c r="CC70" s="357"/>
      <c r="CD70" s="357" t="s">
        <v>987</v>
      </c>
      <c r="CE70" s="357" t="s">
        <v>170</v>
      </c>
      <c r="CF70" s="357" t="s">
        <v>980</v>
      </c>
      <c r="CG70" s="357">
        <v>3373.6351</v>
      </c>
      <c r="CH70" s="357" t="s">
        <v>1033</v>
      </c>
      <c r="CI70" s="357">
        <v>1</v>
      </c>
      <c r="CJ70" s="357">
        <v>8.3350000000000009</v>
      </c>
      <c r="CK70" s="357">
        <v>28.119199999999999</v>
      </c>
      <c r="CL70" s="357" t="s">
        <v>972</v>
      </c>
      <c r="CM70" s="357">
        <v>250</v>
      </c>
      <c r="CN70" s="357">
        <v>200</v>
      </c>
      <c r="CO70" s="357">
        <v>-99996</v>
      </c>
      <c r="CP70" s="357" t="s">
        <v>975</v>
      </c>
      <c r="CQ70" s="357">
        <v>0.2</v>
      </c>
      <c r="CR70" s="357">
        <v>23.995200000000001</v>
      </c>
      <c r="CS70" s="357">
        <v>0.2</v>
      </c>
      <c r="CT70" s="357">
        <v>23.995200000000001</v>
      </c>
      <c r="CU70" s="357">
        <v>674.72699999999998</v>
      </c>
      <c r="CV70" s="364">
        <v>0</v>
      </c>
      <c r="CW70" s="364" t="s">
        <v>1069</v>
      </c>
      <c r="CX70" s="364" t="s">
        <v>1071</v>
      </c>
      <c r="CY70" s="364">
        <v>4.48E-2</v>
      </c>
      <c r="CZ70" s="364" t="s">
        <v>1072</v>
      </c>
      <c r="DA70" s="364" t="s">
        <v>1073</v>
      </c>
      <c r="DB70" s="364"/>
      <c r="DC70" s="364"/>
      <c r="DD70" s="364"/>
      <c r="DE70" s="364"/>
      <c r="DF70" s="364"/>
      <c r="DG70" s="364"/>
      <c r="DH70" s="364"/>
      <c r="DI70" s="364"/>
      <c r="DJ70" s="364"/>
      <c r="DK70" s="364"/>
      <c r="DL70" s="364"/>
      <c r="DM70" s="364"/>
      <c r="DN70" s="364"/>
      <c r="DO70" s="364"/>
    </row>
    <row r="71" spans="2:119" s="109" customFormat="1" ht="27.6" x14ac:dyDescent="0.3">
      <c r="B71" s="133" t="s">
        <v>989</v>
      </c>
      <c r="C71" s="245" t="s">
        <v>971</v>
      </c>
      <c r="D71" s="142" t="str">
        <f t="shared" si="45"/>
        <v>X</v>
      </c>
      <c r="E71" s="486">
        <v>2174.04</v>
      </c>
      <c r="F71" s="142" t="str">
        <f>IF($CJ71=$G71,"X","ERROR")</f>
        <v>X</v>
      </c>
      <c r="G71" s="528">
        <f t="shared" si="46"/>
        <v>8.3350000000000009</v>
      </c>
      <c r="H71" s="614" t="str">
        <f>IF(ROUND($CK71,1)=$I71,"X","ERROR")</f>
        <v>X</v>
      </c>
      <c r="I71" s="616">
        <f>ROUND(E71/1000*G71,1)</f>
        <v>18.100000000000001</v>
      </c>
      <c r="J71" s="142" t="str">
        <f>IF($CL71=$K71,"X","ERROR")</f>
        <v>X</v>
      </c>
      <c r="K71" s="366" t="s">
        <v>972</v>
      </c>
      <c r="L71" s="142" t="str">
        <f>IF($CM71=$M71,"X","ERROR")</f>
        <v>X</v>
      </c>
      <c r="M71" s="361">
        <v>250</v>
      </c>
      <c r="N71" s="181" t="str">
        <f>IF($CN71=$O71,"X","ERROR")</f>
        <v>X</v>
      </c>
      <c r="O71" s="365">
        <v>200</v>
      </c>
      <c r="P71" s="142" t="str">
        <f>IF($CI22=$Q71,"X","ERROR")</f>
        <v>X</v>
      </c>
      <c r="Q71" s="298">
        <v>1</v>
      </c>
      <c r="R71" s="181" t="str">
        <f>IF($CJ22=$S71,"X","ERROR")</f>
        <v>X</v>
      </c>
      <c r="S71" s="373" t="s">
        <v>973</v>
      </c>
      <c r="T71" s="142" t="str">
        <f>IF($CQ22=$U71,"X","ERROR")</f>
        <v>X</v>
      </c>
      <c r="U71" s="718">
        <v>1</v>
      </c>
      <c r="V71" s="181" t="str">
        <f>IF($CR22=$W71,"X","ERROR")</f>
        <v>X</v>
      </c>
      <c r="W71" s="365" t="s">
        <v>974</v>
      </c>
      <c r="X71" s="142" t="str">
        <f>IF($CO71=$Y71,"X","ERROR")</f>
        <v>ERROR</v>
      </c>
      <c r="Y71" s="840">
        <v>0.18</v>
      </c>
      <c r="Z71" s="181" t="str">
        <f>IF($CP71=$AA71,"X","ERROR")</f>
        <v>X</v>
      </c>
      <c r="AA71" s="365" t="s">
        <v>975</v>
      </c>
      <c r="AB71" s="140" t="str">
        <f>IF(CO209=$AC71,"X","ERROR")</f>
        <v>X</v>
      </c>
      <c r="AC71" s="719" t="s">
        <v>548</v>
      </c>
      <c r="AD71" s="142" t="str">
        <f>IF(CZ209=$AE71,"X","ERROR")</f>
        <v>X</v>
      </c>
      <c r="AE71" s="361">
        <v>0</v>
      </c>
      <c r="AF71" s="140" t="str">
        <f>IF(DA209=$AG71,"X","ERROR")</f>
        <v>X</v>
      </c>
      <c r="AG71" s="418">
        <v>0.2</v>
      </c>
      <c r="AH71" s="140" t="str">
        <f>IF(ROUND(MAX(CZ209*CN209,DA209*CJ209),0)=$AI71,"X","ERROR")</f>
        <v>X</v>
      </c>
      <c r="AI71" s="790">
        <f>ROUND(MAX(I71*AE71,AG71*E71),0)</f>
        <v>435</v>
      </c>
      <c r="AJ71" s="142" t="str">
        <f>IF($CZ71=$AK71,"X","ERROR")</f>
        <v>X</v>
      </c>
      <c r="AK71" s="361" t="s">
        <v>976</v>
      </c>
      <c r="AL71" s="181" t="str">
        <f>IF($DA71=$AM71,"X","ERROR")</f>
        <v>X</v>
      </c>
      <c r="AM71" s="361" t="s">
        <v>977</v>
      </c>
      <c r="AN71" s="365"/>
      <c r="AO71" s="364"/>
      <c r="AP71" s="620"/>
      <c r="AQ71" s="365"/>
      <c r="AR71" s="63"/>
      <c r="AS71" s="364"/>
      <c r="AT71" s="357" t="s">
        <v>989</v>
      </c>
      <c r="AU71" s="357" t="s">
        <v>170</v>
      </c>
      <c r="AV71" s="357" t="s">
        <v>980</v>
      </c>
      <c r="AW71" s="357">
        <v>2174.0360000000001</v>
      </c>
      <c r="AX71" s="357" t="s">
        <v>1033</v>
      </c>
      <c r="AY71" s="357">
        <v>1</v>
      </c>
      <c r="AZ71" s="357">
        <v>8.3350000000000009</v>
      </c>
      <c r="BA71" s="357">
        <v>18.1206</v>
      </c>
      <c r="BB71" s="357" t="s">
        <v>972</v>
      </c>
      <c r="BC71" s="357">
        <v>250</v>
      </c>
      <c r="BD71" s="357">
        <v>200</v>
      </c>
      <c r="BE71" s="357">
        <v>-99996</v>
      </c>
      <c r="BF71" s="357" t="s">
        <v>975</v>
      </c>
      <c r="BG71" s="357">
        <v>0.2</v>
      </c>
      <c r="BH71" s="357">
        <v>23.995200000000001</v>
      </c>
      <c r="BI71" s="357">
        <v>0.2</v>
      </c>
      <c r="BJ71" s="357">
        <v>23.995200000000001</v>
      </c>
      <c r="BK71" s="357">
        <v>434.80700000000002</v>
      </c>
      <c r="BL71" s="357">
        <v>271.80900000000003</v>
      </c>
      <c r="BM71" s="357" t="s">
        <v>1069</v>
      </c>
      <c r="BN71" s="357" t="s">
        <v>1071</v>
      </c>
      <c r="BO71" s="364">
        <v>4.48E-2</v>
      </c>
      <c r="BP71" s="364" t="s">
        <v>1072</v>
      </c>
      <c r="BQ71" s="364" t="s">
        <v>1073</v>
      </c>
      <c r="BR71" s="364"/>
      <c r="BS71" s="364"/>
      <c r="BT71" s="364"/>
      <c r="BU71" s="364"/>
      <c r="BV71" s="357"/>
      <c r="BW71" s="357"/>
      <c r="BX71" s="357"/>
      <c r="BY71" s="357"/>
      <c r="BZ71" s="357"/>
      <c r="CA71" s="357"/>
      <c r="CB71" s="357"/>
      <c r="CC71" s="357"/>
      <c r="CD71" s="357" t="s">
        <v>989</v>
      </c>
      <c r="CE71" s="357" t="s">
        <v>170</v>
      </c>
      <c r="CF71" s="357" t="s">
        <v>980</v>
      </c>
      <c r="CG71" s="357">
        <v>2174.0358999999999</v>
      </c>
      <c r="CH71" s="357" t="s">
        <v>1033</v>
      </c>
      <c r="CI71" s="357">
        <v>1</v>
      </c>
      <c r="CJ71" s="357">
        <v>8.3350000000000009</v>
      </c>
      <c r="CK71" s="357">
        <v>18.1206</v>
      </c>
      <c r="CL71" s="357" t="s">
        <v>972</v>
      </c>
      <c r="CM71" s="357">
        <v>250</v>
      </c>
      <c r="CN71" s="357">
        <v>200</v>
      </c>
      <c r="CO71" s="357">
        <v>-99996</v>
      </c>
      <c r="CP71" s="357" t="s">
        <v>975</v>
      </c>
      <c r="CQ71" s="357">
        <v>0.2</v>
      </c>
      <c r="CR71" s="357">
        <v>23.995200000000001</v>
      </c>
      <c r="CS71" s="357">
        <v>0.2</v>
      </c>
      <c r="CT71" s="357">
        <v>23.995200000000001</v>
      </c>
      <c r="CU71" s="357">
        <v>434.80700000000002</v>
      </c>
      <c r="CV71" s="364">
        <v>0</v>
      </c>
      <c r="CW71" s="364" t="s">
        <v>1069</v>
      </c>
      <c r="CX71" s="364" t="s">
        <v>1071</v>
      </c>
      <c r="CY71" s="364">
        <v>4.48E-2</v>
      </c>
      <c r="CZ71" s="364" t="s">
        <v>1072</v>
      </c>
      <c r="DA71" s="364" t="s">
        <v>1073</v>
      </c>
      <c r="DB71" s="364"/>
      <c r="DC71" s="364"/>
      <c r="DD71" s="364"/>
      <c r="DE71" s="364"/>
      <c r="DF71" s="364"/>
      <c r="DG71" s="364"/>
      <c r="DH71" s="364"/>
      <c r="DI71" s="364"/>
      <c r="DJ71" s="364"/>
      <c r="DK71" s="364"/>
      <c r="DL71" s="364"/>
      <c r="DM71" s="364"/>
      <c r="DN71" s="364"/>
      <c r="DO71" s="364"/>
    </row>
    <row r="72" spans="2:119" s="109" customFormat="1" x14ac:dyDescent="0.3">
      <c r="B72" s="133" t="s">
        <v>990</v>
      </c>
      <c r="C72" s="245" t="s">
        <v>991</v>
      </c>
      <c r="D72" s="142" t="str">
        <f t="shared" si="45"/>
        <v>X</v>
      </c>
      <c r="E72" s="486">
        <v>27257.599999999999</v>
      </c>
      <c r="F72" s="142" t="str">
        <f>IF($CJ72=$G72,"X","ERROR")</f>
        <v>X</v>
      </c>
      <c r="G72" s="465">
        <f>10*0.5</f>
        <v>5</v>
      </c>
      <c r="H72" s="614" t="str">
        <f>IF(ROUND($CK72,1)=$I72,"X","ERROR")</f>
        <v>X</v>
      </c>
      <c r="I72" s="616">
        <f>ROUND(E72/1000*G72,1)</f>
        <v>136.30000000000001</v>
      </c>
      <c r="J72" s="142" t="str">
        <f>IF($CL72=$K72,"X","ERROR")</f>
        <v>X</v>
      </c>
      <c r="K72" s="366" t="s">
        <v>992</v>
      </c>
      <c r="L72" s="142" t="str">
        <f>IF($CM72=$M72,"X","ERROR")</f>
        <v>X</v>
      </c>
      <c r="M72" s="361">
        <v>250</v>
      </c>
      <c r="N72" s="181" t="str">
        <f>IF($CN72=$O72,"X","ERROR")</f>
        <v>X</v>
      </c>
      <c r="O72" s="365">
        <v>200</v>
      </c>
      <c r="P72" s="142" t="str">
        <f>IF($CI23=$Q72,"X","ERROR")</f>
        <v>ERROR</v>
      </c>
      <c r="Q72" s="298">
        <v>1</v>
      </c>
      <c r="R72" s="181" t="str">
        <f>IF($CJ23=$S72,"X","ERROR")</f>
        <v>X</v>
      </c>
      <c r="S72" s="373" t="s">
        <v>993</v>
      </c>
      <c r="T72" s="142" t="str">
        <f>IF($CQ23=$U72,"X","ERROR")</f>
        <v>X</v>
      </c>
      <c r="U72" s="718">
        <v>1.5</v>
      </c>
      <c r="V72" s="181" t="str">
        <f>IF($CR23=$W72,"X","ERROR")</f>
        <v>X</v>
      </c>
      <c r="W72" s="365" t="s">
        <v>994</v>
      </c>
      <c r="X72" s="142" t="str">
        <f>IF($CO72=$Y72,"X","ERROR")</f>
        <v>ERROR</v>
      </c>
      <c r="Y72" s="840">
        <v>0.24</v>
      </c>
      <c r="Z72" s="181" t="str">
        <f>IF($CP72=$AA72,"X","ERROR")</f>
        <v>X</v>
      </c>
      <c r="AA72" s="365" t="s">
        <v>995</v>
      </c>
      <c r="AB72" s="140" t="str">
        <f>IF(CO210=$AC72,"X","ERROR")</f>
        <v>X</v>
      </c>
      <c r="AC72" s="719" t="s">
        <v>548</v>
      </c>
      <c r="AD72" s="142" t="str">
        <f>IF(CZ210=$AE72,"X","ERROR")</f>
        <v>X</v>
      </c>
      <c r="AE72" s="202">
        <v>0</v>
      </c>
      <c r="AF72" s="140" t="str">
        <f>IF(DA210=$AG72,"X","ERROR")</f>
        <v>X</v>
      </c>
      <c r="AG72" s="489">
        <v>0.15</v>
      </c>
      <c r="AH72" s="140" t="str">
        <f>IF(ROUND(MAX(CZ210*CN210,DA210*CJ210),0)=$AI72,"X","ERROR")</f>
        <v>X</v>
      </c>
      <c r="AI72" s="790">
        <f>ROUND(MAX(I72*AE72,AG72*E72),0)</f>
        <v>4089</v>
      </c>
      <c r="AJ72" s="142" t="str">
        <f>IF($CZ72=$AK72,"X","ERROR")</f>
        <v>X</v>
      </c>
      <c r="AK72" s="361" t="s">
        <v>996</v>
      </c>
      <c r="AL72" s="142" t="str">
        <f>IF($DA72=$AM72,"X","ERROR")</f>
        <v>X</v>
      </c>
      <c r="AM72" s="361" t="s">
        <v>997</v>
      </c>
      <c r="AN72" s="365"/>
      <c r="AO72" s="364"/>
      <c r="AP72" s="489"/>
      <c r="AQ72" s="365"/>
      <c r="AR72" s="63"/>
      <c r="AS72" s="364"/>
      <c r="AT72" s="357" t="s">
        <v>990</v>
      </c>
      <c r="AU72" s="357" t="s">
        <v>170</v>
      </c>
      <c r="AV72" s="357" t="s">
        <v>999</v>
      </c>
      <c r="AW72" s="357">
        <v>27257.64</v>
      </c>
      <c r="AX72" s="357" t="s">
        <v>1034</v>
      </c>
      <c r="AY72" s="357">
        <v>5</v>
      </c>
      <c r="AZ72" s="357">
        <v>5</v>
      </c>
      <c r="BA72" s="357">
        <v>136.28800000000001</v>
      </c>
      <c r="BB72" s="357" t="s">
        <v>992</v>
      </c>
      <c r="BC72" s="357">
        <v>250</v>
      </c>
      <c r="BD72" s="357">
        <v>200</v>
      </c>
      <c r="BE72" s="357">
        <v>-99996</v>
      </c>
      <c r="BF72" s="357" t="s">
        <v>995</v>
      </c>
      <c r="BG72" s="357">
        <v>0.15</v>
      </c>
      <c r="BH72" s="357">
        <v>30</v>
      </c>
      <c r="BI72" s="357">
        <v>0.15</v>
      </c>
      <c r="BJ72" s="357">
        <v>30</v>
      </c>
      <c r="BK72" s="357">
        <v>4088.65</v>
      </c>
      <c r="BL72" s="357">
        <v>0</v>
      </c>
      <c r="BM72" s="357" t="s">
        <v>1069</v>
      </c>
      <c r="BN72" s="357" t="s">
        <v>1075</v>
      </c>
      <c r="BO72" s="357">
        <v>4.48E-2</v>
      </c>
      <c r="BP72" s="357" t="s">
        <v>1076</v>
      </c>
      <c r="BQ72" s="357" t="s">
        <v>1077</v>
      </c>
      <c r="BR72" s="357"/>
      <c r="BS72" s="364"/>
      <c r="BT72" s="364"/>
      <c r="BU72" s="364"/>
      <c r="BV72" s="357"/>
      <c r="BW72" s="357"/>
      <c r="BX72" s="357"/>
      <c r="BY72" s="357"/>
      <c r="BZ72" s="357"/>
      <c r="CA72" s="357"/>
      <c r="CB72" s="357"/>
      <c r="CC72" s="357"/>
      <c r="CD72" s="357" t="s">
        <v>990</v>
      </c>
      <c r="CE72" s="357" t="s">
        <v>170</v>
      </c>
      <c r="CF72" s="357" t="s">
        <v>999</v>
      </c>
      <c r="CG72" s="357">
        <v>27257.6404</v>
      </c>
      <c r="CH72" s="357" t="s">
        <v>1034</v>
      </c>
      <c r="CI72" s="357">
        <v>5</v>
      </c>
      <c r="CJ72" s="357">
        <v>5</v>
      </c>
      <c r="CK72" s="357">
        <v>136.28800000000001</v>
      </c>
      <c r="CL72" s="357" t="s">
        <v>992</v>
      </c>
      <c r="CM72" s="357">
        <v>250</v>
      </c>
      <c r="CN72" s="357">
        <v>200</v>
      </c>
      <c r="CO72" s="357">
        <v>-99996</v>
      </c>
      <c r="CP72" s="357" t="s">
        <v>995</v>
      </c>
      <c r="CQ72" s="357">
        <v>0.15</v>
      </c>
      <c r="CR72" s="357">
        <v>30</v>
      </c>
      <c r="CS72" s="357">
        <v>0.15</v>
      </c>
      <c r="CT72" s="357">
        <v>30</v>
      </c>
      <c r="CU72" s="357">
        <v>4088.65</v>
      </c>
      <c r="CV72" s="364">
        <v>0</v>
      </c>
      <c r="CW72" s="364" t="s">
        <v>1069</v>
      </c>
      <c r="CX72" s="364" t="s">
        <v>1075</v>
      </c>
      <c r="CY72" s="364">
        <v>4.48E-2</v>
      </c>
      <c r="CZ72" s="364" t="s">
        <v>1076</v>
      </c>
      <c r="DA72" s="364" t="s">
        <v>1077</v>
      </c>
      <c r="DB72" s="364"/>
      <c r="DC72" s="364"/>
      <c r="DD72" s="364"/>
      <c r="DE72" s="364"/>
      <c r="DF72" s="364"/>
      <c r="DG72" s="364"/>
      <c r="DH72" s="364"/>
      <c r="DI72" s="364"/>
      <c r="DJ72" s="364"/>
      <c r="DK72" s="364"/>
      <c r="DL72" s="364"/>
      <c r="DM72" s="364"/>
      <c r="DN72" s="364"/>
      <c r="DO72" s="364"/>
    </row>
    <row r="73" spans="2:119" s="109" customFormat="1" ht="27.6" x14ac:dyDescent="0.3">
      <c r="B73" s="316" t="s">
        <v>998</v>
      </c>
      <c r="C73" s="70" t="s">
        <v>979</v>
      </c>
      <c r="D73" s="325" t="s">
        <v>173</v>
      </c>
      <c r="E73" s="406" t="s">
        <v>173</v>
      </c>
      <c r="F73" s="325" t="s">
        <v>173</v>
      </c>
      <c r="G73" s="715" t="s">
        <v>173</v>
      </c>
      <c r="H73" s="325" t="s">
        <v>173</v>
      </c>
      <c r="I73" s="406" t="s">
        <v>173</v>
      </c>
      <c r="J73" s="325" t="s">
        <v>173</v>
      </c>
      <c r="K73" s="419" t="s">
        <v>173</v>
      </c>
      <c r="L73" s="325" t="s">
        <v>173</v>
      </c>
      <c r="M73" s="406" t="s">
        <v>173</v>
      </c>
      <c r="N73" s="263" t="s">
        <v>173</v>
      </c>
      <c r="O73" s="419" t="s">
        <v>173</v>
      </c>
      <c r="P73" s="325" t="s">
        <v>173</v>
      </c>
      <c r="Q73" s="715" t="s">
        <v>173</v>
      </c>
      <c r="R73" s="263" t="s">
        <v>173</v>
      </c>
      <c r="S73" s="419" t="s">
        <v>173</v>
      </c>
      <c r="T73" s="325" t="s">
        <v>173</v>
      </c>
      <c r="U73" s="714" t="s">
        <v>173</v>
      </c>
      <c r="V73" s="263" t="s">
        <v>173</v>
      </c>
      <c r="W73" s="419" t="s">
        <v>173</v>
      </c>
      <c r="X73" s="610" t="s">
        <v>173</v>
      </c>
      <c r="Y73" s="721" t="s">
        <v>173</v>
      </c>
      <c r="Z73" s="610" t="s">
        <v>173</v>
      </c>
      <c r="AA73" s="419" t="s">
        <v>173</v>
      </c>
      <c r="AB73" s="325" t="s">
        <v>173</v>
      </c>
      <c r="AC73" s="419" t="s">
        <v>173</v>
      </c>
      <c r="AD73" s="610" t="s">
        <v>173</v>
      </c>
      <c r="AE73" s="419" t="s">
        <v>173</v>
      </c>
      <c r="AF73" s="610" t="s">
        <v>173</v>
      </c>
      <c r="AG73" s="720" t="s">
        <v>173</v>
      </c>
      <c r="AH73" s="610" t="s">
        <v>173</v>
      </c>
      <c r="AI73" s="419"/>
      <c r="AJ73" s="610" t="s">
        <v>173</v>
      </c>
      <c r="AK73" s="419" t="s">
        <v>173</v>
      </c>
      <c r="AL73" s="610" t="s">
        <v>173</v>
      </c>
      <c r="AM73" s="406" t="s">
        <v>173</v>
      </c>
      <c r="AN73" s="75"/>
      <c r="AO73" s="364"/>
      <c r="AP73" s="75"/>
      <c r="AQ73" s="75"/>
      <c r="AR73" s="75"/>
      <c r="AS73" s="364"/>
      <c r="AT73" s="357" t="s">
        <v>998</v>
      </c>
      <c r="AU73" s="357" t="s">
        <v>983</v>
      </c>
      <c r="AV73" s="357" t="s">
        <v>979</v>
      </c>
      <c r="AW73" s="357">
        <v>0</v>
      </c>
      <c r="AX73" s="357" t="s">
        <v>1034</v>
      </c>
      <c r="AY73" s="357">
        <v>5</v>
      </c>
      <c r="AZ73" s="357">
        <v>-99996</v>
      </c>
      <c r="BA73" s="357">
        <v>0</v>
      </c>
      <c r="BB73" s="357"/>
      <c r="BC73" s="357">
        <v>-99996</v>
      </c>
      <c r="BD73" s="357">
        <v>-99996</v>
      </c>
      <c r="BE73" s="357">
        <v>-99996</v>
      </c>
      <c r="BF73" s="357" t="s">
        <v>1010</v>
      </c>
      <c r="BG73" s="357">
        <v>0</v>
      </c>
      <c r="BH73" s="357">
        <v>0</v>
      </c>
      <c r="BI73" s="357">
        <v>0</v>
      </c>
      <c r="BJ73" s="357">
        <v>0</v>
      </c>
      <c r="BK73" s="357">
        <v>0</v>
      </c>
      <c r="BL73" s="357">
        <v>0</v>
      </c>
      <c r="BM73" s="357" t="s">
        <v>1069</v>
      </c>
      <c r="BN73" s="357" t="s">
        <v>1074</v>
      </c>
      <c r="BO73" s="357">
        <v>4.48E-2</v>
      </c>
      <c r="BP73" s="357" t="s">
        <v>1010</v>
      </c>
      <c r="BQ73" s="357" t="s">
        <v>1010</v>
      </c>
      <c r="BR73" s="357"/>
      <c r="BS73" s="364"/>
      <c r="BT73" s="364"/>
      <c r="BU73" s="364"/>
      <c r="BV73" s="357"/>
      <c r="BW73" s="357"/>
      <c r="BX73" s="357"/>
      <c r="BY73" s="357"/>
      <c r="BZ73" s="357"/>
      <c r="CA73" s="357"/>
      <c r="CB73" s="357"/>
      <c r="CC73" s="357"/>
      <c r="CD73" s="357" t="s">
        <v>998</v>
      </c>
      <c r="CE73" s="357" t="s">
        <v>983</v>
      </c>
      <c r="CF73" s="357" t="s">
        <v>979</v>
      </c>
      <c r="CG73" s="357">
        <v>0</v>
      </c>
      <c r="CH73" s="357" t="s">
        <v>1034</v>
      </c>
      <c r="CI73" s="357">
        <v>5</v>
      </c>
      <c r="CJ73" s="357">
        <v>-99996</v>
      </c>
      <c r="CK73" s="357">
        <v>0</v>
      </c>
      <c r="CL73" s="357"/>
      <c r="CM73" s="357">
        <v>-99996</v>
      </c>
      <c r="CN73" s="357">
        <v>-99996</v>
      </c>
      <c r="CO73" s="357">
        <v>-99996</v>
      </c>
      <c r="CP73" s="357" t="s">
        <v>1010</v>
      </c>
      <c r="CQ73" s="357">
        <v>0</v>
      </c>
      <c r="CR73" s="357">
        <v>0</v>
      </c>
      <c r="CS73" s="357">
        <v>0</v>
      </c>
      <c r="CT73" s="357">
        <v>0</v>
      </c>
      <c r="CU73" s="357">
        <v>0</v>
      </c>
      <c r="CV73" s="364">
        <v>0</v>
      </c>
      <c r="CW73" s="364" t="s">
        <v>1069</v>
      </c>
      <c r="CX73" s="364" t="s">
        <v>1074</v>
      </c>
      <c r="CY73" s="364">
        <v>4.48E-2</v>
      </c>
      <c r="CZ73" s="364" t="s">
        <v>1010</v>
      </c>
      <c r="DA73" s="364" t="s">
        <v>1010</v>
      </c>
      <c r="DB73" s="364"/>
      <c r="DC73" s="364"/>
      <c r="DD73" s="364"/>
      <c r="DE73" s="364"/>
      <c r="DF73" s="364"/>
      <c r="DG73" s="364"/>
      <c r="DH73" s="364"/>
      <c r="DI73" s="364"/>
      <c r="DJ73" s="364"/>
      <c r="DK73" s="364"/>
      <c r="DL73" s="364"/>
      <c r="DM73" s="364"/>
      <c r="DN73" s="364"/>
      <c r="DO73" s="364"/>
    </row>
    <row r="74" spans="2:119" s="109" customFormat="1" x14ac:dyDescent="0.3">
      <c r="B74" s="133" t="s">
        <v>1000</v>
      </c>
      <c r="C74" s="245" t="s">
        <v>991</v>
      </c>
      <c r="D74" s="142" t="str">
        <f t="shared" ref="D74:D78" si="47">IF($CG25=$E74,"X","ERROR")</f>
        <v>X</v>
      </c>
      <c r="E74" s="487">
        <v>3373.61</v>
      </c>
      <c r="F74" s="142" t="str">
        <f>IF($CJ74=$G74,"X","ERROR")</f>
        <v>X</v>
      </c>
      <c r="G74" s="465">
        <f>10*0.5</f>
        <v>5</v>
      </c>
      <c r="H74" s="614" t="str">
        <f>IF(ROUND($CK74,1)=$I74,"X","ERROR")</f>
        <v>X</v>
      </c>
      <c r="I74" s="616">
        <f>ROUND(E74/1000*G74,1)</f>
        <v>16.899999999999999</v>
      </c>
      <c r="J74" s="142" t="str">
        <f>IF($CL74=$K74,"X","ERROR")</f>
        <v>X</v>
      </c>
      <c r="K74" s="366" t="s">
        <v>992</v>
      </c>
      <c r="L74" s="142" t="str">
        <f>IF($CM74=$M74,"X","ERROR")</f>
        <v>X</v>
      </c>
      <c r="M74" s="361">
        <v>250</v>
      </c>
      <c r="N74" s="181" t="str">
        <f>IF($CN74=$O74,"X","ERROR")</f>
        <v>X</v>
      </c>
      <c r="O74" s="365">
        <v>200</v>
      </c>
      <c r="P74" s="142" t="str">
        <f>IF($CJ25=$S74,"X","ERROR")</f>
        <v>X</v>
      </c>
      <c r="Q74" s="203">
        <v>1.2</v>
      </c>
      <c r="R74" s="181" t="str">
        <f>IF($CJ25=$S74,"X","ERROR")</f>
        <v>X</v>
      </c>
      <c r="S74" s="373" t="s">
        <v>993</v>
      </c>
      <c r="T74" s="142" t="str">
        <f>IF($CQ25=$U74,"X","ERROR")</f>
        <v>X</v>
      </c>
      <c r="U74" s="718">
        <v>1.5</v>
      </c>
      <c r="V74" s="181" t="str">
        <f>IF($CR25=$W74,"X","ERROR")</f>
        <v>X</v>
      </c>
      <c r="W74" s="365" t="s">
        <v>994</v>
      </c>
      <c r="X74" s="142" t="str">
        <f>IF($CO74=$Y74,"X","ERROR")</f>
        <v>ERROR</v>
      </c>
      <c r="Y74" s="840">
        <v>0.24</v>
      </c>
      <c r="Z74" s="181" t="str">
        <f>IF($CP74=$AA74,"X","ERROR")</f>
        <v>X</v>
      </c>
      <c r="AA74" s="365" t="s">
        <v>995</v>
      </c>
      <c r="AB74" s="140" t="str">
        <f>IF(CO212=$AC74,"X","ERROR")</f>
        <v>X</v>
      </c>
      <c r="AC74" s="719" t="s">
        <v>548</v>
      </c>
      <c r="AD74" s="142" t="str">
        <f>IF(CZ212=$AE74,"X","ERROR")</f>
        <v>X</v>
      </c>
      <c r="AE74" s="202">
        <v>0</v>
      </c>
      <c r="AF74" s="140" t="str">
        <f>IF(DA212=$AG74,"X","ERROR")</f>
        <v>X</v>
      </c>
      <c r="AG74" s="489">
        <v>0.15</v>
      </c>
      <c r="AH74" s="140" t="str">
        <f>IF(ROUND(MAX(CZ212*CN212,DA212*CJ212),0)=$AI74,"X","ERROR")</f>
        <v>X</v>
      </c>
      <c r="AI74" s="790">
        <f>ROUND(MAX(I74*AE74,AG74*E74),0)</f>
        <v>506</v>
      </c>
      <c r="AJ74" s="142" t="str">
        <f>IF($CZ74=$AK74,"X","ERROR")</f>
        <v>X</v>
      </c>
      <c r="AK74" s="361" t="s">
        <v>996</v>
      </c>
      <c r="AL74" s="142" t="str">
        <f>IF($DA74=$AM74,"X","ERROR")</f>
        <v>X</v>
      </c>
      <c r="AM74" s="361" t="s">
        <v>997</v>
      </c>
      <c r="AN74" s="365"/>
      <c r="AO74" s="364"/>
      <c r="AP74" s="489"/>
      <c r="AQ74" s="365"/>
      <c r="AR74" s="63"/>
      <c r="AS74" s="364"/>
      <c r="AT74" s="357" t="s">
        <v>1000</v>
      </c>
      <c r="AU74" s="357" t="s">
        <v>170</v>
      </c>
      <c r="AV74" s="357" t="s">
        <v>999</v>
      </c>
      <c r="AW74" s="357">
        <v>3373.6129999999998</v>
      </c>
      <c r="AX74" s="357" t="s">
        <v>1034</v>
      </c>
      <c r="AY74" s="357">
        <v>5</v>
      </c>
      <c r="AZ74" s="357">
        <v>5</v>
      </c>
      <c r="BA74" s="357">
        <v>16.868099999999998</v>
      </c>
      <c r="BB74" s="357" t="s">
        <v>992</v>
      </c>
      <c r="BC74" s="357">
        <v>250</v>
      </c>
      <c r="BD74" s="357">
        <v>200</v>
      </c>
      <c r="BE74" s="357">
        <v>-99996</v>
      </c>
      <c r="BF74" s="357" t="s">
        <v>995</v>
      </c>
      <c r="BG74" s="357">
        <v>0.15</v>
      </c>
      <c r="BH74" s="357">
        <v>30</v>
      </c>
      <c r="BI74" s="357">
        <v>0.15</v>
      </c>
      <c r="BJ74" s="357">
        <v>30</v>
      </c>
      <c r="BK74" s="357">
        <v>506.04199999999997</v>
      </c>
      <c r="BL74" s="357">
        <v>0</v>
      </c>
      <c r="BM74" s="357" t="s">
        <v>1069</v>
      </c>
      <c r="BN74" s="357" t="s">
        <v>1075</v>
      </c>
      <c r="BO74" s="357">
        <v>4.48E-2</v>
      </c>
      <c r="BP74" s="357" t="s">
        <v>1076</v>
      </c>
      <c r="BQ74" s="357" t="s">
        <v>1077</v>
      </c>
      <c r="BR74" s="357"/>
      <c r="BS74" s="364"/>
      <c r="BT74" s="364"/>
      <c r="BU74" s="364"/>
      <c r="BV74" s="357"/>
      <c r="BW74" s="357"/>
      <c r="BX74" s="357"/>
      <c r="BY74" s="357"/>
      <c r="BZ74" s="357"/>
      <c r="CA74" s="357"/>
      <c r="CB74" s="357"/>
      <c r="CC74" s="357"/>
      <c r="CD74" s="357" t="s">
        <v>1000</v>
      </c>
      <c r="CE74" s="357" t="s">
        <v>170</v>
      </c>
      <c r="CF74" s="357" t="s">
        <v>999</v>
      </c>
      <c r="CG74" s="357">
        <v>3373.6127000000001</v>
      </c>
      <c r="CH74" s="357" t="s">
        <v>1034</v>
      </c>
      <c r="CI74" s="357">
        <v>5</v>
      </c>
      <c r="CJ74" s="357">
        <v>5</v>
      </c>
      <c r="CK74" s="357">
        <v>16.868099999999998</v>
      </c>
      <c r="CL74" s="357" t="s">
        <v>992</v>
      </c>
      <c r="CM74" s="357">
        <v>250</v>
      </c>
      <c r="CN74" s="357">
        <v>200</v>
      </c>
      <c r="CO74" s="357">
        <v>-99996</v>
      </c>
      <c r="CP74" s="357" t="s">
        <v>995</v>
      </c>
      <c r="CQ74" s="357">
        <v>0.15</v>
      </c>
      <c r="CR74" s="357">
        <v>30</v>
      </c>
      <c r="CS74" s="357">
        <v>0.15</v>
      </c>
      <c r="CT74" s="357">
        <v>30</v>
      </c>
      <c r="CU74" s="357">
        <v>506.04199999999997</v>
      </c>
      <c r="CV74" s="364">
        <v>0</v>
      </c>
      <c r="CW74" s="364" t="s">
        <v>1069</v>
      </c>
      <c r="CX74" s="364" t="s">
        <v>1075</v>
      </c>
      <c r="CY74" s="364">
        <v>4.48E-2</v>
      </c>
      <c r="CZ74" s="364" t="s">
        <v>1076</v>
      </c>
      <c r="DA74" s="364" t="s">
        <v>1077</v>
      </c>
      <c r="DB74" s="364"/>
      <c r="DC74" s="364"/>
      <c r="DD74" s="364"/>
      <c r="DE74" s="364"/>
      <c r="DF74" s="364"/>
      <c r="DG74" s="364"/>
      <c r="DH74" s="364"/>
      <c r="DI74" s="364"/>
      <c r="DJ74" s="364"/>
      <c r="DK74" s="364"/>
      <c r="DL74" s="364"/>
      <c r="DM74" s="364"/>
      <c r="DN74" s="364"/>
      <c r="DO74" s="364"/>
    </row>
    <row r="75" spans="2:119" s="109" customFormat="1" ht="27.6" x14ac:dyDescent="0.3">
      <c r="B75" s="133" t="s">
        <v>1001</v>
      </c>
      <c r="C75" s="245" t="s">
        <v>985</v>
      </c>
      <c r="D75" s="142" t="str">
        <f t="shared" si="47"/>
        <v>X</v>
      </c>
      <c r="E75" s="486">
        <v>2174.0500000000002</v>
      </c>
      <c r="F75" s="142" t="str">
        <f>IF($CJ75=$G75,"X","ERROR")</f>
        <v>X</v>
      </c>
      <c r="G75" s="465">
        <f>10*0.5</f>
        <v>5</v>
      </c>
      <c r="H75" s="614" t="str">
        <f>IF(ROUND($CK75,1)=$I75,"X","ERROR")</f>
        <v>X</v>
      </c>
      <c r="I75" s="616">
        <f>ROUND(E75/1000*G75,1)</f>
        <v>10.9</v>
      </c>
      <c r="J75" s="142" t="str">
        <f>IF($CL75=$K75,"X","ERROR")</f>
        <v>X</v>
      </c>
      <c r="K75" s="185" t="s">
        <v>992</v>
      </c>
      <c r="L75" s="142" t="str">
        <f>IF($CM75=$M75,"X","ERROR")</f>
        <v>X</v>
      </c>
      <c r="M75" s="361">
        <v>250</v>
      </c>
      <c r="N75" s="181" t="str">
        <f>IF($CN75=$O75,"X","ERROR")</f>
        <v>X</v>
      </c>
      <c r="O75" s="365">
        <v>250</v>
      </c>
      <c r="P75" s="142" t="str">
        <f>IF($CJ26=$S75,"X","ERROR")</f>
        <v>X</v>
      </c>
      <c r="Q75" s="203">
        <v>0.6</v>
      </c>
      <c r="R75" s="181" t="str">
        <f>IF($CJ26=$S75,"X","ERROR")</f>
        <v>X</v>
      </c>
      <c r="S75" s="373" t="s">
        <v>993</v>
      </c>
      <c r="T75" s="142" t="str">
        <f>IF($CQ26=$U75,"X","ERROR")</f>
        <v>X</v>
      </c>
      <c r="U75" s="718">
        <v>0</v>
      </c>
      <c r="V75" s="181" t="str">
        <f>IF($CR26=$W75,"X","ERROR")</f>
        <v>X</v>
      </c>
      <c r="W75" s="872"/>
      <c r="X75" s="142" t="str">
        <f>IF($CO75=$Y75,"X","ERROR")</f>
        <v>ERROR</v>
      </c>
      <c r="Y75" s="840">
        <v>0</v>
      </c>
      <c r="Z75" s="181" t="str">
        <f>IF($CP75=$AA75,"X","ERROR")</f>
        <v>X</v>
      </c>
      <c r="AA75" s="365" t="s">
        <v>995</v>
      </c>
      <c r="AB75" s="140" t="str">
        <f>IF(CO213=$AC75,"X","ERROR")</f>
        <v>X</v>
      </c>
      <c r="AC75" s="719" t="s">
        <v>548</v>
      </c>
      <c r="AD75" s="142" t="str">
        <f>IF(CZ213=$AE75,"X","ERROR")</f>
        <v>X</v>
      </c>
      <c r="AE75" s="202">
        <v>0</v>
      </c>
      <c r="AF75" s="140" t="str">
        <f>IF(DA213=$AG75,"X","ERROR")</f>
        <v>X</v>
      </c>
      <c r="AG75" s="489">
        <v>0.15</v>
      </c>
      <c r="AH75" s="140" t="str">
        <f>IF(ROUND(MAX(CZ213*CN213,DA213*CJ213),0)=$AI75,"X","ERROR")</f>
        <v>X</v>
      </c>
      <c r="AI75" s="790">
        <f>ROUND(MAX(I75*AE75,AG75*E75),0)</f>
        <v>326</v>
      </c>
      <c r="AJ75" s="142" t="str">
        <f>IF($CZ75=$AK75,"X","ERROR")</f>
        <v>X</v>
      </c>
      <c r="AK75" s="361" t="s">
        <v>996</v>
      </c>
      <c r="AL75" s="142" t="str">
        <f>IF($DA75=$AM75,"X","ERROR")</f>
        <v>X</v>
      </c>
      <c r="AM75" s="361" t="s">
        <v>997</v>
      </c>
      <c r="AN75" s="365"/>
      <c r="AO75" s="364"/>
      <c r="AP75" s="619"/>
      <c r="AQ75" s="365"/>
      <c r="AR75" s="63"/>
      <c r="AS75" s="364"/>
      <c r="AT75" s="357" t="s">
        <v>1001</v>
      </c>
      <c r="AU75" s="357" t="s">
        <v>170</v>
      </c>
      <c r="AV75" s="357" t="s">
        <v>988</v>
      </c>
      <c r="AW75" s="357">
        <v>2174.0500000000002</v>
      </c>
      <c r="AX75" s="357" t="s">
        <v>1034</v>
      </c>
      <c r="AY75" s="357">
        <v>5</v>
      </c>
      <c r="AZ75" s="357">
        <v>5</v>
      </c>
      <c r="BA75" s="357">
        <v>10.8703</v>
      </c>
      <c r="BB75" s="357" t="s">
        <v>992</v>
      </c>
      <c r="BC75" s="357">
        <v>250</v>
      </c>
      <c r="BD75" s="357">
        <v>250</v>
      </c>
      <c r="BE75" s="357">
        <v>-99996</v>
      </c>
      <c r="BF75" s="357" t="s">
        <v>995</v>
      </c>
      <c r="BG75" s="357">
        <v>0.15</v>
      </c>
      <c r="BH75" s="357">
        <v>30</v>
      </c>
      <c r="BI75" s="357">
        <v>0.15</v>
      </c>
      <c r="BJ75" s="357">
        <v>30</v>
      </c>
      <c r="BK75" s="357">
        <v>326.108</v>
      </c>
      <c r="BL75" s="357">
        <v>0</v>
      </c>
      <c r="BM75" s="357" t="s">
        <v>1069</v>
      </c>
      <c r="BN75" s="357" t="s">
        <v>1075</v>
      </c>
      <c r="BO75" s="357">
        <v>4.48E-2</v>
      </c>
      <c r="BP75" s="357" t="s">
        <v>1076</v>
      </c>
      <c r="BQ75" s="357" t="s">
        <v>1077</v>
      </c>
      <c r="BR75" s="357"/>
      <c r="BS75" s="364"/>
      <c r="BT75" s="364"/>
      <c r="BU75" s="364"/>
      <c r="BV75" s="357"/>
      <c r="BW75" s="357"/>
      <c r="BX75" s="357"/>
      <c r="BY75" s="357"/>
      <c r="BZ75" s="357"/>
      <c r="CA75" s="357"/>
      <c r="CB75" s="357"/>
      <c r="CC75" s="357"/>
      <c r="CD75" s="357" t="s">
        <v>1001</v>
      </c>
      <c r="CE75" s="357" t="s">
        <v>170</v>
      </c>
      <c r="CF75" s="357" t="s">
        <v>988</v>
      </c>
      <c r="CG75" s="357">
        <v>2174.0502999999999</v>
      </c>
      <c r="CH75" s="357" t="s">
        <v>1034</v>
      </c>
      <c r="CI75" s="357">
        <v>5</v>
      </c>
      <c r="CJ75" s="357">
        <v>5</v>
      </c>
      <c r="CK75" s="357">
        <v>10.8703</v>
      </c>
      <c r="CL75" s="357" t="s">
        <v>992</v>
      </c>
      <c r="CM75" s="357">
        <v>250</v>
      </c>
      <c r="CN75" s="357">
        <v>250</v>
      </c>
      <c r="CO75" s="357">
        <v>-99996</v>
      </c>
      <c r="CP75" s="357" t="s">
        <v>995</v>
      </c>
      <c r="CQ75" s="357">
        <v>0.15</v>
      </c>
      <c r="CR75" s="357">
        <v>30</v>
      </c>
      <c r="CS75" s="357">
        <v>0.15</v>
      </c>
      <c r="CT75" s="357">
        <v>30</v>
      </c>
      <c r="CU75" s="357">
        <v>326.108</v>
      </c>
      <c r="CV75" s="364">
        <v>0</v>
      </c>
      <c r="CW75" s="364" t="s">
        <v>1069</v>
      </c>
      <c r="CX75" s="364" t="s">
        <v>1075</v>
      </c>
      <c r="CY75" s="364">
        <v>4.48E-2</v>
      </c>
      <c r="CZ75" s="364" t="s">
        <v>1076</v>
      </c>
      <c r="DA75" s="364" t="s">
        <v>1077</v>
      </c>
      <c r="DB75" s="364"/>
      <c r="DC75" s="364"/>
      <c r="DD75" s="364"/>
      <c r="DE75" s="364"/>
      <c r="DF75" s="364"/>
      <c r="DG75" s="364"/>
      <c r="DH75" s="364"/>
      <c r="DI75" s="364"/>
      <c r="DJ75" s="364"/>
      <c r="DK75" s="364"/>
      <c r="DL75" s="364"/>
      <c r="DM75" s="364"/>
      <c r="DN75" s="364"/>
      <c r="DO75" s="364"/>
    </row>
    <row r="76" spans="2:119" s="109" customFormat="1" x14ac:dyDescent="0.3">
      <c r="B76" s="133" t="s">
        <v>1002</v>
      </c>
      <c r="C76" s="245" t="s">
        <v>991</v>
      </c>
      <c r="D76" s="142" t="str">
        <f t="shared" si="47"/>
        <v>X</v>
      </c>
      <c r="E76" s="487">
        <v>3373.64</v>
      </c>
      <c r="F76" s="142" t="str">
        <f>IF($CJ76=$G76,"X","ERROR")</f>
        <v>X</v>
      </c>
      <c r="G76" s="465">
        <f>10*0.5</f>
        <v>5</v>
      </c>
      <c r="H76" s="614" t="str">
        <f>IF(ROUND($CK76,1)=$I76,"X","ERROR")</f>
        <v>X</v>
      </c>
      <c r="I76" s="616">
        <f>ROUND(E76/1000*G76,1)</f>
        <v>16.899999999999999</v>
      </c>
      <c r="J76" s="142" t="str">
        <f>IF($CL76=$K76,"X","ERROR")</f>
        <v>X</v>
      </c>
      <c r="K76" s="366" t="s">
        <v>992</v>
      </c>
      <c r="L76" s="142" t="str">
        <f>IF($CM76=$M76,"X","ERROR")</f>
        <v>X</v>
      </c>
      <c r="M76" s="361">
        <v>250</v>
      </c>
      <c r="N76" s="181" t="str">
        <f>IF($CN76=$O76,"X","ERROR")</f>
        <v>X</v>
      </c>
      <c r="O76" s="365">
        <v>200</v>
      </c>
      <c r="P76" s="142" t="str">
        <f>IF($CJ27=$S76,"X","ERROR")</f>
        <v>X</v>
      </c>
      <c r="Q76" s="203">
        <v>1.2</v>
      </c>
      <c r="R76" s="181" t="str">
        <f>IF($CJ27=$S76,"X","ERROR")</f>
        <v>X</v>
      </c>
      <c r="S76" s="373" t="s">
        <v>993</v>
      </c>
      <c r="T76" s="142" t="str">
        <f>IF($CQ27=$U76,"X","ERROR")</f>
        <v>X</v>
      </c>
      <c r="U76" s="718">
        <v>1.5</v>
      </c>
      <c r="V76" s="181" t="str">
        <f>IF($CR27=$W76,"X","ERROR")</f>
        <v>X</v>
      </c>
      <c r="W76" s="365" t="s">
        <v>994</v>
      </c>
      <c r="X76" s="142" t="str">
        <f>IF($CO76=$Y76,"X","ERROR")</f>
        <v>ERROR</v>
      </c>
      <c r="Y76" s="840">
        <v>0.24</v>
      </c>
      <c r="Z76" s="181" t="str">
        <f>IF($CP76=$AA76,"X","ERROR")</f>
        <v>X</v>
      </c>
      <c r="AA76" s="365" t="s">
        <v>995</v>
      </c>
      <c r="AB76" s="140" t="str">
        <f>IF(CO214=$AC76,"X","ERROR")</f>
        <v>X</v>
      </c>
      <c r="AC76" s="719" t="s">
        <v>548</v>
      </c>
      <c r="AD76" s="142" t="str">
        <f>IF(CZ214=$AE76,"X","ERROR")</f>
        <v>X</v>
      </c>
      <c r="AE76" s="202">
        <v>0</v>
      </c>
      <c r="AF76" s="140" t="str">
        <f>IF(DA214=$AG76,"X","ERROR")</f>
        <v>X</v>
      </c>
      <c r="AG76" s="489">
        <v>0.3</v>
      </c>
      <c r="AH76" s="140" t="str">
        <f>IF(ROUND(MAX(CZ214*CN214,DA214*CJ214),0)=$AI76,"X","ERROR")</f>
        <v>X</v>
      </c>
      <c r="AI76" s="790">
        <f>ROUND(MAX(I76*AE76,AG76*E76),0)</f>
        <v>1012</v>
      </c>
      <c r="AJ76" s="142" t="str">
        <f>IF($CZ76=$AK76,"X","ERROR")</f>
        <v>X</v>
      </c>
      <c r="AK76" s="361" t="s">
        <v>996</v>
      </c>
      <c r="AL76" s="142" t="str">
        <f>IF($DA76=$AM76,"X","ERROR")</f>
        <v>X</v>
      </c>
      <c r="AM76" s="361" t="s">
        <v>997</v>
      </c>
      <c r="AN76" s="365"/>
      <c r="AO76" s="364"/>
      <c r="AP76" s="489"/>
      <c r="AQ76" s="365"/>
      <c r="AR76" s="63"/>
      <c r="AS76" s="364"/>
      <c r="AT76" s="357" t="s">
        <v>1002</v>
      </c>
      <c r="AU76" s="357" t="s">
        <v>170</v>
      </c>
      <c r="AV76" s="357" t="s">
        <v>999</v>
      </c>
      <c r="AW76" s="357">
        <v>3373.6350000000002</v>
      </c>
      <c r="AX76" s="357" t="s">
        <v>1034</v>
      </c>
      <c r="AY76" s="357">
        <v>5</v>
      </c>
      <c r="AZ76" s="357">
        <v>5</v>
      </c>
      <c r="BA76" s="357">
        <v>16.868200000000002</v>
      </c>
      <c r="BB76" s="357" t="s">
        <v>992</v>
      </c>
      <c r="BC76" s="357">
        <v>250</v>
      </c>
      <c r="BD76" s="357">
        <v>200</v>
      </c>
      <c r="BE76" s="357">
        <v>-99996</v>
      </c>
      <c r="BF76" s="357" t="s">
        <v>995</v>
      </c>
      <c r="BG76" s="357">
        <v>0.3</v>
      </c>
      <c r="BH76" s="357">
        <v>60</v>
      </c>
      <c r="BI76" s="357">
        <v>0.3</v>
      </c>
      <c r="BJ76" s="357">
        <v>60</v>
      </c>
      <c r="BK76" s="357">
        <v>1012.09</v>
      </c>
      <c r="BL76" s="357">
        <v>0</v>
      </c>
      <c r="BM76" s="357" t="s">
        <v>1069</v>
      </c>
      <c r="BN76" s="357" t="s">
        <v>1075</v>
      </c>
      <c r="BO76" s="364">
        <v>4.48E-2</v>
      </c>
      <c r="BP76" s="364" t="s">
        <v>1076</v>
      </c>
      <c r="BQ76" s="364" t="s">
        <v>1077</v>
      </c>
      <c r="BR76" s="364"/>
      <c r="BS76" s="364"/>
      <c r="BT76" s="364"/>
      <c r="BU76" s="364"/>
      <c r="BV76" s="357"/>
      <c r="BW76" s="357"/>
      <c r="BX76" s="357"/>
      <c r="BY76" s="357"/>
      <c r="BZ76" s="357"/>
      <c r="CA76" s="357"/>
      <c r="CB76" s="357"/>
      <c r="CC76" s="357"/>
      <c r="CD76" s="357" t="s">
        <v>1002</v>
      </c>
      <c r="CE76" s="357" t="s">
        <v>170</v>
      </c>
      <c r="CF76" s="357" t="s">
        <v>999</v>
      </c>
      <c r="CG76" s="357">
        <v>3373.6351</v>
      </c>
      <c r="CH76" s="357" t="s">
        <v>1034</v>
      </c>
      <c r="CI76" s="357">
        <v>5</v>
      </c>
      <c r="CJ76" s="357">
        <v>5</v>
      </c>
      <c r="CK76" s="357">
        <v>16.868200000000002</v>
      </c>
      <c r="CL76" s="357" t="s">
        <v>992</v>
      </c>
      <c r="CM76" s="357">
        <v>250</v>
      </c>
      <c r="CN76" s="357">
        <v>200</v>
      </c>
      <c r="CO76" s="357">
        <v>-99996</v>
      </c>
      <c r="CP76" s="357" t="s">
        <v>995</v>
      </c>
      <c r="CQ76" s="357">
        <v>0.3</v>
      </c>
      <c r="CR76" s="357">
        <v>60</v>
      </c>
      <c r="CS76" s="357">
        <v>0.3</v>
      </c>
      <c r="CT76" s="357">
        <v>60</v>
      </c>
      <c r="CU76" s="357">
        <v>1012.09</v>
      </c>
      <c r="CV76" s="364">
        <v>0</v>
      </c>
      <c r="CW76" s="364" t="s">
        <v>1069</v>
      </c>
      <c r="CX76" s="364" t="s">
        <v>1075</v>
      </c>
      <c r="CY76" s="364">
        <v>4.48E-2</v>
      </c>
      <c r="CZ76" s="364" t="s">
        <v>1076</v>
      </c>
      <c r="DA76" s="364" t="s">
        <v>1077</v>
      </c>
      <c r="DB76" s="364"/>
      <c r="DC76" s="364"/>
      <c r="DD76" s="364"/>
      <c r="DE76" s="364"/>
      <c r="DF76" s="364"/>
      <c r="DG76" s="364"/>
      <c r="DH76" s="364"/>
      <c r="DI76" s="364"/>
      <c r="DJ76" s="364"/>
      <c r="DK76" s="364"/>
      <c r="DL76" s="364"/>
      <c r="DM76" s="364"/>
      <c r="DN76" s="364"/>
      <c r="DO76" s="364"/>
    </row>
    <row r="77" spans="2:119" s="109" customFormat="1" x14ac:dyDescent="0.3">
      <c r="B77" s="133" t="s">
        <v>1003</v>
      </c>
      <c r="C77" s="245" t="s">
        <v>991</v>
      </c>
      <c r="D77" s="142" t="str">
        <f t="shared" si="47"/>
        <v>X</v>
      </c>
      <c r="E77" s="487">
        <v>2174.04</v>
      </c>
      <c r="F77" s="142" t="str">
        <f>IF($CJ77=$G77,"X","ERROR")</f>
        <v>X</v>
      </c>
      <c r="G77" s="439">
        <f>10*0.5</f>
        <v>5</v>
      </c>
      <c r="H77" s="614" t="str">
        <f>IF(ROUND($CK77,1)=$I77,"X","ERROR")</f>
        <v>X</v>
      </c>
      <c r="I77" s="616">
        <f>ROUND(E77/1000*G77,1)</f>
        <v>10.9</v>
      </c>
      <c r="J77" s="142" t="str">
        <f>IF($CL77=$K77,"X","ERROR")</f>
        <v>X</v>
      </c>
      <c r="K77" s="366" t="s">
        <v>992</v>
      </c>
      <c r="L77" s="142" t="str">
        <f>IF($CM77=$M77,"X","ERROR")</f>
        <v>X</v>
      </c>
      <c r="M77" s="361">
        <v>250</v>
      </c>
      <c r="N77" s="181" t="str">
        <f>IF($CN77=$O77,"X","ERROR")</f>
        <v>X</v>
      </c>
      <c r="O77" s="365">
        <v>200</v>
      </c>
      <c r="P77" s="142" t="str">
        <f>IF($CJ28=$S77,"X","ERROR")</f>
        <v>X</v>
      </c>
      <c r="Q77" s="203">
        <v>1.2</v>
      </c>
      <c r="R77" s="181" t="str">
        <f>IF($CJ28=$S77,"X","ERROR")</f>
        <v>X</v>
      </c>
      <c r="S77" s="373" t="s">
        <v>993</v>
      </c>
      <c r="T77" s="142" t="str">
        <f>IF($CQ28=$U77,"X","ERROR")</f>
        <v>X</v>
      </c>
      <c r="U77" s="718">
        <v>1.5</v>
      </c>
      <c r="V77" s="181" t="str">
        <f>IF($CR28=$W77,"X","ERROR")</f>
        <v>X</v>
      </c>
      <c r="W77" s="365" t="s">
        <v>994</v>
      </c>
      <c r="X77" s="142" t="str">
        <f>IF($CO77=$Y77,"X","ERROR")</f>
        <v>ERROR</v>
      </c>
      <c r="Y77" s="840">
        <v>0.24</v>
      </c>
      <c r="Z77" s="181" t="str">
        <f>IF($CP77=$AA77,"X","ERROR")</f>
        <v>X</v>
      </c>
      <c r="AA77" s="365" t="s">
        <v>995</v>
      </c>
      <c r="AB77" s="140" t="str">
        <f>IF(CO215=$AC77,"X","ERROR")</f>
        <v>X</v>
      </c>
      <c r="AC77" s="719" t="s">
        <v>548</v>
      </c>
      <c r="AD77" s="142" t="str">
        <f>IF(CZ215=$AE77,"X","ERROR")</f>
        <v>X</v>
      </c>
      <c r="AE77" s="202">
        <v>0</v>
      </c>
      <c r="AF77" s="140" t="str">
        <f>IF(DA215=$AG77,"X","ERROR")</f>
        <v>X</v>
      </c>
      <c r="AG77" s="489">
        <v>0.3</v>
      </c>
      <c r="AH77" s="140" t="str">
        <f>IF(ROUND(MAX(CZ215*CN215,DA215*CJ215),0)=$AI77,"X","ERROR")</f>
        <v>X</v>
      </c>
      <c r="AI77" s="790">
        <f>ROUND(MAX(I77*AE77,AG77*E77),0)</f>
        <v>652</v>
      </c>
      <c r="AJ77" s="142" t="str">
        <f>IF($CZ77=$AK77,"X","ERROR")</f>
        <v>X</v>
      </c>
      <c r="AK77" s="361" t="s">
        <v>996</v>
      </c>
      <c r="AL77" s="142" t="str">
        <f>IF($DA77=$AM77,"X","ERROR")</f>
        <v>X</v>
      </c>
      <c r="AM77" s="361" t="s">
        <v>997</v>
      </c>
      <c r="AN77" s="365"/>
      <c r="AO77" s="364"/>
      <c r="AP77" s="489"/>
      <c r="AQ77" s="365"/>
      <c r="AR77" s="63"/>
      <c r="AS77" s="364"/>
      <c r="AT77" s="357" t="s">
        <v>1003</v>
      </c>
      <c r="AU77" s="357" t="s">
        <v>170</v>
      </c>
      <c r="AV77" s="357" t="s">
        <v>999</v>
      </c>
      <c r="AW77" s="357">
        <v>2174.0360000000001</v>
      </c>
      <c r="AX77" s="357" t="s">
        <v>1034</v>
      </c>
      <c r="AY77" s="357">
        <v>5</v>
      </c>
      <c r="AZ77" s="357">
        <v>5</v>
      </c>
      <c r="BA77" s="357">
        <v>10.870200000000001</v>
      </c>
      <c r="BB77" s="357" t="s">
        <v>992</v>
      </c>
      <c r="BC77" s="357">
        <v>250</v>
      </c>
      <c r="BD77" s="357">
        <v>200</v>
      </c>
      <c r="BE77" s="357">
        <v>-99996</v>
      </c>
      <c r="BF77" s="357" t="s">
        <v>995</v>
      </c>
      <c r="BG77" s="357">
        <v>0.3</v>
      </c>
      <c r="BH77" s="357">
        <v>60</v>
      </c>
      <c r="BI77" s="357">
        <v>0.3</v>
      </c>
      <c r="BJ77" s="357">
        <v>60</v>
      </c>
      <c r="BK77" s="357">
        <v>652.21100000000001</v>
      </c>
      <c r="BL77" s="357">
        <v>0</v>
      </c>
      <c r="BM77" s="357" t="s">
        <v>1069</v>
      </c>
      <c r="BN77" s="357" t="s">
        <v>1075</v>
      </c>
      <c r="BO77" s="364">
        <v>4.48E-2</v>
      </c>
      <c r="BP77" s="364" t="s">
        <v>1076</v>
      </c>
      <c r="BQ77" s="364" t="s">
        <v>1077</v>
      </c>
      <c r="BR77" s="364"/>
      <c r="BS77" s="364"/>
      <c r="BT77" s="364"/>
      <c r="BU77" s="364"/>
      <c r="BV77" s="357"/>
      <c r="BW77" s="357"/>
      <c r="BX77" s="357"/>
      <c r="BY77" s="357"/>
      <c r="BZ77" s="357"/>
      <c r="CA77" s="357"/>
      <c r="CB77" s="357"/>
      <c r="CC77" s="357"/>
      <c r="CD77" s="357" t="s">
        <v>1003</v>
      </c>
      <c r="CE77" s="357" t="s">
        <v>170</v>
      </c>
      <c r="CF77" s="357" t="s">
        <v>999</v>
      </c>
      <c r="CG77" s="357">
        <v>2174.0358999999999</v>
      </c>
      <c r="CH77" s="357" t="s">
        <v>1034</v>
      </c>
      <c r="CI77" s="357">
        <v>5</v>
      </c>
      <c r="CJ77" s="357">
        <v>5</v>
      </c>
      <c r="CK77" s="357">
        <v>10.870200000000001</v>
      </c>
      <c r="CL77" s="357" t="s">
        <v>992</v>
      </c>
      <c r="CM77" s="357">
        <v>250</v>
      </c>
      <c r="CN77" s="357">
        <v>200</v>
      </c>
      <c r="CO77" s="357">
        <v>-99996</v>
      </c>
      <c r="CP77" s="357" t="s">
        <v>995</v>
      </c>
      <c r="CQ77" s="357">
        <v>0.3</v>
      </c>
      <c r="CR77" s="357">
        <v>60</v>
      </c>
      <c r="CS77" s="357">
        <v>0.3</v>
      </c>
      <c r="CT77" s="357">
        <v>60</v>
      </c>
      <c r="CU77" s="357">
        <v>652.21100000000001</v>
      </c>
      <c r="CV77" s="364">
        <v>0</v>
      </c>
      <c r="CW77" s="364" t="s">
        <v>1069</v>
      </c>
      <c r="CX77" s="364" t="s">
        <v>1075</v>
      </c>
      <c r="CY77" s="364">
        <v>4.48E-2</v>
      </c>
      <c r="CZ77" s="364" t="s">
        <v>1076</v>
      </c>
      <c r="DA77" s="364" t="s">
        <v>1077</v>
      </c>
      <c r="DB77" s="364"/>
      <c r="DC77" s="364"/>
      <c r="DD77" s="364"/>
      <c r="DE77" s="364"/>
      <c r="DF77" s="364"/>
      <c r="DG77" s="364"/>
      <c r="DH77" s="364"/>
      <c r="DI77" s="364"/>
      <c r="DJ77" s="364"/>
      <c r="DK77" s="364"/>
      <c r="DL77" s="364"/>
      <c r="DM77" s="364"/>
      <c r="DN77" s="364"/>
      <c r="DO77" s="364"/>
    </row>
    <row r="78" spans="2:119" s="109" customFormat="1" ht="27.6" x14ac:dyDescent="0.3">
      <c r="B78" s="133" t="s">
        <v>1004</v>
      </c>
      <c r="C78" s="245" t="s">
        <v>912</v>
      </c>
      <c r="D78" s="142" t="str">
        <f t="shared" si="47"/>
        <v>X</v>
      </c>
      <c r="E78" s="486">
        <v>27257.599999999999</v>
      </c>
      <c r="F78" s="142" t="str">
        <f>IF($CJ78=$G78,"X","ERROR")</f>
        <v>X</v>
      </c>
      <c r="G78" s="439">
        <f>10*0.5</f>
        <v>5</v>
      </c>
      <c r="H78" s="614" t="str">
        <f>IF(ROUND($CK78,1)=$I78,"X","ERROR")</f>
        <v>X</v>
      </c>
      <c r="I78" s="616">
        <f>ROUND(E78/1000*G78,1)</f>
        <v>136.30000000000001</v>
      </c>
      <c r="J78" s="142" t="str">
        <f>IF($CL78=$K78,"X","ERROR")</f>
        <v>X</v>
      </c>
      <c r="K78" s="366" t="s">
        <v>960</v>
      </c>
      <c r="L78" s="142" t="str">
        <f>IF($CM78=$M78,"X","ERROR")</f>
        <v>X</v>
      </c>
      <c r="M78" s="361">
        <v>250</v>
      </c>
      <c r="N78" s="181" t="str">
        <f>IF($CN78=$O78,"X","ERROR")</f>
        <v>X</v>
      </c>
      <c r="O78" s="365">
        <v>200</v>
      </c>
      <c r="P78" s="142" t="str">
        <f>IF($CJ29=$S78,"X","ERROR")</f>
        <v>X</v>
      </c>
      <c r="Q78" s="203">
        <v>0.75</v>
      </c>
      <c r="R78" s="181" t="str">
        <f>IF($CJ29=$S78,"X","ERROR")</f>
        <v>X</v>
      </c>
      <c r="S78" s="373" t="s">
        <v>961</v>
      </c>
      <c r="T78" s="142" t="str">
        <f>IF($CQ29=$U78,"X","ERROR")</f>
        <v>X</v>
      </c>
      <c r="U78" s="718">
        <v>1.5</v>
      </c>
      <c r="V78" s="181" t="str">
        <f>IF($CR29=$W78,"X","ERROR")</f>
        <v>X</v>
      </c>
      <c r="W78" s="365" t="s">
        <v>962</v>
      </c>
      <c r="X78" s="142" t="str">
        <f>IF($CO78=$Y78,"X","ERROR")</f>
        <v>ERROR</v>
      </c>
      <c r="Y78" s="840">
        <v>0.18</v>
      </c>
      <c r="Z78" s="181" t="str">
        <f>IF($CP78=$AA78,"X","ERROR")</f>
        <v>X</v>
      </c>
      <c r="AA78" s="365" t="s">
        <v>963</v>
      </c>
      <c r="AB78" s="140" t="str">
        <f>IF(CO216=$AC78,"X","ERROR")</f>
        <v>X</v>
      </c>
      <c r="AC78" s="789" t="s">
        <v>1005</v>
      </c>
      <c r="AD78" s="142" t="str">
        <f>IF(CZ216=$AE78,"X","ERROR")</f>
        <v>X</v>
      </c>
      <c r="AE78" s="202">
        <v>0</v>
      </c>
      <c r="AF78" s="140" t="str">
        <f>IF(DA216=$AG78,"X","ERROR")</f>
        <v>X</v>
      </c>
      <c r="AG78" s="489">
        <v>0.16197300000000001</v>
      </c>
      <c r="AH78" s="140" t="str">
        <f>IF(ROUND(MAX(CZ216*CN216,DA216*CJ216),0)=$AI78,"X","ERROR")</f>
        <v>X</v>
      </c>
      <c r="AI78" s="790">
        <f>ROUND(MAX(I78*AE78,AG78*E78),0)</f>
        <v>4415</v>
      </c>
      <c r="AJ78" s="142" t="str">
        <f>IF($CZ78=$AK78,"X","ERROR")</f>
        <v>X</v>
      </c>
      <c r="AK78" s="361" t="s">
        <v>964</v>
      </c>
      <c r="AL78" s="142" t="str">
        <f>IF($DA78=$AM78,"X","ERROR")</f>
        <v>X</v>
      </c>
      <c r="AM78" s="361" t="s">
        <v>965</v>
      </c>
      <c r="AN78" s="365"/>
      <c r="AO78" s="364"/>
      <c r="AP78" s="365"/>
      <c r="AQ78" s="365"/>
      <c r="AR78" s="63"/>
      <c r="AS78" s="364"/>
      <c r="AT78" s="357" t="s">
        <v>1004</v>
      </c>
      <c r="AU78" s="357" t="s">
        <v>170</v>
      </c>
      <c r="AV78" s="357" t="s">
        <v>915</v>
      </c>
      <c r="AW78" s="357">
        <v>27257.64</v>
      </c>
      <c r="AX78" s="357" t="s">
        <v>1035</v>
      </c>
      <c r="AY78" s="357">
        <v>5</v>
      </c>
      <c r="AZ78" s="357">
        <v>5</v>
      </c>
      <c r="BA78" s="357">
        <v>136.28800000000001</v>
      </c>
      <c r="BB78" s="357" t="s">
        <v>960</v>
      </c>
      <c r="BC78" s="357">
        <v>250</v>
      </c>
      <c r="BD78" s="357">
        <v>200</v>
      </c>
      <c r="BE78" s="357">
        <v>-99996</v>
      </c>
      <c r="BF78" s="357" t="s">
        <v>963</v>
      </c>
      <c r="BG78" s="357">
        <v>0.16197300000000001</v>
      </c>
      <c r="BH78" s="357">
        <v>32.394599999999997</v>
      </c>
      <c r="BI78" s="357">
        <v>0.15</v>
      </c>
      <c r="BJ78" s="357">
        <v>30</v>
      </c>
      <c r="BK78" s="357">
        <v>4415</v>
      </c>
      <c r="BL78" s="357">
        <v>0</v>
      </c>
      <c r="BM78" s="357" t="s">
        <v>1069</v>
      </c>
      <c r="BN78" s="357" t="s">
        <v>1070</v>
      </c>
      <c r="BO78" s="364">
        <v>4.48E-2</v>
      </c>
      <c r="BP78" s="364" t="s">
        <v>550</v>
      </c>
      <c r="BQ78" s="364" t="s">
        <v>551</v>
      </c>
      <c r="BR78" s="364"/>
      <c r="BS78" s="364"/>
      <c r="BT78" s="364"/>
      <c r="BU78" s="364"/>
      <c r="BV78" s="357"/>
      <c r="BW78" s="357"/>
      <c r="BX78" s="357"/>
      <c r="BY78" s="357"/>
      <c r="BZ78" s="357"/>
      <c r="CA78" s="357"/>
      <c r="CB78" s="357"/>
      <c r="CC78" s="357"/>
      <c r="CD78" s="357" t="s">
        <v>1004</v>
      </c>
      <c r="CE78" s="357" t="s">
        <v>170</v>
      </c>
      <c r="CF78" s="357" t="s">
        <v>915</v>
      </c>
      <c r="CG78" s="357">
        <v>27257.6404</v>
      </c>
      <c r="CH78" s="357" t="s">
        <v>1035</v>
      </c>
      <c r="CI78" s="357">
        <v>5</v>
      </c>
      <c r="CJ78" s="357">
        <v>5</v>
      </c>
      <c r="CK78" s="357">
        <v>136.28800000000001</v>
      </c>
      <c r="CL78" s="357" t="s">
        <v>960</v>
      </c>
      <c r="CM78" s="357">
        <v>250</v>
      </c>
      <c r="CN78" s="357">
        <v>200</v>
      </c>
      <c r="CO78" s="357">
        <v>-99996</v>
      </c>
      <c r="CP78" s="357" t="s">
        <v>963</v>
      </c>
      <c r="CQ78" s="357">
        <v>0.16197300000000001</v>
      </c>
      <c r="CR78" s="357">
        <v>32.394599999999997</v>
      </c>
      <c r="CS78" s="357">
        <v>0.15</v>
      </c>
      <c r="CT78" s="357">
        <v>30</v>
      </c>
      <c r="CU78" s="357">
        <v>4415</v>
      </c>
      <c r="CV78" s="364">
        <v>0</v>
      </c>
      <c r="CW78" s="364" t="s">
        <v>1069</v>
      </c>
      <c r="CX78" s="364" t="s">
        <v>1070</v>
      </c>
      <c r="CY78" s="364">
        <v>4.48E-2</v>
      </c>
      <c r="CZ78" s="364" t="s">
        <v>550</v>
      </c>
      <c r="DA78" s="364" t="s">
        <v>551</v>
      </c>
      <c r="DB78" s="364"/>
      <c r="DC78" s="364"/>
      <c r="DD78" s="364"/>
      <c r="DE78" s="364"/>
      <c r="DF78" s="364"/>
      <c r="DG78" s="364"/>
      <c r="DH78" s="364"/>
      <c r="DI78" s="364"/>
      <c r="DJ78" s="364"/>
      <c r="DK78" s="364"/>
      <c r="DL78" s="364"/>
      <c r="DM78" s="364"/>
      <c r="DN78" s="364"/>
      <c r="DO78" s="364"/>
    </row>
    <row r="79" spans="2:119" s="109" customFormat="1" ht="27.6" x14ac:dyDescent="0.3">
      <c r="B79" s="316" t="s">
        <v>1006</v>
      </c>
      <c r="C79" s="70" t="s">
        <v>979</v>
      </c>
      <c r="D79" s="325" t="s">
        <v>173</v>
      </c>
      <c r="E79" s="406" t="s">
        <v>173</v>
      </c>
      <c r="F79" s="325" t="s">
        <v>173</v>
      </c>
      <c r="G79" s="715" t="s">
        <v>173</v>
      </c>
      <c r="H79" s="325" t="s">
        <v>173</v>
      </c>
      <c r="I79" s="406" t="s">
        <v>173</v>
      </c>
      <c r="J79" s="325" t="s">
        <v>173</v>
      </c>
      <c r="K79" s="419" t="s">
        <v>173</v>
      </c>
      <c r="L79" s="325" t="s">
        <v>173</v>
      </c>
      <c r="M79" s="406" t="s">
        <v>173</v>
      </c>
      <c r="N79" s="263" t="s">
        <v>173</v>
      </c>
      <c r="O79" s="419" t="s">
        <v>173</v>
      </c>
      <c r="P79" s="325" t="s">
        <v>173</v>
      </c>
      <c r="Q79" s="715" t="s">
        <v>173</v>
      </c>
      <c r="R79" s="263" t="s">
        <v>173</v>
      </c>
      <c r="S79" s="419" t="s">
        <v>173</v>
      </c>
      <c r="T79" s="325" t="s">
        <v>173</v>
      </c>
      <c r="U79" s="714" t="s">
        <v>173</v>
      </c>
      <c r="V79" s="263" t="s">
        <v>173</v>
      </c>
      <c r="W79" s="419" t="s">
        <v>173</v>
      </c>
      <c r="X79" s="610" t="s">
        <v>173</v>
      </c>
      <c r="Y79" s="721" t="s">
        <v>173</v>
      </c>
      <c r="Z79" s="610" t="s">
        <v>173</v>
      </c>
      <c r="AA79" s="419" t="s">
        <v>173</v>
      </c>
      <c r="AB79" s="325" t="s">
        <v>173</v>
      </c>
      <c r="AC79" s="419" t="s">
        <v>173</v>
      </c>
      <c r="AD79" s="610" t="s">
        <v>173</v>
      </c>
      <c r="AE79" s="419" t="s">
        <v>173</v>
      </c>
      <c r="AF79" s="610" t="s">
        <v>173</v>
      </c>
      <c r="AG79" s="720" t="s">
        <v>173</v>
      </c>
      <c r="AH79" s="610" t="s">
        <v>173</v>
      </c>
      <c r="AI79" s="419"/>
      <c r="AJ79" s="610" t="s">
        <v>173</v>
      </c>
      <c r="AK79" s="419" t="s">
        <v>173</v>
      </c>
      <c r="AL79" s="610" t="s">
        <v>173</v>
      </c>
      <c r="AM79" s="406" t="s">
        <v>173</v>
      </c>
      <c r="AN79" s="365"/>
      <c r="AO79" s="364"/>
      <c r="AP79" s="365"/>
      <c r="AQ79" s="365"/>
      <c r="AR79" s="63"/>
      <c r="AS79" s="364"/>
      <c r="AT79" s="357" t="s">
        <v>1006</v>
      </c>
      <c r="AU79" s="357" t="s">
        <v>983</v>
      </c>
      <c r="AV79" s="357" t="s">
        <v>979</v>
      </c>
      <c r="AW79" s="357">
        <v>0</v>
      </c>
      <c r="AX79" s="357" t="s">
        <v>1035</v>
      </c>
      <c r="AY79" s="357">
        <v>5</v>
      </c>
      <c r="AZ79" s="357">
        <v>-99996</v>
      </c>
      <c r="BA79" s="357">
        <v>0</v>
      </c>
      <c r="BB79" s="357"/>
      <c r="BC79" s="357">
        <v>-99996</v>
      </c>
      <c r="BD79" s="357">
        <v>-99996</v>
      </c>
      <c r="BE79" s="357">
        <v>-99996</v>
      </c>
      <c r="BF79" s="357" t="s">
        <v>1010</v>
      </c>
      <c r="BG79" s="357">
        <v>0</v>
      </c>
      <c r="BH79" s="357">
        <v>0</v>
      </c>
      <c r="BI79" s="357">
        <v>0</v>
      </c>
      <c r="BJ79" s="357">
        <v>0</v>
      </c>
      <c r="BK79" s="357">
        <v>0</v>
      </c>
      <c r="BL79" s="357">
        <v>0</v>
      </c>
      <c r="BM79" s="357" t="s">
        <v>1069</v>
      </c>
      <c r="BN79" s="357" t="s">
        <v>1074</v>
      </c>
      <c r="BO79" s="357">
        <v>4.48E-2</v>
      </c>
      <c r="BP79" s="357" t="s">
        <v>1010</v>
      </c>
      <c r="BQ79" s="357" t="s">
        <v>1010</v>
      </c>
      <c r="BR79" s="364"/>
      <c r="BS79" s="364"/>
      <c r="BT79" s="364"/>
      <c r="BU79" s="364"/>
      <c r="BV79" s="357"/>
      <c r="BW79" s="357"/>
      <c r="BX79" s="357"/>
      <c r="BY79" s="357"/>
      <c r="BZ79" s="357"/>
      <c r="CA79" s="357"/>
      <c r="CB79" s="357"/>
      <c r="CC79" s="357"/>
      <c r="CD79" s="357" t="s">
        <v>1006</v>
      </c>
      <c r="CE79" s="357" t="s">
        <v>983</v>
      </c>
      <c r="CF79" s="357" t="s">
        <v>979</v>
      </c>
      <c r="CG79" s="357">
        <v>0</v>
      </c>
      <c r="CH79" s="357" t="s">
        <v>1035</v>
      </c>
      <c r="CI79" s="357">
        <v>5</v>
      </c>
      <c r="CJ79" s="357">
        <v>-99996</v>
      </c>
      <c r="CK79" s="357">
        <v>0</v>
      </c>
      <c r="CL79" s="357"/>
      <c r="CM79" s="357">
        <v>-99996</v>
      </c>
      <c r="CN79" s="357">
        <v>-99996</v>
      </c>
      <c r="CO79" s="357">
        <v>-99996</v>
      </c>
      <c r="CP79" s="357" t="s">
        <v>1010</v>
      </c>
      <c r="CQ79" s="357">
        <v>0</v>
      </c>
      <c r="CR79" s="357">
        <v>0</v>
      </c>
      <c r="CS79" s="357">
        <v>0</v>
      </c>
      <c r="CT79" s="357">
        <v>0</v>
      </c>
      <c r="CU79" s="357">
        <v>0</v>
      </c>
      <c r="CV79" s="364">
        <v>0</v>
      </c>
      <c r="CW79" s="364" t="s">
        <v>1069</v>
      </c>
      <c r="CX79" s="364" t="s">
        <v>1074</v>
      </c>
      <c r="CY79" s="364">
        <v>4.48E-2</v>
      </c>
      <c r="CZ79" s="364" t="s">
        <v>1010</v>
      </c>
      <c r="DA79" s="364" t="s">
        <v>1010</v>
      </c>
      <c r="DB79" s="364"/>
      <c r="DC79" s="364"/>
      <c r="DD79" s="364"/>
      <c r="DE79" s="364"/>
      <c r="DF79" s="364"/>
      <c r="DG79" s="364"/>
      <c r="DH79" s="364"/>
      <c r="DI79" s="364"/>
      <c r="DJ79" s="364"/>
      <c r="DK79" s="364"/>
      <c r="DL79" s="364"/>
      <c r="DM79" s="364"/>
      <c r="DN79" s="364"/>
      <c r="DO79" s="364"/>
    </row>
    <row r="80" spans="2:119" s="109" customFormat="1" ht="27.6" x14ac:dyDescent="0.3">
      <c r="B80" s="133" t="s">
        <v>1007</v>
      </c>
      <c r="C80" s="245" t="s">
        <v>912</v>
      </c>
      <c r="D80" s="140" t="str">
        <f t="shared" ref="D80:D88" si="48">IF($CG31=$E80,"X","ERROR")</f>
        <v>X</v>
      </c>
      <c r="E80" s="486">
        <v>3373.61</v>
      </c>
      <c r="F80" s="142" t="str">
        <f t="shared" ref="F80:F88" si="49">IF($CJ80=$G80,"X","ERROR")</f>
        <v>X</v>
      </c>
      <c r="G80" s="439">
        <f>10*0.5</f>
        <v>5</v>
      </c>
      <c r="H80" s="614" t="str">
        <f t="shared" ref="H80:H88" si="50">IF(ROUND($CK80,1)=$I80,"X","ERROR")</f>
        <v>X</v>
      </c>
      <c r="I80" s="616">
        <f>ROUND(E80/1000*G80,1)</f>
        <v>16.899999999999999</v>
      </c>
      <c r="J80" s="142" t="str">
        <f t="shared" ref="J80:J88" si="51">IF($CL80=$K80,"X","ERROR")</f>
        <v>X</v>
      </c>
      <c r="K80" s="366" t="s">
        <v>960</v>
      </c>
      <c r="L80" s="142" t="str">
        <f t="shared" ref="L80:L88" si="52">IF($CM80=$M80,"X","ERROR")</f>
        <v>X</v>
      </c>
      <c r="M80" s="361">
        <v>250</v>
      </c>
      <c r="N80" s="181" t="str">
        <f t="shared" ref="N80:N88" si="53">IF($CN80=$O80,"X","ERROR")</f>
        <v>X</v>
      </c>
      <c r="O80" s="365">
        <v>200</v>
      </c>
      <c r="P80" s="142" t="str">
        <f t="shared" ref="P80:P88" si="54">IF($CI31=$Q80,"X","ERROR")</f>
        <v>X</v>
      </c>
      <c r="Q80" s="298">
        <v>0.6</v>
      </c>
      <c r="R80" s="181" t="str">
        <f t="shared" ref="R80:R88" si="55">IF($CJ31=$S80,"X","ERROR")</f>
        <v>X</v>
      </c>
      <c r="S80" s="373" t="s">
        <v>961</v>
      </c>
      <c r="T80" s="142" t="str">
        <f t="shared" ref="T80:T88" si="56">IF($CQ31=$U80,"X","ERROR")</f>
        <v>X</v>
      </c>
      <c r="U80" s="718">
        <v>1.5</v>
      </c>
      <c r="V80" s="181" t="str">
        <f t="shared" ref="V80:V88" si="57">IF($CR31=$W80,"X","ERROR")</f>
        <v>X</v>
      </c>
      <c r="W80" s="365" t="s">
        <v>962</v>
      </c>
      <c r="X80" s="142" t="str">
        <f t="shared" ref="X80:X88" si="58">IF($CO80=$Y80,"X","ERROR")</f>
        <v>ERROR</v>
      </c>
      <c r="Y80" s="840">
        <v>0.18</v>
      </c>
      <c r="Z80" s="181" t="str">
        <f t="shared" ref="Z80:Z88" si="59">IF($CP80=$AA80,"X","ERROR")</f>
        <v>X</v>
      </c>
      <c r="AA80" s="365" t="s">
        <v>963</v>
      </c>
      <c r="AB80" s="140" t="str">
        <f t="shared" ref="AB80:AB88" si="60">IF(CO218=$AC80,"X","ERROR")</f>
        <v>X</v>
      </c>
      <c r="AC80" s="719" t="s">
        <v>548</v>
      </c>
      <c r="AD80" s="142" t="str">
        <f t="shared" ref="AD80:AD88" si="61">IF(CZ218=$AE80,"X","ERROR")</f>
        <v>X</v>
      </c>
      <c r="AE80" s="202">
        <v>0</v>
      </c>
      <c r="AF80" s="140" t="str">
        <f>IF(DA218=$AG80,"X","ERROR")</f>
        <v>X</v>
      </c>
      <c r="AG80" s="489">
        <v>0.15</v>
      </c>
      <c r="AH80" s="140" t="str">
        <f t="shared" ref="AH80:AH88" si="62">IF(ROUND(MAX(CZ218*CN218,DA218*CJ218),0)=$AI80,"X","ERROR")</f>
        <v>X</v>
      </c>
      <c r="AI80" s="790">
        <f t="shared" ref="AI80:AI88" si="63">ROUND(MAX(I80*AE80,AG80*E80),0)</f>
        <v>506</v>
      </c>
      <c r="AJ80" s="142" t="str">
        <f t="shared" ref="AJ80:AJ88" si="64">IF($CZ80=$AK80,"X","ERROR")</f>
        <v>X</v>
      </c>
      <c r="AK80" s="361" t="s">
        <v>964</v>
      </c>
      <c r="AL80" s="142" t="str">
        <f t="shared" ref="AL80:AL88" si="65">IF($DA80=$AM80,"X","ERROR")</f>
        <v>X</v>
      </c>
      <c r="AM80" s="361" t="s">
        <v>965</v>
      </c>
      <c r="AN80" s="365"/>
      <c r="AO80" s="364"/>
      <c r="AP80" s="619"/>
      <c r="AQ80" s="365"/>
      <c r="AR80" s="63"/>
      <c r="AS80" s="364"/>
      <c r="AT80" s="357" t="s">
        <v>1007</v>
      </c>
      <c r="AU80" s="357" t="s">
        <v>170</v>
      </c>
      <c r="AV80" s="357" t="s">
        <v>915</v>
      </c>
      <c r="AW80" s="357">
        <v>3373.6129999999998</v>
      </c>
      <c r="AX80" s="357" t="s">
        <v>1035</v>
      </c>
      <c r="AY80" s="357">
        <v>5</v>
      </c>
      <c r="AZ80" s="357">
        <v>5</v>
      </c>
      <c r="BA80" s="357">
        <v>16.868099999999998</v>
      </c>
      <c r="BB80" s="357" t="s">
        <v>960</v>
      </c>
      <c r="BC80" s="357">
        <v>250</v>
      </c>
      <c r="BD80" s="357">
        <v>200</v>
      </c>
      <c r="BE80" s="357">
        <v>-99996</v>
      </c>
      <c r="BF80" s="357" t="s">
        <v>963</v>
      </c>
      <c r="BG80" s="357">
        <v>0.15</v>
      </c>
      <c r="BH80" s="357">
        <v>30</v>
      </c>
      <c r="BI80" s="357">
        <v>0.15</v>
      </c>
      <c r="BJ80" s="357">
        <v>30</v>
      </c>
      <c r="BK80" s="357">
        <v>506.04199999999997</v>
      </c>
      <c r="BL80" s="357">
        <v>0</v>
      </c>
      <c r="BM80" s="357" t="s">
        <v>1069</v>
      </c>
      <c r="BN80" s="357" t="s">
        <v>1070</v>
      </c>
      <c r="BO80" s="357">
        <v>4.48E-2</v>
      </c>
      <c r="BP80" s="357" t="s">
        <v>550</v>
      </c>
      <c r="BQ80" s="357" t="s">
        <v>551</v>
      </c>
      <c r="BR80" s="364"/>
      <c r="BS80" s="364"/>
      <c r="BT80" s="364"/>
      <c r="BU80" s="364"/>
      <c r="BV80" s="357"/>
      <c r="BW80" s="357"/>
      <c r="BX80" s="357"/>
      <c r="BY80" s="357"/>
      <c r="BZ80" s="357"/>
      <c r="CA80" s="357"/>
      <c r="CB80" s="357"/>
      <c r="CC80" s="357"/>
      <c r="CD80" s="357" t="s">
        <v>1007</v>
      </c>
      <c r="CE80" s="357" t="s">
        <v>170</v>
      </c>
      <c r="CF80" s="357" t="s">
        <v>915</v>
      </c>
      <c r="CG80" s="357">
        <v>3373.6127000000001</v>
      </c>
      <c r="CH80" s="357" t="s">
        <v>1035</v>
      </c>
      <c r="CI80" s="357">
        <v>5</v>
      </c>
      <c r="CJ80" s="357">
        <v>5</v>
      </c>
      <c r="CK80" s="357">
        <v>16.868099999999998</v>
      </c>
      <c r="CL80" s="357" t="s">
        <v>960</v>
      </c>
      <c r="CM80" s="357">
        <v>250</v>
      </c>
      <c r="CN80" s="357">
        <v>200</v>
      </c>
      <c r="CO80" s="357">
        <v>-99996</v>
      </c>
      <c r="CP80" s="357" t="s">
        <v>963</v>
      </c>
      <c r="CQ80" s="357">
        <v>0.15</v>
      </c>
      <c r="CR80" s="357">
        <v>30</v>
      </c>
      <c r="CS80" s="357">
        <v>0.15</v>
      </c>
      <c r="CT80" s="357">
        <v>30</v>
      </c>
      <c r="CU80" s="357">
        <v>506.04199999999997</v>
      </c>
      <c r="CV80" s="364">
        <v>0</v>
      </c>
      <c r="CW80" s="364" t="s">
        <v>1069</v>
      </c>
      <c r="CX80" s="364" t="s">
        <v>1070</v>
      </c>
      <c r="CY80" s="364">
        <v>4.48E-2</v>
      </c>
      <c r="CZ80" s="364" t="s">
        <v>550</v>
      </c>
      <c r="DA80" s="364" t="s">
        <v>551</v>
      </c>
      <c r="DB80" s="364"/>
      <c r="DC80" s="364"/>
      <c r="DD80" s="364"/>
      <c r="DE80" s="364"/>
      <c r="DF80" s="364"/>
      <c r="DG80" s="364"/>
      <c r="DH80" s="364"/>
      <c r="DI80" s="364"/>
      <c r="DJ80" s="364"/>
      <c r="DK80" s="364"/>
      <c r="DL80" s="364"/>
      <c r="DM80" s="364"/>
      <c r="DN80" s="364"/>
      <c r="DO80" s="364"/>
    </row>
    <row r="81" spans="1:119" s="109" customFormat="1" ht="27.6" x14ac:dyDescent="0.3">
      <c r="A81" s="364"/>
      <c r="B81" s="133" t="s">
        <v>1008</v>
      </c>
      <c r="C81" s="245" t="s">
        <v>985</v>
      </c>
      <c r="D81" s="140" t="str">
        <f t="shared" si="48"/>
        <v>X</v>
      </c>
      <c r="E81" s="486">
        <v>2174.0500000000002</v>
      </c>
      <c r="F81" s="142" t="str">
        <f t="shared" si="49"/>
        <v>X</v>
      </c>
      <c r="G81" s="465">
        <f>10*0.5</f>
        <v>5</v>
      </c>
      <c r="H81" s="614" t="str">
        <f t="shared" si="50"/>
        <v>X</v>
      </c>
      <c r="I81" s="616">
        <f t="shared" ref="I81:I88" si="66">ROUND(E81/1000*G81,1)</f>
        <v>10.9</v>
      </c>
      <c r="J81" s="142" t="str">
        <f t="shared" si="51"/>
        <v>X</v>
      </c>
      <c r="K81" s="376" t="s">
        <v>960</v>
      </c>
      <c r="L81" s="142" t="str">
        <f t="shared" si="52"/>
        <v>X</v>
      </c>
      <c r="M81" s="361">
        <v>250</v>
      </c>
      <c r="N81" s="181" t="str">
        <f t="shared" si="53"/>
        <v>X</v>
      </c>
      <c r="O81" s="365">
        <v>250</v>
      </c>
      <c r="P81" s="142" t="str">
        <f t="shared" si="54"/>
        <v>X</v>
      </c>
      <c r="Q81" s="298">
        <v>0.6</v>
      </c>
      <c r="R81" s="181" t="str">
        <f t="shared" si="55"/>
        <v>X</v>
      </c>
      <c r="S81" s="373" t="s">
        <v>961</v>
      </c>
      <c r="T81" s="142" t="str">
        <f t="shared" si="56"/>
        <v>X</v>
      </c>
      <c r="U81" s="718">
        <v>0</v>
      </c>
      <c r="V81" s="181" t="str">
        <f t="shared" si="57"/>
        <v>X</v>
      </c>
      <c r="W81" s="872"/>
      <c r="X81" s="142" t="str">
        <f t="shared" si="58"/>
        <v>ERROR</v>
      </c>
      <c r="Y81" s="840">
        <v>0</v>
      </c>
      <c r="Z81" s="181" t="str">
        <f t="shared" si="59"/>
        <v>X</v>
      </c>
      <c r="AA81" s="365" t="s">
        <v>963</v>
      </c>
      <c r="AB81" s="140" t="str">
        <f t="shared" si="60"/>
        <v>X</v>
      </c>
      <c r="AC81" s="789" t="s">
        <v>1009</v>
      </c>
      <c r="AD81" s="142" t="str">
        <f t="shared" si="61"/>
        <v>X</v>
      </c>
      <c r="AE81" s="202">
        <v>0</v>
      </c>
      <c r="AF81" s="140" t="str">
        <f t="shared" ref="AF81:AF88" si="67">IF(DA219=$AG81,"X","ERROR")</f>
        <v>X</v>
      </c>
      <c r="AG81" s="491">
        <v>0</v>
      </c>
      <c r="AH81" s="140" t="str">
        <f t="shared" si="62"/>
        <v>X</v>
      </c>
      <c r="AI81" s="790">
        <f t="shared" si="63"/>
        <v>0</v>
      </c>
      <c r="AJ81" s="142" t="str">
        <f t="shared" si="64"/>
        <v>X</v>
      </c>
      <c r="AK81" s="361" t="s">
        <v>1010</v>
      </c>
      <c r="AL81" s="142" t="str">
        <f t="shared" si="65"/>
        <v>X</v>
      </c>
      <c r="AM81" s="361" t="s">
        <v>1010</v>
      </c>
      <c r="AN81" s="365"/>
      <c r="AO81" s="364"/>
      <c r="AP81" s="365"/>
      <c r="AQ81" s="365"/>
      <c r="AR81" s="63"/>
      <c r="AS81" s="364"/>
      <c r="AT81" s="357" t="s">
        <v>1008</v>
      </c>
      <c r="AU81" s="357" t="s">
        <v>140</v>
      </c>
      <c r="AV81" s="357" t="s">
        <v>988</v>
      </c>
      <c r="AW81" s="357">
        <v>2174.0500000000002</v>
      </c>
      <c r="AX81" s="357" t="s">
        <v>1035</v>
      </c>
      <c r="AY81" s="357">
        <v>5</v>
      </c>
      <c r="AZ81" s="357">
        <v>5</v>
      </c>
      <c r="BA81" s="357">
        <v>10.8703</v>
      </c>
      <c r="BB81" s="357" t="s">
        <v>960</v>
      </c>
      <c r="BC81" s="357">
        <v>250</v>
      </c>
      <c r="BD81" s="357">
        <v>250</v>
      </c>
      <c r="BE81" s="357">
        <v>-99996</v>
      </c>
      <c r="BF81" s="357" t="s">
        <v>963</v>
      </c>
      <c r="BG81" s="357">
        <v>0</v>
      </c>
      <c r="BH81" s="357">
        <v>0</v>
      </c>
      <c r="BI81" s="357">
        <v>0.15</v>
      </c>
      <c r="BJ81" s="357">
        <v>30</v>
      </c>
      <c r="BK81" s="357">
        <v>0</v>
      </c>
      <c r="BL81" s="357">
        <v>0</v>
      </c>
      <c r="BM81" s="357" t="s">
        <v>1069</v>
      </c>
      <c r="BN81" s="357" t="s">
        <v>1074</v>
      </c>
      <c r="BO81" s="357">
        <v>4.48E-2</v>
      </c>
      <c r="BP81" s="357" t="s">
        <v>1010</v>
      </c>
      <c r="BQ81" s="357" t="s">
        <v>1010</v>
      </c>
      <c r="BR81" s="364"/>
      <c r="BS81" s="364"/>
      <c r="BT81" s="364"/>
      <c r="BU81" s="364"/>
      <c r="BV81" s="357"/>
      <c r="BW81" s="357"/>
      <c r="BX81" s="357"/>
      <c r="BY81" s="357"/>
      <c r="BZ81" s="357"/>
      <c r="CA81" s="357"/>
      <c r="CB81" s="357"/>
      <c r="CC81" s="357"/>
      <c r="CD81" s="357" t="s">
        <v>1008</v>
      </c>
      <c r="CE81" s="357" t="s">
        <v>140</v>
      </c>
      <c r="CF81" s="357" t="s">
        <v>988</v>
      </c>
      <c r="CG81" s="357">
        <v>2174.0502999999999</v>
      </c>
      <c r="CH81" s="357" t="s">
        <v>1035</v>
      </c>
      <c r="CI81" s="357">
        <v>5</v>
      </c>
      <c r="CJ81" s="357">
        <v>5</v>
      </c>
      <c r="CK81" s="357">
        <v>10.8703</v>
      </c>
      <c r="CL81" s="357" t="s">
        <v>960</v>
      </c>
      <c r="CM81" s="357">
        <v>250</v>
      </c>
      <c r="CN81" s="357">
        <v>250</v>
      </c>
      <c r="CO81" s="357">
        <v>-99996</v>
      </c>
      <c r="CP81" s="357" t="s">
        <v>963</v>
      </c>
      <c r="CQ81" s="357">
        <v>0</v>
      </c>
      <c r="CR81" s="357">
        <v>0</v>
      </c>
      <c r="CS81" s="357">
        <v>0.15</v>
      </c>
      <c r="CT81" s="357">
        <v>30</v>
      </c>
      <c r="CU81" s="357">
        <v>0</v>
      </c>
      <c r="CV81" s="364">
        <v>0</v>
      </c>
      <c r="CW81" s="364" t="s">
        <v>1069</v>
      </c>
      <c r="CX81" s="364" t="s">
        <v>1074</v>
      </c>
      <c r="CY81" s="364">
        <v>4.48E-2</v>
      </c>
      <c r="CZ81" s="364" t="s">
        <v>1010</v>
      </c>
      <c r="DA81" s="364" t="s">
        <v>1010</v>
      </c>
      <c r="DB81" s="364"/>
      <c r="DC81" s="364"/>
      <c r="DD81" s="364"/>
      <c r="DE81" s="364"/>
      <c r="DF81" s="364"/>
      <c r="DG81" s="364"/>
      <c r="DH81" s="364"/>
      <c r="DI81" s="364"/>
      <c r="DJ81" s="364"/>
      <c r="DK81" s="364"/>
      <c r="DL81" s="364"/>
      <c r="DM81" s="364"/>
      <c r="DN81" s="364"/>
      <c r="DO81" s="364"/>
    </row>
    <row r="82" spans="1:119" s="109" customFormat="1" ht="27.6" x14ac:dyDescent="0.3">
      <c r="A82" s="364"/>
      <c r="B82" s="133" t="s">
        <v>1011</v>
      </c>
      <c r="C82" s="245" t="s">
        <v>912</v>
      </c>
      <c r="D82" s="140" t="str">
        <f t="shared" si="48"/>
        <v>X</v>
      </c>
      <c r="E82" s="486">
        <v>3373.64</v>
      </c>
      <c r="F82" s="142" t="str">
        <f t="shared" si="49"/>
        <v>X</v>
      </c>
      <c r="G82" s="439">
        <f>10*0.5</f>
        <v>5</v>
      </c>
      <c r="H82" s="614" t="str">
        <f t="shared" si="50"/>
        <v>X</v>
      </c>
      <c r="I82" s="616">
        <f t="shared" si="66"/>
        <v>16.899999999999999</v>
      </c>
      <c r="J82" s="142" t="str">
        <f t="shared" si="51"/>
        <v>X</v>
      </c>
      <c r="K82" s="366" t="s">
        <v>960</v>
      </c>
      <c r="L82" s="142" t="str">
        <f t="shared" si="52"/>
        <v>X</v>
      </c>
      <c r="M82" s="361">
        <v>250</v>
      </c>
      <c r="N82" s="181" t="str">
        <f t="shared" si="53"/>
        <v>X</v>
      </c>
      <c r="O82" s="365">
        <v>200</v>
      </c>
      <c r="P82" s="142" t="str">
        <f t="shared" si="54"/>
        <v>X</v>
      </c>
      <c r="Q82" s="298">
        <v>0.6</v>
      </c>
      <c r="R82" s="181" t="str">
        <f t="shared" si="55"/>
        <v>X</v>
      </c>
      <c r="S82" s="373" t="s">
        <v>961</v>
      </c>
      <c r="T82" s="142" t="str">
        <f t="shared" si="56"/>
        <v>X</v>
      </c>
      <c r="U82" s="718">
        <v>1.5</v>
      </c>
      <c r="V82" s="181" t="str">
        <f t="shared" si="57"/>
        <v>X</v>
      </c>
      <c r="W82" s="365" t="s">
        <v>962</v>
      </c>
      <c r="X82" s="142" t="str">
        <f t="shared" si="58"/>
        <v>ERROR</v>
      </c>
      <c r="Y82" s="840">
        <v>0.18</v>
      </c>
      <c r="Z82" s="181" t="str">
        <f t="shared" si="59"/>
        <v>X</v>
      </c>
      <c r="AA82" s="365" t="s">
        <v>963</v>
      </c>
      <c r="AB82" s="140" t="str">
        <f t="shared" si="60"/>
        <v>X</v>
      </c>
      <c r="AC82" s="719" t="s">
        <v>548</v>
      </c>
      <c r="AD82" s="142" t="str">
        <f t="shared" si="61"/>
        <v>X</v>
      </c>
      <c r="AE82" s="202">
        <v>0</v>
      </c>
      <c r="AF82" s="140" t="str">
        <f t="shared" si="67"/>
        <v>X</v>
      </c>
      <c r="AG82" s="489">
        <v>0.15</v>
      </c>
      <c r="AH82" s="140" t="str">
        <f t="shared" si="62"/>
        <v>X</v>
      </c>
      <c r="AI82" s="790">
        <f t="shared" si="63"/>
        <v>506</v>
      </c>
      <c r="AJ82" s="142" t="str">
        <f t="shared" si="64"/>
        <v>X</v>
      </c>
      <c r="AK82" s="361" t="s">
        <v>964</v>
      </c>
      <c r="AL82" s="142" t="str">
        <f t="shared" si="65"/>
        <v>X</v>
      </c>
      <c r="AM82" s="361" t="s">
        <v>965</v>
      </c>
      <c r="AN82" s="365"/>
      <c r="AO82" s="364"/>
      <c r="AP82" s="365"/>
      <c r="AQ82" s="365"/>
      <c r="AR82" s="63"/>
      <c r="AS82" s="364"/>
      <c r="AT82" s="357" t="s">
        <v>1011</v>
      </c>
      <c r="AU82" s="357" t="s">
        <v>170</v>
      </c>
      <c r="AV82" s="357" t="s">
        <v>915</v>
      </c>
      <c r="AW82" s="357">
        <v>3373.6350000000002</v>
      </c>
      <c r="AX82" s="357" t="s">
        <v>1035</v>
      </c>
      <c r="AY82" s="357">
        <v>5</v>
      </c>
      <c r="AZ82" s="357">
        <v>5</v>
      </c>
      <c r="BA82" s="357">
        <v>16.868200000000002</v>
      </c>
      <c r="BB82" s="357" t="s">
        <v>960</v>
      </c>
      <c r="BC82" s="357">
        <v>250</v>
      </c>
      <c r="BD82" s="357">
        <v>200</v>
      </c>
      <c r="BE82" s="357">
        <v>-99996</v>
      </c>
      <c r="BF82" s="357" t="s">
        <v>963</v>
      </c>
      <c r="BG82" s="357">
        <v>0.15</v>
      </c>
      <c r="BH82" s="357">
        <v>30</v>
      </c>
      <c r="BI82" s="357">
        <v>0.15</v>
      </c>
      <c r="BJ82" s="357">
        <v>30</v>
      </c>
      <c r="BK82" s="357">
        <v>506.04500000000002</v>
      </c>
      <c r="BL82" s="357">
        <v>0</v>
      </c>
      <c r="BM82" s="357" t="s">
        <v>1069</v>
      </c>
      <c r="BN82" s="357" t="s">
        <v>1070</v>
      </c>
      <c r="BO82" s="357">
        <v>4.48E-2</v>
      </c>
      <c r="BP82" s="357" t="s">
        <v>550</v>
      </c>
      <c r="BQ82" s="357" t="s">
        <v>551</v>
      </c>
      <c r="BR82" s="364"/>
      <c r="BS82" s="364"/>
      <c r="BT82" s="364"/>
      <c r="BU82" s="364"/>
      <c r="BV82" s="357"/>
      <c r="BW82" s="357"/>
      <c r="BX82" s="357"/>
      <c r="BY82" s="357"/>
      <c r="BZ82" s="357"/>
      <c r="CA82" s="357"/>
      <c r="CB82" s="357"/>
      <c r="CC82" s="357"/>
      <c r="CD82" s="357" t="s">
        <v>1011</v>
      </c>
      <c r="CE82" s="357" t="s">
        <v>170</v>
      </c>
      <c r="CF82" s="357" t="s">
        <v>915</v>
      </c>
      <c r="CG82" s="357">
        <v>3373.6351</v>
      </c>
      <c r="CH82" s="357" t="s">
        <v>1035</v>
      </c>
      <c r="CI82" s="357">
        <v>5</v>
      </c>
      <c r="CJ82" s="357">
        <v>5</v>
      </c>
      <c r="CK82" s="357">
        <v>16.868200000000002</v>
      </c>
      <c r="CL82" s="357" t="s">
        <v>960</v>
      </c>
      <c r="CM82" s="357">
        <v>250</v>
      </c>
      <c r="CN82" s="357">
        <v>200</v>
      </c>
      <c r="CO82" s="357">
        <v>-99996</v>
      </c>
      <c r="CP82" s="357" t="s">
        <v>963</v>
      </c>
      <c r="CQ82" s="357">
        <v>0.15</v>
      </c>
      <c r="CR82" s="357">
        <v>30</v>
      </c>
      <c r="CS82" s="357">
        <v>0.15</v>
      </c>
      <c r="CT82" s="357">
        <v>30</v>
      </c>
      <c r="CU82" s="357">
        <v>506.04500000000002</v>
      </c>
      <c r="CV82" s="364">
        <v>0</v>
      </c>
      <c r="CW82" s="364" t="s">
        <v>1069</v>
      </c>
      <c r="CX82" s="364" t="s">
        <v>1070</v>
      </c>
      <c r="CY82" s="364">
        <v>4.48E-2</v>
      </c>
      <c r="CZ82" s="364" t="s">
        <v>550</v>
      </c>
      <c r="DA82" s="364" t="s">
        <v>551</v>
      </c>
      <c r="DB82" s="364"/>
      <c r="DC82" s="364"/>
      <c r="DD82" s="364"/>
      <c r="DE82" s="364"/>
      <c r="DF82" s="364"/>
      <c r="DG82" s="364"/>
      <c r="DH82" s="364"/>
      <c r="DI82" s="364"/>
      <c r="DJ82" s="364"/>
      <c r="DK82" s="364"/>
      <c r="DL82" s="364"/>
      <c r="DM82" s="364"/>
      <c r="DN82" s="364"/>
      <c r="DO82" s="364"/>
    </row>
    <row r="83" spans="1:119" s="109" customFormat="1" ht="27.6" x14ac:dyDescent="0.3">
      <c r="A83" s="364"/>
      <c r="B83" s="133" t="s">
        <v>1012</v>
      </c>
      <c r="C83" s="245" t="s">
        <v>912</v>
      </c>
      <c r="D83" s="140" t="str">
        <f t="shared" si="48"/>
        <v>X</v>
      </c>
      <c r="E83" s="486">
        <v>2174.04</v>
      </c>
      <c r="F83" s="142" t="str">
        <f t="shared" si="49"/>
        <v>X</v>
      </c>
      <c r="G83" s="439">
        <f>10*0.5</f>
        <v>5</v>
      </c>
      <c r="H83" s="614" t="str">
        <f t="shared" si="50"/>
        <v>X</v>
      </c>
      <c r="I83" s="616">
        <f t="shared" si="66"/>
        <v>10.9</v>
      </c>
      <c r="J83" s="142" t="str">
        <f t="shared" si="51"/>
        <v>X</v>
      </c>
      <c r="K83" s="366" t="s">
        <v>960</v>
      </c>
      <c r="L83" s="142" t="str">
        <f t="shared" si="52"/>
        <v>X</v>
      </c>
      <c r="M83" s="361">
        <v>250</v>
      </c>
      <c r="N83" s="181" t="str">
        <f t="shared" si="53"/>
        <v>X</v>
      </c>
      <c r="O83" s="365">
        <v>200</v>
      </c>
      <c r="P83" s="142" t="str">
        <f t="shared" si="54"/>
        <v>X</v>
      </c>
      <c r="Q83" s="298">
        <v>0.6</v>
      </c>
      <c r="R83" s="181" t="str">
        <f t="shared" si="55"/>
        <v>X</v>
      </c>
      <c r="S83" s="373" t="s">
        <v>961</v>
      </c>
      <c r="T83" s="142" t="str">
        <f t="shared" si="56"/>
        <v>X</v>
      </c>
      <c r="U83" s="718">
        <v>1.5</v>
      </c>
      <c r="V83" s="181" t="str">
        <f t="shared" si="57"/>
        <v>X</v>
      </c>
      <c r="W83" s="365" t="s">
        <v>962</v>
      </c>
      <c r="X83" s="142" t="str">
        <f t="shared" si="58"/>
        <v>ERROR</v>
      </c>
      <c r="Y83" s="840">
        <v>0.18</v>
      </c>
      <c r="Z83" s="181" t="str">
        <f t="shared" si="59"/>
        <v>X</v>
      </c>
      <c r="AA83" s="365" t="s">
        <v>963</v>
      </c>
      <c r="AB83" s="140" t="str">
        <f t="shared" si="60"/>
        <v>X</v>
      </c>
      <c r="AC83" s="719" t="s">
        <v>548</v>
      </c>
      <c r="AD83" s="142" t="str">
        <f t="shared" si="61"/>
        <v>X</v>
      </c>
      <c r="AE83" s="202">
        <v>0</v>
      </c>
      <c r="AF83" s="140" t="str">
        <f t="shared" si="67"/>
        <v>X</v>
      </c>
      <c r="AG83" s="489">
        <v>0.15</v>
      </c>
      <c r="AH83" s="140" t="str">
        <f t="shared" si="62"/>
        <v>X</v>
      </c>
      <c r="AI83" s="790">
        <f t="shared" si="63"/>
        <v>326</v>
      </c>
      <c r="AJ83" s="142" t="str">
        <f t="shared" si="64"/>
        <v>X</v>
      </c>
      <c r="AK83" s="361" t="s">
        <v>964</v>
      </c>
      <c r="AL83" s="142" t="str">
        <f t="shared" si="65"/>
        <v>X</v>
      </c>
      <c r="AM83" s="361" t="s">
        <v>965</v>
      </c>
      <c r="AN83" s="75"/>
      <c r="AO83" s="364"/>
      <c r="AP83" s="75"/>
      <c r="AQ83" s="75"/>
      <c r="AR83" s="75"/>
      <c r="AS83" s="364"/>
      <c r="AT83" s="357" t="s">
        <v>1012</v>
      </c>
      <c r="AU83" s="357" t="s">
        <v>170</v>
      </c>
      <c r="AV83" s="357" t="s">
        <v>915</v>
      </c>
      <c r="AW83" s="357">
        <v>2174.0360000000001</v>
      </c>
      <c r="AX83" s="357" t="s">
        <v>1035</v>
      </c>
      <c r="AY83" s="357">
        <v>5</v>
      </c>
      <c r="AZ83" s="357">
        <v>5</v>
      </c>
      <c r="BA83" s="357">
        <v>10.870200000000001</v>
      </c>
      <c r="BB83" s="357" t="s">
        <v>960</v>
      </c>
      <c r="BC83" s="357">
        <v>250</v>
      </c>
      <c r="BD83" s="357">
        <v>200</v>
      </c>
      <c r="BE83" s="357">
        <v>-99996</v>
      </c>
      <c r="BF83" s="357" t="s">
        <v>963</v>
      </c>
      <c r="BG83" s="357">
        <v>0.15</v>
      </c>
      <c r="BH83" s="357">
        <v>30</v>
      </c>
      <c r="BI83" s="357">
        <v>0.15</v>
      </c>
      <c r="BJ83" s="357">
        <v>30</v>
      </c>
      <c r="BK83" s="357">
        <v>326.10500000000002</v>
      </c>
      <c r="BL83" s="357">
        <v>0</v>
      </c>
      <c r="BM83" s="357" t="s">
        <v>1069</v>
      </c>
      <c r="BN83" s="357" t="s">
        <v>1070</v>
      </c>
      <c r="BO83" s="357">
        <v>4.48E-2</v>
      </c>
      <c r="BP83" s="357" t="s">
        <v>550</v>
      </c>
      <c r="BQ83" s="357" t="s">
        <v>551</v>
      </c>
      <c r="BR83" s="364"/>
      <c r="BS83" s="364"/>
      <c r="BT83" s="364"/>
      <c r="BU83" s="364"/>
      <c r="BV83" s="357"/>
      <c r="BW83" s="357"/>
      <c r="BX83" s="357"/>
      <c r="BY83" s="357"/>
      <c r="BZ83" s="357"/>
      <c r="CA83" s="357"/>
      <c r="CB83" s="357"/>
      <c r="CC83" s="357"/>
      <c r="CD83" s="357" t="s">
        <v>1012</v>
      </c>
      <c r="CE83" s="357" t="s">
        <v>170</v>
      </c>
      <c r="CF83" s="357" t="s">
        <v>915</v>
      </c>
      <c r="CG83" s="357">
        <v>2174.0358999999999</v>
      </c>
      <c r="CH83" s="357" t="s">
        <v>1035</v>
      </c>
      <c r="CI83" s="357">
        <v>5</v>
      </c>
      <c r="CJ83" s="357">
        <v>5</v>
      </c>
      <c r="CK83" s="357">
        <v>10.870200000000001</v>
      </c>
      <c r="CL83" s="357" t="s">
        <v>960</v>
      </c>
      <c r="CM83" s="357">
        <v>250</v>
      </c>
      <c r="CN83" s="357">
        <v>200</v>
      </c>
      <c r="CO83" s="357">
        <v>-99996</v>
      </c>
      <c r="CP83" s="357" t="s">
        <v>963</v>
      </c>
      <c r="CQ83" s="357">
        <v>0.15</v>
      </c>
      <c r="CR83" s="357">
        <v>30</v>
      </c>
      <c r="CS83" s="357">
        <v>0.15</v>
      </c>
      <c r="CT83" s="357">
        <v>30</v>
      </c>
      <c r="CU83" s="357">
        <v>326.10500000000002</v>
      </c>
      <c r="CV83" s="364">
        <v>0</v>
      </c>
      <c r="CW83" s="364" t="s">
        <v>1069</v>
      </c>
      <c r="CX83" s="364" t="s">
        <v>1070</v>
      </c>
      <c r="CY83" s="364">
        <v>4.48E-2</v>
      </c>
      <c r="CZ83" s="364" t="s">
        <v>550</v>
      </c>
      <c r="DA83" s="364" t="s">
        <v>551</v>
      </c>
      <c r="DB83" s="364"/>
      <c r="DC83" s="364"/>
      <c r="DD83" s="364"/>
      <c r="DE83" s="364"/>
      <c r="DF83" s="364"/>
      <c r="DG83" s="364"/>
      <c r="DH83" s="364"/>
      <c r="DI83" s="364"/>
      <c r="DJ83" s="364"/>
      <c r="DK83" s="364"/>
      <c r="DL83" s="364"/>
      <c r="DM83" s="364"/>
      <c r="DN83" s="364"/>
      <c r="DO83" s="364"/>
    </row>
    <row r="84" spans="1:119" s="109" customFormat="1" ht="41.4" x14ac:dyDescent="0.3">
      <c r="A84" s="364"/>
      <c r="B84" s="133" t="s">
        <v>1013</v>
      </c>
      <c r="C84" s="245" t="s">
        <v>1014</v>
      </c>
      <c r="D84" s="140" t="str">
        <f t="shared" si="48"/>
        <v>X</v>
      </c>
      <c r="E84" s="486">
        <v>27257.599999999999</v>
      </c>
      <c r="F84" s="142" t="str">
        <f t="shared" si="49"/>
        <v>X</v>
      </c>
      <c r="G84" s="465">
        <f>66.67*0.5</f>
        <v>33.335000000000001</v>
      </c>
      <c r="H84" s="614" t="str">
        <f t="shared" si="50"/>
        <v>X</v>
      </c>
      <c r="I84" s="616">
        <f t="shared" si="66"/>
        <v>908.6</v>
      </c>
      <c r="J84" s="142" t="str">
        <f t="shared" si="51"/>
        <v>X</v>
      </c>
      <c r="K84" s="72" t="s">
        <v>1015</v>
      </c>
      <c r="L84" s="142" t="str">
        <f t="shared" si="52"/>
        <v>X</v>
      </c>
      <c r="M84" s="361">
        <v>245</v>
      </c>
      <c r="N84" s="181" t="str">
        <f t="shared" si="53"/>
        <v>X</v>
      </c>
      <c r="O84" s="365">
        <v>155</v>
      </c>
      <c r="P84" s="142" t="str">
        <f t="shared" si="54"/>
        <v>ERROR</v>
      </c>
      <c r="Q84" s="298">
        <v>1</v>
      </c>
      <c r="R84" s="181" t="str">
        <f t="shared" si="55"/>
        <v>X</v>
      </c>
      <c r="S84" s="373" t="s">
        <v>1016</v>
      </c>
      <c r="T84" s="142" t="str">
        <f t="shared" si="56"/>
        <v>X</v>
      </c>
      <c r="U84" s="718">
        <v>1</v>
      </c>
      <c r="V84" s="181" t="str">
        <f t="shared" si="57"/>
        <v>X</v>
      </c>
      <c r="W84" s="365" t="s">
        <v>1017</v>
      </c>
      <c r="X84" s="142" t="str">
        <f t="shared" si="58"/>
        <v>ERROR</v>
      </c>
      <c r="Y84" s="840">
        <v>0.09</v>
      </c>
      <c r="Z84" s="181" t="str">
        <f t="shared" si="59"/>
        <v>X</v>
      </c>
      <c r="AA84" s="365" t="s">
        <v>1018</v>
      </c>
      <c r="AB84" s="140" t="str">
        <f t="shared" si="60"/>
        <v>X</v>
      </c>
      <c r="AC84" s="719" t="s">
        <v>548</v>
      </c>
      <c r="AD84" s="142" t="str">
        <f t="shared" si="61"/>
        <v>X</v>
      </c>
      <c r="AE84" s="298">
        <v>14.9993</v>
      </c>
      <c r="AF84" s="140" t="str">
        <f t="shared" si="67"/>
        <v>X</v>
      </c>
      <c r="AG84" s="418">
        <v>0.15</v>
      </c>
      <c r="AH84" s="140" t="str">
        <f t="shared" si="62"/>
        <v>X</v>
      </c>
      <c r="AI84" s="790">
        <f t="shared" si="63"/>
        <v>13628</v>
      </c>
      <c r="AJ84" s="142" t="str">
        <f t="shared" si="64"/>
        <v>X</v>
      </c>
      <c r="AK84" s="360" t="s">
        <v>1019</v>
      </c>
      <c r="AL84" s="142" t="str">
        <f t="shared" si="65"/>
        <v>X</v>
      </c>
      <c r="AM84" s="360" t="s">
        <v>1020</v>
      </c>
      <c r="AN84" s="364"/>
      <c r="AO84" s="364"/>
      <c r="AP84" s="982"/>
      <c r="AQ84" s="982"/>
      <c r="AR84" s="982"/>
      <c r="AS84" s="982"/>
      <c r="AT84" s="357" t="s">
        <v>1013</v>
      </c>
      <c r="AU84" s="357" t="s">
        <v>170</v>
      </c>
      <c r="AV84" s="357" t="s">
        <v>1022</v>
      </c>
      <c r="AW84" s="357">
        <v>27257.64</v>
      </c>
      <c r="AX84" s="357" t="s">
        <v>1036</v>
      </c>
      <c r="AY84" s="357">
        <v>1</v>
      </c>
      <c r="AZ84" s="357">
        <v>33.335000000000001</v>
      </c>
      <c r="BA84" s="357">
        <v>908.63300000000004</v>
      </c>
      <c r="BB84" s="357" t="s">
        <v>1015</v>
      </c>
      <c r="BC84" s="357">
        <v>245</v>
      </c>
      <c r="BD84" s="357">
        <v>155</v>
      </c>
      <c r="BE84" s="357">
        <v>-99996</v>
      </c>
      <c r="BF84" s="357" t="s">
        <v>1018</v>
      </c>
      <c r="BG84" s="357">
        <v>0.5</v>
      </c>
      <c r="BH84" s="357">
        <v>14.9993</v>
      </c>
      <c r="BI84" s="357">
        <v>0.5</v>
      </c>
      <c r="BJ84" s="357">
        <v>14.9993</v>
      </c>
      <c r="BK84" s="357">
        <v>4088.65</v>
      </c>
      <c r="BL84" s="357">
        <v>13628.8</v>
      </c>
      <c r="BM84" s="357" t="s">
        <v>1069</v>
      </c>
      <c r="BN84" s="357" t="s">
        <v>1078</v>
      </c>
      <c r="BO84" s="357">
        <v>4.48E-2</v>
      </c>
      <c r="BP84" s="357" t="s">
        <v>1079</v>
      </c>
      <c r="BQ84" s="357" t="s">
        <v>1080</v>
      </c>
      <c r="BR84" s="364"/>
      <c r="BS84" s="364"/>
      <c r="BT84" s="364"/>
      <c r="BU84" s="364"/>
      <c r="BV84" s="357"/>
      <c r="BW84" s="357"/>
      <c r="BX84" s="357"/>
      <c r="BY84" s="357"/>
      <c r="BZ84" s="357"/>
      <c r="CA84" s="357"/>
      <c r="CB84" s="357"/>
      <c r="CC84" s="357"/>
      <c r="CD84" s="357" t="s">
        <v>1013</v>
      </c>
      <c r="CE84" s="357" t="s">
        <v>170</v>
      </c>
      <c r="CF84" s="357" t="s">
        <v>1022</v>
      </c>
      <c r="CG84" s="357">
        <v>27257.6404</v>
      </c>
      <c r="CH84" s="357" t="s">
        <v>1036</v>
      </c>
      <c r="CI84" s="357">
        <v>1</v>
      </c>
      <c r="CJ84" s="357">
        <v>33.335000000000001</v>
      </c>
      <c r="CK84" s="357">
        <v>908.63300000000004</v>
      </c>
      <c r="CL84" s="357" t="s">
        <v>1015</v>
      </c>
      <c r="CM84" s="357">
        <v>245</v>
      </c>
      <c r="CN84" s="357">
        <v>155</v>
      </c>
      <c r="CO84" s="357">
        <v>-99996</v>
      </c>
      <c r="CP84" s="357" t="s">
        <v>1018</v>
      </c>
      <c r="CQ84" s="357">
        <v>0.5</v>
      </c>
      <c r="CR84" s="357">
        <v>14.9993</v>
      </c>
      <c r="CS84" s="357">
        <v>0.5</v>
      </c>
      <c r="CT84" s="357">
        <v>14.9993</v>
      </c>
      <c r="CU84" s="357">
        <v>4088.65</v>
      </c>
      <c r="CV84" s="364">
        <v>13628.8</v>
      </c>
      <c r="CW84" s="364" t="s">
        <v>1069</v>
      </c>
      <c r="CX84" s="364" t="s">
        <v>1078</v>
      </c>
      <c r="CY84" s="364">
        <v>4.48E-2</v>
      </c>
      <c r="CZ84" s="364" t="s">
        <v>1079</v>
      </c>
      <c r="DA84" s="364" t="s">
        <v>1080</v>
      </c>
      <c r="DB84" s="364"/>
      <c r="DC84" s="364"/>
      <c r="DD84" s="364"/>
      <c r="DE84" s="364"/>
      <c r="DF84" s="364"/>
      <c r="DG84" s="364"/>
      <c r="DH84" s="364"/>
      <c r="DI84" s="364"/>
      <c r="DJ84" s="364"/>
      <c r="DK84" s="364"/>
      <c r="DL84" s="364"/>
      <c r="DM84" s="364"/>
      <c r="DN84" s="364"/>
      <c r="DO84" s="364"/>
    </row>
    <row r="85" spans="1:119" s="109" customFormat="1" ht="41.4" x14ac:dyDescent="0.3">
      <c r="A85" s="364"/>
      <c r="B85" s="133" t="s">
        <v>1021</v>
      </c>
      <c r="C85" s="245" t="s">
        <v>1014</v>
      </c>
      <c r="D85" s="140" t="str">
        <f t="shared" si="48"/>
        <v>X</v>
      </c>
      <c r="E85" s="486">
        <v>3373.61</v>
      </c>
      <c r="F85" s="142" t="str">
        <f t="shared" si="49"/>
        <v>X</v>
      </c>
      <c r="G85" s="465">
        <f>66.67*0.5</f>
        <v>33.335000000000001</v>
      </c>
      <c r="H85" s="614" t="str">
        <f t="shared" si="50"/>
        <v>X</v>
      </c>
      <c r="I85" s="616">
        <f t="shared" si="66"/>
        <v>112.5</v>
      </c>
      <c r="J85" s="142" t="str">
        <f t="shared" si="51"/>
        <v>X</v>
      </c>
      <c r="K85" s="72" t="s">
        <v>1015</v>
      </c>
      <c r="L85" s="142" t="str">
        <f t="shared" si="52"/>
        <v>X</v>
      </c>
      <c r="M85" s="361">
        <v>245</v>
      </c>
      <c r="N85" s="181" t="str">
        <f t="shared" si="53"/>
        <v>X</v>
      </c>
      <c r="O85" s="365">
        <v>155</v>
      </c>
      <c r="P85" s="142" t="str">
        <f t="shared" si="54"/>
        <v>ERROR</v>
      </c>
      <c r="Q85" s="298">
        <v>1</v>
      </c>
      <c r="R85" s="181" t="str">
        <f t="shared" si="55"/>
        <v>X</v>
      </c>
      <c r="S85" s="373" t="s">
        <v>1016</v>
      </c>
      <c r="T85" s="142" t="str">
        <f t="shared" si="56"/>
        <v>X</v>
      </c>
      <c r="U85" s="718">
        <v>1</v>
      </c>
      <c r="V85" s="181" t="str">
        <f t="shared" si="57"/>
        <v>X</v>
      </c>
      <c r="W85" s="365" t="s">
        <v>1017</v>
      </c>
      <c r="X85" s="142" t="str">
        <f t="shared" si="58"/>
        <v>ERROR</v>
      </c>
      <c r="Y85" s="840">
        <v>0.09</v>
      </c>
      <c r="Z85" s="181" t="str">
        <f t="shared" si="59"/>
        <v>X</v>
      </c>
      <c r="AA85" s="365" t="s">
        <v>1018</v>
      </c>
      <c r="AB85" s="140" t="str">
        <f t="shared" si="60"/>
        <v>X</v>
      </c>
      <c r="AC85" s="719" t="s">
        <v>548</v>
      </c>
      <c r="AD85" s="142" t="str">
        <f t="shared" si="61"/>
        <v>X</v>
      </c>
      <c r="AE85" s="298">
        <v>14.9993</v>
      </c>
      <c r="AF85" s="140" t="str">
        <f t="shared" si="67"/>
        <v>X</v>
      </c>
      <c r="AG85" s="418">
        <v>0.15</v>
      </c>
      <c r="AH85" s="140" t="str">
        <f t="shared" si="62"/>
        <v>X</v>
      </c>
      <c r="AI85" s="790">
        <f t="shared" si="63"/>
        <v>1687</v>
      </c>
      <c r="AJ85" s="142" t="str">
        <f t="shared" si="64"/>
        <v>X</v>
      </c>
      <c r="AK85" s="360" t="s">
        <v>1019</v>
      </c>
      <c r="AL85" s="142" t="str">
        <f t="shared" si="65"/>
        <v>X</v>
      </c>
      <c r="AM85" s="360" t="s">
        <v>1020</v>
      </c>
      <c r="AN85" s="364"/>
      <c r="AO85" s="364"/>
      <c r="AP85" s="364"/>
      <c r="AQ85" s="364"/>
      <c r="AR85" s="364"/>
      <c r="AS85" s="364"/>
      <c r="AT85" s="357" t="s">
        <v>1021</v>
      </c>
      <c r="AU85" s="357" t="s">
        <v>170</v>
      </c>
      <c r="AV85" s="357" t="s">
        <v>1022</v>
      </c>
      <c r="AW85" s="357">
        <v>3373.6129999999998</v>
      </c>
      <c r="AX85" s="357" t="s">
        <v>1036</v>
      </c>
      <c r="AY85" s="357">
        <v>1</v>
      </c>
      <c r="AZ85" s="357">
        <v>33.335000000000001</v>
      </c>
      <c r="BA85" s="357">
        <v>112.459</v>
      </c>
      <c r="BB85" s="357" t="s">
        <v>1015</v>
      </c>
      <c r="BC85" s="357">
        <v>245</v>
      </c>
      <c r="BD85" s="357">
        <v>155</v>
      </c>
      <c r="BE85" s="357">
        <v>-99996</v>
      </c>
      <c r="BF85" s="357" t="s">
        <v>1018</v>
      </c>
      <c r="BG85" s="357">
        <v>0.5</v>
      </c>
      <c r="BH85" s="357">
        <v>14.9993</v>
      </c>
      <c r="BI85" s="357">
        <v>0.5</v>
      </c>
      <c r="BJ85" s="357">
        <v>14.9993</v>
      </c>
      <c r="BK85" s="357">
        <v>506.04199999999997</v>
      </c>
      <c r="BL85" s="357">
        <v>1686.81</v>
      </c>
      <c r="BM85" s="357" t="s">
        <v>1069</v>
      </c>
      <c r="BN85" s="357" t="s">
        <v>1078</v>
      </c>
      <c r="BO85" s="357">
        <v>4.48E-2</v>
      </c>
      <c r="BP85" s="357" t="s">
        <v>1079</v>
      </c>
      <c r="BQ85" s="357" t="s">
        <v>1080</v>
      </c>
      <c r="BR85" s="364"/>
      <c r="BS85" s="364"/>
      <c r="BT85" s="364"/>
      <c r="BU85" s="364"/>
      <c r="BV85" s="357"/>
      <c r="BW85" s="357"/>
      <c r="BX85" s="357"/>
      <c r="BY85" s="357"/>
      <c r="BZ85" s="357"/>
      <c r="CA85" s="357"/>
      <c r="CB85" s="357"/>
      <c r="CC85" s="357"/>
      <c r="CD85" s="357" t="s">
        <v>1021</v>
      </c>
      <c r="CE85" s="357" t="s">
        <v>170</v>
      </c>
      <c r="CF85" s="357" t="s">
        <v>1022</v>
      </c>
      <c r="CG85" s="357">
        <v>3373.6127000000001</v>
      </c>
      <c r="CH85" s="357" t="s">
        <v>1036</v>
      </c>
      <c r="CI85" s="357">
        <v>1</v>
      </c>
      <c r="CJ85" s="357">
        <v>33.335000000000001</v>
      </c>
      <c r="CK85" s="357">
        <v>112.459</v>
      </c>
      <c r="CL85" s="357" t="s">
        <v>1015</v>
      </c>
      <c r="CM85" s="357">
        <v>245</v>
      </c>
      <c r="CN85" s="357">
        <v>155</v>
      </c>
      <c r="CO85" s="357">
        <v>-99996</v>
      </c>
      <c r="CP85" s="357" t="s">
        <v>1018</v>
      </c>
      <c r="CQ85" s="357">
        <v>0.5</v>
      </c>
      <c r="CR85" s="357">
        <v>14.9993</v>
      </c>
      <c r="CS85" s="357">
        <v>0.5</v>
      </c>
      <c r="CT85" s="357">
        <v>14.9993</v>
      </c>
      <c r="CU85" s="357">
        <v>506.04199999999997</v>
      </c>
      <c r="CV85" s="364">
        <v>1686.81</v>
      </c>
      <c r="CW85" s="364" t="s">
        <v>1069</v>
      </c>
      <c r="CX85" s="364" t="s">
        <v>1078</v>
      </c>
      <c r="CY85" s="364">
        <v>4.48E-2</v>
      </c>
      <c r="CZ85" s="364" t="s">
        <v>1079</v>
      </c>
      <c r="DA85" s="364" t="s">
        <v>1080</v>
      </c>
      <c r="DB85" s="364"/>
      <c r="DC85" s="364"/>
      <c r="DD85" s="364"/>
      <c r="DE85" s="364"/>
      <c r="DF85" s="364"/>
      <c r="DG85" s="364"/>
      <c r="DH85" s="364"/>
      <c r="DI85" s="364"/>
      <c r="DJ85" s="364"/>
      <c r="DK85" s="364"/>
      <c r="DL85" s="364"/>
      <c r="DM85" s="364"/>
      <c r="DN85" s="364"/>
      <c r="DO85" s="364"/>
    </row>
    <row r="86" spans="1:119" s="109" customFormat="1" ht="27.6" x14ac:dyDescent="0.3">
      <c r="A86" s="364"/>
      <c r="B86" s="133" t="s">
        <v>1023</v>
      </c>
      <c r="C86" s="245" t="s">
        <v>985</v>
      </c>
      <c r="D86" s="140" t="str">
        <f t="shared" si="48"/>
        <v>X</v>
      </c>
      <c r="E86" s="486">
        <v>2174.0500000000002</v>
      </c>
      <c r="F86" s="142" t="str">
        <f t="shared" si="49"/>
        <v>X</v>
      </c>
      <c r="G86" s="465">
        <f>10*0.5</f>
        <v>5</v>
      </c>
      <c r="H86" s="614" t="str">
        <f t="shared" si="50"/>
        <v>X</v>
      </c>
      <c r="I86" s="616">
        <f t="shared" si="66"/>
        <v>10.9</v>
      </c>
      <c r="J86" s="142" t="str">
        <f t="shared" si="51"/>
        <v>X</v>
      </c>
      <c r="K86" s="376" t="s">
        <v>1015</v>
      </c>
      <c r="L86" s="142" t="str">
        <f t="shared" si="52"/>
        <v>X</v>
      </c>
      <c r="M86" s="361">
        <v>250</v>
      </c>
      <c r="N86" s="181" t="str">
        <f t="shared" si="53"/>
        <v>X</v>
      </c>
      <c r="O86" s="365">
        <v>250</v>
      </c>
      <c r="P86" s="142" t="str">
        <f t="shared" si="54"/>
        <v>X</v>
      </c>
      <c r="Q86" s="298">
        <v>0.6</v>
      </c>
      <c r="R86" s="181" t="str">
        <f t="shared" si="55"/>
        <v>X</v>
      </c>
      <c r="S86" s="373" t="s">
        <v>1016</v>
      </c>
      <c r="T86" s="142" t="str">
        <f t="shared" si="56"/>
        <v>X</v>
      </c>
      <c r="U86" s="718">
        <v>0</v>
      </c>
      <c r="V86" s="181" t="str">
        <f t="shared" si="57"/>
        <v>X</v>
      </c>
      <c r="W86" s="872"/>
      <c r="X86" s="142" t="str">
        <f t="shared" si="58"/>
        <v>ERROR</v>
      </c>
      <c r="Y86" s="840">
        <v>0</v>
      </c>
      <c r="Z86" s="181" t="str">
        <f t="shared" si="59"/>
        <v>X</v>
      </c>
      <c r="AA86" s="365" t="s">
        <v>1018</v>
      </c>
      <c r="AB86" s="140" t="str">
        <f t="shared" si="60"/>
        <v>X</v>
      </c>
      <c r="AC86" s="719" t="s">
        <v>548</v>
      </c>
      <c r="AD86" s="142" t="str">
        <f t="shared" si="61"/>
        <v>X</v>
      </c>
      <c r="AE86" s="202">
        <v>0</v>
      </c>
      <c r="AF86" s="140" t="str">
        <f t="shared" si="67"/>
        <v>X</v>
      </c>
      <c r="AG86" s="418">
        <v>0.15</v>
      </c>
      <c r="AH86" s="140" t="str">
        <f t="shared" si="62"/>
        <v>X</v>
      </c>
      <c r="AI86" s="790">
        <f t="shared" si="63"/>
        <v>326</v>
      </c>
      <c r="AJ86" s="142" t="str">
        <f t="shared" si="64"/>
        <v>X</v>
      </c>
      <c r="AK86" s="360" t="s">
        <v>1019</v>
      </c>
      <c r="AL86" s="142" t="str">
        <f t="shared" si="65"/>
        <v>X</v>
      </c>
      <c r="AM86" s="360" t="s">
        <v>1020</v>
      </c>
      <c r="AN86" s="364"/>
      <c r="AO86" s="364"/>
      <c r="AP86" s="364"/>
      <c r="AQ86" s="364"/>
      <c r="AR86" s="364"/>
      <c r="AS86" s="364"/>
      <c r="AT86" s="357" t="s">
        <v>1023</v>
      </c>
      <c r="AU86" s="357" t="s">
        <v>170</v>
      </c>
      <c r="AV86" s="357" t="s">
        <v>988</v>
      </c>
      <c r="AW86" s="357">
        <v>2174.0500000000002</v>
      </c>
      <c r="AX86" s="357" t="s">
        <v>1036</v>
      </c>
      <c r="AY86" s="357">
        <v>1</v>
      </c>
      <c r="AZ86" s="357">
        <v>5</v>
      </c>
      <c r="BA86" s="357">
        <v>10.8703</v>
      </c>
      <c r="BB86" s="357" t="s">
        <v>1015</v>
      </c>
      <c r="BC86" s="357">
        <v>250</v>
      </c>
      <c r="BD86" s="357">
        <v>250</v>
      </c>
      <c r="BE86" s="357">
        <v>-99996</v>
      </c>
      <c r="BF86" s="357" t="s">
        <v>1018</v>
      </c>
      <c r="BG86" s="357">
        <v>0.15</v>
      </c>
      <c r="BH86" s="357">
        <v>30</v>
      </c>
      <c r="BI86" s="357">
        <v>0.15</v>
      </c>
      <c r="BJ86" s="357">
        <v>30</v>
      </c>
      <c r="BK86" s="357">
        <v>326.108</v>
      </c>
      <c r="BL86" s="357">
        <v>0</v>
      </c>
      <c r="BM86" s="357" t="s">
        <v>1069</v>
      </c>
      <c r="BN86" s="357" t="s">
        <v>1078</v>
      </c>
      <c r="BO86" s="357">
        <v>4.48E-2</v>
      </c>
      <c r="BP86" s="357" t="s">
        <v>1079</v>
      </c>
      <c r="BQ86" s="357" t="s">
        <v>1080</v>
      </c>
      <c r="BR86" s="364"/>
      <c r="BS86" s="364"/>
      <c r="BT86" s="364"/>
      <c r="BU86" s="364"/>
      <c r="BV86" s="357"/>
      <c r="BW86" s="357"/>
      <c r="BX86" s="357"/>
      <c r="BY86" s="357"/>
      <c r="BZ86" s="357"/>
      <c r="CA86" s="357"/>
      <c r="CB86" s="357"/>
      <c r="CC86" s="357"/>
      <c r="CD86" s="357" t="s">
        <v>1023</v>
      </c>
      <c r="CE86" s="357" t="s">
        <v>170</v>
      </c>
      <c r="CF86" s="357" t="s">
        <v>988</v>
      </c>
      <c r="CG86" s="357">
        <v>2174.0502999999999</v>
      </c>
      <c r="CH86" s="357" t="s">
        <v>1036</v>
      </c>
      <c r="CI86" s="357">
        <v>1</v>
      </c>
      <c r="CJ86" s="357">
        <v>5</v>
      </c>
      <c r="CK86" s="357">
        <v>10.8703</v>
      </c>
      <c r="CL86" s="357" t="s">
        <v>1015</v>
      </c>
      <c r="CM86" s="357">
        <v>250</v>
      </c>
      <c r="CN86" s="357">
        <v>250</v>
      </c>
      <c r="CO86" s="357">
        <v>-99996</v>
      </c>
      <c r="CP86" s="357" t="s">
        <v>1018</v>
      </c>
      <c r="CQ86" s="357">
        <v>0.15</v>
      </c>
      <c r="CR86" s="357">
        <v>30</v>
      </c>
      <c r="CS86" s="357">
        <v>0.15</v>
      </c>
      <c r="CT86" s="357">
        <v>30</v>
      </c>
      <c r="CU86" s="357">
        <v>326.108</v>
      </c>
      <c r="CV86" s="364">
        <v>0</v>
      </c>
      <c r="CW86" s="364" t="s">
        <v>1069</v>
      </c>
      <c r="CX86" s="364" t="s">
        <v>1078</v>
      </c>
      <c r="CY86" s="364">
        <v>4.48E-2</v>
      </c>
      <c r="CZ86" s="364" t="s">
        <v>1079</v>
      </c>
      <c r="DA86" s="364" t="s">
        <v>1080</v>
      </c>
      <c r="DB86" s="364"/>
      <c r="DC86" s="364"/>
      <c r="DD86" s="364"/>
      <c r="DE86" s="364"/>
      <c r="DF86" s="364"/>
      <c r="DG86" s="364"/>
      <c r="DH86" s="364"/>
      <c r="DI86" s="364"/>
      <c r="DJ86" s="364"/>
      <c r="DK86" s="364"/>
      <c r="DL86" s="364"/>
      <c r="DM86" s="364"/>
      <c r="DN86" s="364"/>
      <c r="DO86" s="364"/>
    </row>
    <row r="87" spans="1:119" ht="41.4" x14ac:dyDescent="0.3">
      <c r="A87" s="364"/>
      <c r="B87" s="133" t="s">
        <v>1024</v>
      </c>
      <c r="C87" s="245" t="s">
        <v>1014</v>
      </c>
      <c r="D87" s="140" t="str">
        <f t="shared" si="48"/>
        <v>X</v>
      </c>
      <c r="E87" s="486">
        <v>3373.64</v>
      </c>
      <c r="F87" s="142" t="str">
        <f t="shared" si="49"/>
        <v>X</v>
      </c>
      <c r="G87" s="465">
        <f>66.67*0.5</f>
        <v>33.335000000000001</v>
      </c>
      <c r="H87" s="614" t="str">
        <f t="shared" si="50"/>
        <v>X</v>
      </c>
      <c r="I87" s="616">
        <f t="shared" si="66"/>
        <v>112.5</v>
      </c>
      <c r="J87" s="142" t="str">
        <f t="shared" si="51"/>
        <v>X</v>
      </c>
      <c r="K87" s="72" t="s">
        <v>1015</v>
      </c>
      <c r="L87" s="142" t="str">
        <f t="shared" si="52"/>
        <v>X</v>
      </c>
      <c r="M87" s="361">
        <v>245</v>
      </c>
      <c r="N87" s="181" t="str">
        <f t="shared" si="53"/>
        <v>X</v>
      </c>
      <c r="O87" s="365">
        <v>155</v>
      </c>
      <c r="P87" s="142" t="str">
        <f t="shared" si="54"/>
        <v>ERROR</v>
      </c>
      <c r="Q87" s="298">
        <v>1</v>
      </c>
      <c r="R87" s="181" t="str">
        <f t="shared" si="55"/>
        <v>X</v>
      </c>
      <c r="S87" s="373" t="s">
        <v>1016</v>
      </c>
      <c r="T87" s="142" t="str">
        <f t="shared" si="56"/>
        <v>X</v>
      </c>
      <c r="U87" s="718">
        <v>1</v>
      </c>
      <c r="V87" s="181" t="str">
        <f t="shared" si="57"/>
        <v>X</v>
      </c>
      <c r="W87" s="365" t="s">
        <v>1017</v>
      </c>
      <c r="X87" s="142" t="str">
        <f t="shared" si="58"/>
        <v>ERROR</v>
      </c>
      <c r="Y87" s="840">
        <v>0.09</v>
      </c>
      <c r="Z87" s="181" t="str">
        <f t="shared" si="59"/>
        <v>X</v>
      </c>
      <c r="AA87" s="365" t="s">
        <v>1018</v>
      </c>
      <c r="AB87" s="140" t="str">
        <f t="shared" si="60"/>
        <v>X</v>
      </c>
      <c r="AC87" s="719" t="s">
        <v>548</v>
      </c>
      <c r="AD87" s="142" t="str">
        <f t="shared" si="61"/>
        <v>X</v>
      </c>
      <c r="AE87" s="298">
        <v>14.9993</v>
      </c>
      <c r="AF87" s="140" t="str">
        <f t="shared" si="67"/>
        <v>X</v>
      </c>
      <c r="AG87" s="418">
        <v>0.15</v>
      </c>
      <c r="AH87" s="140" t="str">
        <f t="shared" si="62"/>
        <v>X</v>
      </c>
      <c r="AI87" s="790">
        <f t="shared" si="63"/>
        <v>1687</v>
      </c>
      <c r="AJ87" s="142" t="str">
        <f t="shared" si="64"/>
        <v>X</v>
      </c>
      <c r="AK87" s="360" t="s">
        <v>1019</v>
      </c>
      <c r="AL87" s="142" t="str">
        <f t="shared" si="65"/>
        <v>X</v>
      </c>
      <c r="AM87" s="360" t="s">
        <v>1020</v>
      </c>
      <c r="AN87" s="365"/>
      <c r="AO87" s="365"/>
      <c r="AP87" s="365"/>
      <c r="AQ87" s="365"/>
      <c r="AR87" s="365"/>
      <c r="AS87" s="365"/>
      <c r="AT87" s="357" t="s">
        <v>1024</v>
      </c>
      <c r="AU87" s="357" t="s">
        <v>170</v>
      </c>
      <c r="AV87" s="357" t="s">
        <v>1022</v>
      </c>
      <c r="AW87" s="357">
        <v>3373.6350000000002</v>
      </c>
      <c r="AX87" s="357" t="s">
        <v>1036</v>
      </c>
      <c r="AY87" s="357">
        <v>1</v>
      </c>
      <c r="AZ87" s="357">
        <v>33.335000000000001</v>
      </c>
      <c r="BA87" s="357">
        <v>112.46</v>
      </c>
      <c r="BB87" s="357" t="s">
        <v>1015</v>
      </c>
      <c r="BC87" s="357">
        <v>245</v>
      </c>
      <c r="BD87" s="357">
        <v>155</v>
      </c>
      <c r="BE87" s="357">
        <v>-99996</v>
      </c>
      <c r="BF87" s="357" t="s">
        <v>1018</v>
      </c>
      <c r="BG87" s="357">
        <v>0.5</v>
      </c>
      <c r="BH87" s="357">
        <v>14.9993</v>
      </c>
      <c r="BI87" s="357">
        <v>0.5</v>
      </c>
      <c r="BJ87" s="357">
        <v>14.9993</v>
      </c>
      <c r="BK87" s="357">
        <v>506.04500000000002</v>
      </c>
      <c r="BL87" s="357">
        <v>1686.82</v>
      </c>
      <c r="BM87" s="357" t="s">
        <v>1069</v>
      </c>
      <c r="BN87" s="357" t="s">
        <v>1078</v>
      </c>
      <c r="BO87" s="357">
        <v>4.48E-2</v>
      </c>
      <c r="BP87" s="357" t="s">
        <v>1079</v>
      </c>
      <c r="BQ87" s="357" t="s">
        <v>1080</v>
      </c>
      <c r="BR87" s="364"/>
      <c r="BS87" s="364"/>
      <c r="BT87" s="364"/>
      <c r="BU87" s="364"/>
      <c r="BV87" s="357"/>
      <c r="BW87" s="357"/>
      <c r="BX87" s="357"/>
      <c r="BY87" s="357"/>
      <c r="BZ87" s="357"/>
      <c r="CA87" s="357"/>
      <c r="CB87" s="357"/>
      <c r="CC87" s="357"/>
      <c r="CD87" s="357" t="s">
        <v>1024</v>
      </c>
      <c r="CE87" s="357" t="s">
        <v>170</v>
      </c>
      <c r="CF87" s="357" t="s">
        <v>1022</v>
      </c>
      <c r="CG87" s="357">
        <v>3373.6351</v>
      </c>
      <c r="CH87" s="357" t="s">
        <v>1036</v>
      </c>
      <c r="CI87" s="357">
        <v>1</v>
      </c>
      <c r="CJ87" s="357">
        <v>33.335000000000001</v>
      </c>
      <c r="CK87" s="357">
        <v>112.46</v>
      </c>
      <c r="CL87" s="357" t="s">
        <v>1015</v>
      </c>
      <c r="CM87" s="357">
        <v>245</v>
      </c>
      <c r="CN87" s="357">
        <v>155</v>
      </c>
      <c r="CO87" s="357">
        <v>-99996</v>
      </c>
      <c r="CP87" s="357" t="s">
        <v>1018</v>
      </c>
      <c r="CQ87" s="357">
        <v>0.5</v>
      </c>
      <c r="CR87" s="357">
        <v>14.9993</v>
      </c>
      <c r="CS87" s="357">
        <v>0.5</v>
      </c>
      <c r="CT87" s="357">
        <v>14.9993</v>
      </c>
      <c r="CU87" s="357">
        <v>506.04500000000002</v>
      </c>
      <c r="CV87" s="364">
        <v>1686.82</v>
      </c>
      <c r="CW87" s="364" t="s">
        <v>1069</v>
      </c>
      <c r="CX87" s="364" t="s">
        <v>1078</v>
      </c>
      <c r="CY87" s="364">
        <v>4.48E-2</v>
      </c>
      <c r="CZ87" s="364" t="s">
        <v>1079</v>
      </c>
      <c r="DA87" s="364" t="s">
        <v>1080</v>
      </c>
      <c r="DB87" s="364"/>
      <c r="DC87" s="364"/>
      <c r="DD87" s="364"/>
      <c r="DE87" s="364"/>
      <c r="DF87" s="364"/>
      <c r="DG87" s="364"/>
      <c r="DH87" s="364"/>
      <c r="DI87" s="364"/>
      <c r="DJ87" s="364"/>
      <c r="DK87" s="364"/>
      <c r="DL87" s="364"/>
    </row>
    <row r="88" spans="1:119" ht="41.4" x14ac:dyDescent="0.3">
      <c r="A88" s="364"/>
      <c r="B88" s="133" t="s">
        <v>1025</v>
      </c>
      <c r="C88" s="245" t="s">
        <v>1014</v>
      </c>
      <c r="D88" s="140" t="str">
        <f t="shared" si="48"/>
        <v>X</v>
      </c>
      <c r="E88" s="486">
        <v>2174.04</v>
      </c>
      <c r="F88" s="142" t="str">
        <f t="shared" si="49"/>
        <v>X</v>
      </c>
      <c r="G88" s="465">
        <f>66.67*0.5</f>
        <v>33.335000000000001</v>
      </c>
      <c r="H88" s="614" t="str">
        <f t="shared" si="50"/>
        <v>X</v>
      </c>
      <c r="I88" s="616">
        <f t="shared" si="66"/>
        <v>72.5</v>
      </c>
      <c r="J88" s="142" t="str">
        <f t="shared" si="51"/>
        <v>X</v>
      </c>
      <c r="K88" s="72" t="s">
        <v>1015</v>
      </c>
      <c r="L88" s="142" t="str">
        <f t="shared" si="52"/>
        <v>X</v>
      </c>
      <c r="M88" s="361">
        <v>245</v>
      </c>
      <c r="N88" s="181" t="str">
        <f t="shared" si="53"/>
        <v>X</v>
      </c>
      <c r="O88" s="365">
        <v>155</v>
      </c>
      <c r="P88" s="142" t="str">
        <f t="shared" si="54"/>
        <v>ERROR</v>
      </c>
      <c r="Q88" s="298">
        <v>1</v>
      </c>
      <c r="R88" s="181" t="str">
        <f t="shared" si="55"/>
        <v>X</v>
      </c>
      <c r="S88" s="373" t="s">
        <v>1016</v>
      </c>
      <c r="T88" s="142" t="str">
        <f t="shared" si="56"/>
        <v>X</v>
      </c>
      <c r="U88" s="718">
        <v>1</v>
      </c>
      <c r="V88" s="181" t="str">
        <f t="shared" si="57"/>
        <v>X</v>
      </c>
      <c r="W88" s="365" t="s">
        <v>1017</v>
      </c>
      <c r="X88" s="142" t="str">
        <f t="shared" si="58"/>
        <v>ERROR</v>
      </c>
      <c r="Y88" s="840">
        <v>0.09</v>
      </c>
      <c r="Z88" s="181" t="str">
        <f t="shared" si="59"/>
        <v>X</v>
      </c>
      <c r="AA88" s="365" t="s">
        <v>1018</v>
      </c>
      <c r="AB88" s="140" t="str">
        <f t="shared" si="60"/>
        <v>X</v>
      </c>
      <c r="AC88" s="719" t="s">
        <v>548</v>
      </c>
      <c r="AD88" s="142" t="str">
        <f t="shared" si="61"/>
        <v>X</v>
      </c>
      <c r="AE88" s="298">
        <v>14.9993</v>
      </c>
      <c r="AF88" s="140" t="str">
        <f t="shared" si="67"/>
        <v>X</v>
      </c>
      <c r="AG88" s="418">
        <v>0.15</v>
      </c>
      <c r="AH88" s="140" t="str">
        <f t="shared" si="62"/>
        <v>X</v>
      </c>
      <c r="AI88" s="790">
        <f t="shared" si="63"/>
        <v>1087</v>
      </c>
      <c r="AJ88" s="142" t="str">
        <f t="shared" si="64"/>
        <v>X</v>
      </c>
      <c r="AK88" s="360" t="s">
        <v>1019</v>
      </c>
      <c r="AL88" s="142" t="str">
        <f t="shared" si="65"/>
        <v>X</v>
      </c>
      <c r="AM88" s="360" t="s">
        <v>1020</v>
      </c>
      <c r="AN88" s="365"/>
      <c r="AO88" s="365"/>
      <c r="AP88" s="365"/>
      <c r="AQ88" s="365"/>
      <c r="AR88" s="365"/>
      <c r="AS88" s="365"/>
      <c r="AT88" s="357" t="s">
        <v>1025</v>
      </c>
      <c r="AU88" s="357" t="s">
        <v>170</v>
      </c>
      <c r="AV88" s="357" t="s">
        <v>1022</v>
      </c>
      <c r="AW88" s="357">
        <v>2174.0360000000001</v>
      </c>
      <c r="AX88" s="357" t="s">
        <v>1036</v>
      </c>
      <c r="AY88" s="357">
        <v>1</v>
      </c>
      <c r="AZ88" s="357">
        <v>33.335000000000001</v>
      </c>
      <c r="BA88" s="357">
        <v>72.471500000000006</v>
      </c>
      <c r="BB88" s="357" t="s">
        <v>1015</v>
      </c>
      <c r="BC88" s="357">
        <v>245</v>
      </c>
      <c r="BD88" s="357">
        <v>155</v>
      </c>
      <c r="BE88" s="357">
        <v>-99996</v>
      </c>
      <c r="BF88" s="357" t="s">
        <v>1018</v>
      </c>
      <c r="BG88" s="357">
        <v>0.5</v>
      </c>
      <c r="BH88" s="357">
        <v>14.9993</v>
      </c>
      <c r="BI88" s="357">
        <v>0.5</v>
      </c>
      <c r="BJ88" s="357">
        <v>14.9993</v>
      </c>
      <c r="BK88" s="357">
        <v>326.10500000000002</v>
      </c>
      <c r="BL88" s="357">
        <v>1087.02</v>
      </c>
      <c r="BM88" s="357" t="s">
        <v>1069</v>
      </c>
      <c r="BN88" s="357" t="s">
        <v>1078</v>
      </c>
      <c r="BO88" s="357">
        <v>4.48E-2</v>
      </c>
      <c r="BP88" s="357" t="s">
        <v>1079</v>
      </c>
      <c r="BQ88" s="357" t="s">
        <v>1080</v>
      </c>
      <c r="BR88" s="364"/>
      <c r="BS88" s="364"/>
      <c r="BT88" s="364"/>
      <c r="BU88" s="364"/>
      <c r="BV88" s="357"/>
      <c r="BW88" s="357"/>
      <c r="BX88" s="357"/>
      <c r="BY88" s="357"/>
      <c r="BZ88" s="357"/>
      <c r="CA88" s="357"/>
      <c r="CB88" s="357"/>
      <c r="CC88" s="357"/>
      <c r="CD88" s="357" t="s">
        <v>1025</v>
      </c>
      <c r="CE88" s="357" t="s">
        <v>170</v>
      </c>
      <c r="CF88" s="357" t="s">
        <v>1022</v>
      </c>
      <c r="CG88" s="357">
        <v>2174.0358999999999</v>
      </c>
      <c r="CH88" s="357" t="s">
        <v>1036</v>
      </c>
      <c r="CI88" s="357">
        <v>1</v>
      </c>
      <c r="CJ88" s="357">
        <v>33.335000000000001</v>
      </c>
      <c r="CK88" s="357">
        <v>72.471500000000006</v>
      </c>
      <c r="CL88" s="357" t="s">
        <v>1015</v>
      </c>
      <c r="CM88" s="357">
        <v>245</v>
      </c>
      <c r="CN88" s="357">
        <v>155</v>
      </c>
      <c r="CO88" s="357">
        <v>-99996</v>
      </c>
      <c r="CP88" s="357" t="s">
        <v>1018</v>
      </c>
      <c r="CQ88" s="357">
        <v>0.5</v>
      </c>
      <c r="CR88" s="357">
        <v>14.9993</v>
      </c>
      <c r="CS88" s="357">
        <v>0.5</v>
      </c>
      <c r="CT88" s="357">
        <v>14.9993</v>
      </c>
      <c r="CU88" s="357">
        <v>326.10500000000002</v>
      </c>
      <c r="CV88" s="364">
        <v>1087.02</v>
      </c>
      <c r="CW88" s="364" t="s">
        <v>1069</v>
      </c>
      <c r="CX88" s="364" t="s">
        <v>1078</v>
      </c>
      <c r="CY88" s="364">
        <v>4.48E-2</v>
      </c>
      <c r="CZ88" s="364" t="s">
        <v>1079</v>
      </c>
      <c r="DA88" s="364" t="s">
        <v>1080</v>
      </c>
      <c r="DB88" s="364"/>
      <c r="DC88" s="364"/>
      <c r="DD88" s="364"/>
      <c r="DE88" s="364"/>
      <c r="DF88" s="364"/>
      <c r="DG88" s="364"/>
      <c r="DH88" s="364"/>
      <c r="DI88" s="364"/>
      <c r="DJ88" s="364"/>
      <c r="DK88" s="364"/>
      <c r="DL88" s="364"/>
    </row>
    <row r="89" spans="1:119" ht="27.6" x14ac:dyDescent="0.3">
      <c r="A89" s="364"/>
      <c r="B89" s="317" t="s">
        <v>1026</v>
      </c>
      <c r="C89" s="318" t="s">
        <v>979</v>
      </c>
      <c r="D89" s="325" t="s">
        <v>173</v>
      </c>
      <c r="E89" s="406" t="s">
        <v>173</v>
      </c>
      <c r="F89" s="325" t="s">
        <v>173</v>
      </c>
      <c r="G89" s="715" t="s">
        <v>173</v>
      </c>
      <c r="H89" s="325" t="s">
        <v>173</v>
      </c>
      <c r="I89" s="406" t="s">
        <v>173</v>
      </c>
      <c r="J89" s="325" t="s">
        <v>173</v>
      </c>
      <c r="K89" s="419" t="s">
        <v>173</v>
      </c>
      <c r="L89" s="325" t="s">
        <v>173</v>
      </c>
      <c r="M89" s="406" t="s">
        <v>173</v>
      </c>
      <c r="N89" s="263" t="s">
        <v>173</v>
      </c>
      <c r="O89" s="419" t="s">
        <v>173</v>
      </c>
      <c r="P89" s="325" t="s">
        <v>173</v>
      </c>
      <c r="Q89" s="715" t="s">
        <v>173</v>
      </c>
      <c r="R89" s="263" t="s">
        <v>173</v>
      </c>
      <c r="S89" s="419" t="s">
        <v>173</v>
      </c>
      <c r="T89" s="325" t="s">
        <v>173</v>
      </c>
      <c r="U89" s="714" t="s">
        <v>173</v>
      </c>
      <c r="V89" s="263" t="s">
        <v>173</v>
      </c>
      <c r="W89" s="419" t="s">
        <v>173</v>
      </c>
      <c r="X89" s="610" t="s">
        <v>173</v>
      </c>
      <c r="Y89" s="721" t="s">
        <v>173</v>
      </c>
      <c r="Z89" s="610" t="s">
        <v>173</v>
      </c>
      <c r="AA89" s="419" t="s">
        <v>173</v>
      </c>
      <c r="AB89" s="325" t="s">
        <v>173</v>
      </c>
      <c r="AC89" s="419" t="s">
        <v>173</v>
      </c>
      <c r="AD89" s="610" t="s">
        <v>173</v>
      </c>
      <c r="AE89" s="419" t="s">
        <v>173</v>
      </c>
      <c r="AF89" s="610" t="s">
        <v>173</v>
      </c>
      <c r="AG89" s="720" t="s">
        <v>173</v>
      </c>
      <c r="AH89" s="610" t="s">
        <v>173</v>
      </c>
      <c r="AI89" s="419"/>
      <c r="AJ89" s="610" t="s">
        <v>173</v>
      </c>
      <c r="AK89" s="419" t="s">
        <v>173</v>
      </c>
      <c r="AL89" s="610" t="s">
        <v>173</v>
      </c>
      <c r="AM89" s="406" t="s">
        <v>173</v>
      </c>
      <c r="AN89" s="365"/>
      <c r="AO89" s="365"/>
      <c r="AP89" s="365"/>
      <c r="AQ89" s="365"/>
      <c r="AR89" s="365"/>
      <c r="AS89" s="365"/>
      <c r="AT89" s="357" t="s">
        <v>1026</v>
      </c>
      <c r="AU89" s="357" t="s">
        <v>983</v>
      </c>
      <c r="AV89" s="357" t="s">
        <v>979</v>
      </c>
      <c r="AW89" s="357">
        <v>0</v>
      </c>
      <c r="AX89" s="357" t="s">
        <v>1036</v>
      </c>
      <c r="AY89" s="357">
        <v>1</v>
      </c>
      <c r="AZ89" s="357">
        <v>-99996</v>
      </c>
      <c r="BA89" s="357">
        <v>0</v>
      </c>
      <c r="BB89" s="357"/>
      <c r="BC89" s="357">
        <v>-99996</v>
      </c>
      <c r="BD89" s="357">
        <v>-99996</v>
      </c>
      <c r="BE89" s="357">
        <v>-99996</v>
      </c>
      <c r="BF89" s="357" t="s">
        <v>1010</v>
      </c>
      <c r="BG89" s="357">
        <v>0</v>
      </c>
      <c r="BH89" s="357">
        <v>0</v>
      </c>
      <c r="BI89" s="357">
        <v>0</v>
      </c>
      <c r="BJ89" s="357">
        <v>0</v>
      </c>
      <c r="BK89" s="357">
        <v>0</v>
      </c>
      <c r="BL89" s="357">
        <v>0</v>
      </c>
      <c r="BM89" s="357" t="s">
        <v>1069</v>
      </c>
      <c r="BN89" s="357" t="s">
        <v>1074</v>
      </c>
      <c r="BO89" s="357">
        <v>4.48E-2</v>
      </c>
      <c r="BP89" s="357" t="s">
        <v>1010</v>
      </c>
      <c r="BQ89" s="357" t="s">
        <v>1010</v>
      </c>
      <c r="BR89" s="364"/>
      <c r="BS89" s="364"/>
      <c r="BT89" s="364"/>
      <c r="BU89" s="364"/>
      <c r="BV89" s="364"/>
      <c r="BW89" s="364"/>
      <c r="BX89" s="364"/>
      <c r="BY89" s="364"/>
      <c r="BZ89" s="364"/>
      <c r="CA89" s="364"/>
      <c r="CB89" s="364"/>
      <c r="CC89" s="364"/>
      <c r="CD89" s="364" t="s">
        <v>1026</v>
      </c>
      <c r="CE89" s="364" t="s">
        <v>983</v>
      </c>
      <c r="CF89" s="364" t="s">
        <v>979</v>
      </c>
      <c r="CG89" s="364">
        <v>0</v>
      </c>
      <c r="CH89" s="364" t="s">
        <v>1036</v>
      </c>
      <c r="CI89" s="364">
        <v>1</v>
      </c>
      <c r="CJ89" s="364">
        <v>-99996</v>
      </c>
      <c r="CK89" s="364">
        <v>0</v>
      </c>
      <c r="CL89" s="364"/>
      <c r="CM89" s="364">
        <v>-99996</v>
      </c>
      <c r="CN89" s="364">
        <v>-99996</v>
      </c>
      <c r="CO89" s="364">
        <v>-99996</v>
      </c>
      <c r="CP89" s="364" t="s">
        <v>1010</v>
      </c>
      <c r="CQ89" s="364">
        <v>0</v>
      </c>
      <c r="CR89" s="364">
        <v>0</v>
      </c>
      <c r="CS89" s="364">
        <v>0</v>
      </c>
      <c r="CT89" s="364">
        <v>0</v>
      </c>
      <c r="CU89" s="364">
        <v>0</v>
      </c>
      <c r="CV89" s="364">
        <v>0</v>
      </c>
      <c r="CW89" s="364" t="s">
        <v>1069</v>
      </c>
      <c r="CX89" s="364" t="s">
        <v>1074</v>
      </c>
      <c r="CY89" s="364">
        <v>4.48E-2</v>
      </c>
      <c r="CZ89" s="364" t="s">
        <v>1010</v>
      </c>
      <c r="DA89" s="364" t="s">
        <v>1010</v>
      </c>
      <c r="DB89" s="364"/>
      <c r="DC89" s="364"/>
      <c r="DD89" s="364"/>
      <c r="DE89" s="364"/>
      <c r="DF89" s="364"/>
      <c r="DG89" s="364"/>
      <c r="DH89" s="364"/>
      <c r="DI89" s="364"/>
      <c r="DJ89" s="364"/>
      <c r="DK89" s="364"/>
      <c r="DL89" s="364"/>
    </row>
    <row r="90" spans="1:119" x14ac:dyDescent="0.3">
      <c r="A90" s="364"/>
      <c r="B90" s="84"/>
      <c r="C90" s="92"/>
      <c r="D90" s="83"/>
      <c r="E90" s="83"/>
      <c r="F90" s="83"/>
      <c r="G90" s="80"/>
      <c r="H90" s="364"/>
      <c r="I90" s="364"/>
      <c r="J90" s="364"/>
      <c r="K90" s="364"/>
      <c r="L90" s="364"/>
      <c r="M90" s="364"/>
      <c r="N90" s="364"/>
      <c r="O90" s="364"/>
      <c r="P90" s="364"/>
      <c r="Q90" s="364"/>
      <c r="R90" s="364"/>
      <c r="S90" s="364"/>
      <c r="T90" s="364"/>
      <c r="U90" s="364"/>
      <c r="V90" s="364"/>
      <c r="W90" s="364"/>
      <c r="X90" s="364"/>
      <c r="Y90" s="364"/>
      <c r="Z90" s="364"/>
      <c r="AA90" s="364"/>
      <c r="AB90" s="364"/>
      <c r="AC90" s="364"/>
      <c r="AD90" s="364"/>
      <c r="AE90" s="364"/>
      <c r="AF90" s="364"/>
      <c r="AG90" s="364"/>
      <c r="AH90" s="82"/>
      <c r="AI90" s="69"/>
      <c r="AJ90" s="82"/>
      <c r="AK90" s="82"/>
      <c r="AL90" s="69"/>
      <c r="AM90" s="364"/>
      <c r="AN90" s="365"/>
      <c r="AO90" s="365"/>
      <c r="AP90" s="365"/>
      <c r="AQ90" s="365"/>
      <c r="AR90" s="365"/>
      <c r="AS90" s="365"/>
      <c r="AT90" s="357"/>
      <c r="AU90" s="357"/>
      <c r="AV90" s="357"/>
      <c r="AW90" s="357"/>
      <c r="AX90" s="357"/>
      <c r="AY90" s="357"/>
      <c r="AZ90" s="357"/>
      <c r="BA90" s="357"/>
      <c r="BB90" s="357"/>
      <c r="BC90" s="357"/>
      <c r="BD90" s="357"/>
      <c r="BE90" s="357"/>
      <c r="BF90" s="357"/>
      <c r="BG90" s="357"/>
      <c r="BH90" s="357"/>
      <c r="BI90" s="357"/>
      <c r="BJ90" s="357"/>
      <c r="BK90" s="357"/>
      <c r="BL90" s="357"/>
      <c r="BM90" s="357"/>
      <c r="BW90" s="364"/>
      <c r="BX90" s="364"/>
      <c r="BY90" s="364"/>
      <c r="BZ90" s="364"/>
      <c r="CA90" s="364"/>
      <c r="CB90" s="364"/>
      <c r="CC90" s="364"/>
      <c r="CD90" s="364"/>
      <c r="CE90" s="364"/>
      <c r="CF90" s="364"/>
      <c r="CG90" s="364"/>
      <c r="CH90" s="364"/>
      <c r="CI90" s="364"/>
      <c r="CJ90" s="364"/>
      <c r="CK90" s="364"/>
      <c r="CL90" s="364"/>
      <c r="CM90" s="364"/>
      <c r="CN90" s="364"/>
      <c r="CO90" s="364"/>
      <c r="CP90" s="364"/>
      <c r="CQ90" s="364"/>
      <c r="CR90" s="364"/>
      <c r="CS90" s="364"/>
      <c r="CT90" s="364"/>
      <c r="CU90" s="364"/>
      <c r="CV90" s="364"/>
      <c r="CW90" s="364"/>
      <c r="CX90" s="364"/>
      <c r="CY90" s="364"/>
      <c r="CZ90" s="364"/>
      <c r="DA90" s="364"/>
      <c r="DB90" s="364"/>
      <c r="DC90" s="364"/>
      <c r="DD90" s="364"/>
      <c r="DE90" s="364"/>
      <c r="DF90" s="364"/>
      <c r="DG90" s="364"/>
      <c r="DH90" s="364"/>
      <c r="DI90" s="364"/>
      <c r="DJ90" s="364"/>
      <c r="DK90" s="364"/>
      <c r="DL90" s="364"/>
    </row>
    <row r="91" spans="1:119" x14ac:dyDescent="0.3">
      <c r="A91" s="50"/>
      <c r="B91" s="50" t="s">
        <v>1027</v>
      </c>
      <c r="C91" s="50"/>
      <c r="D91" s="50"/>
      <c r="E91" s="50"/>
      <c r="F91" s="50"/>
      <c r="G91" s="50" t="str">
        <f>IF(COUNTIF(F95:F99,"Error")&gt;0,"ERROR-"&amp;COUNTIF(F95:F99,"Error"),"")</f>
        <v/>
      </c>
      <c r="H91" s="69"/>
      <c r="I91" s="69"/>
      <c r="J91" s="69"/>
      <c r="K91" s="69"/>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82"/>
      <c r="AI91" s="69"/>
      <c r="AJ91" s="82"/>
      <c r="AK91" s="82"/>
      <c r="AL91" s="69"/>
      <c r="AM91" s="364"/>
      <c r="AN91" s="365"/>
      <c r="AO91" s="365"/>
      <c r="AP91" s="365"/>
      <c r="AQ91" s="365"/>
      <c r="AR91" s="365"/>
      <c r="AS91" s="365"/>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364"/>
      <c r="CC91" s="364"/>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row>
    <row r="92" spans="1:119" x14ac:dyDescent="0.3">
      <c r="A92" s="364"/>
      <c r="B92" s="84" t="s">
        <v>1028</v>
      </c>
      <c r="C92" s="90"/>
      <c r="D92" s="90"/>
      <c r="E92" s="90"/>
      <c r="F92" s="89"/>
      <c r="G92" s="83"/>
      <c r="H92" s="69"/>
      <c r="I92" s="69"/>
      <c r="J92" s="69"/>
      <c r="K92" s="69"/>
      <c r="L92" s="364"/>
      <c r="M92" s="364"/>
      <c r="N92" s="364"/>
      <c r="O92" s="364"/>
      <c r="P92" s="364"/>
      <c r="Q92" s="364"/>
      <c r="R92" s="364"/>
      <c r="S92" s="364"/>
      <c r="T92" s="364"/>
      <c r="U92" s="364"/>
      <c r="V92" s="364"/>
      <c r="W92" s="364"/>
      <c r="X92" s="373"/>
      <c r="Y92" s="364"/>
      <c r="AA92" s="364"/>
      <c r="AB92" s="364"/>
      <c r="AC92" s="364"/>
      <c r="AD92" s="364"/>
      <c r="AE92" s="364"/>
      <c r="AF92" s="364"/>
      <c r="AG92" s="364"/>
      <c r="AH92" s="364"/>
      <c r="AI92" s="69"/>
      <c r="AJ92" s="364"/>
      <c r="AK92" s="69"/>
      <c r="AL92" s="69"/>
      <c r="AM92" s="364"/>
      <c r="AN92" s="365"/>
      <c r="AO92" s="365"/>
      <c r="AP92" s="365"/>
      <c r="AQ92" s="365"/>
      <c r="AR92" s="365"/>
      <c r="AS92" s="365"/>
      <c r="AT92" s="845" t="s">
        <v>1081</v>
      </c>
      <c r="AU92" s="357"/>
      <c r="AV92" s="357"/>
      <c r="AW92" s="357"/>
      <c r="AX92" s="357"/>
      <c r="AY92" s="357"/>
      <c r="AZ92" s="357"/>
      <c r="BA92" s="357"/>
      <c r="BB92" s="357"/>
      <c r="BC92" s="357"/>
      <c r="BD92" s="357"/>
      <c r="BE92" s="357"/>
      <c r="BF92" s="357"/>
      <c r="BG92" s="357"/>
      <c r="BH92" s="357"/>
      <c r="BI92" s="357"/>
      <c r="BJ92" s="357"/>
      <c r="BK92" s="357"/>
      <c r="BL92" s="357"/>
      <c r="BM92" s="357"/>
      <c r="BN92" s="357"/>
      <c r="BO92" s="357"/>
      <c r="BP92" s="357"/>
      <c r="BQ92" s="357"/>
      <c r="BW92" s="357"/>
      <c r="BX92" s="357"/>
      <c r="BY92" s="357"/>
      <c r="BZ92" s="357"/>
      <c r="CA92" s="357"/>
      <c r="CB92" s="357"/>
      <c r="CC92" s="357"/>
      <c r="CD92" s="606" t="s">
        <v>1081</v>
      </c>
      <c r="CE92" s="357"/>
      <c r="CF92" s="357"/>
      <c r="CG92" s="357"/>
      <c r="CH92" s="357"/>
      <c r="CI92" s="357"/>
      <c r="CJ92" s="357"/>
      <c r="CK92" s="357"/>
      <c r="CL92" s="357"/>
      <c r="CM92" s="357"/>
      <c r="CN92" s="357"/>
      <c r="CO92" s="357"/>
      <c r="CP92" s="357"/>
      <c r="CQ92" s="357"/>
      <c r="CR92" s="357"/>
      <c r="CS92" s="357"/>
      <c r="CT92" s="357"/>
      <c r="CU92" s="357"/>
      <c r="CV92" s="357"/>
      <c r="CW92" s="364"/>
      <c r="CX92" s="364"/>
      <c r="CY92" s="364"/>
      <c r="CZ92" s="364"/>
      <c r="DA92" s="364"/>
      <c r="DB92" s="364"/>
      <c r="DC92" s="364"/>
      <c r="DD92" s="364"/>
      <c r="DE92" s="364"/>
      <c r="DF92" s="364"/>
      <c r="DG92" s="364"/>
      <c r="DH92" s="364"/>
      <c r="DI92" s="364"/>
      <c r="DJ92" s="364"/>
      <c r="DK92" s="364"/>
      <c r="DL92" s="364"/>
    </row>
    <row r="93" spans="1:119" ht="27.6" x14ac:dyDescent="0.3">
      <c r="A93" s="364"/>
      <c r="B93" s="115" t="s">
        <v>121</v>
      </c>
      <c r="C93" s="123" t="s">
        <v>1029</v>
      </c>
      <c r="D93" s="123"/>
      <c r="E93" s="123" t="s">
        <v>1030</v>
      </c>
      <c r="F93" s="123"/>
      <c r="G93" s="116" t="s">
        <v>1031</v>
      </c>
      <c r="H93" s="365"/>
      <c r="I93" s="365"/>
      <c r="J93" s="365"/>
      <c r="K93" s="365"/>
      <c r="L93" s="357"/>
      <c r="M93" s="357"/>
      <c r="N93" s="357"/>
      <c r="O93" s="357"/>
      <c r="P93" s="373"/>
      <c r="Q93" s="11"/>
      <c r="R93" s="373"/>
      <c r="S93" s="11"/>
      <c r="T93" s="373"/>
      <c r="U93" s="373"/>
      <c r="V93" s="373"/>
      <c r="W93" s="373"/>
      <c r="X93" s="373"/>
      <c r="Y93" s="373"/>
      <c r="AB93" s="373"/>
      <c r="AC93" s="373"/>
      <c r="AD93" s="373"/>
      <c r="AE93" s="373"/>
      <c r="AH93" s="11"/>
      <c r="AI93" s="365"/>
      <c r="AJ93" s="11"/>
      <c r="AK93" s="61"/>
      <c r="AL93" s="365"/>
      <c r="AM93" s="365"/>
      <c r="AN93" s="365"/>
      <c r="AO93" s="365"/>
      <c r="AP93" s="365"/>
      <c r="AQ93" s="365"/>
      <c r="AR93" s="365"/>
      <c r="AS93" s="365"/>
      <c r="AT93" s="357" t="s">
        <v>870</v>
      </c>
      <c r="AU93" s="357"/>
      <c r="AV93" s="357"/>
      <c r="AW93" s="357"/>
      <c r="AX93" s="357"/>
      <c r="AY93" s="357" t="s">
        <v>924</v>
      </c>
      <c r="AZ93" s="357"/>
      <c r="BA93" s="357"/>
      <c r="BB93" s="357"/>
      <c r="BC93" s="357"/>
      <c r="BD93" s="357"/>
      <c r="BE93" s="357"/>
      <c r="BF93" s="357"/>
      <c r="BG93" s="357" t="s">
        <v>925</v>
      </c>
      <c r="BH93" s="357"/>
      <c r="BI93" s="357"/>
      <c r="BJ93" s="357"/>
      <c r="BK93" s="357"/>
      <c r="BL93" s="357"/>
      <c r="BM93" s="357"/>
      <c r="BN93" s="357"/>
      <c r="BO93" s="357"/>
      <c r="BP93" s="357"/>
      <c r="BQ93" s="357"/>
      <c r="BW93" s="357"/>
      <c r="BX93" s="357"/>
      <c r="BY93" s="357"/>
      <c r="BZ93" s="357"/>
      <c r="CA93" s="357"/>
      <c r="CB93" s="357"/>
      <c r="CC93" s="357"/>
      <c r="CD93" s="357" t="s">
        <v>870</v>
      </c>
      <c r="CE93" s="357"/>
      <c r="CF93" s="357"/>
      <c r="CG93" s="357"/>
      <c r="CH93" s="357"/>
      <c r="CI93" s="357" t="s">
        <v>924</v>
      </c>
      <c r="CJ93" s="357"/>
      <c r="CK93" s="357"/>
      <c r="CL93" s="357"/>
      <c r="CM93" s="357"/>
      <c r="CN93" s="357"/>
      <c r="CO93" s="357"/>
      <c r="CP93" s="357"/>
      <c r="CQ93" s="357"/>
      <c r="CR93" s="357"/>
      <c r="CS93" s="357"/>
      <c r="CT93" s="357" t="s">
        <v>925</v>
      </c>
      <c r="CU93" s="357"/>
      <c r="CV93" s="357"/>
    </row>
    <row r="94" spans="1:119" ht="14.4" thickBot="1" x14ac:dyDescent="0.35">
      <c r="A94" s="364"/>
      <c r="B94" s="315"/>
      <c r="C94" s="124"/>
      <c r="D94" s="124"/>
      <c r="E94" s="124"/>
      <c r="F94" s="124"/>
      <c r="G94" s="149"/>
      <c r="H94" s="365"/>
      <c r="I94" s="75"/>
      <c r="J94" s="365"/>
      <c r="K94" s="75"/>
      <c r="L94" s="357"/>
      <c r="M94" s="357"/>
      <c r="N94" s="357"/>
      <c r="O94" s="357"/>
      <c r="P94" s="373"/>
      <c r="Q94" s="11"/>
      <c r="R94" s="373"/>
      <c r="S94" s="11"/>
      <c r="T94" s="373"/>
      <c r="U94" s="373"/>
      <c r="V94" s="373"/>
      <c r="W94" s="373"/>
      <c r="X94" s="373"/>
      <c r="Y94" s="373"/>
      <c r="AB94" s="373"/>
      <c r="AC94" s="373"/>
      <c r="AD94" s="373"/>
      <c r="AE94" s="373"/>
      <c r="AH94" s="11"/>
      <c r="AI94" s="365"/>
      <c r="AJ94" s="11"/>
      <c r="AK94" s="61"/>
      <c r="AL94" s="365"/>
      <c r="AM94" s="365"/>
      <c r="AN94" s="365"/>
      <c r="AO94" s="365"/>
      <c r="AP94" s="365"/>
      <c r="AQ94" s="365"/>
      <c r="AR94" s="365"/>
      <c r="AS94" s="365"/>
      <c r="AT94" s="357" t="s">
        <v>121</v>
      </c>
      <c r="AU94" s="357" t="s">
        <v>523</v>
      </c>
      <c r="AV94" s="357" t="s">
        <v>52</v>
      </c>
      <c r="AW94" s="357" t="s">
        <v>1082</v>
      </c>
      <c r="AX94" s="357" t="s">
        <v>896</v>
      </c>
      <c r="AY94" s="357" t="s">
        <v>1083</v>
      </c>
      <c r="AZ94" s="357" t="s">
        <v>1084</v>
      </c>
      <c r="BA94" s="357" t="s">
        <v>956</v>
      </c>
      <c r="BB94" s="357" t="s">
        <v>957</v>
      </c>
      <c r="BC94" s="357" t="s">
        <v>1085</v>
      </c>
      <c r="BD94" s="357" t="s">
        <v>1086</v>
      </c>
      <c r="BE94" s="357" t="s">
        <v>1087</v>
      </c>
      <c r="BF94" s="357" t="s">
        <v>1088</v>
      </c>
      <c r="BG94" s="357" t="s">
        <v>1089</v>
      </c>
      <c r="BH94" s="357" t="s">
        <v>956</v>
      </c>
      <c r="BI94" s="357" t="s">
        <v>957</v>
      </c>
      <c r="BJ94" s="357" t="s">
        <v>1090</v>
      </c>
      <c r="BK94" s="357"/>
      <c r="BL94" s="357"/>
      <c r="BM94" s="357"/>
      <c r="BN94" s="357"/>
      <c r="BO94" s="357"/>
      <c r="BP94" s="357"/>
      <c r="BQ94" s="357"/>
      <c r="BW94" s="357"/>
      <c r="BX94" s="357"/>
      <c r="BY94" s="357"/>
      <c r="BZ94" s="357"/>
      <c r="CA94" s="357"/>
      <c r="CB94" s="357"/>
      <c r="CC94" s="357"/>
      <c r="CD94" s="357" t="s">
        <v>121</v>
      </c>
      <c r="CE94" s="357" t="s">
        <v>523</v>
      </c>
      <c r="CF94" s="357" t="s">
        <v>52</v>
      </c>
      <c r="CG94" s="357" t="s">
        <v>1082</v>
      </c>
      <c r="CH94" s="357" t="s">
        <v>896</v>
      </c>
      <c r="CI94" s="357" t="s">
        <v>1083</v>
      </c>
      <c r="CJ94" s="357" t="s">
        <v>1084</v>
      </c>
      <c r="CK94" s="357" t="s">
        <v>956</v>
      </c>
      <c r="CL94" s="357" t="s">
        <v>957</v>
      </c>
      <c r="CM94" s="357" t="s">
        <v>1085</v>
      </c>
      <c r="CN94" s="357" t="s">
        <v>1086</v>
      </c>
      <c r="CO94" s="357" t="s">
        <v>1091</v>
      </c>
      <c r="CP94" s="357" t="s">
        <v>1092</v>
      </c>
      <c r="CQ94" s="357" t="s">
        <v>1093</v>
      </c>
      <c r="CR94" s="357" t="s">
        <v>1087</v>
      </c>
      <c r="CS94" s="357" t="s">
        <v>1088</v>
      </c>
      <c r="CT94" s="357" t="s">
        <v>1089</v>
      </c>
      <c r="CU94" s="357" t="s">
        <v>956</v>
      </c>
      <c r="CV94" s="357" t="s">
        <v>957</v>
      </c>
      <c r="CW94" s="373" t="s">
        <v>1090</v>
      </c>
    </row>
    <row r="95" spans="1:119" ht="14.4" thickTop="1" x14ac:dyDescent="0.3">
      <c r="A95" s="364"/>
      <c r="B95" s="130" t="s">
        <v>1032</v>
      </c>
      <c r="C95" s="364">
        <v>1</v>
      </c>
      <c r="D95" s="364"/>
      <c r="E95" s="364">
        <v>38353</v>
      </c>
      <c r="F95" s="142" t="str">
        <f>IF($CN161=$G95,"X","ERROR")</f>
        <v>X</v>
      </c>
      <c r="G95" s="490">
        <v>5753</v>
      </c>
      <c r="H95" s="365"/>
      <c r="I95" s="75"/>
      <c r="J95" s="365"/>
      <c r="K95" s="75"/>
      <c r="L95" s="357"/>
      <c r="M95" s="357"/>
      <c r="N95" s="357"/>
      <c r="O95" s="357"/>
      <c r="P95" s="373"/>
      <c r="Q95" s="11"/>
      <c r="R95" s="373"/>
      <c r="S95" s="11"/>
      <c r="T95" s="373"/>
      <c r="U95" s="373"/>
      <c r="V95" s="373"/>
      <c r="W95" s="373"/>
      <c r="X95" s="373"/>
      <c r="Y95" s="373"/>
      <c r="AB95" s="373"/>
      <c r="AC95" s="373"/>
      <c r="AD95" s="373"/>
      <c r="AE95" s="373"/>
      <c r="AH95" s="11"/>
      <c r="AI95" s="365"/>
      <c r="AJ95" s="11"/>
      <c r="AK95" s="61"/>
      <c r="AL95" s="365"/>
      <c r="AM95" s="365"/>
      <c r="AN95" s="365"/>
      <c r="AO95" s="365"/>
      <c r="AP95" s="365"/>
      <c r="AQ95" s="365"/>
      <c r="AR95" s="365"/>
      <c r="AS95" s="365"/>
      <c r="AT95" s="357"/>
      <c r="AU95" s="357"/>
      <c r="AV95" s="357"/>
      <c r="AW95" s="357"/>
      <c r="AX95" s="357" t="s">
        <v>966</v>
      </c>
      <c r="AY95" s="357"/>
      <c r="AZ95" s="357" t="s">
        <v>1094</v>
      </c>
      <c r="BA95" s="357"/>
      <c r="BB95" s="357" t="s">
        <v>968</v>
      </c>
      <c r="BC95" s="357"/>
      <c r="BD95" s="357" t="s">
        <v>1094</v>
      </c>
      <c r="BE95" s="357" t="s">
        <v>1094</v>
      </c>
      <c r="BF95" s="357" t="s">
        <v>1095</v>
      </c>
      <c r="BG95" s="357" t="s">
        <v>1094</v>
      </c>
      <c r="BH95" s="357"/>
      <c r="BI95" s="357" t="s">
        <v>968</v>
      </c>
      <c r="BJ95" s="357" t="s">
        <v>1095</v>
      </c>
      <c r="BK95" s="357"/>
      <c r="BL95" s="357"/>
      <c r="BM95" s="357"/>
      <c r="BN95" s="357"/>
      <c r="BO95" s="357"/>
      <c r="BP95" s="357"/>
      <c r="BQ95" s="357"/>
      <c r="BW95" s="357"/>
      <c r="BX95" s="357"/>
      <c r="BY95" s="357"/>
      <c r="BZ95" s="357"/>
      <c r="CA95" s="357"/>
      <c r="CB95" s="357"/>
      <c r="CC95" s="357"/>
      <c r="CD95" s="357"/>
      <c r="CE95" s="357"/>
      <c r="CF95" s="357"/>
      <c r="CG95" s="357"/>
      <c r="CH95" s="357" t="s">
        <v>966</v>
      </c>
      <c r="CI95" s="357"/>
      <c r="CJ95" s="357" t="s">
        <v>1094</v>
      </c>
      <c r="CK95" s="357"/>
      <c r="CL95" s="357" t="s">
        <v>968</v>
      </c>
      <c r="CM95" s="357"/>
      <c r="CN95" s="357" t="s">
        <v>1094</v>
      </c>
      <c r="CO95" s="357" t="s">
        <v>1094</v>
      </c>
      <c r="CP95" s="357" t="s">
        <v>1094</v>
      </c>
      <c r="CQ95" s="357" t="s">
        <v>1094</v>
      </c>
      <c r="CR95" s="357" t="s">
        <v>1094</v>
      </c>
      <c r="CS95" s="357" t="s">
        <v>1095</v>
      </c>
      <c r="CT95" s="357" t="s">
        <v>1094</v>
      </c>
      <c r="CU95" s="357"/>
      <c r="CV95" s="357" t="s">
        <v>968</v>
      </c>
      <c r="CW95" s="373" t="s">
        <v>1095</v>
      </c>
    </row>
    <row r="96" spans="1:119" x14ac:dyDescent="0.3">
      <c r="A96" s="364"/>
      <c r="B96" s="130" t="s">
        <v>1033</v>
      </c>
      <c r="C96" s="364">
        <v>1</v>
      </c>
      <c r="D96" s="364"/>
      <c r="E96" s="364">
        <v>38353</v>
      </c>
      <c r="F96" s="142" t="str">
        <f>IF($CN162=$G96,"X","ERROR")</f>
        <v>X</v>
      </c>
      <c r="G96" s="797">
        <v>8574</v>
      </c>
      <c r="H96" s="17"/>
      <c r="I96" s="365"/>
      <c r="J96" s="17"/>
      <c r="K96" s="365"/>
      <c r="L96" s="357"/>
      <c r="M96" s="357"/>
      <c r="N96" s="357"/>
      <c r="O96" s="357"/>
      <c r="P96" s="373"/>
      <c r="Q96" s="11"/>
      <c r="R96" s="373"/>
      <c r="S96" s="11"/>
      <c r="T96" s="373"/>
      <c r="U96" s="373"/>
      <c r="V96" s="373"/>
      <c r="W96" s="373"/>
      <c r="X96" s="373"/>
      <c r="Y96" s="373"/>
      <c r="AB96" s="373"/>
      <c r="AC96" s="373"/>
      <c r="AD96" s="373"/>
      <c r="AE96" s="373"/>
      <c r="AH96" s="11"/>
      <c r="AI96" s="365"/>
      <c r="AJ96" s="11"/>
      <c r="AK96" s="61"/>
      <c r="AL96" s="365"/>
      <c r="AM96" s="365"/>
      <c r="AN96" s="365"/>
      <c r="AO96" s="365"/>
      <c r="AP96" s="365"/>
      <c r="AQ96" s="365"/>
      <c r="AR96" s="365"/>
      <c r="AS96" s="365"/>
      <c r="AT96" s="357" t="s">
        <v>959</v>
      </c>
      <c r="AU96" s="357" t="s">
        <v>170</v>
      </c>
      <c r="AV96" s="357" t="s">
        <v>915</v>
      </c>
      <c r="AW96" s="357" t="s">
        <v>137</v>
      </c>
      <c r="AX96" s="357">
        <v>38353</v>
      </c>
      <c r="AY96" s="357" t="s">
        <v>1096</v>
      </c>
      <c r="AZ96" s="357">
        <v>23011.8</v>
      </c>
      <c r="BA96" s="357" t="s">
        <v>961</v>
      </c>
      <c r="BB96" s="357">
        <v>2253.1</v>
      </c>
      <c r="BC96" s="357">
        <v>-99996</v>
      </c>
      <c r="BD96" s="357">
        <v>0</v>
      </c>
      <c r="BE96" s="357">
        <v>23011.8</v>
      </c>
      <c r="BF96" s="357">
        <v>0.6</v>
      </c>
      <c r="BG96" s="357"/>
      <c r="BH96" s="357"/>
      <c r="BI96" s="357"/>
      <c r="BJ96" s="357"/>
      <c r="BK96" s="357"/>
      <c r="BL96" s="357"/>
      <c r="BM96" s="357"/>
      <c r="BN96" s="357"/>
      <c r="BO96" s="357"/>
      <c r="BP96" s="357"/>
      <c r="BQ96" s="357"/>
      <c r="BW96" s="357"/>
      <c r="BX96" s="357"/>
      <c r="BY96" s="357"/>
      <c r="BZ96" s="357"/>
      <c r="CA96" s="357"/>
      <c r="CB96" s="357"/>
      <c r="CC96" s="357"/>
      <c r="CD96" s="357" t="s">
        <v>959</v>
      </c>
      <c r="CE96" s="357" t="s">
        <v>170</v>
      </c>
      <c r="CF96" s="357" t="s">
        <v>915</v>
      </c>
      <c r="CG96" s="357" t="s">
        <v>137</v>
      </c>
      <c r="CH96" s="357">
        <v>38353</v>
      </c>
      <c r="CI96" s="357" t="s">
        <v>1096</v>
      </c>
      <c r="CJ96" s="357">
        <v>0</v>
      </c>
      <c r="CK96" s="357" t="s">
        <v>961</v>
      </c>
      <c r="CL96" s="357">
        <v>2253.1</v>
      </c>
      <c r="CM96" s="357">
        <v>-99996</v>
      </c>
      <c r="CN96" s="357">
        <v>0</v>
      </c>
      <c r="CO96" s="357">
        <v>23011.8</v>
      </c>
      <c r="CP96" s="357">
        <v>0</v>
      </c>
      <c r="CQ96" s="357">
        <v>0</v>
      </c>
      <c r="CR96" s="357">
        <v>23011.8</v>
      </c>
      <c r="CS96" s="357">
        <v>0.6</v>
      </c>
      <c r="CT96" s="357"/>
      <c r="CU96" s="357"/>
      <c r="CV96" s="357"/>
    </row>
    <row r="97" spans="1:100" x14ac:dyDescent="0.3">
      <c r="A97" s="364"/>
      <c r="B97" s="130" t="s">
        <v>1034</v>
      </c>
      <c r="C97" s="364">
        <v>5</v>
      </c>
      <c r="D97" s="364"/>
      <c r="E97" s="364">
        <v>191764.9</v>
      </c>
      <c r="F97" s="142" t="str">
        <f>IF($CN163=$G97,"X","ERROR")</f>
        <v>X</v>
      </c>
      <c r="G97" s="361">
        <v>0</v>
      </c>
      <c r="H97" s="365"/>
      <c r="I97" s="365"/>
      <c r="J97" s="365"/>
      <c r="K97" s="365"/>
      <c r="L97" s="357"/>
      <c r="M97" s="357"/>
      <c r="N97" s="357"/>
      <c r="O97" s="357"/>
      <c r="P97" s="373"/>
      <c r="Q97" s="11"/>
      <c r="R97" s="373"/>
      <c r="S97" s="11"/>
      <c r="T97" s="373"/>
      <c r="U97" s="373"/>
      <c r="V97" s="373"/>
      <c r="W97" s="373"/>
      <c r="X97" s="373"/>
      <c r="Y97" s="373"/>
      <c r="AB97" s="373"/>
      <c r="AC97" s="373"/>
      <c r="AD97" s="373"/>
      <c r="AE97" s="373"/>
      <c r="AH97" s="11"/>
      <c r="AI97" s="365"/>
      <c r="AJ97" s="11"/>
      <c r="AK97" s="61"/>
      <c r="AL97" s="365"/>
      <c r="AM97" s="365"/>
      <c r="AN97" s="365"/>
      <c r="AO97" s="365"/>
      <c r="AP97" s="365"/>
      <c r="AQ97" s="365"/>
      <c r="AR97" s="365"/>
      <c r="AS97" s="365"/>
      <c r="AT97" s="357" t="s">
        <v>970</v>
      </c>
      <c r="AU97" s="357" t="s">
        <v>170</v>
      </c>
      <c r="AV97" s="357" t="s">
        <v>980</v>
      </c>
      <c r="AW97" s="357" t="s">
        <v>137</v>
      </c>
      <c r="AX97" s="357">
        <v>27257.599999999999</v>
      </c>
      <c r="AY97" s="357" t="s">
        <v>1096</v>
      </c>
      <c r="AZ97" s="357">
        <v>27257.599999999999</v>
      </c>
      <c r="BA97" s="357" t="s">
        <v>973</v>
      </c>
      <c r="BB97" s="357">
        <v>3459.4</v>
      </c>
      <c r="BC97" s="357">
        <v>-99996</v>
      </c>
      <c r="BD97" s="357">
        <v>0</v>
      </c>
      <c r="BE97" s="357">
        <v>27257.599999999999</v>
      </c>
      <c r="BF97" s="357">
        <v>1</v>
      </c>
      <c r="BG97" s="357"/>
      <c r="BH97" s="357"/>
      <c r="BI97" s="357"/>
      <c r="BJ97" s="357"/>
      <c r="BK97" s="357"/>
      <c r="BL97" s="357"/>
      <c r="BM97" s="357"/>
      <c r="BN97" s="357"/>
      <c r="BO97" s="357"/>
      <c r="BP97" s="357"/>
      <c r="BQ97" s="357"/>
      <c r="BW97" s="357"/>
      <c r="BX97" s="357"/>
      <c r="BY97" s="357"/>
      <c r="BZ97" s="357"/>
      <c r="CA97" s="357"/>
      <c r="CB97" s="357"/>
      <c r="CC97" s="357"/>
      <c r="CD97" s="357" t="s">
        <v>970</v>
      </c>
      <c r="CE97" s="357" t="s">
        <v>170</v>
      </c>
      <c r="CF97" s="357" t="s">
        <v>980</v>
      </c>
      <c r="CG97" s="357" t="s">
        <v>137</v>
      </c>
      <c r="CH97" s="357">
        <v>27257.599999999999</v>
      </c>
      <c r="CI97" s="357" t="s">
        <v>1096</v>
      </c>
      <c r="CJ97" s="357">
        <v>0</v>
      </c>
      <c r="CK97" s="357" t="s">
        <v>973</v>
      </c>
      <c r="CL97" s="357">
        <v>3459.4</v>
      </c>
      <c r="CM97" s="357">
        <v>-99996</v>
      </c>
      <c r="CN97" s="357">
        <v>0</v>
      </c>
      <c r="CO97" s="357">
        <v>27257.599999999999</v>
      </c>
      <c r="CP97" s="357">
        <v>0</v>
      </c>
      <c r="CQ97" s="357">
        <v>0</v>
      </c>
      <c r="CR97" s="357">
        <v>27257.599999999999</v>
      </c>
      <c r="CS97" s="357">
        <v>1</v>
      </c>
      <c r="CT97" s="357"/>
      <c r="CU97" s="357"/>
      <c r="CV97" s="357"/>
    </row>
    <row r="98" spans="1:100" x14ac:dyDescent="0.3">
      <c r="A98" s="364"/>
      <c r="B98" s="130" t="s">
        <v>1035</v>
      </c>
      <c r="C98" s="364">
        <v>5</v>
      </c>
      <c r="D98" s="364"/>
      <c r="E98" s="364">
        <v>191764.9</v>
      </c>
      <c r="F98" s="142" t="str">
        <f>IF($CN164=$G98,"X","ERROR")</f>
        <v>X</v>
      </c>
      <c r="G98" s="202">
        <v>5753</v>
      </c>
      <c r="H98" s="365"/>
      <c r="I98" s="365"/>
      <c r="J98" s="365"/>
      <c r="K98" s="365"/>
      <c r="L98" s="357"/>
      <c r="M98" s="357"/>
      <c r="N98" s="357"/>
      <c r="O98" s="357"/>
      <c r="P98" s="373"/>
      <c r="Q98" s="11"/>
      <c r="R98" s="373"/>
      <c r="S98" s="11"/>
      <c r="T98" s="373"/>
      <c r="U98" s="373"/>
      <c r="V98" s="373"/>
      <c r="W98" s="373"/>
      <c r="X98" s="373"/>
      <c r="Y98" s="373"/>
      <c r="AB98" s="373"/>
      <c r="AC98" s="373"/>
      <c r="AD98" s="373"/>
      <c r="AE98" s="373"/>
      <c r="AH98" s="11"/>
      <c r="AI98" s="365"/>
      <c r="AJ98" s="11"/>
      <c r="AK98" s="61"/>
      <c r="AL98" s="365"/>
      <c r="AM98" s="365"/>
      <c r="AN98" s="365"/>
      <c r="AO98" s="365"/>
      <c r="AP98" s="365"/>
      <c r="AQ98" s="365"/>
      <c r="AR98" s="365"/>
      <c r="AS98" s="365"/>
      <c r="AT98" s="357" t="s">
        <v>978</v>
      </c>
      <c r="AU98" s="357" t="s">
        <v>983</v>
      </c>
      <c r="AV98" s="357" t="s">
        <v>979</v>
      </c>
      <c r="AW98" s="357" t="s">
        <v>137</v>
      </c>
      <c r="AX98" s="357">
        <v>0</v>
      </c>
      <c r="AY98" s="357"/>
      <c r="AZ98" s="357"/>
      <c r="BA98" s="357"/>
      <c r="BB98" s="357"/>
      <c r="BC98" s="357"/>
      <c r="BD98" s="357"/>
      <c r="BE98" s="357"/>
      <c r="BF98" s="357"/>
      <c r="BG98" s="357"/>
      <c r="BH98" s="357"/>
      <c r="BI98" s="357"/>
      <c r="BJ98" s="357"/>
      <c r="BK98" s="357"/>
      <c r="BL98" s="357"/>
      <c r="BM98" s="357"/>
      <c r="BN98" s="357"/>
      <c r="BO98" s="357"/>
      <c r="BP98" s="357"/>
      <c r="BQ98" s="357"/>
      <c r="BW98" s="357"/>
      <c r="BX98" s="357"/>
      <c r="BY98" s="357"/>
      <c r="BZ98" s="357"/>
      <c r="CA98" s="357"/>
      <c r="CB98" s="357"/>
      <c r="CC98" s="357"/>
      <c r="CD98" s="357" t="s">
        <v>978</v>
      </c>
      <c r="CE98" s="357" t="s">
        <v>983</v>
      </c>
      <c r="CF98" s="357" t="s">
        <v>979</v>
      </c>
      <c r="CG98" s="357" t="s">
        <v>137</v>
      </c>
      <c r="CH98" s="357">
        <v>0</v>
      </c>
      <c r="CI98" s="357"/>
      <c r="CJ98" s="357"/>
      <c r="CK98" s="357"/>
      <c r="CL98" s="357"/>
      <c r="CM98" s="357"/>
      <c r="CN98" s="357"/>
      <c r="CO98" s="357"/>
      <c r="CP98" s="357"/>
      <c r="CQ98" s="357"/>
      <c r="CR98" s="357"/>
      <c r="CS98" s="357"/>
      <c r="CT98" s="357"/>
      <c r="CU98" s="357"/>
      <c r="CV98" s="357"/>
    </row>
    <row r="99" spans="1:100" x14ac:dyDescent="0.3">
      <c r="A99" s="364"/>
      <c r="B99" s="180" t="s">
        <v>1036</v>
      </c>
      <c r="C99" s="157">
        <v>1</v>
      </c>
      <c r="D99" s="157"/>
      <c r="E99" s="157">
        <v>38353</v>
      </c>
      <c r="F99" s="160" t="str">
        <f>IF($CN165=$G99,"X","ERROR")</f>
        <v>X</v>
      </c>
      <c r="G99" s="617">
        <v>18416</v>
      </c>
      <c r="H99" s="17"/>
      <c r="I99" s="365"/>
      <c r="J99" s="17"/>
      <c r="K99" s="365"/>
      <c r="L99" s="357"/>
      <c r="M99" s="357"/>
      <c r="N99" s="357"/>
      <c r="O99" s="357"/>
      <c r="P99" s="373"/>
      <c r="Q99" s="11"/>
      <c r="R99" s="373"/>
      <c r="S99" s="11"/>
      <c r="T99" s="373"/>
      <c r="U99" s="373"/>
      <c r="V99" s="373"/>
      <c r="W99" s="373"/>
      <c r="X99" s="373"/>
      <c r="Y99" s="373"/>
      <c r="AB99" s="373"/>
      <c r="AC99" s="373"/>
      <c r="AD99" s="373"/>
      <c r="AE99" s="373"/>
      <c r="AH99" s="11"/>
      <c r="AI99" s="365"/>
      <c r="AJ99" s="11"/>
      <c r="AK99" s="61"/>
      <c r="AL99" s="365"/>
      <c r="AM99" s="365"/>
      <c r="AN99" s="365"/>
      <c r="AO99" s="365"/>
      <c r="AP99" s="365"/>
      <c r="AQ99" s="365"/>
      <c r="AR99" s="365"/>
      <c r="AS99" s="365"/>
      <c r="AT99" s="357" t="s">
        <v>981</v>
      </c>
      <c r="AU99" s="357" t="s">
        <v>170</v>
      </c>
      <c r="AV99" s="357" t="s">
        <v>986</v>
      </c>
      <c r="AW99" s="357" t="s">
        <v>137</v>
      </c>
      <c r="AX99" s="357">
        <v>3373.61</v>
      </c>
      <c r="AY99" s="357" t="s">
        <v>1096</v>
      </c>
      <c r="AZ99" s="357">
        <v>2867.57</v>
      </c>
      <c r="BA99" s="357" t="s">
        <v>973</v>
      </c>
      <c r="BB99" s="357">
        <v>3459.4</v>
      </c>
      <c r="BC99" s="357">
        <v>-99996</v>
      </c>
      <c r="BD99" s="357">
        <v>0</v>
      </c>
      <c r="BE99" s="357">
        <v>2867.57</v>
      </c>
      <c r="BF99" s="357">
        <v>0.85</v>
      </c>
      <c r="BG99" s="357"/>
      <c r="BH99" s="357"/>
      <c r="BI99" s="357"/>
      <c r="BJ99" s="357"/>
      <c r="BK99" s="357"/>
      <c r="BL99" s="357"/>
      <c r="BM99" s="357"/>
      <c r="BN99" s="357"/>
      <c r="BO99" s="357"/>
      <c r="BP99" s="357"/>
      <c r="BQ99" s="357"/>
      <c r="BW99" s="357"/>
      <c r="BX99" s="357"/>
      <c r="BY99" s="357"/>
      <c r="BZ99" s="357"/>
      <c r="CA99" s="357"/>
      <c r="CB99" s="357"/>
      <c r="CC99" s="357"/>
      <c r="CD99" s="357" t="s">
        <v>981</v>
      </c>
      <c r="CE99" s="357" t="s">
        <v>170</v>
      </c>
      <c r="CF99" s="357" t="s">
        <v>986</v>
      </c>
      <c r="CG99" s="357" t="s">
        <v>137</v>
      </c>
      <c r="CH99" s="357">
        <v>3373.61</v>
      </c>
      <c r="CI99" s="357" t="s">
        <v>1096</v>
      </c>
      <c r="CJ99" s="357">
        <v>0</v>
      </c>
      <c r="CK99" s="357" t="s">
        <v>973</v>
      </c>
      <c r="CL99" s="357">
        <v>3459.4</v>
      </c>
      <c r="CM99" s="357">
        <v>-99996</v>
      </c>
      <c r="CN99" s="357">
        <v>0</v>
      </c>
      <c r="CO99" s="357">
        <v>2867.57</v>
      </c>
      <c r="CP99" s="357">
        <v>0</v>
      </c>
      <c r="CQ99" s="357">
        <v>0</v>
      </c>
      <c r="CR99" s="357">
        <v>2867.57</v>
      </c>
      <c r="CS99" s="357">
        <v>0.85</v>
      </c>
      <c r="CT99" s="357"/>
      <c r="CU99" s="357"/>
      <c r="CV99" s="357"/>
    </row>
    <row r="100" spans="1:100" x14ac:dyDescent="0.3">
      <c r="A100" s="364"/>
      <c r="B100" s="44"/>
      <c r="C100" s="363"/>
      <c r="D100" s="365"/>
      <c r="E100" s="365"/>
      <c r="F100" s="365"/>
      <c r="G100" s="114"/>
      <c r="H100" s="365"/>
      <c r="I100" s="365"/>
      <c r="J100" s="365"/>
      <c r="K100" s="365"/>
      <c r="L100" s="357"/>
      <c r="M100" s="357"/>
      <c r="N100" s="357"/>
      <c r="O100" s="357"/>
      <c r="P100" s="373"/>
      <c r="Q100" s="11"/>
      <c r="R100" s="373"/>
      <c r="S100" s="11"/>
      <c r="T100" s="373"/>
      <c r="U100" s="373"/>
      <c r="V100" s="373"/>
      <c r="W100" s="373"/>
      <c r="X100" s="373"/>
      <c r="Y100" s="373"/>
      <c r="AB100" s="373"/>
      <c r="AC100" s="373"/>
      <c r="AD100" s="373"/>
      <c r="AE100" s="373"/>
      <c r="AH100" s="11"/>
      <c r="AI100" s="365"/>
      <c r="AJ100" s="11"/>
      <c r="AK100" s="61"/>
      <c r="AL100" s="365"/>
      <c r="AM100" s="365"/>
      <c r="AN100" s="365"/>
      <c r="AO100" s="365"/>
      <c r="AP100" s="365"/>
      <c r="AQ100" s="365"/>
      <c r="AR100" s="365"/>
      <c r="AS100" s="365"/>
      <c r="AT100" s="357" t="s">
        <v>984</v>
      </c>
      <c r="AU100" s="357" t="s">
        <v>170</v>
      </c>
      <c r="AV100" s="357" t="s">
        <v>988</v>
      </c>
      <c r="AW100" s="357" t="s">
        <v>137</v>
      </c>
      <c r="AX100" s="357">
        <v>2174.0500000000002</v>
      </c>
      <c r="AY100" s="357" t="s">
        <v>1096</v>
      </c>
      <c r="AZ100" s="357">
        <v>1087.03</v>
      </c>
      <c r="BA100" s="357" t="s">
        <v>973</v>
      </c>
      <c r="BB100" s="357">
        <v>3459.4</v>
      </c>
      <c r="BC100" s="357">
        <v>-99996</v>
      </c>
      <c r="BD100" s="357">
        <v>0</v>
      </c>
      <c r="BE100" s="357">
        <v>1087.03</v>
      </c>
      <c r="BF100" s="357">
        <v>0.5</v>
      </c>
      <c r="BG100" s="357"/>
      <c r="BH100" s="357"/>
      <c r="BI100" s="357"/>
      <c r="BJ100" s="357"/>
      <c r="BK100" s="357"/>
      <c r="BL100" s="357"/>
      <c r="BM100" s="357"/>
      <c r="BN100" s="357"/>
      <c r="BO100" s="357"/>
      <c r="BP100" s="357"/>
      <c r="BQ100" s="357"/>
      <c r="BW100" s="357"/>
      <c r="BX100" s="357"/>
      <c r="BY100" s="357"/>
      <c r="BZ100" s="357"/>
      <c r="CA100" s="357"/>
      <c r="CB100" s="357"/>
      <c r="CC100" s="357"/>
      <c r="CD100" s="357" t="s">
        <v>984</v>
      </c>
      <c r="CE100" s="357" t="s">
        <v>170</v>
      </c>
      <c r="CF100" s="357" t="s">
        <v>988</v>
      </c>
      <c r="CG100" s="357" t="s">
        <v>137</v>
      </c>
      <c r="CH100" s="357">
        <v>2174.0500000000002</v>
      </c>
      <c r="CI100" s="357" t="s">
        <v>1096</v>
      </c>
      <c r="CJ100" s="357">
        <v>0</v>
      </c>
      <c r="CK100" s="357" t="s">
        <v>973</v>
      </c>
      <c r="CL100" s="357">
        <v>3459.4</v>
      </c>
      <c r="CM100" s="357">
        <v>-99996</v>
      </c>
      <c r="CN100" s="357">
        <v>0</v>
      </c>
      <c r="CO100" s="357">
        <v>1304.43</v>
      </c>
      <c r="CP100" s="357">
        <v>0</v>
      </c>
      <c r="CQ100" s="357">
        <v>0</v>
      </c>
      <c r="CR100" s="357">
        <v>1304.43</v>
      </c>
      <c r="CS100" s="357">
        <v>0.6</v>
      </c>
      <c r="CT100" s="357"/>
      <c r="CU100" s="357"/>
      <c r="CV100" s="357"/>
    </row>
    <row r="101" spans="1:100" x14ac:dyDescent="0.3">
      <c r="A101" s="364"/>
      <c r="B101" s="84" t="s">
        <v>870</v>
      </c>
      <c r="C101" s="90"/>
      <c r="D101" s="90"/>
      <c r="E101" s="90"/>
      <c r="F101" s="89"/>
      <c r="G101" s="83"/>
      <c r="H101" s="365"/>
      <c r="I101" s="365"/>
      <c r="J101" s="365"/>
      <c r="K101" s="365"/>
      <c r="L101" s="357"/>
      <c r="M101" s="357"/>
      <c r="N101" s="357"/>
      <c r="O101" s="357"/>
      <c r="P101" s="373"/>
      <c r="Q101" s="11"/>
      <c r="R101" s="373"/>
      <c r="S101" s="11"/>
      <c r="T101" s="373"/>
      <c r="U101" s="373"/>
      <c r="V101" s="373"/>
      <c r="W101" s="373"/>
      <c r="X101" s="373"/>
      <c r="Y101" s="373"/>
      <c r="AB101" s="373"/>
      <c r="AC101" s="373"/>
      <c r="AD101" s="373"/>
      <c r="AE101" s="373"/>
      <c r="AH101" s="11"/>
      <c r="AI101" s="365"/>
      <c r="AJ101" s="11"/>
      <c r="AK101" s="61"/>
      <c r="AL101" s="365"/>
      <c r="AM101" s="365"/>
      <c r="AN101" s="365"/>
      <c r="AO101" s="365"/>
      <c r="AP101" s="365"/>
      <c r="AQ101" s="365"/>
      <c r="AR101" s="365"/>
      <c r="AS101" s="365"/>
      <c r="AT101" s="357" t="s">
        <v>987</v>
      </c>
      <c r="AU101" s="357" t="s">
        <v>170</v>
      </c>
      <c r="AV101" s="357" t="s">
        <v>980</v>
      </c>
      <c r="AW101" s="357" t="s">
        <v>137</v>
      </c>
      <c r="AX101" s="357">
        <v>3373.64</v>
      </c>
      <c r="AY101" s="357" t="s">
        <v>1096</v>
      </c>
      <c r="AZ101" s="357">
        <v>3373.64</v>
      </c>
      <c r="BA101" s="357" t="s">
        <v>973</v>
      </c>
      <c r="BB101" s="357">
        <v>3459.4</v>
      </c>
      <c r="BC101" s="357">
        <v>-99996</v>
      </c>
      <c r="BD101" s="357">
        <v>0</v>
      </c>
      <c r="BE101" s="357">
        <v>3373.64</v>
      </c>
      <c r="BF101" s="357">
        <v>1</v>
      </c>
      <c r="BG101" s="357"/>
      <c r="BH101" s="357"/>
      <c r="BI101" s="357"/>
      <c r="BJ101" s="357"/>
      <c r="BK101" s="357"/>
      <c r="BL101" s="357"/>
      <c r="BM101" s="357"/>
      <c r="BN101" s="357"/>
      <c r="BO101" s="357"/>
      <c r="BP101" s="357"/>
      <c r="BQ101" s="357"/>
      <c r="BW101" s="357"/>
      <c r="BX101" s="357"/>
      <c r="BY101" s="357"/>
      <c r="BZ101" s="357"/>
      <c r="CA101" s="357"/>
      <c r="CB101" s="357"/>
      <c r="CC101" s="357"/>
      <c r="CD101" s="357" t="s">
        <v>987</v>
      </c>
      <c r="CE101" s="357" t="s">
        <v>170</v>
      </c>
      <c r="CF101" s="357" t="s">
        <v>980</v>
      </c>
      <c r="CG101" s="357" t="s">
        <v>137</v>
      </c>
      <c r="CH101" s="357">
        <v>3373.64</v>
      </c>
      <c r="CI101" s="357" t="s">
        <v>1096</v>
      </c>
      <c r="CJ101" s="357">
        <v>0</v>
      </c>
      <c r="CK101" s="357" t="s">
        <v>973</v>
      </c>
      <c r="CL101" s="357">
        <v>3459.4</v>
      </c>
      <c r="CM101" s="357">
        <v>-99996</v>
      </c>
      <c r="CN101" s="357">
        <v>0</v>
      </c>
      <c r="CO101" s="357">
        <v>3373.64</v>
      </c>
      <c r="CP101" s="357">
        <v>0</v>
      </c>
      <c r="CQ101" s="357">
        <v>0</v>
      </c>
      <c r="CR101" s="357">
        <v>3373.64</v>
      </c>
      <c r="CS101" s="357">
        <v>1</v>
      </c>
      <c r="CT101" s="357"/>
      <c r="CU101" s="357"/>
      <c r="CV101" s="357"/>
    </row>
    <row r="102" spans="1:100" ht="27.6" x14ac:dyDescent="0.3">
      <c r="A102" s="364"/>
      <c r="B102" s="115" t="s">
        <v>121</v>
      </c>
      <c r="C102" s="123"/>
      <c r="D102" s="123"/>
      <c r="E102" s="123" t="s">
        <v>1037</v>
      </c>
      <c r="F102" s="123"/>
      <c r="G102" s="116" t="s">
        <v>1038</v>
      </c>
      <c r="H102" s="365"/>
      <c r="I102" s="365"/>
      <c r="J102" s="365"/>
      <c r="K102" s="365"/>
      <c r="L102" s="357"/>
      <c r="M102" s="357"/>
      <c r="N102" s="357"/>
      <c r="O102" s="357"/>
      <c r="P102" s="373"/>
      <c r="Q102" s="11"/>
      <c r="R102" s="373"/>
      <c r="S102" s="11"/>
      <c r="T102" s="373"/>
      <c r="U102" s="373"/>
      <c r="V102" s="373"/>
      <c r="W102" s="373"/>
      <c r="X102" s="373"/>
      <c r="Y102" s="373"/>
      <c r="AB102" s="373"/>
      <c r="AC102" s="373"/>
      <c r="AD102" s="373"/>
      <c r="AE102" s="373"/>
      <c r="AH102" s="11"/>
      <c r="AI102" s="365"/>
      <c r="AJ102" s="11"/>
      <c r="AK102" s="61"/>
      <c r="AL102" s="365"/>
      <c r="AM102" s="365"/>
      <c r="AN102" s="365"/>
      <c r="AO102" s="365"/>
      <c r="AP102" s="365"/>
      <c r="AQ102" s="365"/>
      <c r="AR102" s="365"/>
      <c r="AS102" s="365"/>
      <c r="AT102" s="357" t="s">
        <v>989</v>
      </c>
      <c r="AU102" s="357" t="s">
        <v>170</v>
      </c>
      <c r="AV102" s="357" t="s">
        <v>980</v>
      </c>
      <c r="AW102" s="357" t="s">
        <v>137</v>
      </c>
      <c r="AX102" s="357">
        <v>2174.04</v>
      </c>
      <c r="AY102" s="357" t="s">
        <v>1096</v>
      </c>
      <c r="AZ102" s="357">
        <v>2174.04</v>
      </c>
      <c r="BA102" s="357" t="s">
        <v>973</v>
      </c>
      <c r="BB102" s="357">
        <v>3459.4</v>
      </c>
      <c r="BC102" s="357">
        <v>-99996</v>
      </c>
      <c r="BD102" s="357">
        <v>0</v>
      </c>
      <c r="BE102" s="357">
        <v>2174.04</v>
      </c>
      <c r="BF102" s="357">
        <v>1</v>
      </c>
      <c r="BG102" s="357"/>
      <c r="BH102" s="357"/>
      <c r="BI102" s="357"/>
      <c r="BJ102" s="357"/>
      <c r="BK102" s="357"/>
      <c r="BL102" s="357"/>
      <c r="BM102" s="357"/>
      <c r="BN102" s="357"/>
      <c r="BO102" s="357"/>
      <c r="BP102" s="357"/>
      <c r="BQ102" s="357"/>
      <c r="BW102" s="357"/>
      <c r="BX102" s="357"/>
      <c r="BY102" s="357"/>
      <c r="BZ102" s="357"/>
      <c r="CA102" s="357"/>
      <c r="CB102" s="357"/>
      <c r="CC102" s="357"/>
      <c r="CD102" s="357" t="s">
        <v>989</v>
      </c>
      <c r="CE102" s="357" t="s">
        <v>170</v>
      </c>
      <c r="CF102" s="357" t="s">
        <v>980</v>
      </c>
      <c r="CG102" s="357" t="s">
        <v>137</v>
      </c>
      <c r="CH102" s="357">
        <v>2174.04</v>
      </c>
      <c r="CI102" s="357" t="s">
        <v>1096</v>
      </c>
      <c r="CJ102" s="357">
        <v>0</v>
      </c>
      <c r="CK102" s="357" t="s">
        <v>973</v>
      </c>
      <c r="CL102" s="357">
        <v>3459.4</v>
      </c>
      <c r="CM102" s="357">
        <v>-99996</v>
      </c>
      <c r="CN102" s="357">
        <v>0</v>
      </c>
      <c r="CO102" s="357">
        <v>2174.04</v>
      </c>
      <c r="CP102" s="357">
        <v>0</v>
      </c>
      <c r="CQ102" s="357">
        <v>0</v>
      </c>
      <c r="CR102" s="357">
        <v>2174.04</v>
      </c>
      <c r="CS102" s="357">
        <v>1</v>
      </c>
      <c r="CT102" s="357"/>
      <c r="CU102" s="357"/>
      <c r="CV102" s="357"/>
    </row>
    <row r="103" spans="1:100" ht="14.4" thickBot="1" x14ac:dyDescent="0.35">
      <c r="A103" s="364"/>
      <c r="B103" s="315"/>
      <c r="C103" s="124"/>
      <c r="D103" s="124"/>
      <c r="E103" s="124"/>
      <c r="F103" s="124"/>
      <c r="G103" s="149"/>
      <c r="H103" s="365"/>
      <c r="I103" s="365"/>
      <c r="J103" s="365"/>
      <c r="K103" s="365"/>
      <c r="L103" s="357"/>
      <c r="M103" s="357"/>
      <c r="N103" s="357"/>
      <c r="O103" s="357"/>
      <c r="P103" s="373"/>
      <c r="Q103" s="11"/>
      <c r="R103" s="373"/>
      <c r="S103" s="11"/>
      <c r="T103" s="373"/>
      <c r="U103" s="373"/>
      <c r="V103" s="373"/>
      <c r="W103" s="373"/>
      <c r="X103" s="373"/>
      <c r="Y103" s="373"/>
      <c r="AB103" s="373"/>
      <c r="AC103" s="373"/>
      <c r="AD103" s="373"/>
      <c r="AE103" s="373"/>
      <c r="AH103" s="11"/>
      <c r="AI103" s="365"/>
      <c r="AJ103" s="11"/>
      <c r="AK103" s="61"/>
      <c r="AL103" s="365"/>
      <c r="AM103" s="365"/>
      <c r="AN103" s="365"/>
      <c r="AO103" s="365"/>
      <c r="AP103" s="365"/>
      <c r="AQ103" s="365"/>
      <c r="AR103" s="365"/>
      <c r="AS103" s="365"/>
      <c r="AT103" s="357" t="s">
        <v>990</v>
      </c>
      <c r="AU103" s="357" t="s">
        <v>170</v>
      </c>
      <c r="AV103" s="357" t="s">
        <v>999</v>
      </c>
      <c r="AW103" s="357" t="s">
        <v>137</v>
      </c>
      <c r="AX103" s="357">
        <v>27257.599999999999</v>
      </c>
      <c r="AY103" s="357" t="s">
        <v>1096</v>
      </c>
      <c r="AZ103" s="357">
        <v>27257.599999999999</v>
      </c>
      <c r="BA103" s="357" t="s">
        <v>993</v>
      </c>
      <c r="BB103" s="357">
        <v>2806.45</v>
      </c>
      <c r="BC103" s="357">
        <v>-99996</v>
      </c>
      <c r="BD103" s="357">
        <v>0</v>
      </c>
      <c r="BE103" s="357">
        <v>27257.599999999999</v>
      </c>
      <c r="BF103" s="357">
        <v>1</v>
      </c>
      <c r="BG103" s="357"/>
      <c r="BH103" s="357"/>
      <c r="BI103" s="357"/>
      <c r="BJ103" s="357"/>
      <c r="BK103" s="357"/>
      <c r="BL103" s="357"/>
      <c r="BM103" s="357"/>
      <c r="BN103" s="357"/>
      <c r="BO103" s="357"/>
      <c r="BP103" s="357"/>
      <c r="BQ103" s="357"/>
      <c r="BW103" s="357"/>
      <c r="BX103" s="357"/>
      <c r="BY103" s="357"/>
      <c r="BZ103" s="357"/>
      <c r="CA103" s="357"/>
      <c r="CB103" s="357"/>
      <c r="CC103" s="357"/>
      <c r="CD103" s="357" t="s">
        <v>990</v>
      </c>
      <c r="CE103" s="357" t="s">
        <v>170</v>
      </c>
      <c r="CF103" s="357" t="s">
        <v>999</v>
      </c>
      <c r="CG103" s="357" t="s">
        <v>137</v>
      </c>
      <c r="CH103" s="357">
        <v>27257.599999999999</v>
      </c>
      <c r="CI103" s="357" t="s">
        <v>1096</v>
      </c>
      <c r="CJ103" s="357">
        <v>0</v>
      </c>
      <c r="CK103" s="357" t="s">
        <v>993</v>
      </c>
      <c r="CL103" s="357">
        <v>2806.45</v>
      </c>
      <c r="CM103" s="357">
        <v>-99996</v>
      </c>
      <c r="CN103" s="357">
        <v>0</v>
      </c>
      <c r="CO103" s="357">
        <v>31346.3</v>
      </c>
      <c r="CP103" s="357">
        <v>0</v>
      </c>
      <c r="CQ103" s="357">
        <v>0</v>
      </c>
      <c r="CR103" s="357">
        <v>31346.3</v>
      </c>
      <c r="CS103" s="357">
        <v>1.1499999999999999</v>
      </c>
      <c r="CT103" s="357"/>
      <c r="CU103" s="357"/>
      <c r="CV103" s="357"/>
    </row>
    <row r="104" spans="1:100" ht="14.4" thickTop="1" x14ac:dyDescent="0.3">
      <c r="A104" s="364"/>
      <c r="B104" s="130" t="s">
        <v>990</v>
      </c>
      <c r="C104" s="364"/>
      <c r="D104" s="140" t="str">
        <f>IF(E104=CP179,"X","")</f>
        <v/>
      </c>
      <c r="E104" s="849">
        <v>15</v>
      </c>
      <c r="F104" s="140" t="str">
        <f>IF(G104=CQ179,"X","")</f>
        <v>X</v>
      </c>
      <c r="G104" s="819">
        <v>0.15</v>
      </c>
      <c r="H104" s="365"/>
      <c r="I104" s="17"/>
      <c r="J104" s="365"/>
      <c r="K104" s="365"/>
      <c r="L104" s="357"/>
      <c r="M104" s="357"/>
      <c r="N104" s="357"/>
      <c r="O104" s="357"/>
      <c r="P104" s="373"/>
      <c r="Q104" s="11"/>
      <c r="R104" s="373"/>
      <c r="S104" s="11"/>
      <c r="T104" s="373"/>
      <c r="U104" s="373"/>
      <c r="V104" s="373"/>
      <c r="W104" s="373"/>
      <c r="X104" s="373"/>
      <c r="Y104" s="373"/>
      <c r="AB104" s="373"/>
      <c r="AC104" s="373"/>
      <c r="AD104" s="373"/>
      <c r="AE104" s="373"/>
      <c r="AH104" s="11"/>
      <c r="AI104" s="365"/>
      <c r="AJ104" s="11"/>
      <c r="AK104" s="61"/>
      <c r="AL104" s="365"/>
      <c r="AM104" s="365"/>
      <c r="AN104" s="365"/>
      <c r="AO104" s="365"/>
      <c r="AP104" s="365"/>
      <c r="AQ104" s="365"/>
      <c r="AR104" s="365"/>
      <c r="AS104" s="365"/>
      <c r="AT104" s="357" t="s">
        <v>998</v>
      </c>
      <c r="AU104" s="357" t="s">
        <v>983</v>
      </c>
      <c r="AV104" s="357" t="s">
        <v>979</v>
      </c>
      <c r="AW104" s="357" t="s">
        <v>137</v>
      </c>
      <c r="AX104" s="357">
        <v>0</v>
      </c>
      <c r="AY104" s="357"/>
      <c r="AZ104" s="357"/>
      <c r="BA104" s="357"/>
      <c r="BB104" s="357"/>
      <c r="BC104" s="357"/>
      <c r="BD104" s="357"/>
      <c r="BE104" s="357"/>
      <c r="BF104" s="357"/>
      <c r="BG104" s="357"/>
      <c r="BH104" s="357"/>
      <c r="BI104" s="357"/>
      <c r="BJ104" s="357"/>
      <c r="BK104" s="357"/>
      <c r="BL104" s="357"/>
      <c r="BM104" s="357"/>
      <c r="BN104" s="357"/>
      <c r="BO104" s="357"/>
      <c r="BP104" s="357"/>
      <c r="BQ104" s="357"/>
      <c r="BW104" s="357"/>
      <c r="BX104" s="357"/>
      <c r="BY104" s="357"/>
      <c r="BZ104" s="357"/>
      <c r="CA104" s="357"/>
      <c r="CB104" s="357"/>
      <c r="CC104" s="357"/>
      <c r="CD104" s="357" t="s">
        <v>998</v>
      </c>
      <c r="CE104" s="357" t="s">
        <v>983</v>
      </c>
      <c r="CF104" s="357" t="s">
        <v>979</v>
      </c>
      <c r="CG104" s="357" t="s">
        <v>137</v>
      </c>
      <c r="CH104" s="357">
        <v>0</v>
      </c>
      <c r="CI104" s="357"/>
      <c r="CJ104" s="357"/>
      <c r="CK104" s="357"/>
      <c r="CL104" s="357"/>
      <c r="CM104" s="357"/>
      <c r="CN104" s="357"/>
      <c r="CO104" s="357"/>
      <c r="CP104" s="357"/>
      <c r="CQ104" s="357"/>
      <c r="CR104" s="357"/>
      <c r="CS104" s="357"/>
      <c r="CT104" s="357"/>
      <c r="CU104" s="357"/>
      <c r="CV104" s="357"/>
    </row>
    <row r="105" spans="1:100" x14ac:dyDescent="0.3">
      <c r="A105" s="364"/>
      <c r="B105" s="130" t="s">
        <v>1000</v>
      </c>
      <c r="C105" s="364"/>
      <c r="D105" s="140" t="str">
        <f>IF(E105=CP181,"X","")</f>
        <v/>
      </c>
      <c r="E105" s="849">
        <v>15</v>
      </c>
      <c r="F105" s="140" t="str">
        <f>IF(G105=CQ181,"X","")</f>
        <v>X</v>
      </c>
      <c r="G105" s="361">
        <v>0.15</v>
      </c>
      <c r="H105" s="365"/>
      <c r="I105" s="365"/>
      <c r="J105" s="365"/>
      <c r="K105" s="365"/>
      <c r="L105" s="357"/>
      <c r="M105" s="357"/>
      <c r="N105" s="357"/>
      <c r="O105" s="357"/>
      <c r="P105" s="373"/>
      <c r="Q105" s="11"/>
      <c r="R105" s="373"/>
      <c r="S105" s="11"/>
      <c r="T105" s="373"/>
      <c r="U105" s="373"/>
      <c r="V105" s="373"/>
      <c r="W105" s="373"/>
      <c r="X105" s="373"/>
      <c r="Y105" s="373"/>
      <c r="AB105" s="373"/>
      <c r="AC105" s="373"/>
      <c r="AD105" s="373"/>
      <c r="AE105" s="373"/>
      <c r="AH105" s="11"/>
      <c r="AI105" s="365"/>
      <c r="AJ105" s="11"/>
      <c r="AK105" s="61"/>
      <c r="AL105" s="365"/>
      <c r="AM105" s="365"/>
      <c r="AN105" s="365"/>
      <c r="AO105" s="365"/>
      <c r="AP105" s="365"/>
      <c r="AQ105" s="365"/>
      <c r="AR105" s="365"/>
      <c r="AS105" s="365"/>
      <c r="AT105" s="357" t="s">
        <v>1000</v>
      </c>
      <c r="AU105" s="357" t="s">
        <v>170</v>
      </c>
      <c r="AV105" s="357" t="s">
        <v>999</v>
      </c>
      <c r="AW105" s="357" t="s">
        <v>137</v>
      </c>
      <c r="AX105" s="357">
        <v>3373.61</v>
      </c>
      <c r="AY105" s="357" t="s">
        <v>1096</v>
      </c>
      <c r="AZ105" s="357">
        <v>3373.61</v>
      </c>
      <c r="BA105" s="357" t="s">
        <v>993</v>
      </c>
      <c r="BB105" s="357">
        <v>2806.45</v>
      </c>
      <c r="BC105" s="357">
        <v>-99996</v>
      </c>
      <c r="BD105" s="357">
        <v>0</v>
      </c>
      <c r="BE105" s="357">
        <v>3373.61</v>
      </c>
      <c r="BF105" s="357">
        <v>1</v>
      </c>
      <c r="BG105" s="357"/>
      <c r="BH105" s="357"/>
      <c r="BI105" s="357"/>
      <c r="BJ105" s="357"/>
      <c r="BK105" s="357"/>
      <c r="BL105" s="357"/>
      <c r="BM105" s="357"/>
      <c r="BN105" s="357"/>
      <c r="BO105" s="357"/>
      <c r="BP105" s="357"/>
      <c r="BQ105" s="357"/>
      <c r="BW105" s="357"/>
      <c r="BX105" s="357"/>
      <c r="BY105" s="357"/>
      <c r="BZ105" s="357"/>
      <c r="CA105" s="357"/>
      <c r="CB105" s="357"/>
      <c r="CC105" s="357"/>
      <c r="CD105" s="357" t="s">
        <v>1000</v>
      </c>
      <c r="CE105" s="357" t="s">
        <v>170</v>
      </c>
      <c r="CF105" s="357" t="s">
        <v>999</v>
      </c>
      <c r="CG105" s="357" t="s">
        <v>137</v>
      </c>
      <c r="CH105" s="357">
        <v>3373.61</v>
      </c>
      <c r="CI105" s="357" t="s">
        <v>1096</v>
      </c>
      <c r="CJ105" s="357">
        <v>0</v>
      </c>
      <c r="CK105" s="357" t="s">
        <v>993</v>
      </c>
      <c r="CL105" s="357">
        <v>2806.45</v>
      </c>
      <c r="CM105" s="357">
        <v>-99996</v>
      </c>
      <c r="CN105" s="357">
        <v>0</v>
      </c>
      <c r="CO105" s="357">
        <v>3879.65</v>
      </c>
      <c r="CP105" s="357">
        <v>0</v>
      </c>
      <c r="CQ105" s="357">
        <v>0</v>
      </c>
      <c r="CR105" s="357">
        <v>3879.65</v>
      </c>
      <c r="CS105" s="357">
        <v>1.1499999999999999</v>
      </c>
      <c r="CT105" s="357"/>
      <c r="CU105" s="357"/>
      <c r="CV105" s="357"/>
    </row>
    <row r="106" spans="1:100" x14ac:dyDescent="0.3">
      <c r="A106" s="364"/>
      <c r="B106" s="130" t="s">
        <v>1001</v>
      </c>
      <c r="C106" s="364"/>
      <c r="D106" s="140" t="str">
        <f t="shared" ref="D106:D108" si="68">IF(E106=CP182,"X","")</f>
        <v/>
      </c>
      <c r="E106" s="849">
        <v>15</v>
      </c>
      <c r="F106" s="140" t="str">
        <f t="shared" ref="F106:F108" si="69">IF(G106=CQ182,"X","")</f>
        <v>X</v>
      </c>
      <c r="G106" s="361">
        <v>0.15</v>
      </c>
      <c r="H106" s="17"/>
      <c r="I106" s="365"/>
      <c r="J106" s="17"/>
      <c r="K106" s="365"/>
      <c r="L106" s="357"/>
      <c r="M106" s="357"/>
      <c r="N106" s="357"/>
      <c r="O106" s="357"/>
      <c r="P106" s="373"/>
      <c r="Q106" s="11"/>
      <c r="R106" s="373"/>
      <c r="S106" s="11"/>
      <c r="T106" s="373"/>
      <c r="U106" s="373"/>
      <c r="V106" s="373"/>
      <c r="W106" s="373"/>
      <c r="X106" s="373"/>
      <c r="Y106" s="373"/>
      <c r="AB106" s="373"/>
      <c r="AC106" s="373"/>
      <c r="AD106" s="373"/>
      <c r="AE106" s="373"/>
      <c r="AH106" s="11"/>
      <c r="AI106" s="365"/>
      <c r="AJ106" s="11"/>
      <c r="AK106" s="61"/>
      <c r="AL106" s="365"/>
      <c r="AM106" s="365"/>
      <c r="AN106" s="365"/>
      <c r="AO106" s="365"/>
      <c r="AP106" s="365"/>
      <c r="AQ106" s="365"/>
      <c r="AR106" s="365"/>
      <c r="AS106" s="365"/>
      <c r="AT106" s="357" t="s">
        <v>1001</v>
      </c>
      <c r="AU106" s="357" t="s">
        <v>170</v>
      </c>
      <c r="AV106" s="357" t="s">
        <v>988</v>
      </c>
      <c r="AW106" s="357" t="s">
        <v>137</v>
      </c>
      <c r="AX106" s="357">
        <v>2174.0500000000002</v>
      </c>
      <c r="AY106" s="357" t="s">
        <v>1096</v>
      </c>
      <c r="AZ106" s="357">
        <v>1087.03</v>
      </c>
      <c r="BA106" s="357" t="s">
        <v>993</v>
      </c>
      <c r="BB106" s="357">
        <v>2806.45</v>
      </c>
      <c r="BC106" s="357">
        <v>-99996</v>
      </c>
      <c r="BD106" s="357">
        <v>0</v>
      </c>
      <c r="BE106" s="357">
        <v>1087.03</v>
      </c>
      <c r="BF106" s="357">
        <v>0.5</v>
      </c>
      <c r="BG106" s="357"/>
      <c r="BH106" s="357"/>
      <c r="BI106" s="357"/>
      <c r="BJ106" s="357"/>
      <c r="BK106" s="357"/>
      <c r="BL106" s="357"/>
      <c r="BM106" s="357"/>
      <c r="BN106" s="357"/>
      <c r="BO106" s="357"/>
      <c r="BP106" s="357"/>
      <c r="BQ106" s="357"/>
      <c r="BW106" s="357"/>
      <c r="BX106" s="357"/>
      <c r="BY106" s="357"/>
      <c r="BZ106" s="357"/>
      <c r="CA106" s="357"/>
      <c r="CB106" s="357"/>
      <c r="CC106" s="357"/>
      <c r="CD106" s="357" t="s">
        <v>1001</v>
      </c>
      <c r="CE106" s="357" t="s">
        <v>170</v>
      </c>
      <c r="CF106" s="357" t="s">
        <v>988</v>
      </c>
      <c r="CG106" s="357" t="s">
        <v>137</v>
      </c>
      <c r="CH106" s="357">
        <v>2174.0500000000002</v>
      </c>
      <c r="CI106" s="357" t="s">
        <v>1096</v>
      </c>
      <c r="CJ106" s="357">
        <v>0</v>
      </c>
      <c r="CK106" s="357" t="s">
        <v>993</v>
      </c>
      <c r="CL106" s="357">
        <v>2806.45</v>
      </c>
      <c r="CM106" s="357">
        <v>-99996</v>
      </c>
      <c r="CN106" s="357">
        <v>0</v>
      </c>
      <c r="CO106" s="357">
        <v>1304.43</v>
      </c>
      <c r="CP106" s="357">
        <v>0</v>
      </c>
      <c r="CQ106" s="357">
        <v>0</v>
      </c>
      <c r="CR106" s="357">
        <v>1304.43</v>
      </c>
      <c r="CS106" s="357">
        <v>0.6</v>
      </c>
      <c r="CT106" s="357"/>
      <c r="CU106" s="357"/>
      <c r="CV106" s="357"/>
    </row>
    <row r="107" spans="1:100" x14ac:dyDescent="0.3">
      <c r="A107" s="364"/>
      <c r="B107" s="130" t="s">
        <v>1002</v>
      </c>
      <c r="C107" s="364"/>
      <c r="D107" s="140" t="str">
        <f t="shared" si="68"/>
        <v/>
      </c>
      <c r="E107" s="849">
        <v>15</v>
      </c>
      <c r="F107" s="140" t="str">
        <f t="shared" si="69"/>
        <v>X</v>
      </c>
      <c r="G107" s="361">
        <v>0.15</v>
      </c>
      <c r="H107" s="17"/>
      <c r="I107" s="365"/>
      <c r="J107" s="17"/>
      <c r="K107" s="365"/>
      <c r="L107" s="357"/>
      <c r="M107" s="357"/>
      <c r="N107" s="357"/>
      <c r="O107" s="357"/>
      <c r="P107" s="373"/>
      <c r="Q107" s="11"/>
      <c r="R107" s="373"/>
      <c r="S107" s="11"/>
      <c r="T107" s="373"/>
      <c r="U107" s="373"/>
      <c r="V107" s="373"/>
      <c r="W107" s="373"/>
      <c r="X107" s="373"/>
      <c r="Y107" s="373"/>
      <c r="AB107" s="373"/>
      <c r="AC107" s="373"/>
      <c r="AD107" s="373"/>
      <c r="AE107" s="373"/>
      <c r="AH107" s="11"/>
      <c r="AI107" s="365"/>
      <c r="AJ107" s="11"/>
      <c r="AK107" s="61"/>
      <c r="AL107" s="365"/>
      <c r="AM107" s="365"/>
      <c r="AN107" s="365"/>
      <c r="AO107" s="365"/>
      <c r="AP107" s="365"/>
      <c r="AQ107" s="365"/>
      <c r="AR107" s="365"/>
      <c r="AS107" s="365"/>
      <c r="AT107" s="357" t="s">
        <v>1002</v>
      </c>
      <c r="AU107" s="357" t="s">
        <v>170</v>
      </c>
      <c r="AV107" s="357" t="s">
        <v>999</v>
      </c>
      <c r="AW107" s="357" t="s">
        <v>137</v>
      </c>
      <c r="AX107" s="357">
        <v>3373.64</v>
      </c>
      <c r="AY107" s="357" t="s">
        <v>1096</v>
      </c>
      <c r="AZ107" s="357">
        <v>3373.64</v>
      </c>
      <c r="BA107" s="357" t="s">
        <v>993</v>
      </c>
      <c r="BB107" s="357">
        <v>2806.45</v>
      </c>
      <c r="BC107" s="357">
        <v>-99996</v>
      </c>
      <c r="BD107" s="357">
        <v>0</v>
      </c>
      <c r="BE107" s="357">
        <v>3373.64</v>
      </c>
      <c r="BF107" s="357">
        <v>1</v>
      </c>
      <c r="BG107" s="357"/>
      <c r="BH107" s="357"/>
      <c r="BI107" s="357"/>
      <c r="BJ107" s="357"/>
      <c r="BK107" s="357"/>
      <c r="BL107" s="357"/>
      <c r="BM107" s="357"/>
      <c r="BN107" s="357"/>
      <c r="BO107" s="357"/>
      <c r="BP107" s="357"/>
      <c r="BQ107" s="357"/>
      <c r="BW107" s="357"/>
      <c r="BX107" s="357"/>
      <c r="BY107" s="357"/>
      <c r="BZ107" s="357"/>
      <c r="CA107" s="357"/>
      <c r="CB107" s="357"/>
      <c r="CC107" s="357"/>
      <c r="CD107" s="357" t="s">
        <v>1002</v>
      </c>
      <c r="CE107" s="357" t="s">
        <v>170</v>
      </c>
      <c r="CF107" s="357" t="s">
        <v>999</v>
      </c>
      <c r="CG107" s="357" t="s">
        <v>137</v>
      </c>
      <c r="CH107" s="357">
        <v>3373.64</v>
      </c>
      <c r="CI107" s="357" t="s">
        <v>1096</v>
      </c>
      <c r="CJ107" s="357">
        <v>0</v>
      </c>
      <c r="CK107" s="357" t="s">
        <v>993</v>
      </c>
      <c r="CL107" s="357">
        <v>2806.45</v>
      </c>
      <c r="CM107" s="357">
        <v>-99996</v>
      </c>
      <c r="CN107" s="357">
        <v>0</v>
      </c>
      <c r="CO107" s="357">
        <v>3879.68</v>
      </c>
      <c r="CP107" s="357">
        <v>0</v>
      </c>
      <c r="CQ107" s="357">
        <v>0</v>
      </c>
      <c r="CR107" s="357">
        <v>3879.68</v>
      </c>
      <c r="CS107" s="373">
        <v>1.1499999999999999</v>
      </c>
    </row>
    <row r="108" spans="1:100" x14ac:dyDescent="0.3">
      <c r="A108" s="364"/>
      <c r="B108" s="180" t="s">
        <v>1003</v>
      </c>
      <c r="C108" s="157"/>
      <c r="D108" s="171" t="str">
        <f t="shared" si="68"/>
        <v/>
      </c>
      <c r="E108" s="850">
        <v>15</v>
      </c>
      <c r="F108" s="171" t="str">
        <f t="shared" si="69"/>
        <v>X</v>
      </c>
      <c r="G108" s="786">
        <v>0.15</v>
      </c>
      <c r="H108" s="17"/>
      <c r="I108" s="365"/>
      <c r="J108" s="17"/>
      <c r="K108" s="365"/>
      <c r="L108" s="357"/>
      <c r="M108" s="357"/>
      <c r="N108" s="357"/>
      <c r="O108" s="357"/>
      <c r="P108" s="373"/>
      <c r="Q108" s="11"/>
      <c r="R108" s="373"/>
      <c r="S108" s="11"/>
      <c r="T108" s="373"/>
      <c r="U108" s="373"/>
      <c r="V108" s="373"/>
      <c r="W108" s="373"/>
      <c r="X108" s="373"/>
      <c r="Y108" s="373"/>
      <c r="AB108" s="373"/>
      <c r="AC108" s="373"/>
      <c r="AD108" s="373"/>
      <c r="AE108" s="373"/>
      <c r="AH108" s="11"/>
      <c r="AI108" s="365"/>
      <c r="AJ108" s="11"/>
      <c r="AK108" s="61"/>
      <c r="AL108" s="365"/>
      <c r="AM108" s="365"/>
      <c r="AN108" s="365"/>
      <c r="AO108" s="365"/>
      <c r="AP108" s="365"/>
      <c r="AQ108" s="365"/>
      <c r="AR108" s="365"/>
      <c r="AS108" s="365"/>
      <c r="AT108" s="357" t="s">
        <v>1003</v>
      </c>
      <c r="AU108" s="357" t="s">
        <v>170</v>
      </c>
      <c r="AV108" s="357" t="s">
        <v>999</v>
      </c>
      <c r="AW108" s="357" t="s">
        <v>137</v>
      </c>
      <c r="AX108" s="357">
        <v>2174.04</v>
      </c>
      <c r="AY108" s="357" t="s">
        <v>1096</v>
      </c>
      <c r="AZ108" s="357">
        <v>2174.04</v>
      </c>
      <c r="BA108" s="357" t="s">
        <v>993</v>
      </c>
      <c r="BB108" s="357">
        <v>2806.45</v>
      </c>
      <c r="BC108" s="357">
        <v>-99996</v>
      </c>
      <c r="BD108" s="357">
        <v>0</v>
      </c>
      <c r="BE108" s="357">
        <v>2174.04</v>
      </c>
      <c r="BF108" s="357">
        <v>1</v>
      </c>
      <c r="BG108" s="357"/>
      <c r="BH108" s="357"/>
      <c r="BI108" s="357"/>
      <c r="BJ108" s="357"/>
      <c r="BK108" s="357"/>
      <c r="BL108" s="357"/>
      <c r="BM108" s="357"/>
      <c r="BN108" s="357"/>
      <c r="BO108" s="357"/>
      <c r="BP108" s="357"/>
      <c r="BQ108" s="357"/>
      <c r="BW108" s="357"/>
      <c r="BX108" s="357"/>
      <c r="BY108" s="357"/>
      <c r="BZ108" s="357"/>
      <c r="CA108" s="357"/>
      <c r="CB108" s="357"/>
      <c r="CC108" s="357"/>
      <c r="CD108" s="357" t="s">
        <v>1003</v>
      </c>
      <c r="CE108" s="357" t="s">
        <v>170</v>
      </c>
      <c r="CF108" s="357" t="s">
        <v>999</v>
      </c>
      <c r="CG108" s="357" t="s">
        <v>137</v>
      </c>
      <c r="CH108" s="357">
        <v>2174.04</v>
      </c>
      <c r="CI108" s="357" t="s">
        <v>1096</v>
      </c>
      <c r="CJ108" s="357">
        <v>0</v>
      </c>
      <c r="CK108" s="357" t="s">
        <v>993</v>
      </c>
      <c r="CL108" s="357">
        <v>2806.45</v>
      </c>
      <c r="CM108" s="357">
        <v>-99996</v>
      </c>
      <c r="CN108" s="357">
        <v>0</v>
      </c>
      <c r="CO108" s="357">
        <v>2500.14</v>
      </c>
      <c r="CP108" s="357">
        <v>0</v>
      </c>
      <c r="CQ108" s="357">
        <v>0</v>
      </c>
      <c r="CR108" s="357">
        <v>2500.14</v>
      </c>
      <c r="CS108" s="373">
        <v>1.1499999999999999</v>
      </c>
    </row>
    <row r="109" spans="1:100" x14ac:dyDescent="0.3">
      <c r="A109" s="364"/>
      <c r="B109" s="44"/>
      <c r="C109" s="47"/>
      <c r="D109" s="365"/>
      <c r="E109" s="365"/>
      <c r="F109" s="365"/>
      <c r="G109" s="114"/>
      <c r="H109" s="365"/>
      <c r="I109" s="365"/>
      <c r="J109" s="365"/>
      <c r="K109" s="365"/>
      <c r="L109" s="357"/>
      <c r="M109" s="357"/>
      <c r="N109" s="357"/>
      <c r="O109" s="357"/>
      <c r="P109" s="373"/>
      <c r="Q109" s="11"/>
      <c r="R109" s="373"/>
      <c r="S109" s="11"/>
      <c r="T109" s="373"/>
      <c r="U109" s="373"/>
      <c r="V109" s="373"/>
      <c r="W109" s="373"/>
      <c r="X109" s="373"/>
      <c r="Y109" s="373"/>
      <c r="AB109" s="373"/>
      <c r="AC109" s="373"/>
      <c r="AD109" s="373"/>
      <c r="AE109" s="373"/>
      <c r="AH109" s="11"/>
      <c r="AI109" s="365"/>
      <c r="AJ109" s="11"/>
      <c r="AK109" s="61"/>
      <c r="AL109" s="365"/>
      <c r="AM109" s="365"/>
      <c r="AN109" s="365"/>
      <c r="AO109" s="365"/>
      <c r="AP109" s="365"/>
      <c r="AQ109" s="365"/>
      <c r="AR109" s="365"/>
      <c r="AS109" s="365"/>
      <c r="AT109" s="357" t="s">
        <v>1004</v>
      </c>
      <c r="AU109" s="357" t="s">
        <v>170</v>
      </c>
      <c r="AV109" s="357" t="s">
        <v>915</v>
      </c>
      <c r="AW109" s="357" t="s">
        <v>137</v>
      </c>
      <c r="AX109" s="357">
        <v>27257.599999999999</v>
      </c>
      <c r="AY109" s="357" t="s">
        <v>1096</v>
      </c>
      <c r="AZ109" s="357">
        <v>16354.6</v>
      </c>
      <c r="BA109" s="357" t="s">
        <v>961</v>
      </c>
      <c r="BB109" s="357">
        <v>2253.1</v>
      </c>
      <c r="BC109" s="357">
        <v>-99996</v>
      </c>
      <c r="BD109" s="357">
        <v>0</v>
      </c>
      <c r="BE109" s="357">
        <v>16354.6</v>
      </c>
      <c r="BF109" s="357">
        <v>0.6</v>
      </c>
      <c r="BG109" s="357"/>
      <c r="BW109" s="357"/>
      <c r="BX109" s="357"/>
      <c r="BY109" s="357"/>
      <c r="BZ109" s="357"/>
      <c r="CA109" s="357"/>
      <c r="CB109" s="357"/>
      <c r="CC109" s="357"/>
      <c r="CD109" s="357" t="s">
        <v>1004</v>
      </c>
      <c r="CE109" s="357" t="s">
        <v>170</v>
      </c>
      <c r="CF109" s="357" t="s">
        <v>915</v>
      </c>
      <c r="CG109" s="357" t="s">
        <v>137</v>
      </c>
      <c r="CH109" s="357">
        <v>27257.599999999999</v>
      </c>
      <c r="CI109" s="357" t="s">
        <v>1096</v>
      </c>
      <c r="CJ109" s="357">
        <v>0</v>
      </c>
      <c r="CK109" s="357" t="s">
        <v>961</v>
      </c>
      <c r="CL109" s="357">
        <v>2253.1</v>
      </c>
      <c r="CM109" s="357">
        <v>-99996</v>
      </c>
      <c r="CN109" s="357">
        <v>0</v>
      </c>
      <c r="CO109" s="357">
        <v>16354.6</v>
      </c>
      <c r="CP109" s="357">
        <v>0</v>
      </c>
      <c r="CQ109" s="357">
        <v>0</v>
      </c>
      <c r="CR109" s="357">
        <v>16354.6</v>
      </c>
      <c r="CS109" s="373">
        <v>0.6</v>
      </c>
    </row>
    <row r="110" spans="1:100" x14ac:dyDescent="0.3">
      <c r="A110" s="364"/>
      <c r="B110" s="44"/>
      <c r="C110" s="363"/>
      <c r="D110" s="365"/>
      <c r="E110" s="365"/>
      <c r="F110" s="365"/>
      <c r="G110" s="114"/>
      <c r="H110" s="365"/>
      <c r="I110" s="365"/>
      <c r="J110" s="365"/>
      <c r="K110" s="365"/>
      <c r="L110" s="357"/>
      <c r="M110" s="357"/>
      <c r="N110" s="357"/>
      <c r="O110" s="357"/>
      <c r="P110" s="373"/>
      <c r="Q110" s="11"/>
      <c r="R110" s="373"/>
      <c r="S110" s="11"/>
      <c r="T110" s="373"/>
      <c r="U110" s="373"/>
      <c r="V110" s="373"/>
      <c r="W110" s="373"/>
      <c r="X110" s="373"/>
      <c r="Y110" s="373"/>
      <c r="AB110" s="373"/>
      <c r="AC110" s="373"/>
      <c r="AD110" s="373"/>
      <c r="AE110" s="373"/>
      <c r="AH110" s="11"/>
      <c r="AI110" s="365"/>
      <c r="AJ110" s="11"/>
      <c r="AK110" s="61"/>
      <c r="AL110" s="365"/>
      <c r="AM110" s="365"/>
      <c r="AN110" s="365"/>
      <c r="AO110" s="365"/>
      <c r="AP110" s="365"/>
      <c r="AQ110" s="365"/>
      <c r="AR110" s="365"/>
      <c r="AS110" s="365"/>
      <c r="AT110" s="357" t="s">
        <v>1006</v>
      </c>
      <c r="AU110" s="357" t="s">
        <v>983</v>
      </c>
      <c r="AV110" s="357" t="s">
        <v>979</v>
      </c>
      <c r="AW110" s="357" t="s">
        <v>137</v>
      </c>
      <c r="AX110" s="357">
        <v>0</v>
      </c>
      <c r="AY110" s="357"/>
      <c r="AZ110" s="357"/>
      <c r="BA110" s="357"/>
      <c r="BB110" s="357"/>
      <c r="BC110" s="357"/>
      <c r="BD110" s="357"/>
      <c r="BE110" s="357"/>
      <c r="BF110" s="357"/>
      <c r="BG110" s="357"/>
      <c r="BW110" s="357"/>
      <c r="BX110" s="357"/>
      <c r="BY110" s="357"/>
      <c r="BZ110" s="357"/>
      <c r="CA110" s="357"/>
      <c r="CB110" s="357"/>
      <c r="CC110" s="357"/>
      <c r="CD110" s="357" t="s">
        <v>1006</v>
      </c>
      <c r="CE110" s="357" t="s">
        <v>983</v>
      </c>
      <c r="CF110" s="357" t="s">
        <v>979</v>
      </c>
      <c r="CG110" s="357" t="s">
        <v>137</v>
      </c>
      <c r="CH110" s="357">
        <v>0</v>
      </c>
      <c r="CI110" s="357"/>
      <c r="CJ110" s="357"/>
      <c r="CK110" s="357"/>
      <c r="CL110" s="357"/>
      <c r="CM110" s="357"/>
      <c r="CN110" s="357"/>
      <c r="CO110" s="357"/>
      <c r="CP110" s="357"/>
      <c r="CQ110" s="357"/>
      <c r="CR110" s="357"/>
    </row>
    <row r="111" spans="1:100" x14ac:dyDescent="0.3">
      <c r="A111" s="364"/>
      <c r="B111" s="44"/>
      <c r="C111" s="363"/>
      <c r="D111" s="365"/>
      <c r="E111" s="365"/>
      <c r="F111" s="365"/>
      <c r="G111" s="114"/>
      <c r="H111" s="365"/>
      <c r="I111" s="365"/>
      <c r="J111" s="365"/>
      <c r="K111" s="365"/>
      <c r="L111" s="357"/>
      <c r="M111" s="357"/>
      <c r="N111" s="357"/>
      <c r="O111" s="357"/>
      <c r="P111" s="373"/>
      <c r="Q111" s="11"/>
      <c r="R111" s="373"/>
      <c r="S111" s="11"/>
      <c r="T111" s="373"/>
      <c r="U111" s="373"/>
      <c r="V111" s="373"/>
      <c r="W111" s="373"/>
      <c r="X111" s="373"/>
      <c r="Y111" s="373"/>
      <c r="AB111" s="373"/>
      <c r="AC111" s="373"/>
      <c r="AD111" s="373"/>
      <c r="AE111" s="373"/>
      <c r="AH111" s="11"/>
      <c r="AI111" s="365"/>
      <c r="AJ111" s="11"/>
      <c r="AK111" s="61"/>
      <c r="AL111" s="365"/>
      <c r="AM111" s="365"/>
      <c r="AN111" s="365"/>
      <c r="AO111" s="365"/>
      <c r="AP111" s="365"/>
      <c r="AQ111" s="365"/>
      <c r="AR111" s="365"/>
      <c r="AS111" s="365"/>
      <c r="AT111" s="357" t="s">
        <v>1007</v>
      </c>
      <c r="AU111" s="357" t="s">
        <v>170</v>
      </c>
      <c r="AV111" s="357" t="s">
        <v>915</v>
      </c>
      <c r="AW111" s="357" t="s">
        <v>137</v>
      </c>
      <c r="AX111" s="357">
        <v>3373.61</v>
      </c>
      <c r="AY111" s="357" t="s">
        <v>1096</v>
      </c>
      <c r="AZ111" s="357">
        <v>2024.17</v>
      </c>
      <c r="BA111" s="357" t="s">
        <v>961</v>
      </c>
      <c r="BB111" s="357">
        <v>2253.1</v>
      </c>
      <c r="BC111" s="357">
        <v>-99996</v>
      </c>
      <c r="BD111" s="357">
        <v>0</v>
      </c>
      <c r="BE111" s="357">
        <v>2024.17</v>
      </c>
      <c r="BF111" s="357">
        <v>0.6</v>
      </c>
      <c r="BG111" s="357"/>
      <c r="BW111" s="357"/>
      <c r="BX111" s="357"/>
      <c r="BY111" s="357"/>
      <c r="BZ111" s="357"/>
      <c r="CA111" s="357"/>
      <c r="CB111" s="357"/>
      <c r="CC111" s="357"/>
      <c r="CD111" s="357" t="s">
        <v>1007</v>
      </c>
      <c r="CE111" s="357" t="s">
        <v>170</v>
      </c>
      <c r="CF111" s="357" t="s">
        <v>915</v>
      </c>
      <c r="CG111" s="357" t="s">
        <v>137</v>
      </c>
      <c r="CH111" s="357">
        <v>3373.61</v>
      </c>
      <c r="CI111" s="357" t="s">
        <v>1096</v>
      </c>
      <c r="CJ111" s="357">
        <v>0</v>
      </c>
      <c r="CK111" s="357" t="s">
        <v>961</v>
      </c>
      <c r="CL111" s="357">
        <v>2253.1</v>
      </c>
      <c r="CM111" s="357">
        <v>-99996</v>
      </c>
      <c r="CN111" s="357">
        <v>0</v>
      </c>
      <c r="CO111" s="357">
        <v>2024.17</v>
      </c>
      <c r="CP111" s="357">
        <v>0</v>
      </c>
      <c r="CQ111" s="357">
        <v>0</v>
      </c>
      <c r="CR111" s="357">
        <v>2024.17</v>
      </c>
      <c r="CS111" s="373">
        <v>0.6</v>
      </c>
    </row>
    <row r="112" spans="1:100" x14ac:dyDescent="0.3">
      <c r="A112" s="364"/>
      <c r="B112" s="44"/>
      <c r="C112" s="363"/>
      <c r="D112" s="365"/>
      <c r="E112" s="365"/>
      <c r="F112" s="365"/>
      <c r="G112" s="114"/>
      <c r="H112" s="365"/>
      <c r="I112" s="365"/>
      <c r="J112" s="365"/>
      <c r="K112" s="365"/>
      <c r="L112" s="357"/>
      <c r="M112" s="357"/>
      <c r="N112" s="357"/>
      <c r="O112" s="357"/>
      <c r="P112" s="373"/>
      <c r="Q112" s="11"/>
      <c r="R112" s="373"/>
      <c r="S112" s="11"/>
      <c r="T112" s="373"/>
      <c r="U112" s="373"/>
      <c r="V112" s="373"/>
      <c r="W112" s="373"/>
      <c r="X112" s="373"/>
      <c r="Y112" s="373"/>
      <c r="AB112" s="373"/>
      <c r="AC112" s="373"/>
      <c r="AD112" s="373"/>
      <c r="AE112" s="373"/>
      <c r="AH112" s="11"/>
      <c r="AI112" s="365"/>
      <c r="AJ112" s="11"/>
      <c r="AK112" s="61"/>
      <c r="AL112" s="365"/>
      <c r="AM112" s="365"/>
      <c r="AN112" s="365"/>
      <c r="AO112" s="365"/>
      <c r="AP112" s="365"/>
      <c r="AQ112" s="365"/>
      <c r="AR112" s="365"/>
      <c r="AS112" s="365"/>
      <c r="AT112" s="357" t="s">
        <v>1008</v>
      </c>
      <c r="AU112" s="357" t="s">
        <v>140</v>
      </c>
      <c r="AV112" s="357" t="s">
        <v>988</v>
      </c>
      <c r="AW112" s="357" t="s">
        <v>137</v>
      </c>
      <c r="AX112" s="357">
        <v>2174.0500000000002</v>
      </c>
      <c r="AY112" s="357" t="s">
        <v>1096</v>
      </c>
      <c r="AZ112" s="357">
        <v>1087.03</v>
      </c>
      <c r="BA112" s="357" t="s">
        <v>961</v>
      </c>
      <c r="BB112" s="357">
        <v>2253.1</v>
      </c>
      <c r="BC112" s="357">
        <v>-99996</v>
      </c>
      <c r="BD112" s="357">
        <v>0</v>
      </c>
      <c r="BE112" s="357">
        <v>1087.03</v>
      </c>
      <c r="BF112" s="357">
        <v>0.5</v>
      </c>
      <c r="BG112" s="357"/>
      <c r="BH112" s="357"/>
      <c r="BI112" s="357"/>
      <c r="BJ112" s="357"/>
      <c r="BK112" s="357"/>
      <c r="BL112" s="357"/>
      <c r="BM112" s="357"/>
      <c r="BN112" s="357"/>
      <c r="BO112" s="357"/>
      <c r="BP112" s="357"/>
      <c r="BQ112" s="357"/>
      <c r="BW112" s="357"/>
      <c r="BX112" s="357"/>
      <c r="BY112" s="357"/>
      <c r="BZ112" s="357"/>
      <c r="CA112" s="357"/>
      <c r="CB112" s="357"/>
      <c r="CC112" s="357"/>
      <c r="CD112" s="357" t="s">
        <v>1008</v>
      </c>
      <c r="CE112" s="357" t="s">
        <v>140</v>
      </c>
      <c r="CF112" s="357" t="s">
        <v>988</v>
      </c>
      <c r="CG112" s="357" t="s">
        <v>137</v>
      </c>
      <c r="CH112" s="357">
        <v>2174.0500000000002</v>
      </c>
      <c r="CI112" s="357" t="s">
        <v>1096</v>
      </c>
      <c r="CJ112" s="357">
        <v>0</v>
      </c>
      <c r="CK112" s="357" t="s">
        <v>961</v>
      </c>
      <c r="CL112" s="357">
        <v>2253.1</v>
      </c>
      <c r="CM112" s="357">
        <v>-99996</v>
      </c>
      <c r="CN112" s="357">
        <v>0</v>
      </c>
      <c r="CO112" s="357">
        <v>1304.43</v>
      </c>
      <c r="CP112" s="357">
        <v>0</v>
      </c>
      <c r="CQ112" s="357">
        <v>0</v>
      </c>
      <c r="CR112" s="357">
        <v>1304.43</v>
      </c>
      <c r="CS112" s="373">
        <v>0.6</v>
      </c>
    </row>
    <row r="113" spans="2:116" x14ac:dyDescent="0.3">
      <c r="B113" s="44"/>
      <c r="C113" s="363"/>
      <c r="D113" s="365"/>
      <c r="E113" s="365"/>
      <c r="F113" s="365"/>
      <c r="G113" s="114"/>
      <c r="H113" s="17"/>
      <c r="I113" s="365"/>
      <c r="J113" s="17"/>
      <c r="K113" s="365"/>
      <c r="L113" s="357"/>
      <c r="M113" s="357"/>
      <c r="N113" s="357"/>
      <c r="O113" s="357"/>
      <c r="P113" s="373"/>
      <c r="Q113" s="11"/>
      <c r="R113" s="373"/>
      <c r="S113" s="11"/>
      <c r="T113" s="373"/>
      <c r="U113" s="373"/>
      <c r="V113" s="373"/>
      <c r="W113" s="373"/>
      <c r="X113" s="373"/>
      <c r="Y113" s="373"/>
      <c r="AB113" s="373"/>
      <c r="AC113" s="373"/>
      <c r="AD113" s="373"/>
      <c r="AE113" s="373"/>
      <c r="AH113" s="11"/>
      <c r="AI113" s="365"/>
      <c r="AJ113" s="11"/>
      <c r="AK113" s="61"/>
      <c r="AL113" s="365"/>
      <c r="AM113" s="365"/>
      <c r="AN113" s="365"/>
      <c r="AO113" s="365"/>
      <c r="AP113" s="365"/>
      <c r="AQ113" s="365"/>
      <c r="AR113" s="365"/>
      <c r="AS113" s="365"/>
      <c r="AT113" s="357" t="s">
        <v>1011</v>
      </c>
      <c r="AU113" s="357" t="s">
        <v>170</v>
      </c>
      <c r="AV113" s="357" t="s">
        <v>915</v>
      </c>
      <c r="AW113" s="357" t="s">
        <v>137</v>
      </c>
      <c r="AX113" s="357">
        <v>3373.64</v>
      </c>
      <c r="AY113" s="357" t="s">
        <v>1096</v>
      </c>
      <c r="AZ113" s="357">
        <v>2024.18</v>
      </c>
      <c r="BA113" s="357" t="s">
        <v>961</v>
      </c>
      <c r="BB113" s="357">
        <v>2253.1</v>
      </c>
      <c r="BC113" s="357">
        <v>-99996</v>
      </c>
      <c r="BD113" s="357">
        <v>0</v>
      </c>
      <c r="BE113" s="357">
        <v>2024.18</v>
      </c>
      <c r="BF113" s="357">
        <v>0.6</v>
      </c>
      <c r="BG113" s="357"/>
      <c r="BH113" s="357"/>
      <c r="BI113" s="357"/>
      <c r="BJ113" s="357"/>
      <c r="BK113" s="357"/>
      <c r="BL113" s="357"/>
      <c r="BM113" s="357"/>
      <c r="BN113" s="357"/>
      <c r="BO113" s="357"/>
      <c r="BP113" s="357"/>
      <c r="BQ113" s="357"/>
      <c r="BW113" s="357"/>
      <c r="BX113" s="357"/>
      <c r="BY113" s="357"/>
      <c r="BZ113" s="357"/>
      <c r="CA113" s="357"/>
      <c r="CB113" s="357"/>
      <c r="CC113" s="357"/>
      <c r="CD113" s="357" t="s">
        <v>1011</v>
      </c>
      <c r="CE113" s="357" t="s">
        <v>170</v>
      </c>
      <c r="CF113" s="357" t="s">
        <v>915</v>
      </c>
      <c r="CG113" s="357" t="s">
        <v>137</v>
      </c>
      <c r="CH113" s="357">
        <v>3373.64</v>
      </c>
      <c r="CI113" s="357" t="s">
        <v>1096</v>
      </c>
      <c r="CJ113" s="357">
        <v>0</v>
      </c>
      <c r="CK113" s="357" t="s">
        <v>961</v>
      </c>
      <c r="CL113" s="357">
        <v>2253.1</v>
      </c>
      <c r="CM113" s="357">
        <v>-99996</v>
      </c>
      <c r="CN113" s="357">
        <v>0</v>
      </c>
      <c r="CO113" s="357">
        <v>2024.18</v>
      </c>
      <c r="CP113" s="357">
        <v>0</v>
      </c>
      <c r="CQ113" s="357">
        <v>0</v>
      </c>
      <c r="CR113" s="357">
        <v>2024.18</v>
      </c>
      <c r="CS113" s="373">
        <v>0.6</v>
      </c>
    </row>
    <row r="114" spans="2:116" x14ac:dyDescent="0.3">
      <c r="B114" s="44"/>
      <c r="C114" s="363"/>
      <c r="D114" s="365"/>
      <c r="E114" s="365"/>
      <c r="F114" s="365"/>
      <c r="G114" s="114"/>
      <c r="H114" s="365"/>
      <c r="I114" s="365"/>
      <c r="J114" s="365"/>
      <c r="K114" s="365"/>
      <c r="L114" s="373"/>
      <c r="M114" s="373"/>
      <c r="N114" s="373"/>
      <c r="O114" s="373"/>
      <c r="P114" s="373"/>
      <c r="Q114" s="373"/>
      <c r="R114" s="373"/>
      <c r="S114" s="373"/>
      <c r="T114" s="373"/>
      <c r="U114" s="373"/>
      <c r="V114" s="373"/>
      <c r="W114" s="373"/>
      <c r="X114" s="373"/>
      <c r="Y114" s="373"/>
      <c r="AB114" s="373"/>
      <c r="AC114" s="373"/>
      <c r="AD114" s="373"/>
      <c r="AE114" s="373"/>
      <c r="AH114" s="373"/>
      <c r="AI114" s="365"/>
      <c r="AK114" s="365"/>
      <c r="AL114" s="365"/>
      <c r="AM114" s="365"/>
      <c r="AN114" s="365"/>
      <c r="AO114" s="365"/>
      <c r="AP114" s="365"/>
      <c r="AQ114" s="365"/>
      <c r="AR114" s="365"/>
      <c r="AS114" s="365"/>
      <c r="AT114" s="357" t="s">
        <v>1012</v>
      </c>
      <c r="AU114" s="357" t="s">
        <v>170</v>
      </c>
      <c r="AV114" s="357" t="s">
        <v>915</v>
      </c>
      <c r="AW114" s="357" t="s">
        <v>137</v>
      </c>
      <c r="AX114" s="357">
        <v>2174.04</v>
      </c>
      <c r="AY114" s="357" t="s">
        <v>1096</v>
      </c>
      <c r="AZ114" s="357">
        <v>1304.42</v>
      </c>
      <c r="BA114" s="357" t="s">
        <v>961</v>
      </c>
      <c r="BB114" s="357">
        <v>2253.1</v>
      </c>
      <c r="BC114" s="357">
        <v>-99996</v>
      </c>
      <c r="BD114" s="357">
        <v>0</v>
      </c>
      <c r="BE114" s="357">
        <v>1304.42</v>
      </c>
      <c r="BF114" s="357">
        <v>0.6</v>
      </c>
      <c r="BG114" s="357"/>
      <c r="BH114" s="357"/>
      <c r="BI114" s="357"/>
      <c r="BJ114" s="357"/>
      <c r="BK114" s="357"/>
      <c r="BL114" s="357"/>
      <c r="BM114" s="357"/>
      <c r="BN114" s="357"/>
      <c r="BO114" s="357"/>
      <c r="BP114" s="357"/>
      <c r="BQ114" s="357"/>
      <c r="BW114" s="357"/>
      <c r="BX114" s="357"/>
      <c r="BY114" s="357"/>
      <c r="BZ114" s="357"/>
      <c r="CA114" s="357"/>
      <c r="CB114" s="357"/>
      <c r="CC114" s="357"/>
      <c r="CD114" s="357" t="s">
        <v>1012</v>
      </c>
      <c r="CE114" s="357" t="s">
        <v>170</v>
      </c>
      <c r="CF114" s="357" t="s">
        <v>915</v>
      </c>
      <c r="CG114" s="357" t="s">
        <v>137</v>
      </c>
      <c r="CH114" s="357">
        <v>2174.04</v>
      </c>
      <c r="CI114" s="357" t="s">
        <v>1096</v>
      </c>
      <c r="CJ114" s="357">
        <v>0</v>
      </c>
      <c r="CK114" s="357" t="s">
        <v>961</v>
      </c>
      <c r="CL114" s="357">
        <v>2253.1</v>
      </c>
      <c r="CM114" s="357">
        <v>-99996</v>
      </c>
      <c r="CN114" s="357">
        <v>0</v>
      </c>
      <c r="CO114" s="357">
        <v>1304.42</v>
      </c>
      <c r="CP114" s="357">
        <v>0</v>
      </c>
      <c r="CQ114" s="357">
        <v>0</v>
      </c>
      <c r="CR114" s="357">
        <v>1304.42</v>
      </c>
      <c r="CS114" s="373">
        <v>0.6</v>
      </c>
    </row>
    <row r="115" spans="2:116" x14ac:dyDescent="0.3">
      <c r="B115" s="84"/>
      <c r="C115" s="366"/>
      <c r="D115" s="373"/>
      <c r="E115" s="373"/>
      <c r="F115" s="373"/>
      <c r="G115" s="367"/>
      <c r="H115" s="373"/>
      <c r="I115" s="373"/>
      <c r="J115" s="373"/>
      <c r="K115" s="373"/>
      <c r="L115" s="373"/>
      <c r="M115" s="373"/>
      <c r="N115" s="373"/>
      <c r="O115" s="373"/>
      <c r="P115" s="373"/>
      <c r="Q115" s="373"/>
      <c r="R115" s="373"/>
      <c r="S115" s="373"/>
      <c r="T115" s="373"/>
      <c r="U115" s="373"/>
      <c r="V115" s="373"/>
      <c r="W115" s="373"/>
      <c r="X115" s="373"/>
      <c r="Y115" s="373"/>
      <c r="AB115" s="373"/>
      <c r="AC115" s="373"/>
      <c r="AD115" s="373"/>
      <c r="AE115" s="373"/>
      <c r="AH115" s="373"/>
      <c r="AI115" s="365"/>
      <c r="AK115" s="365"/>
      <c r="AL115" s="365"/>
      <c r="AM115" s="365"/>
      <c r="AN115" s="365"/>
      <c r="AO115" s="365"/>
      <c r="AP115" s="365"/>
      <c r="AQ115" s="365"/>
      <c r="AR115" s="365"/>
      <c r="AS115" s="365"/>
      <c r="AT115" s="357" t="s">
        <v>1013</v>
      </c>
      <c r="AU115" s="357" t="s">
        <v>170</v>
      </c>
      <c r="AV115" s="357" t="s">
        <v>1022</v>
      </c>
      <c r="AW115" s="357" t="s">
        <v>137</v>
      </c>
      <c r="AX115" s="357">
        <v>27257.599999999999</v>
      </c>
      <c r="AY115" s="357" t="s">
        <v>1096</v>
      </c>
      <c r="AZ115" s="357">
        <v>32709.200000000001</v>
      </c>
      <c r="BA115" s="357" t="s">
        <v>1016</v>
      </c>
      <c r="BB115" s="357">
        <v>3340.2</v>
      </c>
      <c r="BC115" s="357">
        <v>-99996</v>
      </c>
      <c r="BD115" s="357">
        <v>0</v>
      </c>
      <c r="BE115" s="357">
        <v>32709.200000000001</v>
      </c>
      <c r="BF115" s="357">
        <v>1.2</v>
      </c>
      <c r="BG115" s="357"/>
      <c r="BH115" s="357"/>
      <c r="BI115" s="357"/>
      <c r="BJ115" s="357"/>
      <c r="BK115" s="357"/>
      <c r="BL115" s="357"/>
      <c r="BM115" s="357"/>
      <c r="BN115" s="357"/>
      <c r="BO115" s="357"/>
      <c r="BP115" s="357"/>
      <c r="BQ115" s="357"/>
      <c r="BW115" s="357"/>
      <c r="BX115" s="357"/>
      <c r="BY115" s="357"/>
      <c r="BZ115" s="357"/>
      <c r="CA115" s="357"/>
      <c r="CB115" s="357"/>
      <c r="CC115" s="357"/>
      <c r="CD115" s="357" t="s">
        <v>1013</v>
      </c>
      <c r="CE115" s="357" t="s">
        <v>170</v>
      </c>
      <c r="CF115" s="357" t="s">
        <v>1022</v>
      </c>
      <c r="CG115" s="357" t="s">
        <v>137</v>
      </c>
      <c r="CH115" s="357">
        <v>27257.599999999999</v>
      </c>
      <c r="CI115" s="357" t="s">
        <v>1096</v>
      </c>
      <c r="CJ115" s="357">
        <v>0</v>
      </c>
      <c r="CK115" s="357" t="s">
        <v>1016</v>
      </c>
      <c r="CL115" s="357">
        <v>3340.2</v>
      </c>
      <c r="CM115" s="357">
        <v>-99996</v>
      </c>
      <c r="CN115" s="357">
        <v>0</v>
      </c>
      <c r="CO115" s="357">
        <v>23169</v>
      </c>
      <c r="CP115" s="357">
        <v>0</v>
      </c>
      <c r="CQ115" s="357">
        <v>0</v>
      </c>
      <c r="CR115" s="357">
        <v>23169</v>
      </c>
      <c r="CS115" s="373">
        <v>0.85</v>
      </c>
    </row>
    <row r="116" spans="2:116" x14ac:dyDescent="0.3">
      <c r="B116" s="84"/>
      <c r="C116" s="366"/>
      <c r="D116" s="373"/>
      <c r="E116" s="373"/>
      <c r="F116" s="373"/>
      <c r="G116" s="367"/>
      <c r="H116" s="373"/>
      <c r="I116" s="373"/>
      <c r="J116" s="373"/>
      <c r="K116" s="373"/>
      <c r="L116" s="373"/>
      <c r="M116" s="373"/>
      <c r="N116" s="373"/>
      <c r="O116" s="373"/>
      <c r="P116" s="373"/>
      <c r="Q116" s="373"/>
      <c r="R116" s="373"/>
      <c r="S116" s="373"/>
      <c r="T116" s="373"/>
      <c r="U116" s="373"/>
      <c r="V116" s="373"/>
      <c r="W116" s="373"/>
      <c r="X116" s="373"/>
      <c r="Y116" s="373"/>
      <c r="AB116" s="373"/>
      <c r="AC116" s="373"/>
      <c r="AD116" s="373"/>
      <c r="AE116" s="373"/>
      <c r="AH116" s="373"/>
      <c r="AI116" s="365"/>
      <c r="AK116" s="365"/>
      <c r="AL116" s="365"/>
      <c r="AM116" s="365"/>
      <c r="AN116" s="365"/>
      <c r="AO116" s="365"/>
      <c r="AP116" s="365"/>
      <c r="AQ116" s="365"/>
      <c r="AR116" s="365"/>
      <c r="AS116" s="365"/>
      <c r="AT116" s="357" t="s">
        <v>1021</v>
      </c>
      <c r="AU116" s="357" t="s">
        <v>170</v>
      </c>
      <c r="AV116" s="357" t="s">
        <v>1022</v>
      </c>
      <c r="AW116" s="357" t="s">
        <v>137</v>
      </c>
      <c r="AX116" s="357">
        <v>3373.61</v>
      </c>
      <c r="AY116" s="357" t="s">
        <v>1096</v>
      </c>
      <c r="AZ116" s="357">
        <v>4048.34</v>
      </c>
      <c r="BA116" s="357" t="s">
        <v>1016</v>
      </c>
      <c r="BB116" s="357">
        <v>3340.2</v>
      </c>
      <c r="BC116" s="357">
        <v>-99996</v>
      </c>
      <c r="BD116" s="357">
        <v>0</v>
      </c>
      <c r="BE116" s="357">
        <v>4048.34</v>
      </c>
      <c r="BF116" s="357">
        <v>1.2</v>
      </c>
      <c r="BG116" s="357"/>
      <c r="BH116" s="357"/>
      <c r="BI116" s="357"/>
      <c r="BJ116" s="357"/>
      <c r="BK116" s="357"/>
      <c r="BL116" s="357"/>
      <c r="BM116" s="357"/>
      <c r="BN116" s="357"/>
      <c r="BO116" s="357"/>
      <c r="BP116" s="357"/>
      <c r="BQ116" s="357"/>
      <c r="BW116" s="357"/>
      <c r="BX116" s="357"/>
      <c r="BY116" s="357"/>
      <c r="BZ116" s="357"/>
      <c r="CA116" s="357"/>
      <c r="CB116" s="357"/>
      <c r="CC116" s="357"/>
      <c r="CD116" s="357" t="s">
        <v>1021</v>
      </c>
      <c r="CE116" s="357" t="s">
        <v>170</v>
      </c>
      <c r="CF116" s="357" t="s">
        <v>1022</v>
      </c>
      <c r="CG116" s="357" t="s">
        <v>137</v>
      </c>
      <c r="CH116" s="357">
        <v>3373.61</v>
      </c>
      <c r="CI116" s="357" t="s">
        <v>1096</v>
      </c>
      <c r="CJ116" s="357">
        <v>0</v>
      </c>
      <c r="CK116" s="357" t="s">
        <v>1016</v>
      </c>
      <c r="CL116" s="357">
        <v>3340.2</v>
      </c>
      <c r="CM116" s="357">
        <v>-99996</v>
      </c>
      <c r="CN116" s="357">
        <v>0</v>
      </c>
      <c r="CO116" s="357">
        <v>2867.57</v>
      </c>
      <c r="CP116" s="357">
        <v>0</v>
      </c>
      <c r="CQ116" s="357">
        <v>0</v>
      </c>
      <c r="CR116" s="357">
        <v>2867.57</v>
      </c>
      <c r="CS116" s="373">
        <v>0.85</v>
      </c>
    </row>
    <row r="117" spans="2:116" x14ac:dyDescent="0.3">
      <c r="B117" s="84"/>
      <c r="C117" s="366"/>
      <c r="D117" s="373"/>
      <c r="E117" s="373"/>
      <c r="F117" s="373"/>
      <c r="G117" s="367"/>
      <c r="H117" s="373"/>
      <c r="I117" s="373"/>
      <c r="J117" s="373"/>
      <c r="K117" s="373"/>
      <c r="L117" s="373"/>
      <c r="M117" s="373"/>
      <c r="N117" s="373"/>
      <c r="O117" s="373"/>
      <c r="P117" s="373"/>
      <c r="Q117" s="373"/>
      <c r="R117" s="373"/>
      <c r="S117" s="373"/>
      <c r="T117" s="373"/>
      <c r="U117" s="373"/>
      <c r="V117" s="373"/>
      <c r="W117" s="373"/>
      <c r="X117" s="373"/>
      <c r="Y117" s="373"/>
      <c r="AB117" s="373"/>
      <c r="AC117" s="373"/>
      <c r="AD117" s="373"/>
      <c r="AE117" s="373"/>
      <c r="AH117" s="373"/>
      <c r="AI117" s="365"/>
      <c r="AK117" s="365"/>
      <c r="AL117" s="365"/>
      <c r="AM117" s="365"/>
      <c r="AN117" s="365"/>
      <c r="AO117" s="365"/>
      <c r="AP117" s="365"/>
      <c r="AQ117" s="365"/>
      <c r="AR117" s="365"/>
      <c r="AS117" s="365"/>
      <c r="AT117" s="357" t="s">
        <v>1023</v>
      </c>
      <c r="AU117" s="357" t="s">
        <v>170</v>
      </c>
      <c r="AV117" s="357" t="s">
        <v>988</v>
      </c>
      <c r="AW117" s="357" t="s">
        <v>137</v>
      </c>
      <c r="AX117" s="357">
        <v>2174.0500000000002</v>
      </c>
      <c r="AY117" s="357" t="s">
        <v>1096</v>
      </c>
      <c r="AZ117" s="357">
        <v>1087.03</v>
      </c>
      <c r="BA117" s="357" t="s">
        <v>1016</v>
      </c>
      <c r="BB117" s="357">
        <v>3340.2</v>
      </c>
      <c r="BC117" s="357">
        <v>-99996</v>
      </c>
      <c r="BD117" s="357">
        <v>0</v>
      </c>
      <c r="BE117" s="357">
        <v>1087.03</v>
      </c>
      <c r="BF117" s="357">
        <v>0.5</v>
      </c>
      <c r="BG117" s="357"/>
      <c r="BH117" s="357"/>
      <c r="BI117" s="357"/>
      <c r="BJ117" s="357"/>
      <c r="BK117" s="357"/>
      <c r="BL117" s="357"/>
      <c r="BM117" s="357"/>
      <c r="BN117" s="357"/>
      <c r="BO117" s="357"/>
      <c r="BP117" s="357"/>
      <c r="BQ117" s="357"/>
      <c r="BW117" s="357"/>
      <c r="BX117" s="357"/>
      <c r="BY117" s="357"/>
      <c r="BZ117" s="357"/>
      <c r="CA117" s="357"/>
      <c r="CB117" s="357"/>
      <c r="CC117" s="357"/>
      <c r="CD117" s="357" t="s">
        <v>1023</v>
      </c>
      <c r="CE117" s="357" t="s">
        <v>170</v>
      </c>
      <c r="CF117" s="357" t="s">
        <v>988</v>
      </c>
      <c r="CG117" s="357" t="s">
        <v>137</v>
      </c>
      <c r="CH117" s="357">
        <v>2174.0500000000002</v>
      </c>
      <c r="CI117" s="357" t="s">
        <v>1096</v>
      </c>
      <c r="CJ117" s="357">
        <v>0</v>
      </c>
      <c r="CK117" s="357" t="s">
        <v>1016</v>
      </c>
      <c r="CL117" s="357">
        <v>3340.2</v>
      </c>
      <c r="CM117" s="357">
        <v>-99996</v>
      </c>
      <c r="CN117" s="357">
        <v>0</v>
      </c>
      <c r="CO117" s="357">
        <v>1304.43</v>
      </c>
      <c r="CP117" s="357">
        <v>0</v>
      </c>
      <c r="CQ117" s="357">
        <v>0</v>
      </c>
      <c r="CR117" s="357">
        <v>1304.43</v>
      </c>
      <c r="CS117" s="373">
        <v>0.6</v>
      </c>
    </row>
    <row r="118" spans="2:116" x14ac:dyDescent="0.3">
      <c r="B118" s="84"/>
      <c r="C118" s="366"/>
      <c r="D118" s="373"/>
      <c r="E118" s="373"/>
      <c r="F118" s="373"/>
      <c r="G118" s="367"/>
      <c r="H118" s="373"/>
      <c r="I118" s="373"/>
      <c r="J118" s="373"/>
      <c r="K118" s="373"/>
      <c r="L118" s="373"/>
      <c r="M118" s="373"/>
      <c r="N118" s="373"/>
      <c r="O118" s="373"/>
      <c r="P118" s="373"/>
      <c r="Q118" s="373"/>
      <c r="R118" s="373"/>
      <c r="S118" s="373"/>
      <c r="T118" s="373"/>
      <c r="U118" s="373"/>
      <c r="V118" s="373"/>
      <c r="W118" s="373"/>
      <c r="X118" s="373"/>
      <c r="Y118" s="373"/>
      <c r="AB118" s="373"/>
      <c r="AC118" s="373"/>
      <c r="AD118" s="373"/>
      <c r="AE118" s="373"/>
      <c r="AH118" s="373"/>
      <c r="AI118" s="365"/>
      <c r="AK118" s="365"/>
      <c r="AL118" s="365"/>
      <c r="AM118" s="365"/>
      <c r="AN118" s="365"/>
      <c r="AO118" s="365"/>
      <c r="AP118" s="365"/>
      <c r="AQ118" s="365"/>
      <c r="AR118" s="365"/>
      <c r="AS118" s="365"/>
      <c r="AT118" s="357" t="s">
        <v>1024</v>
      </c>
      <c r="AU118" s="357" t="s">
        <v>170</v>
      </c>
      <c r="AV118" s="357" t="s">
        <v>1022</v>
      </c>
      <c r="AW118" s="357" t="s">
        <v>137</v>
      </c>
      <c r="AX118" s="357">
        <v>3373.64</v>
      </c>
      <c r="AY118" s="357" t="s">
        <v>1096</v>
      </c>
      <c r="AZ118" s="357">
        <v>4048.36</v>
      </c>
      <c r="BA118" s="357" t="s">
        <v>1016</v>
      </c>
      <c r="BB118" s="357">
        <v>3340.2</v>
      </c>
      <c r="BC118" s="357">
        <v>-99996</v>
      </c>
      <c r="BD118" s="357">
        <v>0</v>
      </c>
      <c r="BE118" s="357">
        <v>4048.36</v>
      </c>
      <c r="BF118" s="357">
        <v>1.2</v>
      </c>
      <c r="BG118" s="357"/>
      <c r="BH118" s="357"/>
      <c r="BI118" s="357"/>
      <c r="BJ118" s="357"/>
      <c r="BK118" s="357"/>
      <c r="BL118" s="357"/>
      <c r="BM118" s="357"/>
      <c r="BN118" s="357"/>
      <c r="BO118" s="357"/>
      <c r="BP118" s="357"/>
      <c r="BQ118" s="357"/>
      <c r="BW118" s="357"/>
      <c r="BX118" s="357"/>
      <c r="BY118" s="357"/>
      <c r="BZ118" s="357"/>
      <c r="CA118" s="357"/>
      <c r="CB118" s="357"/>
      <c r="CC118" s="357"/>
      <c r="CD118" s="357" t="s">
        <v>1024</v>
      </c>
      <c r="CE118" s="357" t="s">
        <v>170</v>
      </c>
      <c r="CF118" s="357" t="s">
        <v>1022</v>
      </c>
      <c r="CG118" s="357" t="s">
        <v>137</v>
      </c>
      <c r="CH118" s="357">
        <v>3373.64</v>
      </c>
      <c r="CI118" s="357" t="s">
        <v>1096</v>
      </c>
      <c r="CJ118" s="357">
        <v>0</v>
      </c>
      <c r="CK118" s="357" t="s">
        <v>1016</v>
      </c>
      <c r="CL118" s="357">
        <v>3340.2</v>
      </c>
      <c r="CM118" s="357">
        <v>-99996</v>
      </c>
      <c r="CN118" s="357">
        <v>0</v>
      </c>
      <c r="CO118" s="357">
        <v>2867.59</v>
      </c>
      <c r="CP118" s="357">
        <v>0</v>
      </c>
      <c r="CQ118" s="357">
        <v>0</v>
      </c>
      <c r="CR118" s="357">
        <v>2867.59</v>
      </c>
      <c r="CS118" s="373">
        <v>0.85</v>
      </c>
    </row>
    <row r="119" spans="2:116" x14ac:dyDescent="0.3">
      <c r="B119" s="84"/>
      <c r="C119" s="366"/>
      <c r="D119" s="373"/>
      <c r="E119" s="373"/>
      <c r="F119" s="373"/>
      <c r="G119" s="367"/>
      <c r="H119" s="373"/>
      <c r="I119" s="373"/>
      <c r="J119" s="373"/>
      <c r="K119" s="373"/>
      <c r="L119" s="373"/>
      <c r="M119" s="373"/>
      <c r="N119" s="373"/>
      <c r="O119" s="373"/>
      <c r="P119" s="373"/>
      <c r="Q119" s="373"/>
      <c r="R119" s="373"/>
      <c r="S119" s="373"/>
      <c r="T119" s="373"/>
      <c r="U119" s="373"/>
      <c r="V119" s="373"/>
      <c r="W119" s="373"/>
      <c r="X119" s="373"/>
      <c r="Y119" s="373"/>
      <c r="AB119" s="373"/>
      <c r="AC119" s="373"/>
      <c r="AD119" s="373"/>
      <c r="AE119" s="373"/>
      <c r="AH119" s="373"/>
      <c r="AI119" s="365"/>
      <c r="AK119" s="365"/>
      <c r="AL119" s="365"/>
      <c r="AM119" s="365"/>
      <c r="AN119" s="365"/>
      <c r="AO119" s="365"/>
      <c r="AP119" s="365"/>
      <c r="AQ119" s="365"/>
      <c r="AR119" s="365"/>
      <c r="AS119" s="365"/>
      <c r="AT119" s="357" t="s">
        <v>1025</v>
      </c>
      <c r="AU119" s="357" t="s">
        <v>170</v>
      </c>
      <c r="AV119" s="357" t="s">
        <v>1022</v>
      </c>
      <c r="AW119" s="357" t="s">
        <v>137</v>
      </c>
      <c r="AX119" s="357">
        <v>2174.04</v>
      </c>
      <c r="AY119" s="357" t="s">
        <v>1096</v>
      </c>
      <c r="AZ119" s="357">
        <v>2608.84</v>
      </c>
      <c r="BA119" s="357" t="s">
        <v>1016</v>
      </c>
      <c r="BB119" s="357">
        <v>3340.2</v>
      </c>
      <c r="BC119" s="357">
        <v>-99996</v>
      </c>
      <c r="BD119" s="357">
        <v>0</v>
      </c>
      <c r="BE119" s="357">
        <v>2608.84</v>
      </c>
      <c r="BF119" s="357">
        <v>1.2</v>
      </c>
      <c r="BG119" s="357"/>
      <c r="BH119" s="357"/>
      <c r="BI119" s="357"/>
      <c r="BJ119" s="357"/>
      <c r="BK119" s="357"/>
      <c r="BL119" s="357"/>
      <c r="BM119" s="357"/>
      <c r="BN119" s="357"/>
      <c r="BO119" s="357"/>
      <c r="BP119" s="357"/>
      <c r="BQ119" s="357"/>
      <c r="BW119" s="357"/>
      <c r="BX119" s="357"/>
      <c r="BY119" s="357"/>
      <c r="BZ119" s="357"/>
      <c r="CA119" s="357"/>
      <c r="CB119" s="357"/>
      <c r="CC119" s="357"/>
      <c r="CD119" s="357" t="s">
        <v>1025</v>
      </c>
      <c r="CE119" s="357" t="s">
        <v>170</v>
      </c>
      <c r="CF119" s="357" t="s">
        <v>1022</v>
      </c>
      <c r="CG119" s="357" t="s">
        <v>137</v>
      </c>
      <c r="CH119" s="357">
        <v>2174.04</v>
      </c>
      <c r="CI119" s="357" t="s">
        <v>1096</v>
      </c>
      <c r="CJ119" s="357">
        <v>0</v>
      </c>
      <c r="CK119" s="357" t="s">
        <v>1016</v>
      </c>
      <c r="CL119" s="357">
        <v>3340.2</v>
      </c>
      <c r="CM119" s="357">
        <v>-99996</v>
      </c>
      <c r="CN119" s="357">
        <v>0</v>
      </c>
      <c r="CO119" s="357">
        <v>1847.93</v>
      </c>
      <c r="CP119" s="357">
        <v>0</v>
      </c>
      <c r="CQ119" s="357">
        <v>0</v>
      </c>
      <c r="CR119" s="357">
        <v>1847.93</v>
      </c>
      <c r="CS119" s="373">
        <v>0.85</v>
      </c>
    </row>
    <row r="120" spans="2:116" x14ac:dyDescent="0.3">
      <c r="B120" s="84"/>
      <c r="C120" s="366"/>
      <c r="D120" s="373"/>
      <c r="E120" s="373"/>
      <c r="F120" s="373"/>
      <c r="G120" s="367"/>
      <c r="H120" s="373"/>
      <c r="I120" s="373"/>
      <c r="J120" s="373"/>
      <c r="K120" s="373"/>
      <c r="L120" s="373"/>
      <c r="M120" s="373"/>
      <c r="N120" s="373"/>
      <c r="O120" s="373"/>
      <c r="P120" s="373"/>
      <c r="Q120" s="373"/>
      <c r="R120" s="373"/>
      <c r="S120" s="373"/>
      <c r="T120" s="373"/>
      <c r="U120" s="373"/>
      <c r="V120" s="373"/>
      <c r="W120" s="373"/>
      <c r="X120" s="373"/>
      <c r="Y120" s="373"/>
      <c r="AB120" s="373"/>
      <c r="AC120" s="373"/>
      <c r="AD120" s="373"/>
      <c r="AE120" s="373"/>
      <c r="AH120" s="373"/>
      <c r="AI120" s="365"/>
      <c r="AK120" s="365"/>
      <c r="AL120" s="365"/>
      <c r="AM120" s="365"/>
      <c r="AN120" s="365"/>
      <c r="AO120" s="365"/>
      <c r="AP120" s="365"/>
      <c r="AQ120" s="365"/>
      <c r="AR120" s="365"/>
      <c r="AS120" s="365"/>
      <c r="AT120" s="357" t="s">
        <v>1026</v>
      </c>
      <c r="AU120" s="357" t="s">
        <v>983</v>
      </c>
      <c r="AV120" s="357" t="s">
        <v>979</v>
      </c>
      <c r="AW120" s="357" t="s">
        <v>137</v>
      </c>
      <c r="AX120" s="357">
        <v>0</v>
      </c>
      <c r="AY120" s="357"/>
      <c r="AZ120" s="357"/>
      <c r="BA120" s="357"/>
      <c r="BB120" s="357"/>
      <c r="BC120" s="357"/>
      <c r="BD120" s="357"/>
      <c r="BE120" s="357"/>
      <c r="BF120" s="357"/>
      <c r="BG120" s="357"/>
      <c r="BH120" s="357"/>
      <c r="BI120" s="357"/>
      <c r="BJ120" s="357"/>
      <c r="BK120" s="357"/>
      <c r="BL120" s="357"/>
      <c r="BM120" s="357"/>
      <c r="BN120" s="357"/>
      <c r="BO120" s="357"/>
      <c r="BP120" s="357"/>
      <c r="BQ120" s="357"/>
      <c r="BW120" s="357"/>
      <c r="BX120" s="357"/>
      <c r="BY120" s="357"/>
      <c r="BZ120" s="357"/>
      <c r="CA120" s="357"/>
      <c r="CB120" s="357"/>
      <c r="CC120" s="357"/>
      <c r="CD120" s="357" t="s">
        <v>1026</v>
      </c>
      <c r="CE120" s="357" t="s">
        <v>983</v>
      </c>
      <c r="CF120" s="357" t="s">
        <v>979</v>
      </c>
      <c r="CG120" s="357" t="s">
        <v>137</v>
      </c>
      <c r="CH120" s="357">
        <v>0</v>
      </c>
      <c r="CI120" s="357"/>
      <c r="CJ120" s="357"/>
      <c r="CK120" s="357"/>
      <c r="CL120" s="357"/>
      <c r="CM120" s="357"/>
      <c r="CN120" s="357"/>
      <c r="CO120" s="357"/>
      <c r="CP120" s="357"/>
      <c r="CQ120" s="357"/>
      <c r="CR120" s="357"/>
    </row>
    <row r="121" spans="2:116" x14ac:dyDescent="0.3">
      <c r="B121" s="84"/>
      <c r="C121" s="366"/>
      <c r="D121" s="373"/>
      <c r="E121" s="373"/>
      <c r="F121" s="373"/>
      <c r="G121" s="367"/>
      <c r="H121" s="373"/>
      <c r="I121" s="373"/>
      <c r="J121" s="373"/>
      <c r="K121" s="373"/>
      <c r="L121" s="373"/>
      <c r="M121" s="373"/>
      <c r="N121" s="373"/>
      <c r="O121" s="373"/>
      <c r="P121" s="373"/>
      <c r="Q121" s="373"/>
      <c r="R121" s="373"/>
      <c r="S121" s="373"/>
      <c r="T121" s="373"/>
      <c r="U121" s="373"/>
      <c r="V121" s="373"/>
      <c r="W121" s="373"/>
      <c r="X121" s="373"/>
      <c r="Y121" s="373"/>
      <c r="AB121" s="373"/>
      <c r="AC121" s="373"/>
      <c r="AD121" s="373"/>
      <c r="AE121" s="373"/>
      <c r="AH121" s="373"/>
      <c r="AI121" s="365"/>
      <c r="AK121" s="365"/>
      <c r="AL121" s="365"/>
      <c r="AM121" s="365"/>
      <c r="AN121" s="365"/>
      <c r="AO121" s="365"/>
      <c r="AP121" s="365"/>
      <c r="AQ121" s="365"/>
      <c r="AR121" s="365"/>
      <c r="AS121" s="365"/>
      <c r="AT121" s="357"/>
      <c r="AU121" s="357"/>
      <c r="AV121" s="357"/>
      <c r="AW121" s="357"/>
      <c r="AX121" s="357"/>
      <c r="AY121" s="357"/>
      <c r="AZ121" s="357"/>
      <c r="BA121" s="357"/>
      <c r="BB121" s="357"/>
      <c r="BC121" s="357"/>
      <c r="BD121" s="357"/>
      <c r="BE121" s="357"/>
      <c r="BF121" s="357"/>
      <c r="BG121" s="357"/>
      <c r="BH121" s="357"/>
      <c r="BI121" s="357"/>
      <c r="BJ121" s="357"/>
      <c r="BK121" s="357"/>
      <c r="BL121" s="357"/>
      <c r="BM121" s="357"/>
      <c r="BN121" s="357"/>
      <c r="BO121" s="357"/>
      <c r="BP121" s="357"/>
      <c r="BQ121" s="357"/>
    </row>
    <row r="122" spans="2:116" x14ac:dyDescent="0.3">
      <c r="B122" s="84"/>
      <c r="C122" s="366"/>
      <c r="D122" s="373"/>
      <c r="E122" s="373"/>
      <c r="F122" s="373"/>
      <c r="G122" s="367"/>
      <c r="H122" s="373"/>
      <c r="I122" s="373"/>
      <c r="J122" s="373"/>
      <c r="K122" s="373"/>
      <c r="L122" s="373"/>
      <c r="M122" s="373"/>
      <c r="N122" s="373"/>
      <c r="O122" s="373"/>
      <c r="P122" s="373"/>
      <c r="Q122" s="373"/>
      <c r="R122" s="373"/>
      <c r="S122" s="373"/>
      <c r="T122" s="373"/>
      <c r="U122" s="373"/>
      <c r="V122" s="373"/>
      <c r="W122" s="373"/>
      <c r="X122" s="373"/>
      <c r="Y122" s="373"/>
      <c r="AB122" s="373"/>
      <c r="AC122" s="373"/>
      <c r="AD122" s="373"/>
      <c r="AE122" s="373"/>
      <c r="AH122" s="373"/>
      <c r="AI122" s="365"/>
      <c r="AK122" s="365"/>
      <c r="AL122" s="365"/>
      <c r="AM122" s="365"/>
      <c r="AN122" s="365"/>
      <c r="AO122" s="365"/>
      <c r="AP122" s="365"/>
      <c r="AQ122" s="365"/>
      <c r="AR122" s="365"/>
      <c r="AS122" s="365"/>
      <c r="AT122" s="357"/>
      <c r="AU122" s="357"/>
      <c r="AV122" s="357"/>
      <c r="AW122" s="357"/>
      <c r="AX122" s="357"/>
      <c r="AY122" s="357"/>
      <c r="AZ122" s="357"/>
      <c r="BA122" s="357"/>
      <c r="BB122" s="357"/>
      <c r="BC122" s="357"/>
      <c r="BD122" s="357"/>
      <c r="BE122" s="357"/>
      <c r="BF122" s="357"/>
      <c r="BG122" s="357"/>
      <c r="BH122" s="357"/>
      <c r="BI122" s="357"/>
      <c r="BJ122" s="357"/>
      <c r="BK122" s="357"/>
      <c r="BL122" s="357"/>
      <c r="BM122" s="357"/>
      <c r="BN122" s="357"/>
      <c r="BO122" s="357"/>
      <c r="BP122" s="357"/>
      <c r="BQ122" s="357"/>
    </row>
    <row r="123" spans="2:116" x14ac:dyDescent="0.3">
      <c r="B123" s="84"/>
      <c r="C123" s="366"/>
      <c r="D123" s="373"/>
      <c r="E123" s="373"/>
      <c r="F123" s="373"/>
      <c r="G123" s="367"/>
      <c r="H123" s="373"/>
      <c r="I123" s="373"/>
      <c r="J123" s="373"/>
      <c r="K123" s="373"/>
      <c r="L123" s="373"/>
      <c r="M123" s="373"/>
      <c r="N123" s="373"/>
      <c r="O123" s="373"/>
      <c r="P123" s="373"/>
      <c r="Q123" s="373"/>
      <c r="R123" s="373"/>
      <c r="S123" s="373"/>
      <c r="T123" s="373"/>
      <c r="U123" s="373"/>
      <c r="V123" s="373"/>
      <c r="W123" s="373"/>
      <c r="X123" s="373"/>
      <c r="Y123" s="373"/>
      <c r="AB123" s="373"/>
      <c r="AC123" s="373"/>
      <c r="AD123" s="373"/>
      <c r="AE123" s="373"/>
      <c r="AH123" s="373"/>
      <c r="AI123" s="365"/>
      <c r="AK123" s="365"/>
      <c r="AL123" s="365"/>
      <c r="AM123" s="365"/>
      <c r="AN123" s="365"/>
      <c r="AO123" s="365"/>
      <c r="AP123" s="365"/>
      <c r="AQ123" s="365"/>
      <c r="AR123" s="365"/>
      <c r="AS123" s="365"/>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row>
    <row r="124" spans="2:116" x14ac:dyDescent="0.3">
      <c r="B124" s="84"/>
      <c r="C124" s="366"/>
      <c r="D124" s="373"/>
      <c r="E124" s="373"/>
      <c r="F124" s="373"/>
      <c r="G124" s="367"/>
      <c r="H124" s="373"/>
      <c r="I124" s="373"/>
      <c r="J124" s="373"/>
      <c r="K124" s="373"/>
      <c r="L124" s="373"/>
      <c r="M124" s="373"/>
      <c r="N124" s="373"/>
      <c r="O124" s="373"/>
      <c r="P124" s="373"/>
      <c r="Q124" s="373"/>
      <c r="R124" s="373"/>
      <c r="S124" s="373"/>
      <c r="T124" s="373"/>
      <c r="U124" s="373"/>
      <c r="V124" s="373"/>
      <c r="W124" s="373"/>
      <c r="X124" s="373"/>
      <c r="Y124" s="373"/>
      <c r="AB124" s="373"/>
      <c r="AC124" s="373"/>
      <c r="AD124" s="373"/>
      <c r="AE124" s="373"/>
      <c r="AH124" s="373"/>
      <c r="AI124" s="365"/>
      <c r="AK124" s="365"/>
      <c r="AL124" s="365"/>
      <c r="AM124" s="365"/>
      <c r="AN124" s="365"/>
      <c r="AO124" s="365"/>
      <c r="AP124" s="365"/>
      <c r="AQ124" s="365"/>
      <c r="AR124" s="365"/>
      <c r="AS124" s="365"/>
      <c r="AT124" s="845" t="s">
        <v>883</v>
      </c>
      <c r="AU124" s="357"/>
      <c r="AV124" s="357"/>
      <c r="AW124" s="357"/>
      <c r="AX124" s="357"/>
      <c r="AY124" s="357"/>
      <c r="AZ124" s="357"/>
      <c r="BA124" s="357"/>
      <c r="BB124" s="357"/>
      <c r="BC124" s="357"/>
      <c r="BD124" s="357"/>
      <c r="BE124" s="357"/>
      <c r="BF124" s="357"/>
      <c r="BG124" s="357"/>
      <c r="BH124" s="357"/>
      <c r="BI124" s="357"/>
      <c r="BJ124" s="357"/>
      <c r="BK124" s="357"/>
      <c r="BL124" s="357"/>
      <c r="BM124" s="357"/>
      <c r="BN124" s="357"/>
      <c r="BO124" s="357"/>
      <c r="BP124" s="357"/>
      <c r="BQ124" s="357"/>
      <c r="BR124" s="357"/>
      <c r="BS124" s="357"/>
      <c r="BT124" s="357"/>
      <c r="BU124" s="357"/>
      <c r="BV124" s="357"/>
      <c r="BW124" s="357"/>
      <c r="BX124" s="357"/>
      <c r="BY124" s="357"/>
      <c r="BZ124" s="357"/>
      <c r="CA124" s="357"/>
      <c r="CB124" s="357"/>
      <c r="CC124" s="357"/>
      <c r="CD124" s="606" t="s">
        <v>883</v>
      </c>
      <c r="CE124" s="357"/>
      <c r="CF124" s="357"/>
      <c r="CG124" s="357"/>
      <c r="CH124" s="357"/>
      <c r="CI124" s="357"/>
      <c r="CJ124" s="357"/>
      <c r="CK124" s="357"/>
      <c r="CL124" s="357"/>
      <c r="CM124" s="357"/>
      <c r="CN124" s="357"/>
      <c r="CO124" s="357"/>
      <c r="CP124" s="357"/>
      <c r="CQ124" s="357"/>
      <c r="CR124" s="357"/>
      <c r="CS124" s="357"/>
      <c r="CT124" s="357"/>
      <c r="CU124" s="357"/>
      <c r="CV124" s="357"/>
      <c r="CW124" s="357"/>
      <c r="CX124" s="357"/>
      <c r="CY124" s="357"/>
      <c r="CZ124" s="357"/>
      <c r="DA124" s="357"/>
      <c r="DB124" s="357"/>
      <c r="DC124" s="357"/>
      <c r="DD124" s="357"/>
      <c r="DE124" s="357"/>
      <c r="DF124" s="357"/>
      <c r="DG124" s="357"/>
      <c r="DH124" s="357"/>
      <c r="DI124" s="357"/>
      <c r="DJ124" s="357"/>
    </row>
    <row r="125" spans="2:116" x14ac:dyDescent="0.3">
      <c r="B125" s="84"/>
      <c r="C125" s="366"/>
      <c r="D125" s="373"/>
      <c r="E125" s="373"/>
      <c r="F125" s="373"/>
      <c r="G125" s="367"/>
      <c r="H125" s="373"/>
      <c r="I125" s="373"/>
      <c r="J125" s="373"/>
      <c r="K125" s="373"/>
      <c r="L125" s="373"/>
      <c r="M125" s="373"/>
      <c r="N125" s="373"/>
      <c r="O125" s="373"/>
      <c r="P125" s="373"/>
      <c r="Q125" s="373"/>
      <c r="R125" s="373"/>
      <c r="S125" s="373"/>
      <c r="T125" s="373"/>
      <c r="U125" s="373"/>
      <c r="V125" s="373"/>
      <c r="W125" s="373"/>
      <c r="X125" s="373"/>
      <c r="Y125" s="373"/>
      <c r="AB125" s="373"/>
      <c r="AC125" s="373"/>
      <c r="AD125" s="373"/>
      <c r="AE125" s="373"/>
      <c r="AH125" s="373"/>
      <c r="AI125" s="365"/>
      <c r="AK125" s="365"/>
      <c r="AL125" s="365"/>
      <c r="AM125" s="365"/>
      <c r="AN125" s="365"/>
      <c r="AO125" s="365"/>
      <c r="AP125" s="365"/>
      <c r="AQ125" s="365"/>
      <c r="AR125" s="365"/>
      <c r="AS125" s="365"/>
      <c r="AT125" s="357" t="s">
        <v>121</v>
      </c>
      <c r="AU125" s="357" t="s">
        <v>588</v>
      </c>
      <c r="AV125" s="357" t="s">
        <v>893</v>
      </c>
      <c r="AW125" s="357" t="s">
        <v>1097</v>
      </c>
      <c r="AX125" s="357" t="s">
        <v>1098</v>
      </c>
      <c r="AY125" s="357" t="s">
        <v>1099</v>
      </c>
      <c r="AZ125" s="357" t="s">
        <v>1100</v>
      </c>
      <c r="BA125" s="357" t="s">
        <v>1101</v>
      </c>
      <c r="BB125" s="357" t="s">
        <v>894</v>
      </c>
      <c r="BC125" s="357" t="s">
        <v>1102</v>
      </c>
      <c r="BD125" s="357" t="s">
        <v>895</v>
      </c>
      <c r="BE125" s="357" t="s">
        <v>1103</v>
      </c>
      <c r="BF125" s="357" t="s">
        <v>1104</v>
      </c>
      <c r="BG125" s="357" t="s">
        <v>1105</v>
      </c>
      <c r="BH125" s="357"/>
      <c r="BI125" s="357" t="s">
        <v>1106</v>
      </c>
      <c r="BJ125" s="357" t="s">
        <v>1107</v>
      </c>
      <c r="BK125" s="357" t="s">
        <v>1108</v>
      </c>
      <c r="BL125" s="357" t="s">
        <v>1109</v>
      </c>
      <c r="BM125" s="357" t="s">
        <v>1110</v>
      </c>
      <c r="BN125" s="357" t="s">
        <v>1111</v>
      </c>
      <c r="BO125" s="357" t="s">
        <v>1112</v>
      </c>
      <c r="BP125" s="357" t="s">
        <v>1113</v>
      </c>
      <c r="BQ125" s="357" t="s">
        <v>1114</v>
      </c>
      <c r="BR125" s="357"/>
      <c r="BS125" s="357" t="s">
        <v>1115</v>
      </c>
      <c r="BT125" s="357" t="s">
        <v>1116</v>
      </c>
      <c r="BU125" s="357" t="s">
        <v>1117</v>
      </c>
      <c r="BV125" s="357" t="s">
        <v>1118</v>
      </c>
      <c r="BW125" s="357" t="s">
        <v>1119</v>
      </c>
      <c r="BX125" s="357" t="s">
        <v>1120</v>
      </c>
      <c r="BY125" s="357" t="s">
        <v>1121</v>
      </c>
      <c r="BZ125" s="357" t="s">
        <v>1122</v>
      </c>
      <c r="CA125" s="357" t="s">
        <v>1123</v>
      </c>
      <c r="CB125" s="357"/>
      <c r="CC125" s="357"/>
      <c r="CD125" s="357" t="s">
        <v>121</v>
      </c>
      <c r="CE125" s="357" t="s">
        <v>588</v>
      </c>
      <c r="CF125" s="357" t="s">
        <v>893</v>
      </c>
      <c r="CG125" s="357" t="s">
        <v>1097</v>
      </c>
      <c r="CH125" s="357" t="s">
        <v>1098</v>
      </c>
      <c r="CI125" s="357" t="s">
        <v>1099</v>
      </c>
      <c r="CJ125" s="357" t="s">
        <v>1100</v>
      </c>
      <c r="CK125" s="357" t="s">
        <v>1101</v>
      </c>
      <c r="CL125" s="357" t="s">
        <v>894</v>
      </c>
      <c r="CM125" s="357" t="s">
        <v>1102</v>
      </c>
      <c r="CN125" s="357" t="s">
        <v>895</v>
      </c>
      <c r="CO125" s="357" t="s">
        <v>1103</v>
      </c>
      <c r="CP125" s="357" t="s">
        <v>1104</v>
      </c>
      <c r="CQ125" s="357" t="s">
        <v>1105</v>
      </c>
      <c r="CR125" s="357"/>
      <c r="CS125" s="357" t="s">
        <v>1106</v>
      </c>
      <c r="CT125" s="357" t="s">
        <v>1107</v>
      </c>
      <c r="CU125" s="357" t="s">
        <v>1108</v>
      </c>
      <c r="CV125" s="357" t="s">
        <v>1109</v>
      </c>
      <c r="CW125" s="357" t="s">
        <v>1110</v>
      </c>
      <c r="CX125" s="357" t="s">
        <v>1111</v>
      </c>
      <c r="CY125" s="357" t="s">
        <v>1112</v>
      </c>
      <c r="CZ125" s="357" t="s">
        <v>1113</v>
      </c>
      <c r="DA125" s="357" t="s">
        <v>1114</v>
      </c>
      <c r="DB125" s="357"/>
      <c r="DC125" s="357" t="s">
        <v>1115</v>
      </c>
      <c r="DD125" s="357" t="s">
        <v>1116</v>
      </c>
      <c r="DE125" s="357" t="s">
        <v>1117</v>
      </c>
      <c r="DF125" s="357" t="s">
        <v>1118</v>
      </c>
      <c r="DG125" s="357" t="s">
        <v>1119</v>
      </c>
      <c r="DH125" s="357" t="s">
        <v>1120</v>
      </c>
      <c r="DI125" s="357" t="s">
        <v>1121</v>
      </c>
      <c r="DJ125" s="357" t="s">
        <v>1122</v>
      </c>
      <c r="DK125" s="373" t="s">
        <v>1123</v>
      </c>
    </row>
    <row r="126" spans="2:116" x14ac:dyDescent="0.3">
      <c r="B126" s="84"/>
      <c r="C126" s="366"/>
      <c r="D126" s="373"/>
      <c r="E126" s="373"/>
      <c r="F126" s="373"/>
      <c r="G126" s="367"/>
      <c r="H126" s="373"/>
      <c r="I126" s="373"/>
      <c r="J126" s="373"/>
      <c r="K126" s="373"/>
      <c r="L126" s="373"/>
      <c r="M126" s="373"/>
      <c r="N126" s="373"/>
      <c r="O126" s="373"/>
      <c r="P126" s="373"/>
      <c r="Q126" s="373"/>
      <c r="R126" s="373"/>
      <c r="S126" s="373"/>
      <c r="T126" s="373"/>
      <c r="U126" s="373"/>
      <c r="V126" s="373"/>
      <c r="W126" s="373"/>
      <c r="X126" s="373"/>
      <c r="Y126" s="373"/>
      <c r="AB126" s="373"/>
      <c r="AC126" s="373"/>
      <c r="AD126" s="373"/>
      <c r="AE126" s="373"/>
      <c r="AH126" s="373"/>
      <c r="AI126" s="365"/>
      <c r="AK126" s="365"/>
      <c r="AL126" s="365"/>
      <c r="AM126" s="365"/>
      <c r="AN126" s="365"/>
      <c r="AO126" s="365"/>
      <c r="AP126" s="365"/>
      <c r="AQ126" s="365"/>
      <c r="AR126" s="365"/>
      <c r="AS126" s="365"/>
      <c r="AT126" s="357" t="s">
        <v>870</v>
      </c>
      <c r="AU126" s="357"/>
      <c r="AV126" s="357"/>
      <c r="AW126" s="357"/>
      <c r="AX126" s="357"/>
      <c r="AY126" s="357"/>
      <c r="AZ126" s="357"/>
      <c r="BA126" s="357"/>
      <c r="BB126" s="357" t="s">
        <v>889</v>
      </c>
      <c r="BC126" s="357"/>
      <c r="BD126" s="357"/>
      <c r="BE126" s="357"/>
      <c r="BF126" s="357"/>
      <c r="BG126" s="357"/>
      <c r="BH126" s="357"/>
      <c r="BI126" s="357" t="s">
        <v>890</v>
      </c>
      <c r="BJ126" s="357"/>
      <c r="BK126" s="357"/>
      <c r="BL126" s="357"/>
      <c r="BM126" s="357"/>
      <c r="BN126" s="357"/>
      <c r="BO126" s="357"/>
      <c r="BP126" s="357"/>
      <c r="BQ126" s="357"/>
      <c r="BR126" s="357"/>
      <c r="BS126" s="357" t="s">
        <v>891</v>
      </c>
      <c r="BT126" s="357"/>
      <c r="BU126" s="357"/>
      <c r="BV126" s="357"/>
      <c r="BW126" s="357"/>
      <c r="BX126" s="357"/>
      <c r="BY126" s="357"/>
      <c r="BZ126" s="357"/>
      <c r="CA126" s="357"/>
      <c r="CB126" s="357"/>
      <c r="CC126" s="357"/>
      <c r="CD126" s="357" t="s">
        <v>870</v>
      </c>
      <c r="CE126" s="357"/>
      <c r="CF126" s="357"/>
      <c r="CG126" s="357"/>
      <c r="CH126" s="357"/>
      <c r="CI126" s="357"/>
      <c r="CJ126" s="357"/>
      <c r="CK126" s="357"/>
      <c r="CL126" s="357" t="s">
        <v>889</v>
      </c>
      <c r="CM126" s="357"/>
      <c r="CN126" s="357"/>
      <c r="CO126" s="357"/>
      <c r="CP126" s="357"/>
      <c r="CQ126" s="357"/>
      <c r="CR126" s="357"/>
      <c r="CS126" s="357" t="s">
        <v>890</v>
      </c>
      <c r="CT126" s="357"/>
      <c r="CU126" s="357"/>
      <c r="CV126" s="357"/>
      <c r="CW126" s="357"/>
      <c r="CX126" s="357"/>
      <c r="CY126" s="357"/>
      <c r="CZ126" s="357"/>
      <c r="DA126" s="357"/>
      <c r="DB126" s="357"/>
      <c r="DC126" s="357" t="s">
        <v>891</v>
      </c>
      <c r="DD126" s="357"/>
      <c r="DE126" s="357"/>
      <c r="DF126" s="357"/>
      <c r="DG126" s="357"/>
      <c r="DH126" s="357"/>
      <c r="DI126" s="357"/>
      <c r="DJ126" s="357"/>
    </row>
    <row r="127" spans="2:116" x14ac:dyDescent="0.3">
      <c r="B127" s="84"/>
      <c r="C127" s="366"/>
      <c r="D127" s="373"/>
      <c r="E127" s="373"/>
      <c r="F127" s="373"/>
      <c r="G127" s="367"/>
      <c r="H127" s="373"/>
      <c r="I127" s="373"/>
      <c r="J127" s="373"/>
      <c r="K127" s="373"/>
      <c r="L127" s="373"/>
      <c r="M127" s="373"/>
      <c r="N127" s="373"/>
      <c r="O127" s="373"/>
      <c r="P127" s="373"/>
      <c r="Q127" s="373"/>
      <c r="R127" s="373"/>
      <c r="S127" s="373"/>
      <c r="T127" s="373"/>
      <c r="U127" s="373"/>
      <c r="V127" s="373"/>
      <c r="W127" s="373"/>
      <c r="X127" s="373"/>
      <c r="Y127" s="373"/>
      <c r="AB127" s="373"/>
      <c r="AC127" s="373"/>
      <c r="AD127" s="373"/>
      <c r="AE127" s="373"/>
      <c r="AH127" s="373"/>
      <c r="AI127" s="365"/>
      <c r="AK127" s="365"/>
      <c r="AL127" s="365"/>
      <c r="AM127" s="365"/>
      <c r="AN127" s="365"/>
      <c r="AO127" s="365"/>
      <c r="AP127" s="365"/>
      <c r="AQ127" s="365"/>
      <c r="AR127" s="365"/>
      <c r="AS127" s="365"/>
      <c r="AT127" s="357" t="s">
        <v>121</v>
      </c>
      <c r="AU127" s="357" t="s">
        <v>52</v>
      </c>
      <c r="AV127" s="357" t="s">
        <v>896</v>
      </c>
      <c r="AW127" s="357" t="s">
        <v>897</v>
      </c>
      <c r="AX127" s="357" t="s">
        <v>898</v>
      </c>
      <c r="AY127" s="357" t="s">
        <v>899</v>
      </c>
      <c r="AZ127" s="357" t="s">
        <v>900</v>
      </c>
      <c r="BA127" s="357" t="s">
        <v>901</v>
      </c>
      <c r="BB127" s="357" t="s">
        <v>902</v>
      </c>
      <c r="BC127" s="357" t="s">
        <v>903</v>
      </c>
      <c r="BD127" s="357" t="s">
        <v>904</v>
      </c>
      <c r="BE127" s="357" t="s">
        <v>905</v>
      </c>
      <c r="BF127" s="357" t="s">
        <v>906</v>
      </c>
      <c r="BG127" s="357" t="s">
        <v>907</v>
      </c>
      <c r="BH127" s="357"/>
      <c r="BI127" s="357" t="s">
        <v>908</v>
      </c>
      <c r="BJ127" s="357" t="s">
        <v>909</v>
      </c>
      <c r="BK127" s="357" t="s">
        <v>910</v>
      </c>
      <c r="BL127" s="357" t="s">
        <v>902</v>
      </c>
      <c r="BM127" s="357" t="s">
        <v>903</v>
      </c>
      <c r="BN127" s="357" t="s">
        <v>904</v>
      </c>
      <c r="BO127" s="357" t="s">
        <v>905</v>
      </c>
      <c r="BP127" s="357" t="s">
        <v>906</v>
      </c>
      <c r="BQ127" s="357" t="s">
        <v>907</v>
      </c>
      <c r="BR127" s="357"/>
      <c r="BS127" s="357" t="s">
        <v>908</v>
      </c>
      <c r="BT127" s="357" t="s">
        <v>909</v>
      </c>
      <c r="BU127" s="357" t="s">
        <v>910</v>
      </c>
      <c r="BV127" s="357" t="s">
        <v>902</v>
      </c>
      <c r="BW127" s="357" t="s">
        <v>903</v>
      </c>
      <c r="BX127" s="357" t="s">
        <v>904</v>
      </c>
      <c r="BY127" s="357" t="s">
        <v>905</v>
      </c>
      <c r="BZ127" s="357" t="s">
        <v>906</v>
      </c>
      <c r="CA127" s="357" t="s">
        <v>907</v>
      </c>
      <c r="CB127" s="357"/>
      <c r="CC127" s="357"/>
      <c r="CD127" s="357" t="s">
        <v>121</v>
      </c>
      <c r="CE127" s="357" t="s">
        <v>52</v>
      </c>
      <c r="CF127" s="357" t="s">
        <v>896</v>
      </c>
      <c r="CG127" s="357" t="s">
        <v>897</v>
      </c>
      <c r="CH127" s="357" t="s">
        <v>898</v>
      </c>
      <c r="CI127" s="357" t="s">
        <v>899</v>
      </c>
      <c r="CJ127" s="357" t="s">
        <v>900</v>
      </c>
      <c r="CK127" s="357" t="s">
        <v>901</v>
      </c>
      <c r="CL127" s="357" t="s">
        <v>902</v>
      </c>
      <c r="CM127" s="357" t="s">
        <v>903</v>
      </c>
      <c r="CN127" s="357" t="s">
        <v>904</v>
      </c>
      <c r="CO127" s="357" t="s">
        <v>905</v>
      </c>
      <c r="CP127" s="357" t="s">
        <v>906</v>
      </c>
      <c r="CQ127" s="357" t="s">
        <v>907</v>
      </c>
      <c r="CR127" s="357"/>
      <c r="CS127" s="357" t="s">
        <v>908</v>
      </c>
      <c r="CT127" s="357" t="s">
        <v>909</v>
      </c>
      <c r="CU127" s="357" t="s">
        <v>910</v>
      </c>
      <c r="CV127" s="357" t="s">
        <v>902</v>
      </c>
      <c r="CW127" s="357" t="s">
        <v>903</v>
      </c>
      <c r="CX127" s="357" t="s">
        <v>904</v>
      </c>
      <c r="CY127" s="357" t="s">
        <v>905</v>
      </c>
      <c r="CZ127" s="357" t="s">
        <v>906</v>
      </c>
      <c r="DA127" s="357" t="s">
        <v>907</v>
      </c>
      <c r="DB127" s="357"/>
      <c r="DC127" s="357" t="s">
        <v>908</v>
      </c>
      <c r="DD127" s="357" t="s">
        <v>909</v>
      </c>
      <c r="DE127" s="357" t="s">
        <v>910</v>
      </c>
      <c r="DF127" s="357" t="s">
        <v>902</v>
      </c>
      <c r="DG127" s="357" t="s">
        <v>903</v>
      </c>
      <c r="DH127" s="357" t="s">
        <v>904</v>
      </c>
      <c r="DI127" s="357" t="s">
        <v>905</v>
      </c>
      <c r="DJ127" s="357" t="s">
        <v>906</v>
      </c>
      <c r="DK127" s="373" t="s">
        <v>907</v>
      </c>
    </row>
    <row r="128" spans="2:116" x14ac:dyDescent="0.3">
      <c r="B128" s="84"/>
      <c r="C128" s="366"/>
      <c r="D128" s="373"/>
      <c r="E128" s="373"/>
      <c r="F128" s="373"/>
      <c r="G128" s="367"/>
      <c r="H128" s="373"/>
      <c r="I128" s="373"/>
      <c r="J128" s="373"/>
      <c r="K128" s="373"/>
      <c r="L128" s="373"/>
      <c r="M128" s="373"/>
      <c r="N128" s="373"/>
      <c r="O128" s="373"/>
      <c r="P128" s="373"/>
      <c r="Q128" s="373"/>
      <c r="R128" s="373"/>
      <c r="S128" s="373"/>
      <c r="T128" s="373"/>
      <c r="U128" s="373"/>
      <c r="V128" s="373"/>
      <c r="W128" s="373"/>
      <c r="X128" s="373"/>
      <c r="Y128" s="373"/>
      <c r="AB128" s="373"/>
      <c r="AC128" s="373"/>
      <c r="AD128" s="373"/>
      <c r="AE128" s="373"/>
      <c r="AH128" s="373"/>
      <c r="AI128" s="365"/>
      <c r="AK128" s="365"/>
      <c r="AL128" s="365"/>
      <c r="AM128" s="365"/>
      <c r="AN128" s="365"/>
      <c r="AO128" s="365"/>
      <c r="AP128" s="365"/>
      <c r="AQ128" s="365"/>
      <c r="AR128" s="365"/>
      <c r="AS128" s="365"/>
      <c r="AT128" s="357"/>
      <c r="AU128" s="357"/>
      <c r="AV128" s="357" t="s">
        <v>966</v>
      </c>
      <c r="AW128" s="357"/>
      <c r="AX128" s="357" t="s">
        <v>966</v>
      </c>
      <c r="AY128" s="357"/>
      <c r="AZ128" s="357"/>
      <c r="BA128" s="357"/>
      <c r="BB128" s="357" t="s">
        <v>966</v>
      </c>
      <c r="BC128" s="357" t="s">
        <v>1094</v>
      </c>
      <c r="BD128" s="357" t="s">
        <v>1124</v>
      </c>
      <c r="BE128" s="357" t="s">
        <v>1125</v>
      </c>
      <c r="BF128" s="357"/>
      <c r="BG128" s="357" t="s">
        <v>1125</v>
      </c>
      <c r="BH128" s="357"/>
      <c r="BI128" s="357"/>
      <c r="BJ128" s="357"/>
      <c r="BK128" s="357"/>
      <c r="BL128" s="357" t="s">
        <v>966</v>
      </c>
      <c r="BM128" s="357" t="s">
        <v>1094</v>
      </c>
      <c r="BN128" s="357" t="s">
        <v>1124</v>
      </c>
      <c r="BO128" s="357" t="s">
        <v>1125</v>
      </c>
      <c r="BP128" s="357"/>
      <c r="BQ128" s="357" t="s">
        <v>1125</v>
      </c>
      <c r="BR128" s="357"/>
      <c r="BS128" s="357"/>
      <c r="BT128" s="357"/>
      <c r="BU128" s="357"/>
      <c r="BV128" s="357" t="s">
        <v>966</v>
      </c>
      <c r="BW128" s="357" t="s">
        <v>1094</v>
      </c>
      <c r="BX128" s="357" t="s">
        <v>1124</v>
      </c>
      <c r="BY128" s="357" t="s">
        <v>1125</v>
      </c>
      <c r="BZ128" s="357"/>
      <c r="CA128" s="357" t="s">
        <v>1125</v>
      </c>
      <c r="CB128" s="357"/>
      <c r="CC128" s="357"/>
      <c r="CD128" s="357"/>
      <c r="CE128" s="357"/>
      <c r="CF128" s="357" t="s">
        <v>966</v>
      </c>
      <c r="CG128" s="357"/>
      <c r="CH128" s="357" t="s">
        <v>966</v>
      </c>
      <c r="CI128" s="357"/>
      <c r="CJ128" s="357"/>
      <c r="CK128" s="357"/>
      <c r="CL128" s="357" t="s">
        <v>966</v>
      </c>
      <c r="CM128" s="357" t="s">
        <v>1094</v>
      </c>
      <c r="CN128" s="357" t="s">
        <v>1124</v>
      </c>
      <c r="CO128" s="357" t="s">
        <v>1125</v>
      </c>
      <c r="CP128" s="357"/>
      <c r="CQ128" s="357" t="s">
        <v>1125</v>
      </c>
      <c r="CR128" s="357"/>
      <c r="CS128" s="357"/>
      <c r="CT128" s="357"/>
      <c r="CU128" s="357"/>
      <c r="CV128" s="357" t="s">
        <v>966</v>
      </c>
      <c r="CW128" s="357" t="s">
        <v>1094</v>
      </c>
      <c r="CX128" s="357" t="s">
        <v>1124</v>
      </c>
      <c r="CY128" s="357" t="s">
        <v>1125</v>
      </c>
      <c r="CZ128" s="357"/>
      <c r="DA128" s="357" t="s">
        <v>1125</v>
      </c>
      <c r="DB128" s="357"/>
      <c r="DC128" s="357"/>
      <c r="DD128" s="357"/>
      <c r="DE128" s="357"/>
      <c r="DF128" s="357" t="s">
        <v>966</v>
      </c>
      <c r="DG128" s="357" t="s">
        <v>1094</v>
      </c>
      <c r="DH128" s="357" t="s">
        <v>1124</v>
      </c>
      <c r="DI128" s="357" t="s">
        <v>1125</v>
      </c>
      <c r="DJ128" s="357"/>
      <c r="DK128" s="373" t="s">
        <v>1125</v>
      </c>
    </row>
    <row r="129" spans="2:115" x14ac:dyDescent="0.3">
      <c r="B129" s="84"/>
      <c r="C129" s="366"/>
      <c r="D129" s="373"/>
      <c r="E129" s="373"/>
      <c r="F129" s="373"/>
      <c r="G129" s="367"/>
      <c r="H129" s="373"/>
      <c r="I129" s="373"/>
      <c r="J129" s="373"/>
      <c r="K129" s="373"/>
      <c r="L129" s="373"/>
      <c r="M129" s="373"/>
      <c r="N129" s="373"/>
      <c r="O129" s="373"/>
      <c r="P129" s="373"/>
      <c r="Q129" s="373"/>
      <c r="R129" s="373"/>
      <c r="S129" s="373"/>
      <c r="T129" s="373"/>
      <c r="U129" s="373"/>
      <c r="V129" s="373"/>
      <c r="W129" s="373"/>
      <c r="X129" s="373"/>
      <c r="Y129" s="373"/>
      <c r="AB129" s="373"/>
      <c r="AC129" s="373"/>
      <c r="AD129" s="373"/>
      <c r="AE129" s="373"/>
      <c r="AH129" s="373"/>
      <c r="AI129" s="365"/>
      <c r="AK129" s="365"/>
      <c r="AL129" s="365"/>
      <c r="AM129" s="365"/>
      <c r="AN129" s="365"/>
      <c r="AO129" s="365"/>
      <c r="AP129" s="365"/>
      <c r="AQ129" s="365"/>
      <c r="AR129" s="365"/>
      <c r="AS129" s="365"/>
      <c r="AT129" s="357" t="s">
        <v>959</v>
      </c>
      <c r="AU129" s="357" t="s">
        <v>915</v>
      </c>
      <c r="AV129" s="357">
        <v>38353</v>
      </c>
      <c r="AW129" s="357" t="s">
        <v>312</v>
      </c>
      <c r="AX129" s="357">
        <v>0</v>
      </c>
      <c r="AY129" s="357">
        <v>-99996</v>
      </c>
      <c r="AZ129" s="357">
        <v>-99996</v>
      </c>
      <c r="BA129" s="357">
        <v>-99996</v>
      </c>
      <c r="BB129" s="357">
        <v>0</v>
      </c>
      <c r="BC129" s="357">
        <v>0</v>
      </c>
      <c r="BD129" s="357">
        <v>0</v>
      </c>
      <c r="BE129" s="357">
        <v>287.5</v>
      </c>
      <c r="BF129" s="357">
        <v>-99996</v>
      </c>
      <c r="BG129" s="357">
        <v>287.5</v>
      </c>
      <c r="BH129" s="357"/>
      <c r="BI129" s="357">
        <v>-99996</v>
      </c>
      <c r="BJ129" s="357">
        <v>-99996</v>
      </c>
      <c r="BK129" s="357">
        <v>-99996</v>
      </c>
      <c r="BL129" s="357">
        <v>0</v>
      </c>
      <c r="BM129" s="357">
        <v>0</v>
      </c>
      <c r="BN129" s="357">
        <v>0</v>
      </c>
      <c r="BO129" s="357">
        <v>287.5</v>
      </c>
      <c r="BP129" s="357">
        <v>-99996</v>
      </c>
      <c r="BQ129" s="357">
        <v>287.5</v>
      </c>
      <c r="BR129" s="357"/>
      <c r="BS129" s="357">
        <v>-99996</v>
      </c>
      <c r="BT129" s="357">
        <v>-99996</v>
      </c>
      <c r="BU129" s="357">
        <v>-99996</v>
      </c>
      <c r="BV129" s="357">
        <v>0</v>
      </c>
      <c r="BW129" s="357">
        <v>0</v>
      </c>
      <c r="BX129" s="357">
        <v>0</v>
      </c>
      <c r="BY129" s="357">
        <v>287.5</v>
      </c>
      <c r="BZ129" s="357">
        <v>-99996</v>
      </c>
      <c r="CA129" s="357">
        <v>1150</v>
      </c>
      <c r="CB129" s="357"/>
      <c r="CC129" s="357"/>
      <c r="CD129" s="357" t="s">
        <v>959</v>
      </c>
      <c r="CE129" s="357" t="s">
        <v>915</v>
      </c>
      <c r="CF129" s="357">
        <v>38353</v>
      </c>
      <c r="CG129" s="357" t="s">
        <v>312</v>
      </c>
      <c r="CH129" s="357">
        <v>-99996</v>
      </c>
      <c r="CI129" s="357">
        <v>-99996</v>
      </c>
      <c r="CJ129" s="357">
        <v>-99996</v>
      </c>
      <c r="CK129" s="357">
        <v>-99996</v>
      </c>
      <c r="CL129" s="357">
        <v>0</v>
      </c>
      <c r="CM129" s="357">
        <v>0</v>
      </c>
      <c r="CN129" s="357">
        <v>0</v>
      </c>
      <c r="CO129" s="357">
        <v>287.5</v>
      </c>
      <c r="CP129" s="357">
        <v>-99996</v>
      </c>
      <c r="CQ129" s="357">
        <v>287.5</v>
      </c>
      <c r="CR129" s="357"/>
      <c r="CS129" s="357">
        <v>-99996</v>
      </c>
      <c r="CT129" s="357">
        <v>-99996</v>
      </c>
      <c r="CU129" s="357">
        <v>-99996</v>
      </c>
      <c r="CV129" s="357">
        <v>0</v>
      </c>
      <c r="CW129" s="357">
        <v>0</v>
      </c>
      <c r="CX129" s="357">
        <v>0</v>
      </c>
      <c r="CY129" s="357">
        <v>287.5</v>
      </c>
      <c r="CZ129" s="357">
        <v>-99996</v>
      </c>
      <c r="DA129" s="357">
        <v>287.5</v>
      </c>
      <c r="DB129" s="357"/>
      <c r="DC129" s="357">
        <v>-99996</v>
      </c>
      <c r="DD129" s="357">
        <v>-99996</v>
      </c>
      <c r="DE129" s="357">
        <v>-99996</v>
      </c>
      <c r="DF129" s="357">
        <v>0</v>
      </c>
      <c r="DG129" s="357">
        <v>0</v>
      </c>
      <c r="DH129" s="357">
        <v>0</v>
      </c>
      <c r="DI129" s="357">
        <v>287.5</v>
      </c>
      <c r="DJ129" s="357">
        <v>-99996</v>
      </c>
      <c r="DK129" s="373">
        <v>1150</v>
      </c>
    </row>
    <row r="130" spans="2:115" x14ac:dyDescent="0.3">
      <c r="B130" s="84"/>
      <c r="C130" s="366"/>
      <c r="D130" s="373"/>
      <c r="E130" s="373"/>
      <c r="F130" s="373"/>
      <c r="G130" s="367"/>
      <c r="H130" s="373"/>
      <c r="I130" s="373"/>
      <c r="J130" s="373"/>
      <c r="K130" s="373"/>
      <c r="L130" s="373"/>
      <c r="M130" s="373"/>
      <c r="N130" s="373"/>
      <c r="O130" s="373"/>
      <c r="P130" s="373"/>
      <c r="Q130" s="373"/>
      <c r="R130" s="373"/>
      <c r="S130" s="373"/>
      <c r="T130" s="373"/>
      <c r="U130" s="373"/>
      <c r="V130" s="373"/>
      <c r="W130" s="373"/>
      <c r="X130" s="373"/>
      <c r="Y130" s="373"/>
      <c r="AB130" s="373"/>
      <c r="AC130" s="373"/>
      <c r="AD130" s="373"/>
      <c r="AE130" s="373"/>
      <c r="AH130" s="373"/>
      <c r="AI130" s="365"/>
      <c r="AK130" s="365"/>
      <c r="AL130" s="365"/>
      <c r="AM130" s="365"/>
      <c r="AN130" s="365"/>
      <c r="AO130" s="365"/>
      <c r="AP130" s="365"/>
      <c r="AQ130" s="365"/>
      <c r="AR130" s="365"/>
      <c r="AS130" s="365"/>
      <c r="AT130" s="357" t="s">
        <v>970</v>
      </c>
      <c r="AU130" s="357" t="s">
        <v>980</v>
      </c>
      <c r="AV130" s="357">
        <v>27257.599999999999</v>
      </c>
      <c r="AW130" s="357" t="s">
        <v>312</v>
      </c>
      <c r="AX130" s="357">
        <v>0</v>
      </c>
      <c r="AY130" s="357">
        <v>-99996</v>
      </c>
      <c r="AZ130" s="357">
        <v>-99996</v>
      </c>
      <c r="BA130" s="357">
        <v>-99996</v>
      </c>
      <c r="BB130" s="357">
        <v>0</v>
      </c>
      <c r="BC130" s="357">
        <v>0</v>
      </c>
      <c r="BD130" s="357">
        <v>0</v>
      </c>
      <c r="BE130" s="357">
        <v>550</v>
      </c>
      <c r="BF130" s="357">
        <v>-99996</v>
      </c>
      <c r="BG130" s="357">
        <v>550</v>
      </c>
      <c r="BH130" s="357"/>
      <c r="BI130" s="357">
        <v>-99996</v>
      </c>
      <c r="BJ130" s="357">
        <v>-99996</v>
      </c>
      <c r="BK130" s="357">
        <v>-99996</v>
      </c>
      <c r="BL130" s="357">
        <v>0</v>
      </c>
      <c r="BM130" s="357">
        <v>0</v>
      </c>
      <c r="BN130" s="357">
        <v>0</v>
      </c>
      <c r="BO130" s="357">
        <v>550</v>
      </c>
      <c r="BP130" s="357">
        <v>-99996</v>
      </c>
      <c r="BQ130" s="357">
        <v>825</v>
      </c>
      <c r="BR130" s="357"/>
      <c r="BS130" s="357">
        <v>-99996</v>
      </c>
      <c r="BT130" s="357">
        <v>-99996</v>
      </c>
      <c r="BU130" s="357">
        <v>-99996</v>
      </c>
      <c r="BV130" s="357">
        <v>0</v>
      </c>
      <c r="BW130" s="357">
        <v>0</v>
      </c>
      <c r="BX130" s="357">
        <v>0</v>
      </c>
      <c r="BY130" s="357">
        <v>550</v>
      </c>
      <c r="BZ130" s="357">
        <v>-99996</v>
      </c>
      <c r="CA130" s="357">
        <v>1100</v>
      </c>
      <c r="CB130" s="357"/>
      <c r="CC130" s="357"/>
      <c r="CD130" s="357" t="s">
        <v>970</v>
      </c>
      <c r="CE130" s="357" t="s">
        <v>980</v>
      </c>
      <c r="CF130" s="357">
        <v>27257.599999999999</v>
      </c>
      <c r="CG130" s="357" t="s">
        <v>312</v>
      </c>
      <c r="CH130" s="357">
        <v>-99996</v>
      </c>
      <c r="CI130" s="357">
        <v>-99996</v>
      </c>
      <c r="CJ130" s="357">
        <v>-99996</v>
      </c>
      <c r="CK130" s="357">
        <v>-99996</v>
      </c>
      <c r="CL130" s="357">
        <v>0</v>
      </c>
      <c r="CM130" s="357">
        <v>0</v>
      </c>
      <c r="CN130" s="357">
        <v>0</v>
      </c>
      <c r="CO130" s="357">
        <v>550</v>
      </c>
      <c r="CP130" s="357">
        <v>-99996</v>
      </c>
      <c r="CQ130" s="357">
        <v>550</v>
      </c>
      <c r="CR130" s="357"/>
      <c r="CS130" s="357">
        <v>-99996</v>
      </c>
      <c r="CT130" s="357">
        <v>-99996</v>
      </c>
      <c r="CU130" s="357">
        <v>-99996</v>
      </c>
      <c r="CV130" s="357">
        <v>0</v>
      </c>
      <c r="CW130" s="357">
        <v>0</v>
      </c>
      <c r="CX130" s="357">
        <v>0</v>
      </c>
      <c r="CY130" s="357">
        <v>550</v>
      </c>
      <c r="CZ130" s="357">
        <v>-99996</v>
      </c>
      <c r="DA130" s="357">
        <v>825</v>
      </c>
      <c r="DB130" s="357"/>
      <c r="DC130" s="357">
        <v>-99996</v>
      </c>
      <c r="DD130" s="357">
        <v>-99996</v>
      </c>
      <c r="DE130" s="357">
        <v>-99996</v>
      </c>
      <c r="DF130" s="357">
        <v>0</v>
      </c>
      <c r="DG130" s="357">
        <v>0</v>
      </c>
      <c r="DH130" s="357">
        <v>0</v>
      </c>
      <c r="DI130" s="357">
        <v>550</v>
      </c>
      <c r="DJ130" s="357">
        <v>-99996</v>
      </c>
      <c r="DK130" s="373">
        <v>1100</v>
      </c>
    </row>
    <row r="131" spans="2:115" x14ac:dyDescent="0.3">
      <c r="B131" s="84"/>
      <c r="C131" s="366"/>
      <c r="D131" s="373"/>
      <c r="E131" s="373"/>
      <c r="F131" s="373"/>
      <c r="G131" s="367"/>
      <c r="H131" s="373"/>
      <c r="I131" s="373"/>
      <c r="J131" s="373"/>
      <c r="K131" s="373"/>
      <c r="L131" s="373"/>
      <c r="M131" s="373"/>
      <c r="N131" s="373"/>
      <c r="O131" s="373"/>
      <c r="P131" s="373"/>
      <c r="Q131" s="373"/>
      <c r="R131" s="373"/>
      <c r="S131" s="373"/>
      <c r="T131" s="373"/>
      <c r="U131" s="373"/>
      <c r="V131" s="373"/>
      <c r="W131" s="373"/>
      <c r="X131" s="373"/>
      <c r="Y131" s="373"/>
      <c r="AB131" s="373"/>
      <c r="AC131" s="373"/>
      <c r="AD131" s="373"/>
      <c r="AE131" s="373"/>
      <c r="AH131" s="373"/>
      <c r="AI131" s="365"/>
      <c r="AK131" s="365"/>
      <c r="AL131" s="365"/>
      <c r="AM131" s="365"/>
      <c r="AN131" s="365"/>
      <c r="AO131" s="365"/>
      <c r="AP131" s="365"/>
      <c r="AQ131" s="365"/>
      <c r="AR131" s="365"/>
      <c r="AS131" s="365"/>
      <c r="AT131" s="357" t="s">
        <v>978</v>
      </c>
      <c r="AU131" s="357" t="s">
        <v>979</v>
      </c>
      <c r="AV131" s="357">
        <v>0</v>
      </c>
      <c r="AW131" s="357" t="s">
        <v>312</v>
      </c>
      <c r="AX131" s="357">
        <v>0</v>
      </c>
      <c r="AY131" s="357">
        <v>-99996</v>
      </c>
      <c r="AZ131" s="357">
        <v>-99996</v>
      </c>
      <c r="BA131" s="357">
        <v>-99996</v>
      </c>
      <c r="BB131" s="357">
        <v>0</v>
      </c>
      <c r="BC131" s="357">
        <v>0</v>
      </c>
      <c r="BD131" s="357">
        <v>0</v>
      </c>
      <c r="BE131" s="357">
        <v>0</v>
      </c>
      <c r="BF131" s="357">
        <v>-99996</v>
      </c>
      <c r="BG131" s="357">
        <v>0</v>
      </c>
      <c r="BH131" s="357"/>
      <c r="BI131" s="357">
        <v>-99996</v>
      </c>
      <c r="BJ131" s="357">
        <v>-99996</v>
      </c>
      <c r="BK131" s="357">
        <v>-99996</v>
      </c>
      <c r="BL131" s="357">
        <v>0</v>
      </c>
      <c r="BM131" s="357">
        <v>0</v>
      </c>
      <c r="BN131" s="357">
        <v>0</v>
      </c>
      <c r="BO131" s="357">
        <v>0</v>
      </c>
      <c r="BP131" s="357">
        <v>-99996</v>
      </c>
      <c r="BQ131" s="357">
        <v>0</v>
      </c>
      <c r="BR131" s="357"/>
      <c r="BS131" s="357">
        <v>-99996</v>
      </c>
      <c r="BT131" s="357">
        <v>-99996</v>
      </c>
      <c r="BU131" s="357">
        <v>-99996</v>
      </c>
      <c r="BV131" s="357">
        <v>0</v>
      </c>
      <c r="BW131" s="357">
        <v>0</v>
      </c>
      <c r="BX131" s="357">
        <v>0</v>
      </c>
      <c r="BY131" s="357">
        <v>0</v>
      </c>
      <c r="BZ131" s="357">
        <v>-99996</v>
      </c>
      <c r="CA131" s="357">
        <v>0</v>
      </c>
      <c r="CB131" s="357"/>
      <c r="CC131" s="357"/>
      <c r="CD131" s="357" t="s">
        <v>978</v>
      </c>
      <c r="CE131" s="357" t="s">
        <v>979</v>
      </c>
      <c r="CF131" s="357">
        <v>0</v>
      </c>
      <c r="CG131" s="357" t="s">
        <v>312</v>
      </c>
      <c r="CH131" s="357">
        <v>-99996</v>
      </c>
      <c r="CI131" s="357">
        <v>-99996</v>
      </c>
      <c r="CJ131" s="357">
        <v>-99996</v>
      </c>
      <c r="CK131" s="357">
        <v>-99996</v>
      </c>
      <c r="CL131" s="357">
        <v>0</v>
      </c>
      <c r="CM131" s="357">
        <v>0</v>
      </c>
      <c r="CN131" s="357">
        <v>0</v>
      </c>
      <c r="CO131" s="357">
        <v>0</v>
      </c>
      <c r="CP131" s="357">
        <v>-99996</v>
      </c>
      <c r="CQ131" s="357">
        <v>0</v>
      </c>
      <c r="CR131" s="357"/>
      <c r="CS131" s="357">
        <v>-99996</v>
      </c>
      <c r="CT131" s="357">
        <v>-99996</v>
      </c>
      <c r="CU131" s="357">
        <v>-99996</v>
      </c>
      <c r="CV131" s="357">
        <v>0</v>
      </c>
      <c r="CW131" s="357">
        <v>0</v>
      </c>
      <c r="CX131" s="357">
        <v>0</v>
      </c>
      <c r="CY131" s="357">
        <v>0</v>
      </c>
      <c r="CZ131" s="357">
        <v>-99996</v>
      </c>
      <c r="DA131" s="357">
        <v>0</v>
      </c>
      <c r="DB131" s="357"/>
      <c r="DC131" s="357">
        <v>-99996</v>
      </c>
      <c r="DD131" s="357">
        <v>-99996</v>
      </c>
      <c r="DE131" s="357">
        <v>-99996</v>
      </c>
      <c r="DF131" s="357">
        <v>0</v>
      </c>
      <c r="DG131" s="357">
        <v>0</v>
      </c>
      <c r="DH131" s="357">
        <v>0</v>
      </c>
      <c r="DI131" s="357">
        <v>0</v>
      </c>
      <c r="DJ131" s="357">
        <v>-99996</v>
      </c>
      <c r="DK131" s="373">
        <v>0</v>
      </c>
    </row>
    <row r="132" spans="2:115" x14ac:dyDescent="0.3">
      <c r="B132" s="84"/>
      <c r="C132" s="366"/>
      <c r="D132" s="373"/>
      <c r="E132" s="373"/>
      <c r="F132" s="373"/>
      <c r="G132" s="367"/>
      <c r="H132" s="373"/>
      <c r="I132" s="373"/>
      <c r="J132" s="373"/>
      <c r="K132" s="373"/>
      <c r="L132" s="373"/>
      <c r="M132" s="373"/>
      <c r="N132" s="373"/>
      <c r="O132" s="373"/>
      <c r="P132" s="373"/>
      <c r="Q132" s="373"/>
      <c r="R132" s="373"/>
      <c r="S132" s="373"/>
      <c r="T132" s="373"/>
      <c r="U132" s="373"/>
      <c r="V132" s="373"/>
      <c r="W132" s="373"/>
      <c r="X132" s="373"/>
      <c r="Y132" s="373"/>
      <c r="AB132" s="373"/>
      <c r="AC132" s="373"/>
      <c r="AD132" s="373"/>
      <c r="AE132" s="373"/>
      <c r="AH132" s="373"/>
      <c r="AI132" s="365"/>
      <c r="AK132" s="365"/>
      <c r="AL132" s="365"/>
      <c r="AM132" s="365"/>
      <c r="AN132" s="365"/>
      <c r="AO132" s="365"/>
      <c r="AP132" s="365"/>
      <c r="AQ132" s="365"/>
      <c r="AR132" s="365"/>
      <c r="AS132" s="365"/>
      <c r="AT132" s="357" t="s">
        <v>981</v>
      </c>
      <c r="AU132" s="357" t="s">
        <v>986</v>
      </c>
      <c r="AV132" s="357">
        <v>3373.61</v>
      </c>
      <c r="AW132" s="357" t="s">
        <v>913</v>
      </c>
      <c r="AX132" s="357">
        <v>0</v>
      </c>
      <c r="AY132" s="357">
        <v>0.2</v>
      </c>
      <c r="AZ132" s="357">
        <v>0.2</v>
      </c>
      <c r="BA132" s="357">
        <v>-99996</v>
      </c>
      <c r="BB132" s="357">
        <v>0</v>
      </c>
      <c r="BC132" s="357">
        <v>0</v>
      </c>
      <c r="BD132" s="357">
        <v>0</v>
      </c>
      <c r="BE132" s="357">
        <v>125</v>
      </c>
      <c r="BF132" s="357">
        <v>-99996</v>
      </c>
      <c r="BG132" s="357">
        <v>125</v>
      </c>
      <c r="BH132" s="357"/>
      <c r="BI132" s="357">
        <v>119.926</v>
      </c>
      <c r="BJ132" s="357">
        <v>8.2020999999999997</v>
      </c>
      <c r="BK132" s="357">
        <v>2.5</v>
      </c>
      <c r="BL132" s="357">
        <v>1901.26</v>
      </c>
      <c r="BM132" s="357">
        <v>1616.07</v>
      </c>
      <c r="BN132" s="357">
        <v>0.56356700000000004</v>
      </c>
      <c r="BO132" s="357">
        <v>125</v>
      </c>
      <c r="BP132" s="357">
        <v>-99996</v>
      </c>
      <c r="BQ132" s="357">
        <v>187.5</v>
      </c>
      <c r="BR132" s="357"/>
      <c r="BS132" s="357">
        <v>119.93</v>
      </c>
      <c r="BT132" s="357">
        <v>14.75</v>
      </c>
      <c r="BU132" s="357">
        <v>2.5</v>
      </c>
      <c r="BV132" s="357">
        <v>1471.24</v>
      </c>
      <c r="BW132" s="357">
        <v>0</v>
      </c>
      <c r="BX132" s="357">
        <v>0</v>
      </c>
      <c r="BY132" s="357">
        <v>125</v>
      </c>
      <c r="BZ132" s="357">
        <v>-99996</v>
      </c>
      <c r="CA132" s="357">
        <v>250</v>
      </c>
      <c r="CB132" s="357"/>
      <c r="CC132" s="357"/>
      <c r="CD132" s="357" t="s">
        <v>981</v>
      </c>
      <c r="CE132" s="357" t="s">
        <v>986</v>
      </c>
      <c r="CF132" s="357">
        <v>3373.61</v>
      </c>
      <c r="CG132" s="357" t="s">
        <v>913</v>
      </c>
      <c r="CH132" s="357">
        <v>-99996</v>
      </c>
      <c r="CI132" s="357">
        <v>0.2</v>
      </c>
      <c r="CJ132" s="357">
        <v>0.2</v>
      </c>
      <c r="CK132" s="357">
        <v>-99996</v>
      </c>
      <c r="CL132" s="357">
        <v>0</v>
      </c>
      <c r="CM132" s="357">
        <v>0</v>
      </c>
      <c r="CN132" s="357">
        <v>0</v>
      </c>
      <c r="CO132" s="357">
        <v>125</v>
      </c>
      <c r="CP132" s="357">
        <v>-99996</v>
      </c>
      <c r="CQ132" s="357">
        <v>125</v>
      </c>
      <c r="CR132" s="357"/>
      <c r="CS132" s="357">
        <v>119.926</v>
      </c>
      <c r="CT132" s="357">
        <v>8.2020999999999997</v>
      </c>
      <c r="CU132" s="357">
        <v>2.5</v>
      </c>
      <c r="CV132" s="357">
        <v>1901.26</v>
      </c>
      <c r="CW132" s="357">
        <v>1616.07</v>
      </c>
      <c r="CX132" s="357">
        <v>0.56356700000000004</v>
      </c>
      <c r="CY132" s="357">
        <v>125</v>
      </c>
      <c r="CZ132" s="357">
        <v>-99996</v>
      </c>
      <c r="DA132" s="357">
        <v>187.5</v>
      </c>
      <c r="DB132" s="357"/>
      <c r="DC132" s="357">
        <v>119.93</v>
      </c>
      <c r="DD132" s="357">
        <v>14.75</v>
      </c>
      <c r="DE132" s="357">
        <v>2.5</v>
      </c>
      <c r="DF132" s="357">
        <v>1471.24</v>
      </c>
      <c r="DG132" s="357">
        <v>1250.56</v>
      </c>
      <c r="DH132" s="357">
        <v>0.43610399999999999</v>
      </c>
      <c r="DI132" s="357">
        <v>125</v>
      </c>
      <c r="DJ132" s="357">
        <v>-99996</v>
      </c>
      <c r="DK132" s="373">
        <v>250</v>
      </c>
    </row>
    <row r="133" spans="2:115" x14ac:dyDescent="0.3">
      <c r="B133" s="84"/>
      <c r="C133" s="366"/>
      <c r="D133" s="373"/>
      <c r="E133" s="373"/>
      <c r="F133" s="373"/>
      <c r="G133" s="367"/>
      <c r="H133" s="373"/>
      <c r="I133" s="373"/>
      <c r="J133" s="373"/>
      <c r="K133" s="373"/>
      <c r="L133" s="373"/>
      <c r="M133" s="373"/>
      <c r="N133" s="373"/>
      <c r="O133" s="373"/>
      <c r="P133" s="373"/>
      <c r="Q133" s="373"/>
      <c r="R133" s="373"/>
      <c r="S133" s="373"/>
      <c r="T133" s="373"/>
      <c r="U133" s="373"/>
      <c r="V133" s="373"/>
      <c r="W133" s="373"/>
      <c r="X133" s="373"/>
      <c r="Y133" s="373"/>
      <c r="AB133" s="373"/>
      <c r="AC133" s="373"/>
      <c r="AD133" s="373"/>
      <c r="AE133" s="373"/>
      <c r="AH133" s="373"/>
      <c r="AI133" s="365"/>
      <c r="AK133" s="365"/>
      <c r="AL133" s="365"/>
      <c r="AM133" s="365"/>
      <c r="AN133" s="365"/>
      <c r="AO133" s="365"/>
      <c r="AP133" s="365"/>
      <c r="AQ133" s="365"/>
      <c r="AR133" s="365"/>
      <c r="AS133" s="365"/>
      <c r="AT133" s="357" t="s">
        <v>984</v>
      </c>
      <c r="AU133" s="357" t="s">
        <v>988</v>
      </c>
      <c r="AV133" s="357">
        <v>2174.0500000000002</v>
      </c>
      <c r="AW133" s="357" t="s">
        <v>913</v>
      </c>
      <c r="AX133" s="357">
        <v>0</v>
      </c>
      <c r="AY133" s="357">
        <v>0.2</v>
      </c>
      <c r="AZ133" s="357">
        <v>0.2</v>
      </c>
      <c r="BA133" s="357">
        <v>-99996</v>
      </c>
      <c r="BB133" s="357">
        <v>0</v>
      </c>
      <c r="BC133" s="357">
        <v>0</v>
      </c>
      <c r="BD133" s="357">
        <v>0</v>
      </c>
      <c r="BE133" s="357">
        <v>75</v>
      </c>
      <c r="BF133" s="357">
        <v>-99996</v>
      </c>
      <c r="BG133" s="357">
        <v>75</v>
      </c>
      <c r="BH133" s="357"/>
      <c r="BI133" s="357">
        <v>231.65100000000001</v>
      </c>
      <c r="BJ133" s="357">
        <v>79.950999999999993</v>
      </c>
      <c r="BK133" s="357">
        <v>2.5</v>
      </c>
      <c r="BL133" s="357">
        <v>1239.29</v>
      </c>
      <c r="BM133" s="357">
        <v>619.64599999999996</v>
      </c>
      <c r="BN133" s="357">
        <v>0.57003800000000004</v>
      </c>
      <c r="BO133" s="357">
        <v>75</v>
      </c>
      <c r="BP133" s="357">
        <v>-99996</v>
      </c>
      <c r="BQ133" s="357">
        <v>112.5</v>
      </c>
      <c r="BR133" s="357"/>
      <c r="BS133" s="357">
        <v>225.083</v>
      </c>
      <c r="BT133" s="357">
        <v>79.953500000000005</v>
      </c>
      <c r="BU133" s="357">
        <v>2.5</v>
      </c>
      <c r="BV133" s="357">
        <v>934.45799999999997</v>
      </c>
      <c r="BW133" s="357">
        <v>0</v>
      </c>
      <c r="BX133" s="357">
        <v>0</v>
      </c>
      <c r="BY133" s="357">
        <v>75</v>
      </c>
      <c r="BZ133" s="357">
        <v>-99996</v>
      </c>
      <c r="CA133" s="357">
        <v>150</v>
      </c>
      <c r="CB133" s="357"/>
      <c r="CC133" s="357"/>
      <c r="CD133" s="357" t="s">
        <v>984</v>
      </c>
      <c r="CE133" s="357" t="s">
        <v>988</v>
      </c>
      <c r="CF133" s="357">
        <v>2174.0500000000002</v>
      </c>
      <c r="CG133" s="357" t="s">
        <v>913</v>
      </c>
      <c r="CH133" s="357">
        <v>-99996</v>
      </c>
      <c r="CI133" s="357">
        <v>0.2</v>
      </c>
      <c r="CJ133" s="357">
        <v>0.2</v>
      </c>
      <c r="CK133" s="357">
        <v>-99996</v>
      </c>
      <c r="CL133" s="357">
        <v>0</v>
      </c>
      <c r="CM133" s="357">
        <v>0</v>
      </c>
      <c r="CN133" s="357">
        <v>0</v>
      </c>
      <c r="CO133" s="357">
        <v>75</v>
      </c>
      <c r="CP133" s="357">
        <v>-99996</v>
      </c>
      <c r="CQ133" s="357">
        <v>75</v>
      </c>
      <c r="CR133" s="357"/>
      <c r="CS133" s="357">
        <v>231.65100000000001</v>
      </c>
      <c r="CT133" s="357">
        <v>79.950999999999993</v>
      </c>
      <c r="CU133" s="357">
        <v>2.5</v>
      </c>
      <c r="CV133" s="357">
        <v>1239.29</v>
      </c>
      <c r="CW133" s="357">
        <v>743.57500000000005</v>
      </c>
      <c r="CX133" s="357">
        <v>0.57003800000000004</v>
      </c>
      <c r="CY133" s="357">
        <v>75</v>
      </c>
      <c r="CZ133" s="357">
        <v>-99996</v>
      </c>
      <c r="DA133" s="357">
        <v>112.5</v>
      </c>
      <c r="DB133" s="357"/>
      <c r="DC133" s="357">
        <v>225.083</v>
      </c>
      <c r="DD133" s="357">
        <v>79.953500000000005</v>
      </c>
      <c r="DE133" s="357">
        <v>2.5</v>
      </c>
      <c r="DF133" s="357">
        <v>934.45799999999997</v>
      </c>
      <c r="DG133" s="357">
        <v>560.67499999999995</v>
      </c>
      <c r="DH133" s="357">
        <v>0.42982399999999998</v>
      </c>
      <c r="DI133" s="357">
        <v>75</v>
      </c>
      <c r="DJ133" s="357">
        <v>-99996</v>
      </c>
      <c r="DK133" s="373">
        <v>150</v>
      </c>
    </row>
    <row r="134" spans="2:115" x14ac:dyDescent="0.3">
      <c r="B134" s="84"/>
      <c r="C134" s="366"/>
      <c r="D134" s="373"/>
      <c r="E134" s="373"/>
      <c r="F134" s="373"/>
      <c r="G134" s="367"/>
      <c r="H134" s="373"/>
      <c r="I134" s="373"/>
      <c r="J134" s="373"/>
      <c r="K134" s="373"/>
      <c r="L134" s="373"/>
      <c r="M134" s="373"/>
      <c r="N134" s="373"/>
      <c r="O134" s="373"/>
      <c r="P134" s="373"/>
      <c r="Q134" s="373"/>
      <c r="R134" s="373"/>
      <c r="S134" s="373"/>
      <c r="T134" s="373"/>
      <c r="U134" s="373"/>
      <c r="V134" s="373"/>
      <c r="W134" s="373"/>
      <c r="X134" s="373"/>
      <c r="Y134" s="373"/>
      <c r="AB134" s="373"/>
      <c r="AC134" s="373"/>
      <c r="AD134" s="373"/>
      <c r="AE134" s="373"/>
      <c r="AH134" s="373"/>
      <c r="AI134" s="365"/>
      <c r="AK134" s="365"/>
      <c r="AL134" s="365"/>
      <c r="AM134" s="365"/>
      <c r="AN134" s="365"/>
      <c r="AO134" s="365"/>
      <c r="AP134" s="365"/>
      <c r="AQ134" s="365"/>
      <c r="AR134" s="365"/>
      <c r="AS134" s="365"/>
      <c r="AT134" s="357" t="s">
        <v>987</v>
      </c>
      <c r="AU134" s="357" t="s">
        <v>980</v>
      </c>
      <c r="AV134" s="357">
        <v>3373.64</v>
      </c>
      <c r="AW134" s="357" t="s">
        <v>913</v>
      </c>
      <c r="AX134" s="357">
        <v>0</v>
      </c>
      <c r="AY134" s="357">
        <v>0.2</v>
      </c>
      <c r="AZ134" s="357">
        <v>0.2</v>
      </c>
      <c r="BA134" s="357">
        <v>-99996</v>
      </c>
      <c r="BB134" s="357">
        <v>0</v>
      </c>
      <c r="BC134" s="357">
        <v>0</v>
      </c>
      <c r="BD134" s="357">
        <v>0</v>
      </c>
      <c r="BE134" s="357">
        <v>550</v>
      </c>
      <c r="BF134" s="357">
        <v>-99996</v>
      </c>
      <c r="BG134" s="357">
        <v>550</v>
      </c>
      <c r="BH134" s="357"/>
      <c r="BI134" s="357">
        <v>119.926</v>
      </c>
      <c r="BJ134" s="357">
        <v>151.69999999999999</v>
      </c>
      <c r="BK134" s="357">
        <v>2.5</v>
      </c>
      <c r="BL134" s="357">
        <v>1901.26</v>
      </c>
      <c r="BM134" s="357">
        <v>1901.26</v>
      </c>
      <c r="BN134" s="357">
        <v>0.56356300000000004</v>
      </c>
      <c r="BO134" s="357">
        <v>550</v>
      </c>
      <c r="BP134" s="357">
        <v>-99996</v>
      </c>
      <c r="BQ134" s="357">
        <v>825</v>
      </c>
      <c r="BR134" s="357"/>
      <c r="BS134" s="357">
        <v>119.93</v>
      </c>
      <c r="BT134" s="357">
        <v>145.167</v>
      </c>
      <c r="BU134" s="357">
        <v>2.5</v>
      </c>
      <c r="BV134" s="357">
        <v>1471.24</v>
      </c>
      <c r="BW134" s="357">
        <v>0</v>
      </c>
      <c r="BX134" s="357">
        <v>0</v>
      </c>
      <c r="BY134" s="357">
        <v>550</v>
      </c>
      <c r="BZ134" s="357">
        <v>-99996</v>
      </c>
      <c r="CA134" s="357">
        <v>1100</v>
      </c>
      <c r="CB134" s="357"/>
      <c r="CC134" s="357"/>
      <c r="CD134" s="357" t="s">
        <v>987</v>
      </c>
      <c r="CE134" s="357" t="s">
        <v>980</v>
      </c>
      <c r="CF134" s="357">
        <v>3373.64</v>
      </c>
      <c r="CG134" s="357" t="s">
        <v>913</v>
      </c>
      <c r="CH134" s="357">
        <v>-99996</v>
      </c>
      <c r="CI134" s="357">
        <v>0.2</v>
      </c>
      <c r="CJ134" s="357">
        <v>0.2</v>
      </c>
      <c r="CK134" s="357">
        <v>-99996</v>
      </c>
      <c r="CL134" s="357">
        <v>0</v>
      </c>
      <c r="CM134" s="357">
        <v>0</v>
      </c>
      <c r="CN134" s="357">
        <v>0</v>
      </c>
      <c r="CO134" s="357">
        <v>550</v>
      </c>
      <c r="CP134" s="357">
        <v>-99996</v>
      </c>
      <c r="CQ134" s="357">
        <v>550</v>
      </c>
      <c r="CR134" s="357"/>
      <c r="CS134" s="357">
        <v>119.926</v>
      </c>
      <c r="CT134" s="357">
        <v>151.69999999999999</v>
      </c>
      <c r="CU134" s="357">
        <v>2.5</v>
      </c>
      <c r="CV134" s="357">
        <v>1901.26</v>
      </c>
      <c r="CW134" s="357">
        <v>1901.26</v>
      </c>
      <c r="CX134" s="357">
        <v>0.56356300000000004</v>
      </c>
      <c r="CY134" s="357">
        <v>550</v>
      </c>
      <c r="CZ134" s="357">
        <v>-99996</v>
      </c>
      <c r="DA134" s="357">
        <v>825</v>
      </c>
      <c r="DB134" s="357"/>
      <c r="DC134" s="357">
        <v>119.93</v>
      </c>
      <c r="DD134" s="357">
        <v>145.167</v>
      </c>
      <c r="DE134" s="357">
        <v>2.5</v>
      </c>
      <c r="DF134" s="357">
        <v>1471.24</v>
      </c>
      <c r="DG134" s="357">
        <v>1471.24</v>
      </c>
      <c r="DH134" s="357">
        <v>0.43610100000000002</v>
      </c>
      <c r="DI134" s="357">
        <v>550</v>
      </c>
      <c r="DJ134" s="357">
        <v>-99996</v>
      </c>
      <c r="DK134" s="373">
        <v>1100</v>
      </c>
    </row>
    <row r="135" spans="2:115" x14ac:dyDescent="0.3">
      <c r="B135" s="84"/>
      <c r="C135" s="366"/>
      <c r="D135" s="373"/>
      <c r="E135" s="373"/>
      <c r="F135" s="373"/>
      <c r="G135" s="367"/>
      <c r="H135" s="373"/>
      <c r="I135" s="373"/>
      <c r="J135" s="373"/>
      <c r="K135" s="373"/>
      <c r="L135" s="373"/>
      <c r="M135" s="373"/>
      <c r="N135" s="373"/>
      <c r="O135" s="373"/>
      <c r="P135" s="373"/>
      <c r="Q135" s="373"/>
      <c r="R135" s="373"/>
      <c r="S135" s="373"/>
      <c r="T135" s="373"/>
      <c r="U135" s="373"/>
      <c r="V135" s="373"/>
      <c r="W135" s="373"/>
      <c r="X135" s="373"/>
      <c r="Y135" s="373"/>
      <c r="AB135" s="373"/>
      <c r="AC135" s="373"/>
      <c r="AD135" s="373"/>
      <c r="AE135" s="373"/>
      <c r="AH135" s="373"/>
      <c r="AI135" s="365"/>
      <c r="AK135" s="365"/>
      <c r="AL135" s="365"/>
      <c r="AM135" s="365"/>
      <c r="AN135" s="365"/>
      <c r="AO135" s="365"/>
      <c r="AP135" s="365"/>
      <c r="AQ135" s="365"/>
      <c r="AR135" s="365"/>
      <c r="AS135" s="365"/>
      <c r="AT135" s="357" t="s">
        <v>989</v>
      </c>
      <c r="AU135" s="357" t="s">
        <v>980</v>
      </c>
      <c r="AV135" s="357">
        <v>2174.04</v>
      </c>
      <c r="AW135" s="357" t="s">
        <v>913</v>
      </c>
      <c r="AX135" s="357">
        <v>0</v>
      </c>
      <c r="AY135" s="357">
        <v>0.2</v>
      </c>
      <c r="AZ135" s="357">
        <v>0.2</v>
      </c>
      <c r="BA135" s="357">
        <v>-99996</v>
      </c>
      <c r="BB135" s="357">
        <v>0</v>
      </c>
      <c r="BC135" s="357">
        <v>0</v>
      </c>
      <c r="BD135" s="357">
        <v>0</v>
      </c>
      <c r="BE135" s="357">
        <v>550</v>
      </c>
      <c r="BF135" s="357">
        <v>-99996</v>
      </c>
      <c r="BG135" s="357">
        <v>550</v>
      </c>
      <c r="BH135" s="357"/>
      <c r="BI135" s="357">
        <v>8.2020999999999997</v>
      </c>
      <c r="BJ135" s="357">
        <v>79.950999999999993</v>
      </c>
      <c r="BK135" s="357">
        <v>2.5</v>
      </c>
      <c r="BL135" s="357">
        <v>1245.27</v>
      </c>
      <c r="BM135" s="357">
        <v>1245.27</v>
      </c>
      <c r="BN135" s="357">
        <v>0.572793</v>
      </c>
      <c r="BO135" s="357">
        <v>550</v>
      </c>
      <c r="BP135" s="357">
        <v>-99996</v>
      </c>
      <c r="BQ135" s="357">
        <v>825</v>
      </c>
      <c r="BR135" s="357"/>
      <c r="BS135" s="357">
        <v>14.75</v>
      </c>
      <c r="BT135" s="357">
        <v>79.953500000000005</v>
      </c>
      <c r="BU135" s="357">
        <v>2.5</v>
      </c>
      <c r="BV135" s="357">
        <v>928.47699999999998</v>
      </c>
      <c r="BW135" s="357">
        <v>0</v>
      </c>
      <c r="BX135" s="357">
        <v>0</v>
      </c>
      <c r="BY135" s="357">
        <v>550</v>
      </c>
      <c r="BZ135" s="357">
        <v>-99996</v>
      </c>
      <c r="CA135" s="357">
        <v>1100</v>
      </c>
      <c r="CB135" s="357"/>
      <c r="CC135" s="357"/>
      <c r="CD135" s="357" t="s">
        <v>989</v>
      </c>
      <c r="CE135" s="357" t="s">
        <v>980</v>
      </c>
      <c r="CF135" s="357">
        <v>2174.04</v>
      </c>
      <c r="CG135" s="357" t="s">
        <v>913</v>
      </c>
      <c r="CH135" s="357">
        <v>-99996</v>
      </c>
      <c r="CI135" s="357">
        <v>0.2</v>
      </c>
      <c r="CJ135" s="357">
        <v>0.2</v>
      </c>
      <c r="CK135" s="357">
        <v>-99996</v>
      </c>
      <c r="CL135" s="357">
        <v>0</v>
      </c>
      <c r="CM135" s="357">
        <v>0</v>
      </c>
      <c r="CN135" s="357">
        <v>0</v>
      </c>
      <c r="CO135" s="357">
        <v>550</v>
      </c>
      <c r="CP135" s="357">
        <v>-99996</v>
      </c>
      <c r="CQ135" s="357">
        <v>550</v>
      </c>
      <c r="CR135" s="357"/>
      <c r="CS135" s="357">
        <v>8.2020999999999997</v>
      </c>
      <c r="CT135" s="357">
        <v>79.950999999999993</v>
      </c>
      <c r="CU135" s="357">
        <v>2.5</v>
      </c>
      <c r="CV135" s="357">
        <v>1245.27</v>
      </c>
      <c r="CW135" s="357">
        <v>1245.27</v>
      </c>
      <c r="CX135" s="357">
        <v>0.572793</v>
      </c>
      <c r="CY135" s="357">
        <v>550</v>
      </c>
      <c r="CZ135" s="357">
        <v>-99996</v>
      </c>
      <c r="DA135" s="357">
        <v>825</v>
      </c>
      <c r="DB135" s="357"/>
      <c r="DC135" s="357">
        <v>14.75</v>
      </c>
      <c r="DD135" s="357">
        <v>79.953500000000005</v>
      </c>
      <c r="DE135" s="357">
        <v>2.5</v>
      </c>
      <c r="DF135" s="357">
        <v>928.47699999999998</v>
      </c>
      <c r="DG135" s="357">
        <v>928.47699999999998</v>
      </c>
      <c r="DH135" s="357">
        <v>0.42707499999999998</v>
      </c>
      <c r="DI135" s="357">
        <v>550</v>
      </c>
      <c r="DJ135" s="357">
        <v>-99996</v>
      </c>
      <c r="DK135" s="373">
        <v>1100</v>
      </c>
    </row>
    <row r="136" spans="2:115" x14ac:dyDescent="0.3">
      <c r="B136" s="84"/>
      <c r="C136" s="366"/>
      <c r="D136" s="373"/>
      <c r="E136" s="373"/>
      <c r="F136" s="373"/>
      <c r="G136" s="367"/>
      <c r="H136" s="373"/>
      <c r="I136" s="373"/>
      <c r="J136" s="373"/>
      <c r="K136" s="373"/>
      <c r="L136" s="373"/>
      <c r="M136" s="373"/>
      <c r="N136" s="373"/>
      <c r="O136" s="373"/>
      <c r="P136" s="373"/>
      <c r="Q136" s="373"/>
      <c r="R136" s="373"/>
      <c r="S136" s="373"/>
      <c r="T136" s="373"/>
      <c r="U136" s="373"/>
      <c r="V136" s="373"/>
      <c r="W136" s="373"/>
      <c r="X136" s="373"/>
      <c r="Y136" s="373"/>
      <c r="AB136" s="373"/>
      <c r="AC136" s="373"/>
      <c r="AD136" s="373"/>
      <c r="AE136" s="373"/>
      <c r="AH136" s="373"/>
      <c r="AI136" s="365"/>
      <c r="AK136" s="365"/>
      <c r="AL136" s="365"/>
      <c r="AM136" s="365"/>
      <c r="AN136" s="365"/>
      <c r="AO136" s="365"/>
      <c r="AP136" s="365"/>
      <c r="AQ136" s="365"/>
      <c r="AR136" s="365"/>
      <c r="AS136" s="365"/>
      <c r="AT136" s="357" t="s">
        <v>990</v>
      </c>
      <c r="AU136" s="357" t="s">
        <v>999</v>
      </c>
      <c r="AV136" s="357">
        <v>27257.599999999999</v>
      </c>
      <c r="AW136" s="357" t="s">
        <v>312</v>
      </c>
      <c r="AX136" s="357">
        <v>0</v>
      </c>
      <c r="AY136" s="357">
        <v>-99996</v>
      </c>
      <c r="AZ136" s="357">
        <v>-99996</v>
      </c>
      <c r="BA136" s="357">
        <v>-99996</v>
      </c>
      <c r="BB136" s="357">
        <v>0</v>
      </c>
      <c r="BC136" s="357">
        <v>0</v>
      </c>
      <c r="BD136" s="357">
        <v>0</v>
      </c>
      <c r="BE136" s="357">
        <v>1650</v>
      </c>
      <c r="BF136" s="357">
        <v>-99996</v>
      </c>
      <c r="BG136" s="357">
        <v>1650</v>
      </c>
      <c r="BH136" s="357"/>
      <c r="BI136" s="357">
        <v>-99996</v>
      </c>
      <c r="BJ136" s="357">
        <v>-99996</v>
      </c>
      <c r="BK136" s="357">
        <v>-99996</v>
      </c>
      <c r="BL136" s="357">
        <v>0</v>
      </c>
      <c r="BM136" s="357">
        <v>0</v>
      </c>
      <c r="BN136" s="357">
        <v>0</v>
      </c>
      <c r="BO136" s="357">
        <v>1650</v>
      </c>
      <c r="BP136" s="357">
        <v>-99996</v>
      </c>
      <c r="BQ136" s="357">
        <v>2475</v>
      </c>
      <c r="BR136" s="357"/>
      <c r="BS136" s="357">
        <v>-99996</v>
      </c>
      <c r="BT136" s="357">
        <v>-99996</v>
      </c>
      <c r="BU136" s="357">
        <v>-99996</v>
      </c>
      <c r="BV136" s="357">
        <v>0</v>
      </c>
      <c r="BW136" s="357">
        <v>0</v>
      </c>
      <c r="BX136" s="357">
        <v>0</v>
      </c>
      <c r="BY136" s="357">
        <v>1650</v>
      </c>
      <c r="BZ136" s="357">
        <v>-99996</v>
      </c>
      <c r="CA136" s="357">
        <v>3300</v>
      </c>
      <c r="CB136" s="357"/>
      <c r="CC136" s="357"/>
      <c r="CD136" s="357" t="s">
        <v>990</v>
      </c>
      <c r="CE136" s="357" t="s">
        <v>999</v>
      </c>
      <c r="CF136" s="357">
        <v>27257.599999999999</v>
      </c>
      <c r="CG136" s="357" t="s">
        <v>312</v>
      </c>
      <c r="CH136" s="357">
        <v>-99996</v>
      </c>
      <c r="CI136" s="357">
        <v>-99996</v>
      </c>
      <c r="CJ136" s="357">
        <v>-99996</v>
      </c>
      <c r="CK136" s="357">
        <v>-99996</v>
      </c>
      <c r="CL136" s="357">
        <v>0</v>
      </c>
      <c r="CM136" s="357">
        <v>0</v>
      </c>
      <c r="CN136" s="357">
        <v>0</v>
      </c>
      <c r="CO136" s="357">
        <v>1650</v>
      </c>
      <c r="CP136" s="357">
        <v>-99996</v>
      </c>
      <c r="CQ136" s="357">
        <v>1650</v>
      </c>
      <c r="CR136" s="357"/>
      <c r="CS136" s="357">
        <v>-99996</v>
      </c>
      <c r="CT136" s="357">
        <v>-99996</v>
      </c>
      <c r="CU136" s="357">
        <v>-99996</v>
      </c>
      <c r="CV136" s="357">
        <v>0</v>
      </c>
      <c r="CW136" s="357">
        <v>0</v>
      </c>
      <c r="CX136" s="357">
        <v>0</v>
      </c>
      <c r="CY136" s="357">
        <v>1650</v>
      </c>
      <c r="CZ136" s="357">
        <v>-99996</v>
      </c>
      <c r="DA136" s="357">
        <v>2475</v>
      </c>
      <c r="DB136" s="357"/>
      <c r="DC136" s="357">
        <v>-99996</v>
      </c>
      <c r="DD136" s="357">
        <v>-99996</v>
      </c>
      <c r="DE136" s="357">
        <v>-99996</v>
      </c>
      <c r="DF136" s="357">
        <v>0</v>
      </c>
      <c r="DG136" s="357">
        <v>0</v>
      </c>
      <c r="DH136" s="357">
        <v>0</v>
      </c>
      <c r="DI136" s="357">
        <v>1650</v>
      </c>
      <c r="DJ136" s="357">
        <v>-99996</v>
      </c>
      <c r="DK136" s="373">
        <v>3300</v>
      </c>
    </row>
    <row r="137" spans="2:115" x14ac:dyDescent="0.3">
      <c r="B137" s="84"/>
      <c r="C137" s="366"/>
      <c r="D137" s="373"/>
      <c r="E137" s="373"/>
      <c r="F137" s="373"/>
      <c r="G137" s="367"/>
      <c r="H137" s="373"/>
      <c r="I137" s="373"/>
      <c r="J137" s="373"/>
      <c r="K137" s="373"/>
      <c r="L137" s="373"/>
      <c r="M137" s="373"/>
      <c r="N137" s="373"/>
      <c r="O137" s="373"/>
      <c r="P137" s="373"/>
      <c r="Q137" s="373"/>
      <c r="R137" s="373"/>
      <c r="S137" s="373"/>
      <c r="T137" s="373"/>
      <c r="U137" s="373"/>
      <c r="V137" s="373"/>
      <c r="W137" s="373"/>
      <c r="X137" s="373"/>
      <c r="Y137" s="373"/>
      <c r="AB137" s="373"/>
      <c r="AC137" s="373"/>
      <c r="AD137" s="373"/>
      <c r="AE137" s="373"/>
      <c r="AH137" s="373"/>
      <c r="AI137" s="365"/>
      <c r="AK137" s="365"/>
      <c r="AL137" s="365"/>
      <c r="AM137" s="365"/>
      <c r="AN137" s="365"/>
      <c r="AO137" s="365"/>
      <c r="AP137" s="365"/>
      <c r="AQ137" s="365"/>
      <c r="AR137" s="365"/>
      <c r="AS137" s="365"/>
      <c r="AT137" s="357" t="s">
        <v>998</v>
      </c>
      <c r="AU137" s="357" t="s">
        <v>979</v>
      </c>
      <c r="AV137" s="357">
        <v>0</v>
      </c>
      <c r="AW137" s="357" t="s">
        <v>312</v>
      </c>
      <c r="AX137" s="357">
        <v>0</v>
      </c>
      <c r="AY137" s="357">
        <v>-99996</v>
      </c>
      <c r="AZ137" s="357">
        <v>-99996</v>
      </c>
      <c r="BA137" s="357">
        <v>-99996</v>
      </c>
      <c r="BB137" s="357">
        <v>0</v>
      </c>
      <c r="BC137" s="357">
        <v>0</v>
      </c>
      <c r="BD137" s="357">
        <v>0</v>
      </c>
      <c r="BE137" s="357">
        <v>0</v>
      </c>
      <c r="BF137" s="357">
        <v>-99996</v>
      </c>
      <c r="BG137" s="357">
        <v>0</v>
      </c>
      <c r="BH137" s="357"/>
      <c r="BI137" s="357">
        <v>-99996</v>
      </c>
      <c r="BJ137" s="357">
        <v>-99996</v>
      </c>
      <c r="BK137" s="357">
        <v>-99996</v>
      </c>
      <c r="BL137" s="357">
        <v>0</v>
      </c>
      <c r="BM137" s="357">
        <v>0</v>
      </c>
      <c r="BN137" s="357">
        <v>0</v>
      </c>
      <c r="BO137" s="357">
        <v>0</v>
      </c>
      <c r="BP137" s="357">
        <v>-99996</v>
      </c>
      <c r="BQ137" s="357">
        <v>0</v>
      </c>
      <c r="BR137" s="357"/>
      <c r="BS137" s="357">
        <v>-99996</v>
      </c>
      <c r="BT137" s="357">
        <v>-99996</v>
      </c>
      <c r="BU137" s="357">
        <v>-99996</v>
      </c>
      <c r="BV137" s="357">
        <v>0</v>
      </c>
      <c r="BW137" s="357">
        <v>0</v>
      </c>
      <c r="BX137" s="357">
        <v>0</v>
      </c>
      <c r="BY137" s="357">
        <v>0</v>
      </c>
      <c r="BZ137" s="357">
        <v>-99996</v>
      </c>
      <c r="CA137" s="357">
        <v>0</v>
      </c>
      <c r="CB137" s="357"/>
      <c r="CC137" s="357"/>
      <c r="CD137" s="357" t="s">
        <v>998</v>
      </c>
      <c r="CE137" s="357" t="s">
        <v>979</v>
      </c>
      <c r="CF137" s="357">
        <v>0</v>
      </c>
      <c r="CG137" s="357" t="s">
        <v>312</v>
      </c>
      <c r="CH137" s="357">
        <v>-99996</v>
      </c>
      <c r="CI137" s="357">
        <v>-99996</v>
      </c>
      <c r="CJ137" s="357">
        <v>-99996</v>
      </c>
      <c r="CK137" s="357">
        <v>-99996</v>
      </c>
      <c r="CL137" s="357">
        <v>0</v>
      </c>
      <c r="CM137" s="357">
        <v>0</v>
      </c>
      <c r="CN137" s="357">
        <v>0</v>
      </c>
      <c r="CO137" s="357">
        <v>0</v>
      </c>
      <c r="CP137" s="357">
        <v>-99996</v>
      </c>
      <c r="CQ137" s="357">
        <v>0</v>
      </c>
      <c r="CR137" s="357"/>
      <c r="CS137" s="357">
        <v>-99996</v>
      </c>
      <c r="CT137" s="357">
        <v>-99996</v>
      </c>
      <c r="CU137" s="357">
        <v>-99996</v>
      </c>
      <c r="CV137" s="357">
        <v>0</v>
      </c>
      <c r="CW137" s="357">
        <v>0</v>
      </c>
      <c r="CX137" s="357">
        <v>0</v>
      </c>
      <c r="CY137" s="357">
        <v>0</v>
      </c>
      <c r="CZ137" s="357">
        <v>-99996</v>
      </c>
      <c r="DA137" s="357">
        <v>0</v>
      </c>
      <c r="DB137" s="357"/>
      <c r="DC137" s="357">
        <v>-99996</v>
      </c>
      <c r="DD137" s="357">
        <v>-99996</v>
      </c>
      <c r="DE137" s="357">
        <v>-99996</v>
      </c>
      <c r="DF137" s="357">
        <v>0</v>
      </c>
      <c r="DG137" s="357">
        <v>0</v>
      </c>
      <c r="DH137" s="357">
        <v>0</v>
      </c>
      <c r="DI137" s="357">
        <v>0</v>
      </c>
      <c r="DJ137" s="357">
        <v>-99996</v>
      </c>
      <c r="DK137" s="373">
        <v>0</v>
      </c>
    </row>
    <row r="138" spans="2:115" x14ac:dyDescent="0.3">
      <c r="B138" s="84"/>
      <c r="C138" s="366"/>
      <c r="D138" s="373"/>
      <c r="E138" s="373"/>
      <c r="F138" s="373"/>
      <c r="G138" s="367"/>
      <c r="H138" s="373"/>
      <c r="I138" s="373"/>
      <c r="J138" s="373"/>
      <c r="K138" s="373"/>
      <c r="L138" s="373"/>
      <c r="M138" s="373"/>
      <c r="N138" s="373"/>
      <c r="O138" s="373"/>
      <c r="P138" s="373"/>
      <c r="Q138" s="373"/>
      <c r="R138" s="373"/>
      <c r="S138" s="373"/>
      <c r="T138" s="373"/>
      <c r="U138" s="373"/>
      <c r="V138" s="373"/>
      <c r="W138" s="373"/>
      <c r="X138" s="373"/>
      <c r="Y138" s="373"/>
      <c r="AB138" s="373"/>
      <c r="AC138" s="373"/>
      <c r="AD138" s="373"/>
      <c r="AE138" s="373"/>
      <c r="AH138" s="373"/>
      <c r="AI138" s="365"/>
      <c r="AK138" s="365"/>
      <c r="AL138" s="365"/>
      <c r="AM138" s="365"/>
      <c r="AN138" s="365"/>
      <c r="AO138" s="365"/>
      <c r="AP138" s="365"/>
      <c r="AQ138" s="365"/>
      <c r="AR138" s="365"/>
      <c r="AS138" s="365"/>
      <c r="AT138" s="357" t="s">
        <v>1000</v>
      </c>
      <c r="AU138" s="357" t="s">
        <v>999</v>
      </c>
      <c r="AV138" s="357">
        <v>3373.61</v>
      </c>
      <c r="AW138" s="357" t="s">
        <v>913</v>
      </c>
      <c r="AX138" s="357">
        <v>0</v>
      </c>
      <c r="AY138" s="357">
        <v>0.2</v>
      </c>
      <c r="AZ138" s="357">
        <v>0.2</v>
      </c>
      <c r="BA138" s="357">
        <v>-99996</v>
      </c>
      <c r="BB138" s="357">
        <v>0</v>
      </c>
      <c r="BC138" s="357">
        <v>0</v>
      </c>
      <c r="BD138" s="357">
        <v>0</v>
      </c>
      <c r="BE138" s="357">
        <v>1650</v>
      </c>
      <c r="BF138" s="357">
        <v>-99996</v>
      </c>
      <c r="BG138" s="357">
        <v>1650</v>
      </c>
      <c r="BH138" s="357"/>
      <c r="BI138" s="357">
        <v>119.926</v>
      </c>
      <c r="BJ138" s="357">
        <v>8.2013999999999996</v>
      </c>
      <c r="BK138" s="357">
        <v>67.5</v>
      </c>
      <c r="BL138" s="357">
        <v>1901.26</v>
      </c>
      <c r="BM138" s="357">
        <v>1901.26</v>
      </c>
      <c r="BN138" s="357">
        <v>0.56356700000000004</v>
      </c>
      <c r="BO138" s="357">
        <v>1650</v>
      </c>
      <c r="BP138" s="357">
        <v>-99996</v>
      </c>
      <c r="BQ138" s="357">
        <v>2475</v>
      </c>
      <c r="BR138" s="357"/>
      <c r="BS138" s="357">
        <v>119.93</v>
      </c>
      <c r="BT138" s="357">
        <v>14.75</v>
      </c>
      <c r="BU138" s="357">
        <v>67.5</v>
      </c>
      <c r="BV138" s="357">
        <v>1471.24</v>
      </c>
      <c r="BW138" s="357">
        <v>0</v>
      </c>
      <c r="BX138" s="357">
        <v>0</v>
      </c>
      <c r="BY138" s="357">
        <v>1650</v>
      </c>
      <c r="BZ138" s="357">
        <v>-99996</v>
      </c>
      <c r="CA138" s="357">
        <v>3300</v>
      </c>
      <c r="CB138" s="357"/>
      <c r="CC138" s="357"/>
      <c r="CD138" s="357" t="s">
        <v>1000</v>
      </c>
      <c r="CE138" s="357" t="s">
        <v>999</v>
      </c>
      <c r="CF138" s="357">
        <v>3373.61</v>
      </c>
      <c r="CG138" s="357" t="s">
        <v>913</v>
      </c>
      <c r="CH138" s="357">
        <v>-99996</v>
      </c>
      <c r="CI138" s="357">
        <v>0.2</v>
      </c>
      <c r="CJ138" s="357">
        <v>0.2</v>
      </c>
      <c r="CK138" s="357">
        <v>-99996</v>
      </c>
      <c r="CL138" s="357">
        <v>0</v>
      </c>
      <c r="CM138" s="357">
        <v>0</v>
      </c>
      <c r="CN138" s="357">
        <v>0</v>
      </c>
      <c r="CO138" s="357">
        <v>1650</v>
      </c>
      <c r="CP138" s="357">
        <v>-99996</v>
      </c>
      <c r="CQ138" s="357">
        <v>1650</v>
      </c>
      <c r="CR138" s="357"/>
      <c r="CS138" s="357">
        <v>119.926</v>
      </c>
      <c r="CT138" s="357">
        <v>8.2013999999999996</v>
      </c>
      <c r="CU138" s="357">
        <v>67.5</v>
      </c>
      <c r="CV138" s="357">
        <v>1901.26</v>
      </c>
      <c r="CW138" s="357">
        <v>2186.44</v>
      </c>
      <c r="CX138" s="357">
        <v>0.56356700000000004</v>
      </c>
      <c r="CY138" s="357">
        <v>1650</v>
      </c>
      <c r="CZ138" s="357">
        <v>-99996</v>
      </c>
      <c r="DA138" s="357">
        <v>2475</v>
      </c>
      <c r="DB138" s="357"/>
      <c r="DC138" s="357">
        <v>119.93</v>
      </c>
      <c r="DD138" s="357">
        <v>14.75</v>
      </c>
      <c r="DE138" s="357">
        <v>67.5</v>
      </c>
      <c r="DF138" s="357">
        <v>1471.24</v>
      </c>
      <c r="DG138" s="357">
        <v>1691.93</v>
      </c>
      <c r="DH138" s="357">
        <v>0.43610399999999999</v>
      </c>
      <c r="DI138" s="357">
        <v>1650</v>
      </c>
      <c r="DJ138" s="357">
        <v>-99996</v>
      </c>
      <c r="DK138" s="373">
        <v>3300</v>
      </c>
    </row>
    <row r="139" spans="2:115" x14ac:dyDescent="0.3">
      <c r="B139" s="84"/>
      <c r="C139" s="366"/>
      <c r="D139" s="373"/>
      <c r="E139" s="373"/>
      <c r="F139" s="373"/>
      <c r="G139" s="367"/>
      <c r="H139" s="373"/>
      <c r="I139" s="373"/>
      <c r="J139" s="373"/>
      <c r="K139" s="373"/>
      <c r="L139" s="373"/>
      <c r="M139" s="373"/>
      <c r="N139" s="373"/>
      <c r="O139" s="373"/>
      <c r="P139" s="373"/>
      <c r="Q139" s="373"/>
      <c r="R139" s="373"/>
      <c r="S139" s="373"/>
      <c r="T139" s="373"/>
      <c r="U139" s="373"/>
      <c r="V139" s="373"/>
      <c r="W139" s="373"/>
      <c r="X139" s="373"/>
      <c r="Y139" s="373"/>
      <c r="AB139" s="373"/>
      <c r="AC139" s="373"/>
      <c r="AD139" s="373"/>
      <c r="AE139" s="373"/>
      <c r="AH139" s="373"/>
      <c r="AI139" s="365"/>
      <c r="AK139" s="365"/>
      <c r="AL139" s="365"/>
      <c r="AM139" s="365"/>
      <c r="AN139" s="365"/>
      <c r="AO139" s="365"/>
      <c r="AP139" s="365"/>
      <c r="AQ139" s="365"/>
      <c r="AR139" s="365"/>
      <c r="AS139" s="365"/>
      <c r="AT139" s="357" t="s">
        <v>1001</v>
      </c>
      <c r="AU139" s="357" t="s">
        <v>988</v>
      </c>
      <c r="AV139" s="357">
        <v>2174.0500000000002</v>
      </c>
      <c r="AW139" s="357" t="s">
        <v>913</v>
      </c>
      <c r="AX139" s="357">
        <v>0</v>
      </c>
      <c r="AY139" s="357">
        <v>0.2</v>
      </c>
      <c r="AZ139" s="357">
        <v>0.2</v>
      </c>
      <c r="BA139" s="357">
        <v>-99996</v>
      </c>
      <c r="BB139" s="357">
        <v>0</v>
      </c>
      <c r="BC139" s="357">
        <v>0</v>
      </c>
      <c r="BD139" s="357">
        <v>0</v>
      </c>
      <c r="BE139" s="357">
        <v>75</v>
      </c>
      <c r="BF139" s="357">
        <v>-99996</v>
      </c>
      <c r="BG139" s="357">
        <v>75</v>
      </c>
      <c r="BH139" s="357"/>
      <c r="BI139" s="357">
        <v>231.65199999999999</v>
      </c>
      <c r="BJ139" s="357">
        <v>79.950999999999993</v>
      </c>
      <c r="BK139" s="357">
        <v>67.5</v>
      </c>
      <c r="BL139" s="357">
        <v>1239.29</v>
      </c>
      <c r="BM139" s="357">
        <v>619.64599999999996</v>
      </c>
      <c r="BN139" s="357">
        <v>0.57003800000000004</v>
      </c>
      <c r="BO139" s="357">
        <v>75</v>
      </c>
      <c r="BP139" s="357">
        <v>-99996</v>
      </c>
      <c r="BQ139" s="357">
        <v>112.5</v>
      </c>
      <c r="BR139" s="357"/>
      <c r="BS139" s="357">
        <v>225.083</v>
      </c>
      <c r="BT139" s="357">
        <v>79.953500000000005</v>
      </c>
      <c r="BU139" s="357">
        <v>67.5</v>
      </c>
      <c r="BV139" s="357">
        <v>934.45799999999997</v>
      </c>
      <c r="BW139" s="357">
        <v>0</v>
      </c>
      <c r="BX139" s="357">
        <v>0</v>
      </c>
      <c r="BY139" s="357">
        <v>75</v>
      </c>
      <c r="BZ139" s="357">
        <v>-99996</v>
      </c>
      <c r="CA139" s="357">
        <v>150</v>
      </c>
      <c r="CB139" s="357"/>
      <c r="CC139" s="357"/>
      <c r="CD139" s="357" t="s">
        <v>1001</v>
      </c>
      <c r="CE139" s="357" t="s">
        <v>988</v>
      </c>
      <c r="CF139" s="357">
        <v>2174.0500000000002</v>
      </c>
      <c r="CG139" s="357" t="s">
        <v>913</v>
      </c>
      <c r="CH139" s="357">
        <v>-99996</v>
      </c>
      <c r="CI139" s="357">
        <v>0.2</v>
      </c>
      <c r="CJ139" s="357">
        <v>0.2</v>
      </c>
      <c r="CK139" s="357">
        <v>-99996</v>
      </c>
      <c r="CL139" s="357">
        <v>0</v>
      </c>
      <c r="CM139" s="357">
        <v>0</v>
      </c>
      <c r="CN139" s="357">
        <v>0</v>
      </c>
      <c r="CO139" s="357">
        <v>75</v>
      </c>
      <c r="CP139" s="357">
        <v>-99996</v>
      </c>
      <c r="CQ139" s="357">
        <v>75</v>
      </c>
      <c r="CR139" s="357"/>
      <c r="CS139" s="357">
        <v>231.65199999999999</v>
      </c>
      <c r="CT139" s="357">
        <v>79.950999999999993</v>
      </c>
      <c r="CU139" s="357">
        <v>67.5</v>
      </c>
      <c r="CV139" s="357">
        <v>1239.29</v>
      </c>
      <c r="CW139" s="357">
        <v>743.57500000000005</v>
      </c>
      <c r="CX139" s="357">
        <v>0.57003800000000004</v>
      </c>
      <c r="CY139" s="357">
        <v>75</v>
      </c>
      <c r="CZ139" s="357">
        <v>-99996</v>
      </c>
      <c r="DA139" s="357">
        <v>112.5</v>
      </c>
      <c r="DB139" s="357"/>
      <c r="DC139" s="357">
        <v>225.083</v>
      </c>
      <c r="DD139" s="357">
        <v>79.953500000000005</v>
      </c>
      <c r="DE139" s="357">
        <v>67.5</v>
      </c>
      <c r="DF139" s="357">
        <v>934.45799999999997</v>
      </c>
      <c r="DG139" s="357">
        <v>560.67499999999995</v>
      </c>
      <c r="DH139" s="357">
        <v>0.42982399999999998</v>
      </c>
      <c r="DI139" s="357">
        <v>75</v>
      </c>
      <c r="DJ139" s="357">
        <v>-99996</v>
      </c>
      <c r="DK139" s="373">
        <v>150</v>
      </c>
    </row>
    <row r="140" spans="2:115" x14ac:dyDescent="0.3">
      <c r="B140" s="84"/>
      <c r="C140" s="366"/>
      <c r="D140" s="373"/>
      <c r="E140" s="373"/>
      <c r="F140" s="373"/>
      <c r="G140" s="367"/>
      <c r="H140" s="373"/>
      <c r="I140" s="373"/>
      <c r="J140" s="373"/>
      <c r="K140" s="373"/>
      <c r="L140" s="373"/>
      <c r="M140" s="373"/>
      <c r="N140" s="373"/>
      <c r="O140" s="373"/>
      <c r="P140" s="373"/>
      <c r="Q140" s="373"/>
      <c r="R140" s="373"/>
      <c r="S140" s="373"/>
      <c r="T140" s="373"/>
      <c r="U140" s="373"/>
      <c r="V140" s="373"/>
      <c r="W140" s="373"/>
      <c r="X140" s="373"/>
      <c r="Y140" s="373"/>
      <c r="AB140" s="373"/>
      <c r="AC140" s="373"/>
      <c r="AD140" s="373"/>
      <c r="AE140" s="373"/>
      <c r="AH140" s="373"/>
      <c r="AI140" s="365"/>
      <c r="AK140" s="365"/>
      <c r="AL140" s="365"/>
      <c r="AM140" s="365"/>
      <c r="AN140" s="365"/>
      <c r="AO140" s="365"/>
      <c r="AP140" s="365"/>
      <c r="AQ140" s="365"/>
      <c r="AR140" s="365"/>
      <c r="AS140" s="365"/>
      <c r="AT140" s="357" t="s">
        <v>1002</v>
      </c>
      <c r="AU140" s="357" t="s">
        <v>999</v>
      </c>
      <c r="AV140" s="357">
        <v>3373.64</v>
      </c>
      <c r="AW140" s="357" t="s">
        <v>913</v>
      </c>
      <c r="AX140" s="357">
        <v>0</v>
      </c>
      <c r="AY140" s="357">
        <v>0.2</v>
      </c>
      <c r="AZ140" s="357">
        <v>0.2</v>
      </c>
      <c r="BA140" s="357">
        <v>-99996</v>
      </c>
      <c r="BB140" s="357">
        <v>0</v>
      </c>
      <c r="BC140" s="357">
        <v>0</v>
      </c>
      <c r="BD140" s="357">
        <v>0</v>
      </c>
      <c r="BE140" s="357">
        <v>1650</v>
      </c>
      <c r="BF140" s="357">
        <v>-99996</v>
      </c>
      <c r="BG140" s="357">
        <v>1650</v>
      </c>
      <c r="BH140" s="357"/>
      <c r="BI140" s="357">
        <v>119.926</v>
      </c>
      <c r="BJ140" s="357">
        <v>151.70099999999999</v>
      </c>
      <c r="BK140" s="357">
        <v>67.5</v>
      </c>
      <c r="BL140" s="357">
        <v>1901.26</v>
      </c>
      <c r="BM140" s="357">
        <v>1901.26</v>
      </c>
      <c r="BN140" s="357">
        <v>0.56356300000000004</v>
      </c>
      <c r="BO140" s="357">
        <v>1650</v>
      </c>
      <c r="BP140" s="357">
        <v>-99996</v>
      </c>
      <c r="BQ140" s="357">
        <v>2475</v>
      </c>
      <c r="BR140" s="357"/>
      <c r="BS140" s="357">
        <v>119.93</v>
      </c>
      <c r="BT140" s="357">
        <v>145.167</v>
      </c>
      <c r="BU140" s="357">
        <v>67.5</v>
      </c>
      <c r="BV140" s="357">
        <v>1471.24</v>
      </c>
      <c r="BW140" s="357">
        <v>0</v>
      </c>
      <c r="BX140" s="357">
        <v>0</v>
      </c>
      <c r="BY140" s="357">
        <v>1650</v>
      </c>
      <c r="BZ140" s="357">
        <v>-99996</v>
      </c>
      <c r="CA140" s="357">
        <v>3300</v>
      </c>
      <c r="CB140" s="357"/>
      <c r="CC140" s="357"/>
      <c r="CD140" s="357" t="s">
        <v>1002</v>
      </c>
      <c r="CE140" s="357" t="s">
        <v>999</v>
      </c>
      <c r="CF140" s="357">
        <v>3373.64</v>
      </c>
      <c r="CG140" s="357" t="s">
        <v>913</v>
      </c>
      <c r="CH140" s="357">
        <v>-99996</v>
      </c>
      <c r="CI140" s="357">
        <v>0.2</v>
      </c>
      <c r="CJ140" s="357">
        <v>0.2</v>
      </c>
      <c r="CK140" s="357">
        <v>-99996</v>
      </c>
      <c r="CL140" s="357">
        <v>0</v>
      </c>
      <c r="CM140" s="357">
        <v>0</v>
      </c>
      <c r="CN140" s="357">
        <v>0</v>
      </c>
      <c r="CO140" s="357">
        <v>1650</v>
      </c>
      <c r="CP140" s="357">
        <v>-99996</v>
      </c>
      <c r="CQ140" s="357">
        <v>1650</v>
      </c>
      <c r="CR140" s="357"/>
      <c r="CS140" s="357">
        <v>119.926</v>
      </c>
      <c r="CT140" s="357">
        <v>151.70099999999999</v>
      </c>
      <c r="CU140" s="357">
        <v>67.5</v>
      </c>
      <c r="CV140" s="357">
        <v>1901.26</v>
      </c>
      <c r="CW140" s="357">
        <v>2186.44</v>
      </c>
      <c r="CX140" s="357">
        <v>0.56356300000000004</v>
      </c>
      <c r="CY140" s="357">
        <v>1650</v>
      </c>
      <c r="CZ140" s="357">
        <v>-99996</v>
      </c>
      <c r="DA140" s="357">
        <v>2475</v>
      </c>
      <c r="DB140" s="357"/>
      <c r="DC140" s="357">
        <v>119.93</v>
      </c>
      <c r="DD140" s="357">
        <v>145.167</v>
      </c>
      <c r="DE140" s="357">
        <v>67.5</v>
      </c>
      <c r="DF140" s="357">
        <v>1471.24</v>
      </c>
      <c r="DG140" s="357">
        <v>1691.93</v>
      </c>
      <c r="DH140" s="357">
        <v>0.43610100000000002</v>
      </c>
      <c r="DI140" s="357">
        <v>1650</v>
      </c>
      <c r="DJ140" s="357">
        <v>-99996</v>
      </c>
      <c r="DK140" s="373">
        <v>3300</v>
      </c>
    </row>
    <row r="141" spans="2:115" x14ac:dyDescent="0.3">
      <c r="B141" s="84"/>
      <c r="C141" s="366"/>
      <c r="D141" s="373"/>
      <c r="E141" s="373"/>
      <c r="F141" s="373"/>
      <c r="G141" s="367"/>
      <c r="H141" s="373"/>
      <c r="I141" s="373"/>
      <c r="J141" s="373"/>
      <c r="K141" s="373"/>
      <c r="L141" s="373"/>
      <c r="M141" s="373"/>
      <c r="N141" s="373"/>
      <c r="O141" s="373"/>
      <c r="P141" s="373"/>
      <c r="Q141" s="373"/>
      <c r="R141" s="373"/>
      <c r="S141" s="373"/>
      <c r="T141" s="373"/>
      <c r="U141" s="373"/>
      <c r="V141" s="373"/>
      <c r="W141" s="373"/>
      <c r="X141" s="373"/>
      <c r="Y141" s="373"/>
      <c r="AB141" s="373"/>
      <c r="AC141" s="373"/>
      <c r="AD141" s="373"/>
      <c r="AE141" s="373"/>
      <c r="AH141" s="373"/>
      <c r="AI141" s="365"/>
      <c r="AK141" s="365"/>
      <c r="AL141" s="365"/>
      <c r="AM141" s="365"/>
      <c r="AN141" s="365"/>
      <c r="AO141" s="365"/>
      <c r="AP141" s="365"/>
      <c r="AQ141" s="365"/>
      <c r="AR141" s="365"/>
      <c r="AS141" s="365"/>
      <c r="AT141" s="357" t="s">
        <v>1003</v>
      </c>
      <c r="AU141" s="357" t="s">
        <v>999</v>
      </c>
      <c r="AV141" s="357">
        <v>2174.04</v>
      </c>
      <c r="AW141" s="357" t="s">
        <v>913</v>
      </c>
      <c r="AX141" s="357">
        <v>0</v>
      </c>
      <c r="AY141" s="357">
        <v>0.2</v>
      </c>
      <c r="AZ141" s="357">
        <v>0.2</v>
      </c>
      <c r="BA141" s="357">
        <v>-99996</v>
      </c>
      <c r="BB141" s="357">
        <v>0</v>
      </c>
      <c r="BC141" s="357">
        <v>0</v>
      </c>
      <c r="BD141" s="357">
        <v>0</v>
      </c>
      <c r="BE141" s="357">
        <v>1650</v>
      </c>
      <c r="BF141" s="357">
        <v>-99996</v>
      </c>
      <c r="BG141" s="357">
        <v>1650</v>
      </c>
      <c r="BH141" s="357"/>
      <c r="BI141" s="357">
        <v>8.2013999999999996</v>
      </c>
      <c r="BJ141" s="357">
        <v>79.950999999999993</v>
      </c>
      <c r="BK141" s="357">
        <v>67.5</v>
      </c>
      <c r="BL141" s="357">
        <v>1245.27</v>
      </c>
      <c r="BM141" s="357">
        <v>1245.27</v>
      </c>
      <c r="BN141" s="357">
        <v>0.572793</v>
      </c>
      <c r="BO141" s="357">
        <v>1650</v>
      </c>
      <c r="BP141" s="357">
        <v>-99996</v>
      </c>
      <c r="BQ141" s="357">
        <v>2475</v>
      </c>
      <c r="BR141" s="357"/>
      <c r="BS141" s="357">
        <v>14.75</v>
      </c>
      <c r="BT141" s="357">
        <v>79.953500000000005</v>
      </c>
      <c r="BU141" s="357">
        <v>67.5</v>
      </c>
      <c r="BV141" s="357">
        <v>928.47699999999998</v>
      </c>
      <c r="BW141" s="357">
        <v>0</v>
      </c>
      <c r="BX141" s="357">
        <v>0</v>
      </c>
      <c r="BY141" s="357">
        <v>1650</v>
      </c>
      <c r="BZ141" s="357">
        <v>-99996</v>
      </c>
      <c r="CA141" s="357">
        <v>3300</v>
      </c>
      <c r="CB141" s="357"/>
      <c r="CC141" s="357"/>
      <c r="CD141" s="357" t="s">
        <v>1003</v>
      </c>
      <c r="CE141" s="357" t="s">
        <v>999</v>
      </c>
      <c r="CF141" s="357">
        <v>2174.04</v>
      </c>
      <c r="CG141" s="357" t="s">
        <v>913</v>
      </c>
      <c r="CH141" s="357">
        <v>-99996</v>
      </c>
      <c r="CI141" s="357">
        <v>0.2</v>
      </c>
      <c r="CJ141" s="357">
        <v>0.2</v>
      </c>
      <c r="CK141" s="357">
        <v>-99996</v>
      </c>
      <c r="CL141" s="357">
        <v>0</v>
      </c>
      <c r="CM141" s="357">
        <v>0</v>
      </c>
      <c r="CN141" s="357">
        <v>0</v>
      </c>
      <c r="CO141" s="357">
        <v>1650</v>
      </c>
      <c r="CP141" s="357">
        <v>-99996</v>
      </c>
      <c r="CQ141" s="357">
        <v>1650</v>
      </c>
      <c r="CR141" s="357"/>
      <c r="CS141" s="357">
        <v>8.2013999999999996</v>
      </c>
      <c r="CT141" s="357">
        <v>79.950999999999993</v>
      </c>
      <c r="CU141" s="357">
        <v>67.5</v>
      </c>
      <c r="CV141" s="357">
        <v>1245.27</v>
      </c>
      <c r="CW141" s="357">
        <v>1432.06</v>
      </c>
      <c r="CX141" s="357">
        <v>0.572793</v>
      </c>
      <c r="CY141" s="357">
        <v>1650</v>
      </c>
      <c r="CZ141" s="357">
        <v>-99996</v>
      </c>
      <c r="DA141" s="357">
        <v>2475</v>
      </c>
      <c r="DB141" s="357"/>
      <c r="DC141" s="357">
        <v>14.75</v>
      </c>
      <c r="DD141" s="357">
        <v>79.953500000000005</v>
      </c>
      <c r="DE141" s="357">
        <v>67.5</v>
      </c>
      <c r="DF141" s="357">
        <v>928.47699999999998</v>
      </c>
      <c r="DG141" s="357">
        <v>1067.75</v>
      </c>
      <c r="DH141" s="357">
        <v>0.42707499999999998</v>
      </c>
      <c r="DI141" s="357">
        <v>1650</v>
      </c>
      <c r="DJ141" s="357">
        <v>-99996</v>
      </c>
      <c r="DK141" s="373">
        <v>3300</v>
      </c>
    </row>
    <row r="142" spans="2:115" x14ac:dyDescent="0.3">
      <c r="B142" s="84"/>
      <c r="C142" s="366"/>
      <c r="D142" s="373"/>
      <c r="E142" s="373"/>
      <c r="F142" s="373"/>
      <c r="G142" s="367"/>
      <c r="H142" s="373"/>
      <c r="I142" s="373"/>
      <c r="J142" s="373"/>
      <c r="K142" s="373"/>
      <c r="L142" s="373"/>
      <c r="M142" s="373"/>
      <c r="N142" s="373"/>
      <c r="O142" s="373"/>
      <c r="P142" s="373"/>
      <c r="Q142" s="373"/>
      <c r="R142" s="373"/>
      <c r="S142" s="373"/>
      <c r="T142" s="373"/>
      <c r="U142" s="373"/>
      <c r="V142" s="373"/>
      <c r="W142" s="373"/>
      <c r="X142" s="373"/>
      <c r="Y142" s="373"/>
      <c r="AB142" s="373"/>
      <c r="AC142" s="373"/>
      <c r="AD142" s="373"/>
      <c r="AE142" s="373"/>
      <c r="AH142" s="373"/>
      <c r="AI142" s="365"/>
      <c r="AK142" s="365"/>
      <c r="AL142" s="365"/>
      <c r="AM142" s="365"/>
      <c r="AN142" s="365"/>
      <c r="AO142" s="365"/>
      <c r="AP142" s="365"/>
      <c r="AQ142" s="365"/>
      <c r="AR142" s="365"/>
      <c r="AS142" s="365"/>
      <c r="AT142" s="357" t="s">
        <v>1004</v>
      </c>
      <c r="AU142" s="357" t="s">
        <v>915</v>
      </c>
      <c r="AV142" s="357">
        <v>27257.599999999999</v>
      </c>
      <c r="AW142" s="357" t="s">
        <v>312</v>
      </c>
      <c r="AX142" s="357">
        <v>0</v>
      </c>
      <c r="AY142" s="357">
        <v>-99996</v>
      </c>
      <c r="AZ142" s="357">
        <v>-99996</v>
      </c>
      <c r="BA142" s="357">
        <v>-99996</v>
      </c>
      <c r="BB142" s="357">
        <v>0</v>
      </c>
      <c r="BC142" s="357">
        <v>0</v>
      </c>
      <c r="BD142" s="357">
        <v>0</v>
      </c>
      <c r="BE142" s="357">
        <v>287.5</v>
      </c>
      <c r="BF142" s="357">
        <v>-99996</v>
      </c>
      <c r="BG142" s="357">
        <v>287.5</v>
      </c>
      <c r="BH142" s="357"/>
      <c r="BI142" s="357">
        <v>-99996</v>
      </c>
      <c r="BJ142" s="357">
        <v>-99996</v>
      </c>
      <c r="BK142" s="357">
        <v>-99996</v>
      </c>
      <c r="BL142" s="357">
        <v>0</v>
      </c>
      <c r="BM142" s="357">
        <v>0</v>
      </c>
      <c r="BN142" s="357">
        <v>0</v>
      </c>
      <c r="BO142" s="357">
        <v>287.5</v>
      </c>
      <c r="BP142" s="357">
        <v>-99996</v>
      </c>
      <c r="BQ142" s="357">
        <v>287.5</v>
      </c>
      <c r="BR142" s="357"/>
      <c r="BS142" s="357">
        <v>-99996</v>
      </c>
      <c r="BT142" s="357">
        <v>-99996</v>
      </c>
      <c r="BU142" s="357">
        <v>-99996</v>
      </c>
      <c r="BV142" s="357">
        <v>0</v>
      </c>
      <c r="BW142" s="357">
        <v>0</v>
      </c>
      <c r="BX142" s="357">
        <v>0</v>
      </c>
      <c r="BY142" s="357">
        <v>287.5</v>
      </c>
      <c r="BZ142" s="357">
        <v>-99996</v>
      </c>
      <c r="CA142" s="357">
        <v>1150</v>
      </c>
      <c r="CB142" s="357"/>
      <c r="CC142" s="357"/>
      <c r="CD142" s="357" t="s">
        <v>1004</v>
      </c>
      <c r="CE142" s="357" t="s">
        <v>915</v>
      </c>
      <c r="CF142" s="357">
        <v>27257.599999999999</v>
      </c>
      <c r="CG142" s="357" t="s">
        <v>312</v>
      </c>
      <c r="CH142" s="357">
        <v>-99996</v>
      </c>
      <c r="CI142" s="357">
        <v>-99996</v>
      </c>
      <c r="CJ142" s="357">
        <v>-99996</v>
      </c>
      <c r="CK142" s="357">
        <v>-99996</v>
      </c>
      <c r="CL142" s="357">
        <v>0</v>
      </c>
      <c r="CM142" s="357">
        <v>0</v>
      </c>
      <c r="CN142" s="357">
        <v>0</v>
      </c>
      <c r="CO142" s="357">
        <v>287.5</v>
      </c>
      <c r="CP142" s="357">
        <v>-99996</v>
      </c>
      <c r="CQ142" s="357">
        <v>287.5</v>
      </c>
      <c r="CR142" s="357"/>
      <c r="CS142" s="357">
        <v>-99996</v>
      </c>
      <c r="CT142" s="357">
        <v>-99996</v>
      </c>
      <c r="CU142" s="357">
        <v>-99996</v>
      </c>
      <c r="CV142" s="357">
        <v>0</v>
      </c>
      <c r="CW142" s="357">
        <v>0</v>
      </c>
      <c r="CX142" s="357">
        <v>0</v>
      </c>
      <c r="CY142" s="357">
        <v>287.5</v>
      </c>
      <c r="CZ142" s="357">
        <v>-99996</v>
      </c>
      <c r="DA142" s="357">
        <v>287.5</v>
      </c>
      <c r="DB142" s="357"/>
      <c r="DC142" s="357">
        <v>-99996</v>
      </c>
      <c r="DD142" s="357">
        <v>-99996</v>
      </c>
      <c r="DE142" s="357">
        <v>-99996</v>
      </c>
      <c r="DF142" s="357">
        <v>0</v>
      </c>
      <c r="DG142" s="357">
        <v>0</v>
      </c>
      <c r="DH142" s="357">
        <v>0</v>
      </c>
      <c r="DI142" s="357">
        <v>287.5</v>
      </c>
      <c r="DJ142" s="357">
        <v>-99996</v>
      </c>
      <c r="DK142" s="373">
        <v>1150</v>
      </c>
    </row>
    <row r="143" spans="2:115" x14ac:dyDescent="0.3">
      <c r="B143" s="84"/>
      <c r="C143" s="366"/>
      <c r="D143" s="373"/>
      <c r="E143" s="373"/>
      <c r="F143" s="373"/>
      <c r="G143" s="367"/>
      <c r="H143" s="373"/>
      <c r="I143" s="373"/>
      <c r="J143" s="373"/>
      <c r="K143" s="373"/>
      <c r="L143" s="373"/>
      <c r="M143" s="373"/>
      <c r="N143" s="373"/>
      <c r="O143" s="373"/>
      <c r="P143" s="373"/>
      <c r="Q143" s="373"/>
      <c r="R143" s="373"/>
      <c r="S143" s="373"/>
      <c r="T143" s="373"/>
      <c r="U143" s="373"/>
      <c r="V143" s="373"/>
      <c r="W143" s="373"/>
      <c r="X143" s="373"/>
      <c r="Y143" s="373"/>
      <c r="AB143" s="373"/>
      <c r="AC143" s="373"/>
      <c r="AD143" s="373"/>
      <c r="AE143" s="373"/>
      <c r="AH143" s="373"/>
      <c r="AI143" s="365"/>
      <c r="AK143" s="365"/>
      <c r="AL143" s="365"/>
      <c r="AM143" s="365"/>
      <c r="AN143" s="365"/>
      <c r="AO143" s="365"/>
      <c r="AP143" s="365"/>
      <c r="AQ143" s="365"/>
      <c r="AR143" s="365"/>
      <c r="AS143" s="365"/>
      <c r="AT143" s="357" t="s">
        <v>1006</v>
      </c>
      <c r="AU143" s="357" t="s">
        <v>979</v>
      </c>
      <c r="AV143" s="357">
        <v>0</v>
      </c>
      <c r="AW143" s="357" t="s">
        <v>312</v>
      </c>
      <c r="AX143" s="357">
        <v>0</v>
      </c>
      <c r="AY143" s="357">
        <v>-99996</v>
      </c>
      <c r="AZ143" s="357">
        <v>-99996</v>
      </c>
      <c r="BA143" s="357">
        <v>-99996</v>
      </c>
      <c r="BB143" s="357">
        <v>0</v>
      </c>
      <c r="BC143" s="357">
        <v>0</v>
      </c>
      <c r="BD143" s="357">
        <v>0</v>
      </c>
      <c r="BE143" s="357">
        <v>0</v>
      </c>
      <c r="BF143" s="357">
        <v>-99996</v>
      </c>
      <c r="BG143" s="357">
        <v>0</v>
      </c>
      <c r="BH143" s="357"/>
      <c r="BI143" s="357">
        <v>-99996</v>
      </c>
      <c r="BJ143" s="357">
        <v>-99996</v>
      </c>
      <c r="BK143" s="357">
        <v>-99996</v>
      </c>
      <c r="BL143" s="357">
        <v>0</v>
      </c>
      <c r="BM143" s="357">
        <v>0</v>
      </c>
      <c r="BN143" s="357">
        <v>0</v>
      </c>
      <c r="BO143" s="357">
        <v>0</v>
      </c>
      <c r="BP143" s="357">
        <v>-99996</v>
      </c>
      <c r="BQ143" s="357">
        <v>0</v>
      </c>
      <c r="BR143" s="357"/>
      <c r="BS143" s="357">
        <v>-99996</v>
      </c>
      <c r="BT143" s="357">
        <v>-99996</v>
      </c>
      <c r="BU143" s="357">
        <v>-99996</v>
      </c>
      <c r="BV143" s="357">
        <v>0</v>
      </c>
      <c r="BW143" s="357">
        <v>0</v>
      </c>
      <c r="BX143" s="357">
        <v>0</v>
      </c>
      <c r="BY143" s="357">
        <v>0</v>
      </c>
      <c r="BZ143" s="357">
        <v>-99996</v>
      </c>
      <c r="CA143" s="357">
        <v>0</v>
      </c>
      <c r="CB143" s="357"/>
      <c r="CC143" s="357"/>
      <c r="CD143" s="357" t="s">
        <v>1006</v>
      </c>
      <c r="CE143" s="357" t="s">
        <v>979</v>
      </c>
      <c r="CF143" s="357">
        <v>0</v>
      </c>
      <c r="CG143" s="357" t="s">
        <v>312</v>
      </c>
      <c r="CH143" s="357">
        <v>-99996</v>
      </c>
      <c r="CI143" s="357">
        <v>-99996</v>
      </c>
      <c r="CJ143" s="357">
        <v>-99996</v>
      </c>
      <c r="CK143" s="357">
        <v>-99996</v>
      </c>
      <c r="CL143" s="357">
        <v>0</v>
      </c>
      <c r="CM143" s="357">
        <v>0</v>
      </c>
      <c r="CN143" s="357">
        <v>0</v>
      </c>
      <c r="CO143" s="357">
        <v>0</v>
      </c>
      <c r="CP143" s="357">
        <v>-99996</v>
      </c>
      <c r="CQ143" s="357">
        <v>0</v>
      </c>
      <c r="CR143" s="357"/>
      <c r="CS143" s="357">
        <v>-99996</v>
      </c>
      <c r="CT143" s="357">
        <v>-99996</v>
      </c>
      <c r="CU143" s="357">
        <v>-99996</v>
      </c>
      <c r="CV143" s="357">
        <v>0</v>
      </c>
      <c r="CW143" s="357">
        <v>0</v>
      </c>
      <c r="CX143" s="357">
        <v>0</v>
      </c>
      <c r="CY143" s="357">
        <v>0</v>
      </c>
      <c r="CZ143" s="357">
        <v>-99996</v>
      </c>
      <c r="DA143" s="357">
        <v>0</v>
      </c>
      <c r="DB143" s="357"/>
      <c r="DC143" s="357">
        <v>-99996</v>
      </c>
      <c r="DD143" s="357">
        <v>-99996</v>
      </c>
      <c r="DE143" s="357">
        <v>-99996</v>
      </c>
      <c r="DF143" s="357">
        <v>0</v>
      </c>
      <c r="DG143" s="357">
        <v>0</v>
      </c>
      <c r="DH143" s="357">
        <v>0</v>
      </c>
      <c r="DI143" s="357">
        <v>0</v>
      </c>
      <c r="DJ143" s="357">
        <v>-99996</v>
      </c>
      <c r="DK143" s="373">
        <v>0</v>
      </c>
    </row>
    <row r="144" spans="2:115" x14ac:dyDescent="0.3">
      <c r="B144" s="84"/>
      <c r="C144" s="366"/>
      <c r="D144" s="373"/>
      <c r="E144" s="373"/>
      <c r="F144" s="373"/>
      <c r="G144" s="367"/>
      <c r="H144" s="373"/>
      <c r="I144" s="373"/>
      <c r="J144" s="373"/>
      <c r="K144" s="373"/>
      <c r="L144" s="373"/>
      <c r="M144" s="373"/>
      <c r="N144" s="373"/>
      <c r="O144" s="373"/>
      <c r="P144" s="373"/>
      <c r="Q144" s="373"/>
      <c r="R144" s="373"/>
      <c r="S144" s="373"/>
      <c r="T144" s="373"/>
      <c r="U144" s="373"/>
      <c r="V144" s="373"/>
      <c r="W144" s="373"/>
      <c r="X144" s="373"/>
      <c r="Y144" s="373"/>
      <c r="AB144" s="373"/>
      <c r="AC144" s="373"/>
      <c r="AD144" s="373"/>
      <c r="AE144" s="373"/>
      <c r="AH144" s="373"/>
      <c r="AI144" s="365"/>
      <c r="AK144" s="365"/>
      <c r="AL144" s="365"/>
      <c r="AM144" s="365"/>
      <c r="AN144" s="365"/>
      <c r="AO144" s="365"/>
      <c r="AP144" s="365"/>
      <c r="AQ144" s="365"/>
      <c r="AR144" s="365"/>
      <c r="AS144" s="365"/>
      <c r="AT144" s="357" t="s">
        <v>1007</v>
      </c>
      <c r="AU144" s="357" t="s">
        <v>915</v>
      </c>
      <c r="AV144" s="357">
        <v>3373.61</v>
      </c>
      <c r="AW144" s="357" t="s">
        <v>913</v>
      </c>
      <c r="AX144" s="357">
        <v>0</v>
      </c>
      <c r="AY144" s="357">
        <v>0.2</v>
      </c>
      <c r="AZ144" s="357">
        <v>0.2</v>
      </c>
      <c r="BA144" s="357">
        <v>-99996</v>
      </c>
      <c r="BB144" s="357">
        <v>0</v>
      </c>
      <c r="BC144" s="357">
        <v>0</v>
      </c>
      <c r="BD144" s="357">
        <v>0</v>
      </c>
      <c r="BE144" s="357">
        <v>287.5</v>
      </c>
      <c r="BF144" s="357">
        <v>-99996</v>
      </c>
      <c r="BG144" s="357">
        <v>287.5</v>
      </c>
      <c r="BH144" s="357"/>
      <c r="BI144" s="357">
        <v>119.926</v>
      </c>
      <c r="BJ144" s="357">
        <v>8.202</v>
      </c>
      <c r="BK144" s="357">
        <v>132.5</v>
      </c>
      <c r="BL144" s="357">
        <v>1901.26</v>
      </c>
      <c r="BM144" s="357">
        <v>1140.75</v>
      </c>
      <c r="BN144" s="357">
        <v>0.56356700000000004</v>
      </c>
      <c r="BO144" s="357">
        <v>287.5</v>
      </c>
      <c r="BP144" s="357">
        <v>-99996</v>
      </c>
      <c r="BQ144" s="357">
        <v>287.5</v>
      </c>
      <c r="BR144" s="357"/>
      <c r="BS144" s="357">
        <v>119.93</v>
      </c>
      <c r="BT144" s="357">
        <v>14.75</v>
      </c>
      <c r="BU144" s="357">
        <v>132.5</v>
      </c>
      <c r="BV144" s="357">
        <v>1471.24</v>
      </c>
      <c r="BW144" s="357">
        <v>0</v>
      </c>
      <c r="BX144" s="357">
        <v>0</v>
      </c>
      <c r="BY144" s="357">
        <v>287.5</v>
      </c>
      <c r="BZ144" s="357">
        <v>-99996</v>
      </c>
      <c r="CA144" s="357">
        <v>1150</v>
      </c>
      <c r="CB144" s="357"/>
      <c r="CC144" s="357"/>
      <c r="CD144" s="357" t="s">
        <v>1007</v>
      </c>
      <c r="CE144" s="357" t="s">
        <v>915</v>
      </c>
      <c r="CF144" s="357">
        <v>3373.61</v>
      </c>
      <c r="CG144" s="357" t="s">
        <v>913</v>
      </c>
      <c r="CH144" s="357">
        <v>-99996</v>
      </c>
      <c r="CI144" s="357">
        <v>0.2</v>
      </c>
      <c r="CJ144" s="357">
        <v>0.2</v>
      </c>
      <c r="CK144" s="357">
        <v>-99996</v>
      </c>
      <c r="CL144" s="357">
        <v>0</v>
      </c>
      <c r="CM144" s="357">
        <v>0</v>
      </c>
      <c r="CN144" s="357">
        <v>0</v>
      </c>
      <c r="CO144" s="357">
        <v>287.5</v>
      </c>
      <c r="CP144" s="357">
        <v>-99996</v>
      </c>
      <c r="CQ144" s="357">
        <v>287.5</v>
      </c>
      <c r="CR144" s="357"/>
      <c r="CS144" s="357">
        <v>119.926</v>
      </c>
      <c r="CT144" s="357">
        <v>8.202</v>
      </c>
      <c r="CU144" s="357">
        <v>132.5</v>
      </c>
      <c r="CV144" s="357">
        <v>1901.26</v>
      </c>
      <c r="CW144" s="357">
        <v>1140.75</v>
      </c>
      <c r="CX144" s="357">
        <v>0.56356700000000004</v>
      </c>
      <c r="CY144" s="357">
        <v>287.5</v>
      </c>
      <c r="CZ144" s="357">
        <v>-99996</v>
      </c>
      <c r="DA144" s="357">
        <v>287.5</v>
      </c>
      <c r="DB144" s="357"/>
      <c r="DC144" s="357">
        <v>119.93</v>
      </c>
      <c r="DD144" s="357">
        <v>14.75</v>
      </c>
      <c r="DE144" s="357">
        <v>132.5</v>
      </c>
      <c r="DF144" s="357">
        <v>1471.24</v>
      </c>
      <c r="DG144" s="357">
        <v>882.74699999999996</v>
      </c>
      <c r="DH144" s="357">
        <v>0.43610399999999999</v>
      </c>
      <c r="DI144" s="357">
        <v>287.5</v>
      </c>
      <c r="DJ144" s="357">
        <v>-99996</v>
      </c>
      <c r="DK144" s="373">
        <v>1150</v>
      </c>
    </row>
    <row r="145" spans="1:116" x14ac:dyDescent="0.3">
      <c r="A145" s="364"/>
      <c r="B145" s="84"/>
      <c r="C145" s="366"/>
      <c r="D145" s="373"/>
      <c r="E145" s="373"/>
      <c r="F145" s="373"/>
      <c r="G145" s="367"/>
      <c r="H145" s="373"/>
      <c r="I145" s="373"/>
      <c r="J145" s="373"/>
      <c r="K145" s="373"/>
      <c r="L145" s="373"/>
      <c r="M145" s="373"/>
      <c r="N145" s="373"/>
      <c r="O145" s="373"/>
      <c r="P145" s="373"/>
      <c r="Q145" s="373"/>
      <c r="R145" s="373"/>
      <c r="S145" s="373"/>
      <c r="T145" s="373"/>
      <c r="U145" s="373"/>
      <c r="V145" s="373"/>
      <c r="W145" s="373"/>
      <c r="X145" s="373"/>
      <c r="Y145" s="373"/>
      <c r="AB145" s="373"/>
      <c r="AC145" s="373"/>
      <c r="AD145" s="373"/>
      <c r="AE145" s="373"/>
      <c r="AH145" s="373"/>
      <c r="AI145" s="365"/>
      <c r="AK145" s="365"/>
      <c r="AL145" s="365"/>
      <c r="AM145" s="365"/>
      <c r="AN145" s="365"/>
      <c r="AO145" s="365"/>
      <c r="AP145" s="365"/>
      <c r="AQ145" s="365"/>
      <c r="AR145" s="365"/>
      <c r="AS145" s="365"/>
      <c r="AT145" s="357" t="s">
        <v>1008</v>
      </c>
      <c r="AU145" s="357" t="s">
        <v>988</v>
      </c>
      <c r="AV145" s="357">
        <v>2174.0500000000002</v>
      </c>
      <c r="AW145" s="357" t="s">
        <v>913</v>
      </c>
      <c r="AX145" s="357">
        <v>0</v>
      </c>
      <c r="AY145" s="357">
        <v>0.2</v>
      </c>
      <c r="AZ145" s="357">
        <v>0.2</v>
      </c>
      <c r="BA145" s="357">
        <v>-99996</v>
      </c>
      <c r="BB145" s="357">
        <v>0</v>
      </c>
      <c r="BC145" s="357">
        <v>0</v>
      </c>
      <c r="BD145" s="357">
        <v>0</v>
      </c>
      <c r="BE145" s="357">
        <v>75</v>
      </c>
      <c r="BF145" s="357">
        <v>-99996</v>
      </c>
      <c r="BG145" s="357">
        <v>75</v>
      </c>
      <c r="BH145" s="357"/>
      <c r="BI145" s="357">
        <v>231.65100000000001</v>
      </c>
      <c r="BJ145" s="357">
        <v>79.950999999999993</v>
      </c>
      <c r="BK145" s="357">
        <v>132.5</v>
      </c>
      <c r="BL145" s="357">
        <v>1239.29</v>
      </c>
      <c r="BM145" s="357">
        <v>619.64599999999996</v>
      </c>
      <c r="BN145" s="357">
        <v>0.57003800000000004</v>
      </c>
      <c r="BO145" s="357">
        <v>75</v>
      </c>
      <c r="BP145" s="357">
        <v>-99996</v>
      </c>
      <c r="BQ145" s="357">
        <v>112.5</v>
      </c>
      <c r="BR145" s="357"/>
      <c r="BS145" s="357">
        <v>225.083</v>
      </c>
      <c r="BT145" s="357">
        <v>79.953500000000005</v>
      </c>
      <c r="BU145" s="357">
        <v>132.5</v>
      </c>
      <c r="BV145" s="357">
        <v>934.45799999999997</v>
      </c>
      <c r="BW145" s="357">
        <v>0</v>
      </c>
      <c r="BX145" s="357">
        <v>0</v>
      </c>
      <c r="BY145" s="357">
        <v>75</v>
      </c>
      <c r="BZ145" s="357">
        <v>-99996</v>
      </c>
      <c r="CA145" s="357">
        <v>150</v>
      </c>
      <c r="CB145" s="357"/>
      <c r="CC145" s="357"/>
      <c r="CD145" s="357" t="s">
        <v>1008</v>
      </c>
      <c r="CE145" s="357" t="s">
        <v>988</v>
      </c>
      <c r="CF145" s="357">
        <v>2174.0500000000002</v>
      </c>
      <c r="CG145" s="357" t="s">
        <v>913</v>
      </c>
      <c r="CH145" s="357">
        <v>-99996</v>
      </c>
      <c r="CI145" s="357">
        <v>0.2</v>
      </c>
      <c r="CJ145" s="357">
        <v>0.2</v>
      </c>
      <c r="CK145" s="357">
        <v>-99996</v>
      </c>
      <c r="CL145" s="357">
        <v>0</v>
      </c>
      <c r="CM145" s="357">
        <v>0</v>
      </c>
      <c r="CN145" s="357">
        <v>0</v>
      </c>
      <c r="CO145" s="357">
        <v>75</v>
      </c>
      <c r="CP145" s="357">
        <v>-99996</v>
      </c>
      <c r="CQ145" s="357">
        <v>75</v>
      </c>
      <c r="CR145" s="357"/>
      <c r="CS145" s="357">
        <v>231.65100000000001</v>
      </c>
      <c r="CT145" s="357">
        <v>79.950999999999993</v>
      </c>
      <c r="CU145" s="357">
        <v>132.5</v>
      </c>
      <c r="CV145" s="357">
        <v>1239.29</v>
      </c>
      <c r="CW145" s="357">
        <v>743.57500000000005</v>
      </c>
      <c r="CX145" s="357">
        <v>0.57003800000000004</v>
      </c>
      <c r="CY145" s="357">
        <v>75</v>
      </c>
      <c r="CZ145" s="357">
        <v>-99996</v>
      </c>
      <c r="DA145" s="357">
        <v>112.5</v>
      </c>
      <c r="DB145" s="357"/>
      <c r="DC145" s="357">
        <v>225.083</v>
      </c>
      <c r="DD145" s="357">
        <v>79.953500000000005</v>
      </c>
      <c r="DE145" s="357">
        <v>132.5</v>
      </c>
      <c r="DF145" s="357">
        <v>934.45799999999997</v>
      </c>
      <c r="DG145" s="357">
        <v>560.67499999999995</v>
      </c>
      <c r="DH145" s="357">
        <v>0.42982399999999998</v>
      </c>
      <c r="DI145" s="357">
        <v>75</v>
      </c>
      <c r="DJ145" s="357">
        <v>-99996</v>
      </c>
      <c r="DK145" s="373">
        <v>150</v>
      </c>
    </row>
    <row r="146" spans="1:116" x14ac:dyDescent="0.3">
      <c r="A146" s="364"/>
      <c r="B146" s="84"/>
      <c r="C146" s="366"/>
      <c r="D146" s="373"/>
      <c r="E146" s="373"/>
      <c r="F146" s="373"/>
      <c r="G146" s="367"/>
      <c r="H146" s="373"/>
      <c r="I146" s="373"/>
      <c r="J146" s="373"/>
      <c r="K146" s="373"/>
      <c r="L146" s="373"/>
      <c r="M146" s="373"/>
      <c r="N146" s="373"/>
      <c r="O146" s="373"/>
      <c r="P146" s="373"/>
      <c r="Q146" s="373"/>
      <c r="R146" s="373"/>
      <c r="S146" s="373"/>
      <c r="T146" s="373"/>
      <c r="U146" s="373"/>
      <c r="V146" s="373"/>
      <c r="W146" s="373"/>
      <c r="X146" s="373"/>
      <c r="Y146" s="373"/>
      <c r="AB146" s="373"/>
      <c r="AC146" s="373"/>
      <c r="AD146" s="373"/>
      <c r="AE146" s="373"/>
      <c r="AH146" s="373"/>
      <c r="AI146" s="365"/>
      <c r="AK146" s="365"/>
      <c r="AL146" s="365"/>
      <c r="AM146" s="365"/>
      <c r="AN146" s="365"/>
      <c r="AO146" s="365"/>
      <c r="AP146" s="365"/>
      <c r="AQ146" s="365"/>
      <c r="AR146" s="365"/>
      <c r="AS146" s="365"/>
      <c r="AT146" s="357" t="s">
        <v>1011</v>
      </c>
      <c r="AU146" s="357" t="s">
        <v>915</v>
      </c>
      <c r="AV146" s="357">
        <v>3373.64</v>
      </c>
      <c r="AW146" s="357" t="s">
        <v>913</v>
      </c>
      <c r="AX146" s="357">
        <v>0</v>
      </c>
      <c r="AY146" s="357">
        <v>0.2</v>
      </c>
      <c r="AZ146" s="357">
        <v>0.2</v>
      </c>
      <c r="BA146" s="357">
        <v>-99996</v>
      </c>
      <c r="BB146" s="357">
        <v>0</v>
      </c>
      <c r="BC146" s="357">
        <v>0</v>
      </c>
      <c r="BD146" s="357">
        <v>0</v>
      </c>
      <c r="BE146" s="357">
        <v>287.5</v>
      </c>
      <c r="BF146" s="357">
        <v>-99996</v>
      </c>
      <c r="BG146" s="357">
        <v>287.5</v>
      </c>
      <c r="BH146" s="357"/>
      <c r="BI146" s="357">
        <v>119.926</v>
      </c>
      <c r="BJ146" s="357">
        <v>151.69999999999999</v>
      </c>
      <c r="BK146" s="357">
        <v>132.5</v>
      </c>
      <c r="BL146" s="357">
        <v>1901.26</v>
      </c>
      <c r="BM146" s="357">
        <v>1140.75</v>
      </c>
      <c r="BN146" s="357">
        <v>0.56356300000000004</v>
      </c>
      <c r="BO146" s="357">
        <v>287.5</v>
      </c>
      <c r="BP146" s="357">
        <v>-99996</v>
      </c>
      <c r="BQ146" s="357">
        <v>287.5</v>
      </c>
      <c r="BR146" s="357"/>
      <c r="BS146" s="357">
        <v>119.93</v>
      </c>
      <c r="BT146" s="357">
        <v>145.167</v>
      </c>
      <c r="BU146" s="357">
        <v>132.5</v>
      </c>
      <c r="BV146" s="357">
        <v>1471.24</v>
      </c>
      <c r="BW146" s="357">
        <v>0</v>
      </c>
      <c r="BX146" s="357">
        <v>0</v>
      </c>
      <c r="BY146" s="357">
        <v>287.5</v>
      </c>
      <c r="BZ146" s="357">
        <v>-99996</v>
      </c>
      <c r="CA146" s="357">
        <v>1150</v>
      </c>
      <c r="CB146" s="357"/>
      <c r="CC146" s="357"/>
      <c r="CD146" s="357" t="s">
        <v>1011</v>
      </c>
      <c r="CE146" s="357" t="s">
        <v>915</v>
      </c>
      <c r="CF146" s="357">
        <v>3373.64</v>
      </c>
      <c r="CG146" s="357" t="s">
        <v>913</v>
      </c>
      <c r="CH146" s="357">
        <v>-99996</v>
      </c>
      <c r="CI146" s="357">
        <v>0.2</v>
      </c>
      <c r="CJ146" s="357">
        <v>0.2</v>
      </c>
      <c r="CK146" s="357">
        <v>-99996</v>
      </c>
      <c r="CL146" s="357">
        <v>0</v>
      </c>
      <c r="CM146" s="357">
        <v>0</v>
      </c>
      <c r="CN146" s="357">
        <v>0</v>
      </c>
      <c r="CO146" s="357">
        <v>287.5</v>
      </c>
      <c r="CP146" s="357">
        <v>-99996</v>
      </c>
      <c r="CQ146" s="357">
        <v>287.5</v>
      </c>
      <c r="CR146" s="357"/>
      <c r="CS146" s="357">
        <v>119.926</v>
      </c>
      <c r="CT146" s="357">
        <v>151.69999999999999</v>
      </c>
      <c r="CU146" s="357">
        <v>132.5</v>
      </c>
      <c r="CV146" s="357">
        <v>1901.26</v>
      </c>
      <c r="CW146" s="357">
        <v>1140.75</v>
      </c>
      <c r="CX146" s="357">
        <v>0.56356300000000004</v>
      </c>
      <c r="CY146" s="357">
        <v>287.5</v>
      </c>
      <c r="CZ146" s="357">
        <v>-99996</v>
      </c>
      <c r="DA146" s="357">
        <v>287.5</v>
      </c>
      <c r="DB146" s="357"/>
      <c r="DC146" s="357">
        <v>119.93</v>
      </c>
      <c r="DD146" s="357">
        <v>145.167</v>
      </c>
      <c r="DE146" s="357">
        <v>132.5</v>
      </c>
      <c r="DF146" s="357">
        <v>1471.24</v>
      </c>
      <c r="DG146" s="357">
        <v>882.74699999999996</v>
      </c>
      <c r="DH146" s="357">
        <v>0.43610100000000002</v>
      </c>
      <c r="DI146" s="357">
        <v>287.5</v>
      </c>
      <c r="DJ146" s="357">
        <v>-99996</v>
      </c>
      <c r="DK146" s="373">
        <v>1150</v>
      </c>
    </row>
    <row r="147" spans="1:116" x14ac:dyDescent="0.3">
      <c r="A147" s="364"/>
      <c r="B147" s="84"/>
      <c r="C147" s="366"/>
      <c r="D147" s="373"/>
      <c r="E147" s="373"/>
      <c r="F147" s="373"/>
      <c r="G147" s="367"/>
      <c r="H147" s="373"/>
      <c r="I147" s="373"/>
      <c r="J147" s="373"/>
      <c r="K147" s="373"/>
      <c r="L147" s="373"/>
      <c r="M147" s="373"/>
      <c r="N147" s="373"/>
      <c r="O147" s="373"/>
      <c r="P147" s="373"/>
      <c r="Q147" s="373"/>
      <c r="R147" s="373"/>
      <c r="S147" s="373"/>
      <c r="T147" s="373"/>
      <c r="U147" s="373"/>
      <c r="V147" s="373"/>
      <c r="W147" s="373"/>
      <c r="X147" s="373"/>
      <c r="Y147" s="373"/>
      <c r="AB147" s="373"/>
      <c r="AC147" s="373"/>
      <c r="AD147" s="373"/>
      <c r="AE147" s="373"/>
      <c r="AH147" s="373"/>
      <c r="AI147" s="365"/>
      <c r="AK147" s="365"/>
      <c r="AL147" s="365"/>
      <c r="AM147" s="365"/>
      <c r="AN147" s="365"/>
      <c r="AO147" s="365"/>
      <c r="AP147" s="365"/>
      <c r="AQ147" s="365"/>
      <c r="AR147" s="365"/>
      <c r="AS147" s="365"/>
      <c r="AT147" s="357" t="s">
        <v>1012</v>
      </c>
      <c r="AU147" s="357" t="s">
        <v>915</v>
      </c>
      <c r="AV147" s="357">
        <v>2174.04</v>
      </c>
      <c r="AW147" s="357" t="s">
        <v>913</v>
      </c>
      <c r="AX147" s="357">
        <v>0</v>
      </c>
      <c r="AY147" s="357">
        <v>0.2</v>
      </c>
      <c r="AZ147" s="357">
        <v>0.2</v>
      </c>
      <c r="BA147" s="357">
        <v>-99996</v>
      </c>
      <c r="BB147" s="357">
        <v>0</v>
      </c>
      <c r="BC147" s="357">
        <v>0</v>
      </c>
      <c r="BD147" s="357">
        <v>0</v>
      </c>
      <c r="BE147" s="357">
        <v>287.5</v>
      </c>
      <c r="BF147" s="357">
        <v>-99996</v>
      </c>
      <c r="BG147" s="357">
        <v>287.5</v>
      </c>
      <c r="BH147" s="357"/>
      <c r="BI147" s="357">
        <v>8.202</v>
      </c>
      <c r="BJ147" s="357">
        <v>79.950999999999993</v>
      </c>
      <c r="BK147" s="357">
        <v>132.5</v>
      </c>
      <c r="BL147" s="357">
        <v>1245.27</v>
      </c>
      <c r="BM147" s="357">
        <v>747.16399999999999</v>
      </c>
      <c r="BN147" s="357">
        <v>0.572793</v>
      </c>
      <c r="BO147" s="357">
        <v>287.5</v>
      </c>
      <c r="BP147" s="357">
        <v>-99996</v>
      </c>
      <c r="BQ147" s="357">
        <v>287.5</v>
      </c>
      <c r="BR147" s="357"/>
      <c r="BS147" s="357">
        <v>14.75</v>
      </c>
      <c r="BT147" s="357">
        <v>79.953500000000005</v>
      </c>
      <c r="BU147" s="357">
        <v>132.5</v>
      </c>
      <c r="BV147" s="357">
        <v>928.47699999999998</v>
      </c>
      <c r="BW147" s="357">
        <v>0</v>
      </c>
      <c r="BX147" s="357">
        <v>0</v>
      </c>
      <c r="BY147" s="357">
        <v>287.5</v>
      </c>
      <c r="BZ147" s="357">
        <v>-99996</v>
      </c>
      <c r="CA147" s="357">
        <v>1150</v>
      </c>
      <c r="CB147" s="357"/>
      <c r="CC147" s="357"/>
      <c r="CD147" s="357" t="s">
        <v>1012</v>
      </c>
      <c r="CE147" s="357" t="s">
        <v>915</v>
      </c>
      <c r="CF147" s="357">
        <v>2174.04</v>
      </c>
      <c r="CG147" s="357" t="s">
        <v>913</v>
      </c>
      <c r="CH147" s="357">
        <v>-99996</v>
      </c>
      <c r="CI147" s="357">
        <v>0.2</v>
      </c>
      <c r="CJ147" s="357">
        <v>0.2</v>
      </c>
      <c r="CK147" s="357">
        <v>-99996</v>
      </c>
      <c r="CL147" s="357">
        <v>0</v>
      </c>
      <c r="CM147" s="357">
        <v>0</v>
      </c>
      <c r="CN147" s="357">
        <v>0</v>
      </c>
      <c r="CO147" s="357">
        <v>287.5</v>
      </c>
      <c r="CP147" s="357">
        <v>-99996</v>
      </c>
      <c r="CQ147" s="357">
        <v>287.5</v>
      </c>
      <c r="CR147" s="357"/>
      <c r="CS147" s="357">
        <v>8.202</v>
      </c>
      <c r="CT147" s="357">
        <v>79.950999999999993</v>
      </c>
      <c r="CU147" s="357">
        <v>132.5</v>
      </c>
      <c r="CV147" s="357">
        <v>1245.27</v>
      </c>
      <c r="CW147" s="357">
        <v>747.16399999999999</v>
      </c>
      <c r="CX147" s="357">
        <v>0.572793</v>
      </c>
      <c r="CY147" s="357">
        <v>287.5</v>
      </c>
      <c r="CZ147" s="357">
        <v>-99996</v>
      </c>
      <c r="DA147" s="357">
        <v>287.5</v>
      </c>
      <c r="DB147" s="357"/>
      <c r="DC147" s="357">
        <v>14.75</v>
      </c>
      <c r="DD147" s="357">
        <v>79.953500000000005</v>
      </c>
      <c r="DE147" s="357">
        <v>132.5</v>
      </c>
      <c r="DF147" s="357">
        <v>928.47699999999998</v>
      </c>
      <c r="DG147" s="357">
        <v>557.08600000000001</v>
      </c>
      <c r="DH147" s="357">
        <v>0.42707499999999998</v>
      </c>
      <c r="DI147" s="357">
        <v>287.5</v>
      </c>
      <c r="DJ147" s="357">
        <v>-99996</v>
      </c>
      <c r="DK147" s="373">
        <v>1150</v>
      </c>
    </row>
    <row r="148" spans="1:116" x14ac:dyDescent="0.3">
      <c r="A148" s="364"/>
      <c r="B148" s="84"/>
      <c r="C148" s="366"/>
      <c r="D148" s="373"/>
      <c r="E148" s="373"/>
      <c r="F148" s="373"/>
      <c r="G148" s="367"/>
      <c r="H148" s="373"/>
      <c r="I148" s="373"/>
      <c r="J148" s="373"/>
      <c r="K148" s="373"/>
      <c r="L148" s="373"/>
      <c r="M148" s="373"/>
      <c r="N148" s="373"/>
      <c r="O148" s="373"/>
      <c r="P148" s="373"/>
      <c r="Q148" s="373"/>
      <c r="R148" s="373"/>
      <c r="S148" s="373"/>
      <c r="T148" s="373"/>
      <c r="U148" s="373"/>
      <c r="V148" s="373"/>
      <c r="W148" s="373"/>
      <c r="X148" s="373"/>
      <c r="Y148" s="373"/>
      <c r="AB148" s="373"/>
      <c r="AC148" s="373"/>
      <c r="AD148" s="373"/>
      <c r="AE148" s="373"/>
      <c r="AH148" s="373"/>
      <c r="AI148" s="365"/>
      <c r="AK148" s="365"/>
      <c r="AL148" s="365"/>
      <c r="AM148" s="365"/>
      <c r="AN148" s="365"/>
      <c r="AO148" s="365"/>
      <c r="AP148" s="365"/>
      <c r="AQ148" s="365"/>
      <c r="AR148" s="365"/>
      <c r="AS148" s="365"/>
      <c r="AT148" s="357" t="s">
        <v>1013</v>
      </c>
      <c r="AU148" s="357" t="s">
        <v>1022</v>
      </c>
      <c r="AV148" s="357">
        <v>27257.599999999999</v>
      </c>
      <c r="AW148" s="357" t="s">
        <v>312</v>
      </c>
      <c r="AX148" s="357">
        <v>0</v>
      </c>
      <c r="AY148" s="357">
        <v>-99996</v>
      </c>
      <c r="AZ148" s="357">
        <v>-99996</v>
      </c>
      <c r="BA148" s="357">
        <v>-99996</v>
      </c>
      <c r="BB148" s="357">
        <v>0</v>
      </c>
      <c r="BC148" s="357">
        <v>0</v>
      </c>
      <c r="BD148" s="357">
        <v>0</v>
      </c>
      <c r="BE148" s="357">
        <v>165</v>
      </c>
      <c r="BF148" s="357">
        <v>-99996</v>
      </c>
      <c r="BG148" s="357">
        <v>165</v>
      </c>
      <c r="BH148" s="357"/>
      <c r="BI148" s="357">
        <v>-99996</v>
      </c>
      <c r="BJ148" s="357">
        <v>-99996</v>
      </c>
      <c r="BK148" s="357">
        <v>-99996</v>
      </c>
      <c r="BL148" s="357">
        <v>0</v>
      </c>
      <c r="BM148" s="357">
        <v>0</v>
      </c>
      <c r="BN148" s="357">
        <v>0</v>
      </c>
      <c r="BO148" s="357">
        <v>165</v>
      </c>
      <c r="BP148" s="357">
        <v>-99996</v>
      </c>
      <c r="BQ148" s="357">
        <v>247.5</v>
      </c>
      <c r="BR148" s="357"/>
      <c r="BS148" s="357">
        <v>-99996</v>
      </c>
      <c r="BT148" s="357">
        <v>-99996</v>
      </c>
      <c r="BU148" s="357">
        <v>-99996</v>
      </c>
      <c r="BV148" s="357">
        <v>0</v>
      </c>
      <c r="BW148" s="357">
        <v>0</v>
      </c>
      <c r="BX148" s="357">
        <v>0</v>
      </c>
      <c r="BY148" s="357">
        <v>165</v>
      </c>
      <c r="BZ148" s="357">
        <v>-99996</v>
      </c>
      <c r="CA148" s="357">
        <v>330</v>
      </c>
      <c r="CB148" s="357"/>
      <c r="CC148" s="357"/>
      <c r="CD148" s="357" t="s">
        <v>1013</v>
      </c>
      <c r="CE148" s="357" t="s">
        <v>1022</v>
      </c>
      <c r="CF148" s="357">
        <v>27257.599999999999</v>
      </c>
      <c r="CG148" s="357" t="s">
        <v>312</v>
      </c>
      <c r="CH148" s="357">
        <v>-99996</v>
      </c>
      <c r="CI148" s="357">
        <v>-99996</v>
      </c>
      <c r="CJ148" s="357">
        <v>-99996</v>
      </c>
      <c r="CK148" s="357">
        <v>-99996</v>
      </c>
      <c r="CL148" s="357">
        <v>0</v>
      </c>
      <c r="CM148" s="357">
        <v>0</v>
      </c>
      <c r="CN148" s="357">
        <v>0</v>
      </c>
      <c r="CO148" s="357">
        <v>165</v>
      </c>
      <c r="CP148" s="357">
        <v>-99996</v>
      </c>
      <c r="CQ148" s="357">
        <v>165</v>
      </c>
      <c r="CR148" s="357"/>
      <c r="CS148" s="357">
        <v>-99996</v>
      </c>
      <c r="CT148" s="357">
        <v>-99996</v>
      </c>
      <c r="CU148" s="357">
        <v>-99996</v>
      </c>
      <c r="CV148" s="357">
        <v>0</v>
      </c>
      <c r="CW148" s="357">
        <v>0</v>
      </c>
      <c r="CX148" s="357">
        <v>0</v>
      </c>
      <c r="CY148" s="357">
        <v>165</v>
      </c>
      <c r="CZ148" s="357">
        <v>-99996</v>
      </c>
      <c r="DA148" s="357">
        <v>247.5</v>
      </c>
      <c r="DB148" s="357"/>
      <c r="DC148" s="357">
        <v>-99996</v>
      </c>
      <c r="DD148" s="357">
        <v>-99996</v>
      </c>
      <c r="DE148" s="357">
        <v>-99996</v>
      </c>
      <c r="DF148" s="357">
        <v>0</v>
      </c>
      <c r="DG148" s="357">
        <v>0</v>
      </c>
      <c r="DH148" s="357">
        <v>0</v>
      </c>
      <c r="DI148" s="357">
        <v>165</v>
      </c>
      <c r="DJ148" s="357">
        <v>-99996</v>
      </c>
      <c r="DK148" s="373">
        <v>330</v>
      </c>
    </row>
    <row r="149" spans="1:116" x14ac:dyDescent="0.3">
      <c r="A149" s="364"/>
      <c r="B149" s="84"/>
      <c r="C149" s="366"/>
      <c r="D149" s="373"/>
      <c r="E149" s="373"/>
      <c r="F149" s="373"/>
      <c r="G149" s="367"/>
      <c r="H149" s="373"/>
      <c r="I149" s="373"/>
      <c r="J149" s="373"/>
      <c r="K149" s="373"/>
      <c r="L149" s="373"/>
      <c r="M149" s="373"/>
      <c r="N149" s="373"/>
      <c r="O149" s="373"/>
      <c r="P149" s="373"/>
      <c r="Q149" s="373"/>
      <c r="R149" s="373"/>
      <c r="S149" s="373"/>
      <c r="T149" s="373"/>
      <c r="U149" s="373"/>
      <c r="V149" s="373"/>
      <c r="W149" s="373"/>
      <c r="X149" s="373"/>
      <c r="Y149" s="373"/>
      <c r="AB149" s="373"/>
      <c r="AC149" s="373"/>
      <c r="AD149" s="373"/>
      <c r="AE149" s="373"/>
      <c r="AH149" s="373"/>
      <c r="AI149" s="365"/>
      <c r="AK149" s="365"/>
      <c r="AL149" s="365"/>
      <c r="AM149" s="365"/>
      <c r="AN149" s="365"/>
      <c r="AO149" s="365"/>
      <c r="AP149" s="365"/>
      <c r="AQ149" s="365"/>
      <c r="AR149" s="365"/>
      <c r="AS149" s="365"/>
      <c r="AT149" s="357" t="s">
        <v>1021</v>
      </c>
      <c r="AU149" s="357" t="s">
        <v>1022</v>
      </c>
      <c r="AV149" s="357">
        <v>3373.61</v>
      </c>
      <c r="AW149" s="357" t="s">
        <v>913</v>
      </c>
      <c r="AX149" s="357">
        <v>0</v>
      </c>
      <c r="AY149" s="357">
        <v>0.2</v>
      </c>
      <c r="AZ149" s="357">
        <v>0.2</v>
      </c>
      <c r="BA149" s="357">
        <v>-99996</v>
      </c>
      <c r="BB149" s="357">
        <v>0</v>
      </c>
      <c r="BC149" s="357">
        <v>0</v>
      </c>
      <c r="BD149" s="357">
        <v>0</v>
      </c>
      <c r="BE149" s="357">
        <v>165</v>
      </c>
      <c r="BF149" s="357">
        <v>-99996</v>
      </c>
      <c r="BG149" s="357">
        <v>165</v>
      </c>
      <c r="BH149" s="357"/>
      <c r="BI149" s="357">
        <v>119.926</v>
      </c>
      <c r="BJ149" s="357">
        <v>8.2010000000000005</v>
      </c>
      <c r="BK149" s="357">
        <v>145.5</v>
      </c>
      <c r="BL149" s="357">
        <v>1901.26</v>
      </c>
      <c r="BM149" s="357">
        <v>2281.5100000000002</v>
      </c>
      <c r="BN149" s="357">
        <v>0.56356700000000004</v>
      </c>
      <c r="BO149" s="357">
        <v>165</v>
      </c>
      <c r="BP149" s="357">
        <v>-99996</v>
      </c>
      <c r="BQ149" s="357">
        <v>247.5</v>
      </c>
      <c r="BR149" s="357"/>
      <c r="BS149" s="357">
        <v>119.93</v>
      </c>
      <c r="BT149" s="357">
        <v>14.75</v>
      </c>
      <c r="BU149" s="357">
        <v>145.5</v>
      </c>
      <c r="BV149" s="357">
        <v>1471.24</v>
      </c>
      <c r="BW149" s="357">
        <v>0</v>
      </c>
      <c r="BX149" s="357">
        <v>0</v>
      </c>
      <c r="BY149" s="357">
        <v>165</v>
      </c>
      <c r="BZ149" s="357">
        <v>-99996</v>
      </c>
      <c r="CA149" s="357">
        <v>330</v>
      </c>
      <c r="CB149" s="357"/>
      <c r="CC149" s="357"/>
      <c r="CD149" s="357" t="s">
        <v>1021</v>
      </c>
      <c r="CE149" s="357" t="s">
        <v>1022</v>
      </c>
      <c r="CF149" s="357">
        <v>3373.61</v>
      </c>
      <c r="CG149" s="357" t="s">
        <v>913</v>
      </c>
      <c r="CH149" s="357">
        <v>-99996</v>
      </c>
      <c r="CI149" s="357">
        <v>0.2</v>
      </c>
      <c r="CJ149" s="357">
        <v>0.2</v>
      </c>
      <c r="CK149" s="357">
        <v>-99996</v>
      </c>
      <c r="CL149" s="357">
        <v>0</v>
      </c>
      <c r="CM149" s="357">
        <v>0</v>
      </c>
      <c r="CN149" s="357">
        <v>0</v>
      </c>
      <c r="CO149" s="357">
        <v>165</v>
      </c>
      <c r="CP149" s="357">
        <v>-99996</v>
      </c>
      <c r="CQ149" s="357">
        <v>165</v>
      </c>
      <c r="CR149" s="357"/>
      <c r="CS149" s="357">
        <v>119.926</v>
      </c>
      <c r="CT149" s="357">
        <v>8.2010000000000005</v>
      </c>
      <c r="CU149" s="357">
        <v>145.5</v>
      </c>
      <c r="CV149" s="357">
        <v>1901.26</v>
      </c>
      <c r="CW149" s="357">
        <v>1616.07</v>
      </c>
      <c r="CX149" s="357">
        <v>0.56356700000000004</v>
      </c>
      <c r="CY149" s="357">
        <v>165</v>
      </c>
      <c r="CZ149" s="357">
        <v>-99996</v>
      </c>
      <c r="DA149" s="357">
        <v>247.5</v>
      </c>
      <c r="DB149" s="357"/>
      <c r="DC149" s="357">
        <v>119.93</v>
      </c>
      <c r="DD149" s="357">
        <v>14.75</v>
      </c>
      <c r="DE149" s="357">
        <v>145.5</v>
      </c>
      <c r="DF149" s="357">
        <v>1471.24</v>
      </c>
      <c r="DG149" s="357">
        <v>1250.56</v>
      </c>
      <c r="DH149" s="357">
        <v>0.43610399999999999</v>
      </c>
      <c r="DI149" s="357">
        <v>165</v>
      </c>
      <c r="DJ149" s="357">
        <v>-99996</v>
      </c>
      <c r="DK149" s="373">
        <v>330</v>
      </c>
    </row>
    <row r="150" spans="1:116" x14ac:dyDescent="0.3">
      <c r="A150" s="364"/>
      <c r="B150" s="84"/>
      <c r="C150" s="366"/>
      <c r="D150" s="373"/>
      <c r="E150" s="373"/>
      <c r="F150" s="373"/>
      <c r="G150" s="367"/>
      <c r="H150" s="373"/>
      <c r="I150" s="373"/>
      <c r="J150" s="373"/>
      <c r="K150" s="373"/>
      <c r="L150" s="373"/>
      <c r="M150" s="373"/>
      <c r="N150" s="373"/>
      <c r="O150" s="373"/>
      <c r="P150" s="373"/>
      <c r="Q150" s="373"/>
      <c r="R150" s="373"/>
      <c r="S150" s="373"/>
      <c r="T150" s="373"/>
      <c r="U150" s="373"/>
      <c r="V150" s="373"/>
      <c r="W150" s="373"/>
      <c r="X150" s="373"/>
      <c r="Y150" s="373"/>
      <c r="AB150" s="373"/>
      <c r="AC150" s="373"/>
      <c r="AD150" s="373"/>
      <c r="AE150" s="373"/>
      <c r="AH150" s="373"/>
      <c r="AI150" s="365"/>
      <c r="AK150" s="365"/>
      <c r="AL150" s="365"/>
      <c r="AM150" s="365"/>
      <c r="AN150" s="365"/>
      <c r="AO150" s="365"/>
      <c r="AP150" s="365"/>
      <c r="AQ150" s="365"/>
      <c r="AR150" s="365"/>
      <c r="AS150" s="365"/>
      <c r="AT150" s="357" t="s">
        <v>1023</v>
      </c>
      <c r="AU150" s="357" t="s">
        <v>988</v>
      </c>
      <c r="AV150" s="357">
        <v>2174.0500000000002</v>
      </c>
      <c r="AW150" s="357" t="s">
        <v>913</v>
      </c>
      <c r="AX150" s="357">
        <v>0</v>
      </c>
      <c r="AY150" s="357">
        <v>0.2</v>
      </c>
      <c r="AZ150" s="357">
        <v>0.2</v>
      </c>
      <c r="BA150" s="357">
        <v>-99996</v>
      </c>
      <c r="BB150" s="357">
        <v>0</v>
      </c>
      <c r="BC150" s="357">
        <v>0</v>
      </c>
      <c r="BD150" s="357">
        <v>0</v>
      </c>
      <c r="BE150" s="357">
        <v>75</v>
      </c>
      <c r="BF150" s="357">
        <v>-99996</v>
      </c>
      <c r="BG150" s="357">
        <v>75</v>
      </c>
      <c r="BH150" s="357"/>
      <c r="BI150" s="357">
        <v>231.65199999999999</v>
      </c>
      <c r="BJ150" s="357">
        <v>79.950999999999993</v>
      </c>
      <c r="BK150" s="357">
        <v>145.5</v>
      </c>
      <c r="BL150" s="357">
        <v>1239.29</v>
      </c>
      <c r="BM150" s="357">
        <v>619.64599999999996</v>
      </c>
      <c r="BN150" s="357">
        <v>0.57003800000000004</v>
      </c>
      <c r="BO150" s="357">
        <v>75</v>
      </c>
      <c r="BP150" s="357">
        <v>-99996</v>
      </c>
      <c r="BQ150" s="357">
        <v>112.5</v>
      </c>
      <c r="BR150" s="357"/>
      <c r="BS150" s="357">
        <v>225.083</v>
      </c>
      <c r="BT150" s="357">
        <v>79.953500000000005</v>
      </c>
      <c r="BU150" s="357">
        <v>145.5</v>
      </c>
      <c r="BV150" s="357">
        <v>934.45799999999997</v>
      </c>
      <c r="BW150" s="357">
        <v>0</v>
      </c>
      <c r="BX150" s="357">
        <v>0</v>
      </c>
      <c r="BY150" s="357">
        <v>75</v>
      </c>
      <c r="BZ150" s="357">
        <v>-99996</v>
      </c>
      <c r="CA150" s="357">
        <v>150</v>
      </c>
      <c r="CB150" s="357"/>
      <c r="CC150" s="357"/>
      <c r="CD150" s="357" t="s">
        <v>1023</v>
      </c>
      <c r="CE150" s="357" t="s">
        <v>988</v>
      </c>
      <c r="CF150" s="357">
        <v>2174.0500000000002</v>
      </c>
      <c r="CG150" s="357" t="s">
        <v>913</v>
      </c>
      <c r="CH150" s="357">
        <v>-99996</v>
      </c>
      <c r="CI150" s="357">
        <v>0.2</v>
      </c>
      <c r="CJ150" s="357">
        <v>0.2</v>
      </c>
      <c r="CK150" s="357">
        <v>-99996</v>
      </c>
      <c r="CL150" s="357">
        <v>0</v>
      </c>
      <c r="CM150" s="357">
        <v>0</v>
      </c>
      <c r="CN150" s="357">
        <v>0</v>
      </c>
      <c r="CO150" s="357">
        <v>75</v>
      </c>
      <c r="CP150" s="357">
        <v>-99996</v>
      </c>
      <c r="CQ150" s="357">
        <v>75</v>
      </c>
      <c r="CR150" s="357"/>
      <c r="CS150" s="357">
        <v>231.65199999999999</v>
      </c>
      <c r="CT150" s="357">
        <v>79.950999999999993</v>
      </c>
      <c r="CU150" s="357">
        <v>145.5</v>
      </c>
      <c r="CV150" s="357">
        <v>1239.29</v>
      </c>
      <c r="CW150" s="357">
        <v>743.57500000000005</v>
      </c>
      <c r="CX150" s="357">
        <v>0.57003800000000004</v>
      </c>
      <c r="CY150" s="357">
        <v>75</v>
      </c>
      <c r="CZ150" s="357">
        <v>-99996</v>
      </c>
      <c r="DA150" s="357">
        <v>112.5</v>
      </c>
      <c r="DB150" s="357"/>
      <c r="DC150" s="357">
        <v>225.083</v>
      </c>
      <c r="DD150" s="357">
        <v>79.953500000000005</v>
      </c>
      <c r="DE150" s="357">
        <v>145.5</v>
      </c>
      <c r="DF150" s="357">
        <v>934.45799999999997</v>
      </c>
      <c r="DG150" s="357">
        <v>560.67499999999995</v>
      </c>
      <c r="DH150" s="357">
        <v>0.42982399999999998</v>
      </c>
      <c r="DI150" s="357">
        <v>75</v>
      </c>
      <c r="DJ150" s="357">
        <v>-99996</v>
      </c>
      <c r="DK150" s="373">
        <v>150</v>
      </c>
    </row>
    <row r="151" spans="1:116" x14ac:dyDescent="0.3">
      <c r="A151" s="364"/>
      <c r="B151" s="84"/>
      <c r="C151" s="366"/>
      <c r="D151" s="373"/>
      <c r="E151" s="373"/>
      <c r="F151" s="373"/>
      <c r="G151" s="367"/>
      <c r="H151" s="373"/>
      <c r="I151" s="373"/>
      <c r="J151" s="373"/>
      <c r="K151" s="373"/>
      <c r="L151" s="373"/>
      <c r="M151" s="373"/>
      <c r="N151" s="373"/>
      <c r="O151" s="373"/>
      <c r="P151" s="373"/>
      <c r="Q151" s="373"/>
      <c r="R151" s="373"/>
      <c r="S151" s="373"/>
      <c r="T151" s="373"/>
      <c r="U151" s="373"/>
      <c r="V151" s="373"/>
      <c r="W151" s="373"/>
      <c r="X151" s="373"/>
      <c r="Y151" s="373"/>
      <c r="AB151" s="373"/>
      <c r="AC151" s="373"/>
      <c r="AD151" s="373"/>
      <c r="AE151" s="373"/>
      <c r="AH151" s="373"/>
      <c r="AI151" s="365"/>
      <c r="AK151" s="365"/>
      <c r="AL151" s="365"/>
      <c r="AM151" s="365"/>
      <c r="AN151" s="365"/>
      <c r="AO151" s="365"/>
      <c r="AP151" s="365"/>
      <c r="AQ151" s="365"/>
      <c r="AR151" s="365"/>
      <c r="AS151" s="365"/>
      <c r="AT151" s="357" t="s">
        <v>1024</v>
      </c>
      <c r="AU151" s="357" t="s">
        <v>1022</v>
      </c>
      <c r="AV151" s="357">
        <v>3373.64</v>
      </c>
      <c r="AW151" s="357" t="s">
        <v>913</v>
      </c>
      <c r="AX151" s="357">
        <v>0</v>
      </c>
      <c r="AY151" s="357">
        <v>0.2</v>
      </c>
      <c r="AZ151" s="357">
        <v>0.2</v>
      </c>
      <c r="BA151" s="357">
        <v>-99996</v>
      </c>
      <c r="BB151" s="357">
        <v>0</v>
      </c>
      <c r="BC151" s="357">
        <v>0</v>
      </c>
      <c r="BD151" s="357">
        <v>0</v>
      </c>
      <c r="BE151" s="357">
        <v>165</v>
      </c>
      <c r="BF151" s="357">
        <v>-99996</v>
      </c>
      <c r="BG151" s="357">
        <v>165</v>
      </c>
      <c r="BH151" s="357"/>
      <c r="BI151" s="357">
        <v>119.926</v>
      </c>
      <c r="BJ151" s="357">
        <v>151.70099999999999</v>
      </c>
      <c r="BK151" s="357">
        <v>145.5</v>
      </c>
      <c r="BL151" s="357">
        <v>1901.26</v>
      </c>
      <c r="BM151" s="357">
        <v>2281.5100000000002</v>
      </c>
      <c r="BN151" s="357">
        <v>0.56356300000000004</v>
      </c>
      <c r="BO151" s="357">
        <v>165</v>
      </c>
      <c r="BP151" s="357">
        <v>-99996</v>
      </c>
      <c r="BQ151" s="357">
        <v>247.5</v>
      </c>
      <c r="BR151" s="357"/>
      <c r="BS151" s="357">
        <v>119.93</v>
      </c>
      <c r="BT151" s="357">
        <v>145.167</v>
      </c>
      <c r="BU151" s="357">
        <v>145.5</v>
      </c>
      <c r="BV151" s="357">
        <v>1471.24</v>
      </c>
      <c r="BW151" s="357">
        <v>0</v>
      </c>
      <c r="BX151" s="357">
        <v>0</v>
      </c>
      <c r="BY151" s="357">
        <v>165</v>
      </c>
      <c r="BZ151" s="357">
        <v>-99996</v>
      </c>
      <c r="CA151" s="357">
        <v>330</v>
      </c>
      <c r="CB151" s="357"/>
      <c r="CC151" s="357"/>
      <c r="CD151" s="357" t="s">
        <v>1024</v>
      </c>
      <c r="CE151" s="357" t="s">
        <v>1022</v>
      </c>
      <c r="CF151" s="357">
        <v>3373.64</v>
      </c>
      <c r="CG151" s="357" t="s">
        <v>913</v>
      </c>
      <c r="CH151" s="357">
        <v>-99996</v>
      </c>
      <c r="CI151" s="357">
        <v>0.2</v>
      </c>
      <c r="CJ151" s="357">
        <v>0.2</v>
      </c>
      <c r="CK151" s="357">
        <v>-99996</v>
      </c>
      <c r="CL151" s="357">
        <v>0</v>
      </c>
      <c r="CM151" s="357">
        <v>0</v>
      </c>
      <c r="CN151" s="357">
        <v>0</v>
      </c>
      <c r="CO151" s="357">
        <v>165</v>
      </c>
      <c r="CP151" s="357">
        <v>-99996</v>
      </c>
      <c r="CQ151" s="357">
        <v>165</v>
      </c>
      <c r="CR151" s="357"/>
      <c r="CS151" s="357">
        <v>119.926</v>
      </c>
      <c r="CT151" s="357">
        <v>151.70099999999999</v>
      </c>
      <c r="CU151" s="357">
        <v>145.5</v>
      </c>
      <c r="CV151" s="357">
        <v>1901.26</v>
      </c>
      <c r="CW151" s="357">
        <v>1616.07</v>
      </c>
      <c r="CX151" s="357">
        <v>0.56356300000000004</v>
      </c>
      <c r="CY151" s="357">
        <v>165</v>
      </c>
      <c r="CZ151" s="357">
        <v>-99996</v>
      </c>
      <c r="DA151" s="357">
        <v>247.5</v>
      </c>
      <c r="DB151" s="357"/>
      <c r="DC151" s="357">
        <v>119.93</v>
      </c>
      <c r="DD151" s="357">
        <v>145.167</v>
      </c>
      <c r="DE151" s="357">
        <v>145.5</v>
      </c>
      <c r="DF151" s="357">
        <v>1471.24</v>
      </c>
      <c r="DG151" s="357">
        <v>1250.56</v>
      </c>
      <c r="DH151" s="357">
        <v>0.43610100000000002</v>
      </c>
      <c r="DI151" s="357">
        <v>165</v>
      </c>
      <c r="DJ151" s="357">
        <v>-99996</v>
      </c>
      <c r="DK151" s="373">
        <v>330</v>
      </c>
    </row>
    <row r="152" spans="1:116" x14ac:dyDescent="0.3">
      <c r="A152" s="364"/>
      <c r="B152" s="84"/>
      <c r="C152" s="366"/>
      <c r="D152" s="373"/>
      <c r="E152" s="373"/>
      <c r="F152" s="373"/>
      <c r="G152" s="367"/>
      <c r="H152" s="373"/>
      <c r="I152" s="373"/>
      <c r="J152" s="373"/>
      <c r="K152" s="373"/>
      <c r="L152" s="373"/>
      <c r="M152" s="373"/>
      <c r="N152" s="373"/>
      <c r="O152" s="373"/>
      <c r="P152" s="373"/>
      <c r="Q152" s="373"/>
      <c r="R152" s="373"/>
      <c r="S152" s="373"/>
      <c r="T152" s="373"/>
      <c r="U152" s="373"/>
      <c r="V152" s="373"/>
      <c r="W152" s="373"/>
      <c r="X152" s="373"/>
      <c r="Y152" s="373"/>
      <c r="AB152" s="373"/>
      <c r="AC152" s="373"/>
      <c r="AD152" s="373"/>
      <c r="AE152" s="373"/>
      <c r="AH152" s="373"/>
      <c r="AI152" s="365"/>
      <c r="AK152" s="365"/>
      <c r="AL152" s="365"/>
      <c r="AM152" s="365"/>
      <c r="AN152" s="365"/>
      <c r="AO152" s="365"/>
      <c r="AP152" s="365"/>
      <c r="AQ152" s="365"/>
      <c r="AR152" s="365"/>
      <c r="AS152" s="365"/>
      <c r="AT152" s="357" t="s">
        <v>1025</v>
      </c>
      <c r="AU152" s="357" t="s">
        <v>1022</v>
      </c>
      <c r="AV152" s="357">
        <v>2174.04</v>
      </c>
      <c r="AW152" s="357" t="s">
        <v>913</v>
      </c>
      <c r="AX152" s="357">
        <v>0</v>
      </c>
      <c r="AY152" s="357">
        <v>0.2</v>
      </c>
      <c r="AZ152" s="357">
        <v>0.2</v>
      </c>
      <c r="BA152" s="357">
        <v>-99996</v>
      </c>
      <c r="BB152" s="357">
        <v>0</v>
      </c>
      <c r="BC152" s="357">
        <v>0</v>
      </c>
      <c r="BD152" s="357">
        <v>0</v>
      </c>
      <c r="BE152" s="357">
        <v>165</v>
      </c>
      <c r="BF152" s="357">
        <v>-99996</v>
      </c>
      <c r="BG152" s="357">
        <v>165</v>
      </c>
      <c r="BH152" s="357"/>
      <c r="BI152" s="357">
        <v>8.2010000000000005</v>
      </c>
      <c r="BJ152" s="357">
        <v>79.950999999999993</v>
      </c>
      <c r="BK152" s="357">
        <v>145.5</v>
      </c>
      <c r="BL152" s="357">
        <v>1245.27</v>
      </c>
      <c r="BM152" s="357">
        <v>1494.33</v>
      </c>
      <c r="BN152" s="357">
        <v>0.572793</v>
      </c>
      <c r="BO152" s="357">
        <v>165</v>
      </c>
      <c r="BP152" s="357">
        <v>-99996</v>
      </c>
      <c r="BQ152" s="357">
        <v>247.5</v>
      </c>
      <c r="BR152" s="357"/>
      <c r="BS152" s="357">
        <v>14.75</v>
      </c>
      <c r="BT152" s="357">
        <v>79.953500000000005</v>
      </c>
      <c r="BU152" s="357">
        <v>145.5</v>
      </c>
      <c r="BV152" s="357">
        <v>928.47699999999998</v>
      </c>
      <c r="BW152" s="357">
        <v>0</v>
      </c>
      <c r="BX152" s="357">
        <v>0</v>
      </c>
      <c r="BY152" s="357">
        <v>165</v>
      </c>
      <c r="BZ152" s="357">
        <v>-99996</v>
      </c>
      <c r="CA152" s="357">
        <v>330</v>
      </c>
      <c r="CB152" s="357"/>
      <c r="CC152" s="357"/>
      <c r="CD152" s="357" t="s">
        <v>1025</v>
      </c>
      <c r="CE152" s="357" t="s">
        <v>1022</v>
      </c>
      <c r="CF152" s="357">
        <v>2174.04</v>
      </c>
      <c r="CG152" s="357" t="s">
        <v>913</v>
      </c>
      <c r="CH152" s="357">
        <v>-99996</v>
      </c>
      <c r="CI152" s="357">
        <v>0.2</v>
      </c>
      <c r="CJ152" s="357">
        <v>0.2</v>
      </c>
      <c r="CK152" s="357">
        <v>-99996</v>
      </c>
      <c r="CL152" s="357">
        <v>0</v>
      </c>
      <c r="CM152" s="357">
        <v>0</v>
      </c>
      <c r="CN152" s="357">
        <v>0</v>
      </c>
      <c r="CO152" s="357">
        <v>165</v>
      </c>
      <c r="CP152" s="357">
        <v>-99996</v>
      </c>
      <c r="CQ152" s="357">
        <v>165</v>
      </c>
      <c r="CR152" s="357"/>
      <c r="CS152" s="357">
        <v>8.2010000000000005</v>
      </c>
      <c r="CT152" s="357">
        <v>79.950999999999993</v>
      </c>
      <c r="CU152" s="357">
        <v>145.5</v>
      </c>
      <c r="CV152" s="357">
        <v>1245.27</v>
      </c>
      <c r="CW152" s="357">
        <v>1058.48</v>
      </c>
      <c r="CX152" s="357">
        <v>0.572793</v>
      </c>
      <c r="CY152" s="357">
        <v>165</v>
      </c>
      <c r="CZ152" s="357">
        <v>-99996</v>
      </c>
      <c r="DA152" s="357">
        <v>247.5</v>
      </c>
      <c r="DB152" s="357"/>
      <c r="DC152" s="357">
        <v>14.75</v>
      </c>
      <c r="DD152" s="357">
        <v>79.953500000000005</v>
      </c>
      <c r="DE152" s="357">
        <v>145.5</v>
      </c>
      <c r="DF152" s="357">
        <v>928.47699999999998</v>
      </c>
      <c r="DG152" s="357">
        <v>789.20600000000002</v>
      </c>
      <c r="DH152" s="357">
        <v>0.42707499999999998</v>
      </c>
      <c r="DI152" s="357">
        <v>165</v>
      </c>
      <c r="DJ152" s="357">
        <v>-99996</v>
      </c>
      <c r="DK152" s="373">
        <v>330</v>
      </c>
    </row>
    <row r="153" spans="1:116" x14ac:dyDescent="0.3">
      <c r="A153" s="364"/>
      <c r="B153" s="84"/>
      <c r="C153" s="366"/>
      <c r="D153" s="373"/>
      <c r="E153" s="373"/>
      <c r="F153" s="373"/>
      <c r="G153" s="367"/>
      <c r="H153" s="373"/>
      <c r="I153" s="373"/>
      <c r="J153" s="373"/>
      <c r="K153" s="373"/>
      <c r="L153" s="373"/>
      <c r="M153" s="373"/>
      <c r="N153" s="373"/>
      <c r="O153" s="373"/>
      <c r="P153" s="373"/>
      <c r="Q153" s="373"/>
      <c r="R153" s="373"/>
      <c r="S153" s="373"/>
      <c r="T153" s="373"/>
      <c r="U153" s="373"/>
      <c r="V153" s="373"/>
      <c r="W153" s="373"/>
      <c r="X153" s="373"/>
      <c r="Y153" s="373"/>
      <c r="AB153" s="373"/>
      <c r="AC153" s="373"/>
      <c r="AD153" s="373"/>
      <c r="AE153" s="373"/>
      <c r="AH153" s="373"/>
      <c r="AI153" s="365"/>
      <c r="AK153" s="365"/>
      <c r="AL153" s="365"/>
      <c r="AM153" s="365"/>
      <c r="AN153" s="365"/>
      <c r="AO153" s="365"/>
      <c r="AP153" s="365"/>
      <c r="AQ153" s="365"/>
      <c r="AR153" s="365"/>
      <c r="AS153" s="365"/>
      <c r="AT153" s="357" t="s">
        <v>1026</v>
      </c>
      <c r="AU153" s="357" t="s">
        <v>979</v>
      </c>
      <c r="AV153" s="357">
        <v>0</v>
      </c>
      <c r="AW153" s="357" t="s">
        <v>312</v>
      </c>
      <c r="AX153" s="357">
        <v>0</v>
      </c>
      <c r="AY153" s="357">
        <v>-99996</v>
      </c>
      <c r="AZ153" s="357">
        <v>-99996</v>
      </c>
      <c r="BA153" s="357">
        <v>-99996</v>
      </c>
      <c r="BB153" s="357">
        <v>0</v>
      </c>
      <c r="BC153" s="357">
        <v>0</v>
      </c>
      <c r="BD153" s="357">
        <v>0</v>
      </c>
      <c r="BE153" s="357">
        <v>0</v>
      </c>
      <c r="BF153" s="357">
        <v>-99996</v>
      </c>
      <c r="BG153" s="357">
        <v>0</v>
      </c>
      <c r="BH153" s="357"/>
      <c r="BI153" s="357">
        <v>-99996</v>
      </c>
      <c r="BJ153" s="357">
        <v>-99996</v>
      </c>
      <c r="BK153" s="357">
        <v>-99996</v>
      </c>
      <c r="BL153" s="357">
        <v>0</v>
      </c>
      <c r="BM153" s="357">
        <v>0</v>
      </c>
      <c r="BN153" s="357">
        <v>0</v>
      </c>
      <c r="BO153" s="357">
        <v>0</v>
      </c>
      <c r="BP153" s="357">
        <v>-99996</v>
      </c>
      <c r="BQ153" s="357">
        <v>0</v>
      </c>
      <c r="BR153" s="357"/>
      <c r="BS153" s="357">
        <v>-99996</v>
      </c>
      <c r="BT153" s="357">
        <v>-99996</v>
      </c>
      <c r="BU153" s="357">
        <v>-99996</v>
      </c>
      <c r="BV153" s="357">
        <v>0</v>
      </c>
      <c r="BW153" s="357">
        <v>0</v>
      </c>
      <c r="BX153" s="357">
        <v>0</v>
      </c>
      <c r="BY153" s="357">
        <v>0</v>
      </c>
      <c r="BZ153" s="357">
        <v>-99996</v>
      </c>
      <c r="CA153" s="357">
        <v>0</v>
      </c>
      <c r="CB153" s="357"/>
      <c r="CC153" s="357"/>
      <c r="CD153" s="357" t="s">
        <v>1026</v>
      </c>
      <c r="CE153" s="357" t="s">
        <v>979</v>
      </c>
      <c r="CF153" s="357">
        <v>0</v>
      </c>
      <c r="CG153" s="357" t="s">
        <v>312</v>
      </c>
      <c r="CH153" s="357">
        <v>-99996</v>
      </c>
      <c r="CI153" s="357">
        <v>-99996</v>
      </c>
      <c r="CJ153" s="357">
        <v>-99996</v>
      </c>
      <c r="CK153" s="357">
        <v>-99996</v>
      </c>
      <c r="CL153" s="357">
        <v>0</v>
      </c>
      <c r="CM153" s="357">
        <v>0</v>
      </c>
      <c r="CN153" s="357">
        <v>0</v>
      </c>
      <c r="CO153" s="357">
        <v>0</v>
      </c>
      <c r="CP153" s="357">
        <v>-99996</v>
      </c>
      <c r="CQ153" s="357">
        <v>0</v>
      </c>
      <c r="CR153" s="357"/>
      <c r="CS153" s="357">
        <v>-99996</v>
      </c>
      <c r="CT153" s="357">
        <v>-99996</v>
      </c>
      <c r="CU153" s="357">
        <v>-99996</v>
      </c>
      <c r="CV153" s="357">
        <v>0</v>
      </c>
      <c r="CW153" s="357">
        <v>0</v>
      </c>
      <c r="CX153" s="357">
        <v>0</v>
      </c>
      <c r="CY153" s="357">
        <v>0</v>
      </c>
      <c r="CZ153" s="357">
        <v>-99996</v>
      </c>
      <c r="DA153" s="357">
        <v>0</v>
      </c>
      <c r="DB153" s="357"/>
      <c r="DC153" s="357">
        <v>-99996</v>
      </c>
      <c r="DD153" s="357">
        <v>-99996</v>
      </c>
      <c r="DE153" s="357">
        <v>-99996</v>
      </c>
      <c r="DF153" s="357">
        <v>0</v>
      </c>
      <c r="DG153" s="357">
        <v>0</v>
      </c>
      <c r="DH153" s="357">
        <v>0</v>
      </c>
      <c r="DI153" s="357">
        <v>0</v>
      </c>
      <c r="DJ153" s="357">
        <v>-99996</v>
      </c>
      <c r="DK153" s="373">
        <v>0</v>
      </c>
    </row>
    <row r="154" spans="1:116" x14ac:dyDescent="0.3">
      <c r="A154" s="364"/>
      <c r="C154" s="366"/>
      <c r="D154" s="373"/>
      <c r="E154" s="373"/>
      <c r="F154" s="373"/>
      <c r="G154" s="367"/>
      <c r="H154" s="373"/>
      <c r="I154" s="373"/>
      <c r="J154" s="373"/>
      <c r="K154" s="373"/>
      <c r="L154" s="373"/>
      <c r="M154" s="373"/>
      <c r="N154" s="373"/>
      <c r="O154" s="373"/>
      <c r="P154" s="373"/>
      <c r="Q154" s="373"/>
      <c r="R154" s="373"/>
      <c r="S154" s="373"/>
      <c r="T154" s="373"/>
      <c r="U154" s="373"/>
      <c r="V154" s="373"/>
      <c r="W154" s="373"/>
      <c r="X154" s="373"/>
      <c r="Y154" s="373"/>
      <c r="AB154" s="373"/>
      <c r="AC154" s="373"/>
      <c r="AD154" s="373"/>
      <c r="AE154" s="373"/>
      <c r="AH154" s="373"/>
      <c r="AI154" s="365"/>
      <c r="AK154" s="365"/>
      <c r="AL154" s="365"/>
      <c r="AM154" s="365"/>
      <c r="AN154" s="365"/>
      <c r="AO154" s="365"/>
      <c r="AP154" s="365"/>
      <c r="AQ154" s="365"/>
      <c r="AR154" s="365"/>
      <c r="AS154" s="365"/>
      <c r="AT154" s="365"/>
      <c r="AU154" s="365"/>
      <c r="AV154" s="365"/>
      <c r="AW154" s="365"/>
    </row>
    <row r="155" spans="1:116" x14ac:dyDescent="0.3">
      <c r="A155" s="364"/>
      <c r="C155" s="366"/>
      <c r="D155" s="373"/>
      <c r="E155" s="373"/>
      <c r="F155" s="373"/>
      <c r="G155" s="367"/>
      <c r="H155" s="373"/>
      <c r="I155" s="373"/>
      <c r="J155" s="373"/>
      <c r="K155" s="373"/>
      <c r="L155" s="373"/>
      <c r="M155" s="373"/>
      <c r="N155" s="373"/>
      <c r="O155" s="373"/>
      <c r="P155" s="373"/>
      <c r="Q155" s="373"/>
      <c r="R155" s="373"/>
      <c r="S155" s="373"/>
      <c r="T155" s="373"/>
      <c r="U155" s="373"/>
      <c r="V155" s="373"/>
      <c r="W155" s="373"/>
      <c r="X155" s="373"/>
      <c r="Y155" s="373"/>
      <c r="AB155" s="373"/>
      <c r="AC155" s="373"/>
      <c r="AD155" s="373"/>
      <c r="AE155" s="373"/>
      <c r="AH155" s="373"/>
      <c r="AI155" s="365"/>
      <c r="AK155" s="365"/>
      <c r="AL155" s="365"/>
      <c r="AM155" s="365"/>
      <c r="AN155" s="365"/>
      <c r="AO155" s="365"/>
      <c r="AP155" s="365"/>
      <c r="AQ155" s="365"/>
      <c r="AR155" s="365"/>
      <c r="AS155" s="365"/>
      <c r="AT155" s="365"/>
      <c r="AU155" s="365"/>
      <c r="AV155" s="365"/>
      <c r="AW155" s="365"/>
    </row>
    <row r="156" spans="1:116" x14ac:dyDescent="0.3">
      <c r="A156" s="364"/>
      <c r="C156" s="366"/>
      <c r="D156" s="373"/>
      <c r="E156" s="373"/>
      <c r="F156" s="373"/>
      <c r="G156" s="367"/>
      <c r="H156" s="373"/>
      <c r="I156" s="373"/>
      <c r="J156" s="373"/>
      <c r="K156" s="373"/>
      <c r="L156" s="373"/>
      <c r="M156" s="373"/>
      <c r="N156" s="373"/>
      <c r="O156" s="373"/>
      <c r="P156" s="373"/>
      <c r="Q156" s="373"/>
      <c r="R156" s="373"/>
      <c r="S156" s="373"/>
      <c r="T156" s="373"/>
      <c r="U156" s="373"/>
      <c r="V156" s="373"/>
      <c r="W156" s="373"/>
      <c r="X156" s="373"/>
      <c r="Y156" s="373"/>
      <c r="AB156" s="373"/>
      <c r="AC156" s="373"/>
      <c r="AD156" s="373"/>
      <c r="AE156" s="373"/>
      <c r="AH156" s="373"/>
      <c r="AI156" s="365"/>
      <c r="AK156" s="365"/>
      <c r="AL156" s="365"/>
      <c r="AM156" s="365"/>
      <c r="AN156" s="365"/>
      <c r="AO156" s="365"/>
      <c r="AP156" s="365"/>
      <c r="AQ156" s="365"/>
      <c r="AR156" s="365"/>
      <c r="AS156" s="365"/>
      <c r="AT156" s="104" t="s">
        <v>1126</v>
      </c>
      <c r="AU156" s="104"/>
      <c r="AV156" s="104"/>
      <c r="AW156" s="104"/>
      <c r="AX156" s="104"/>
      <c r="AY156" s="104"/>
      <c r="AZ156" s="104"/>
      <c r="BA156" s="104"/>
      <c r="BB156" s="104"/>
      <c r="BC156" s="104"/>
      <c r="BD156" s="104"/>
      <c r="BE156" s="104"/>
      <c r="BF156" s="104"/>
      <c r="BG156" s="104"/>
      <c r="BH156" s="104"/>
      <c r="BI156" s="104"/>
      <c r="BJ156" s="104"/>
      <c r="BK156" s="104"/>
      <c r="BL156" s="104"/>
      <c r="BM156" s="104"/>
      <c r="BN156" s="104"/>
      <c r="BO156" s="104"/>
      <c r="BP156" s="104"/>
      <c r="BQ156" s="104"/>
      <c r="BR156" s="104"/>
      <c r="BS156" s="104"/>
      <c r="BT156" s="104"/>
      <c r="BU156" s="104"/>
      <c r="BV156" s="104"/>
      <c r="BW156" s="104"/>
      <c r="BX156" s="104"/>
      <c r="BY156" s="104"/>
      <c r="BZ156" s="104"/>
      <c r="CA156" s="104"/>
      <c r="CD156" s="50" t="s">
        <v>1126</v>
      </c>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row>
    <row r="157" spans="1:116" x14ac:dyDescent="0.3">
      <c r="A157" s="364"/>
      <c r="C157" s="366"/>
      <c r="D157" s="373"/>
      <c r="E157" s="373"/>
      <c r="F157" s="373"/>
      <c r="G157" s="367"/>
      <c r="H157" s="373"/>
      <c r="I157" s="373"/>
      <c r="J157" s="373"/>
      <c r="K157" s="373"/>
      <c r="L157" s="373"/>
      <c r="M157" s="373"/>
      <c r="N157" s="373"/>
      <c r="O157" s="373"/>
      <c r="P157" s="373"/>
      <c r="Q157" s="373"/>
      <c r="R157" s="373"/>
      <c r="S157" s="373"/>
      <c r="T157" s="373"/>
      <c r="U157" s="373"/>
      <c r="V157" s="373"/>
      <c r="W157" s="373"/>
      <c r="X157" s="373"/>
      <c r="Y157" s="373"/>
      <c r="AB157" s="373"/>
      <c r="AC157" s="373"/>
      <c r="AD157" s="373"/>
      <c r="AE157" s="373"/>
      <c r="AH157" s="373"/>
      <c r="AI157" s="365"/>
      <c r="AK157" s="365"/>
      <c r="AL157" s="365"/>
      <c r="AM157" s="365"/>
      <c r="AN157" s="365"/>
      <c r="AO157" s="365"/>
      <c r="AP157" s="365"/>
      <c r="AQ157" s="365"/>
      <c r="AR157" s="365"/>
      <c r="AS157" s="365"/>
      <c r="AT157" s="845" t="s">
        <v>1127</v>
      </c>
      <c r="AU157" s="365"/>
      <c r="AV157" s="365"/>
      <c r="AW157" s="365"/>
      <c r="CD157" s="606" t="s">
        <v>1127</v>
      </c>
    </row>
    <row r="158" spans="1:116" x14ac:dyDescent="0.3">
      <c r="A158" s="364"/>
      <c r="C158" s="366"/>
      <c r="D158" s="373"/>
      <c r="E158" s="373"/>
      <c r="F158" s="373"/>
      <c r="G158" s="367"/>
      <c r="H158" s="373"/>
      <c r="I158" s="373"/>
      <c r="J158" s="373"/>
      <c r="K158" s="373"/>
      <c r="L158" s="373"/>
      <c r="M158" s="373"/>
      <c r="N158" s="373"/>
      <c r="O158" s="373"/>
      <c r="P158" s="373"/>
      <c r="Q158" s="373"/>
      <c r="R158" s="373"/>
      <c r="S158" s="373"/>
      <c r="T158" s="373"/>
      <c r="U158" s="373"/>
      <c r="V158" s="373"/>
      <c r="W158" s="373"/>
      <c r="X158" s="373"/>
      <c r="Y158" s="373"/>
      <c r="AB158" s="373"/>
      <c r="AC158" s="373"/>
      <c r="AD158" s="373"/>
      <c r="AE158" s="373"/>
      <c r="AH158" s="373"/>
      <c r="AI158" s="365"/>
      <c r="AK158" s="365"/>
      <c r="AL158" s="365"/>
      <c r="AM158" s="365"/>
      <c r="AN158" s="365"/>
      <c r="AO158" s="365"/>
      <c r="AP158" s="365"/>
      <c r="AQ158" s="365"/>
      <c r="AR158" s="365"/>
      <c r="AS158" s="365"/>
      <c r="AT158" s="365"/>
      <c r="AU158" s="365"/>
      <c r="AV158" s="365" t="s">
        <v>1128</v>
      </c>
      <c r="AW158" s="365"/>
      <c r="BA158" s="373" t="s">
        <v>1129</v>
      </c>
      <c r="BD158" s="373" t="s">
        <v>1130</v>
      </c>
      <c r="BJ158" s="373" t="s">
        <v>1131</v>
      </c>
      <c r="BL158" s="373" t="s">
        <v>1132</v>
      </c>
      <c r="BN158" s="373" t="s">
        <v>1133</v>
      </c>
      <c r="BP158" s="373" t="s">
        <v>1134</v>
      </c>
      <c r="CF158" s="373" t="s">
        <v>1128</v>
      </c>
      <c r="CK158" s="373" t="s">
        <v>1129</v>
      </c>
      <c r="CN158" s="373" t="s">
        <v>1130</v>
      </c>
      <c r="CT158" s="373" t="s">
        <v>1131</v>
      </c>
      <c r="CV158" s="373" t="s">
        <v>1132</v>
      </c>
      <c r="CX158" s="373" t="s">
        <v>1133</v>
      </c>
      <c r="CZ158" s="373" t="s">
        <v>1134</v>
      </c>
    </row>
    <row r="159" spans="1:116" x14ac:dyDescent="0.3">
      <c r="A159" s="364"/>
      <c r="C159" s="366"/>
      <c r="D159" s="373"/>
      <c r="E159" s="373"/>
      <c r="F159" s="373"/>
      <c r="G159" s="367"/>
      <c r="H159" s="373"/>
      <c r="I159" s="373"/>
      <c r="J159" s="373"/>
      <c r="K159" s="373"/>
      <c r="L159" s="373"/>
      <c r="M159" s="373"/>
      <c r="N159" s="373"/>
      <c r="O159" s="373"/>
      <c r="P159" s="373"/>
      <c r="Q159" s="373"/>
      <c r="R159" s="373"/>
      <c r="S159" s="373"/>
      <c r="T159" s="373"/>
      <c r="U159" s="373"/>
      <c r="V159" s="373"/>
      <c r="W159" s="373"/>
      <c r="X159" s="373"/>
      <c r="Y159" s="373"/>
      <c r="AB159" s="373"/>
      <c r="AC159" s="373"/>
      <c r="AD159" s="373"/>
      <c r="AE159" s="373"/>
      <c r="AH159" s="373"/>
      <c r="AI159" s="365"/>
      <c r="AK159" s="365"/>
      <c r="AL159" s="365"/>
      <c r="AM159" s="365"/>
      <c r="AN159" s="365"/>
      <c r="AO159" s="365"/>
      <c r="AP159" s="365"/>
      <c r="AQ159" s="365"/>
      <c r="AR159" s="365"/>
      <c r="AS159" s="365"/>
      <c r="AT159" s="365" t="s">
        <v>121</v>
      </c>
      <c r="AU159" s="365" t="s">
        <v>954</v>
      </c>
      <c r="AV159" s="365" t="s">
        <v>861</v>
      </c>
      <c r="AW159" s="365" t="s">
        <v>1135</v>
      </c>
      <c r="AX159" s="373" t="s">
        <v>1136</v>
      </c>
      <c r="AY159" s="373" t="s">
        <v>1137</v>
      </c>
      <c r="AZ159" s="373" t="s">
        <v>1046</v>
      </c>
      <c r="BA159" s="373" t="s">
        <v>861</v>
      </c>
      <c r="BB159" s="373" t="s">
        <v>1138</v>
      </c>
      <c r="BC159" s="373" t="s">
        <v>381</v>
      </c>
      <c r="BD159" s="373" t="s">
        <v>861</v>
      </c>
      <c r="BE159" s="373" t="s">
        <v>1138</v>
      </c>
      <c r="BF159" s="373" t="s">
        <v>1139</v>
      </c>
      <c r="BG159" s="373" t="s">
        <v>381</v>
      </c>
      <c r="BH159" s="373" t="s">
        <v>1140</v>
      </c>
      <c r="BI159" s="373" t="s">
        <v>1141</v>
      </c>
      <c r="BJ159" s="373" t="s">
        <v>1142</v>
      </c>
      <c r="BK159" s="373" t="s">
        <v>381</v>
      </c>
      <c r="BL159" s="373" t="s">
        <v>1142</v>
      </c>
      <c r="BM159" s="373" t="s">
        <v>381</v>
      </c>
      <c r="BN159" s="373" t="s">
        <v>1142</v>
      </c>
      <c r="BO159" s="373" t="s">
        <v>381</v>
      </c>
      <c r="BP159" s="373" t="s">
        <v>1142</v>
      </c>
      <c r="BQ159" s="373" t="s">
        <v>381</v>
      </c>
      <c r="CD159" s="373" t="s">
        <v>121</v>
      </c>
      <c r="CE159" s="373" t="s">
        <v>954</v>
      </c>
      <c r="CF159" s="373" t="s">
        <v>861</v>
      </c>
      <c r="CG159" s="373" t="s">
        <v>1135</v>
      </c>
      <c r="CH159" s="373" t="s">
        <v>1136</v>
      </c>
      <c r="CI159" s="373" t="s">
        <v>1137</v>
      </c>
      <c r="CJ159" s="373" t="s">
        <v>1046</v>
      </c>
      <c r="CK159" s="373" t="s">
        <v>861</v>
      </c>
      <c r="CL159" s="373" t="s">
        <v>1138</v>
      </c>
      <c r="CM159" s="373" t="s">
        <v>381</v>
      </c>
      <c r="CN159" s="373" t="s">
        <v>861</v>
      </c>
      <c r="CO159" s="373" t="s">
        <v>1138</v>
      </c>
      <c r="CP159" s="373" t="s">
        <v>1139</v>
      </c>
      <c r="CQ159" s="373" t="s">
        <v>381</v>
      </c>
      <c r="CR159" s="373" t="s">
        <v>1140</v>
      </c>
      <c r="CS159" s="373" t="s">
        <v>1141</v>
      </c>
      <c r="CT159" s="373" t="s">
        <v>1142</v>
      </c>
      <c r="CU159" s="373" t="s">
        <v>381</v>
      </c>
      <c r="CV159" s="373" t="s">
        <v>1142</v>
      </c>
      <c r="CW159" s="373" t="s">
        <v>381</v>
      </c>
      <c r="CX159" s="373" t="s">
        <v>1142</v>
      </c>
      <c r="CY159" s="373" t="s">
        <v>381</v>
      </c>
      <c r="CZ159" s="373" t="s">
        <v>1142</v>
      </c>
      <c r="DA159" s="373" t="s">
        <v>381</v>
      </c>
    </row>
    <row r="160" spans="1:116" s="373" customFormat="1" x14ac:dyDescent="0.3">
      <c r="A160" s="364"/>
      <c r="B160" s="92"/>
      <c r="C160" s="366"/>
      <c r="G160" s="367"/>
      <c r="AI160" s="365"/>
      <c r="AK160" s="365"/>
      <c r="AL160" s="365"/>
      <c r="AM160" s="365"/>
      <c r="AN160" s="365"/>
      <c r="AO160" s="365"/>
      <c r="AP160" s="365"/>
      <c r="AQ160" s="365"/>
      <c r="AR160" s="365"/>
      <c r="AS160" s="365"/>
      <c r="AT160" s="365"/>
      <c r="AU160" s="365"/>
      <c r="AV160" s="365" t="s">
        <v>966</v>
      </c>
      <c r="AW160" s="365" t="s">
        <v>966</v>
      </c>
      <c r="AX160" s="373" t="s">
        <v>966</v>
      </c>
      <c r="AY160" s="373" t="s">
        <v>966</v>
      </c>
      <c r="AZ160" s="373" t="s">
        <v>1063</v>
      </c>
      <c r="BA160" s="373" t="s">
        <v>1068</v>
      </c>
      <c r="BB160" s="373" t="s">
        <v>1068</v>
      </c>
      <c r="BC160" s="373" t="s">
        <v>1068</v>
      </c>
      <c r="BD160" s="373" t="s">
        <v>1068</v>
      </c>
      <c r="BE160" s="373" t="s">
        <v>1068</v>
      </c>
      <c r="BG160" s="373" t="s">
        <v>1068</v>
      </c>
      <c r="BJ160" s="373" t="s">
        <v>1068</v>
      </c>
      <c r="BK160" s="373" t="s">
        <v>1068</v>
      </c>
      <c r="BL160" s="373" t="s">
        <v>1068</v>
      </c>
      <c r="BM160" s="373" t="s">
        <v>1068</v>
      </c>
      <c r="BN160" s="373" t="s">
        <v>1068</v>
      </c>
      <c r="BO160" s="373" t="s">
        <v>1068</v>
      </c>
      <c r="BP160" s="373" t="s">
        <v>1068</v>
      </c>
      <c r="BQ160" s="373" t="s">
        <v>1068</v>
      </c>
      <c r="CF160" s="373" t="s">
        <v>966</v>
      </c>
      <c r="CG160" s="373" t="s">
        <v>966</v>
      </c>
      <c r="CH160" s="373" t="s">
        <v>966</v>
      </c>
      <c r="CI160" s="373" t="s">
        <v>966</v>
      </c>
      <c r="CJ160" s="373" t="s">
        <v>1063</v>
      </c>
      <c r="CK160" s="373" t="s">
        <v>1068</v>
      </c>
      <c r="CL160" s="373" t="s">
        <v>1068</v>
      </c>
      <c r="CM160" s="373" t="s">
        <v>1068</v>
      </c>
      <c r="CN160" s="373" t="s">
        <v>1068</v>
      </c>
      <c r="CO160" s="373" t="s">
        <v>1068</v>
      </c>
      <c r="CQ160" s="373" t="s">
        <v>1068</v>
      </c>
      <c r="CT160" s="373" t="s">
        <v>1068</v>
      </c>
      <c r="CU160" s="373" t="s">
        <v>1068</v>
      </c>
      <c r="CV160" s="373" t="s">
        <v>1068</v>
      </c>
      <c r="CW160" s="373" t="s">
        <v>1068</v>
      </c>
      <c r="CX160" s="373" t="s">
        <v>1068</v>
      </c>
      <c r="CY160" s="373" t="s">
        <v>1068</v>
      </c>
      <c r="CZ160" s="373" t="s">
        <v>1068</v>
      </c>
      <c r="DA160" s="373" t="s">
        <v>1068</v>
      </c>
    </row>
    <row r="161" spans="1:116" s="373" customFormat="1" x14ac:dyDescent="0.3">
      <c r="A161" s="364"/>
      <c r="B161" s="92"/>
      <c r="C161" s="366"/>
      <c r="G161" s="367"/>
      <c r="AI161" s="365"/>
      <c r="AK161" s="365"/>
      <c r="AL161" s="365"/>
      <c r="AM161" s="365"/>
      <c r="AN161" s="365"/>
      <c r="AO161" s="365"/>
      <c r="AP161" s="365"/>
      <c r="AQ161" s="365"/>
      <c r="AR161" s="365"/>
      <c r="AS161" s="365"/>
      <c r="AT161" s="365" t="s">
        <v>1032</v>
      </c>
      <c r="AU161" s="365">
        <v>1</v>
      </c>
      <c r="AV161" s="365">
        <v>38353</v>
      </c>
      <c r="AW161" s="365">
        <v>38353</v>
      </c>
      <c r="AX161" s="373">
        <v>0</v>
      </c>
      <c r="AY161" s="373">
        <v>38353</v>
      </c>
      <c r="AZ161" s="373">
        <v>191.8</v>
      </c>
      <c r="BA161" s="373">
        <v>5753</v>
      </c>
      <c r="BB161" s="373">
        <v>5753</v>
      </c>
      <c r="BC161" s="373">
        <v>0</v>
      </c>
      <c r="BD161" s="373">
        <v>5753</v>
      </c>
      <c r="BE161" s="373">
        <v>5753</v>
      </c>
      <c r="BF161" s="373">
        <v>1</v>
      </c>
      <c r="BG161" s="373">
        <v>0</v>
      </c>
      <c r="BH161" s="373">
        <v>1</v>
      </c>
      <c r="BI161" s="373">
        <v>1</v>
      </c>
      <c r="BJ161" s="373">
        <v>5753</v>
      </c>
      <c r="BK161" s="373">
        <v>0</v>
      </c>
      <c r="BL161" s="373">
        <v>0</v>
      </c>
      <c r="BM161" s="373">
        <v>0</v>
      </c>
      <c r="BN161" s="373">
        <v>0</v>
      </c>
      <c r="BO161" s="373">
        <v>0</v>
      </c>
      <c r="BP161" s="373">
        <v>0</v>
      </c>
      <c r="BQ161" s="373">
        <v>0</v>
      </c>
      <c r="CD161" s="373" t="s">
        <v>1032</v>
      </c>
      <c r="CE161" s="373">
        <v>1</v>
      </c>
      <c r="CF161" s="373">
        <v>38353</v>
      </c>
      <c r="CG161" s="373">
        <v>38353</v>
      </c>
      <c r="CH161" s="373">
        <v>0</v>
      </c>
      <c r="CI161" s="373">
        <v>38353</v>
      </c>
      <c r="CJ161" s="373">
        <v>191.8</v>
      </c>
      <c r="CK161" s="373">
        <v>5753</v>
      </c>
      <c r="CL161" s="373">
        <v>5753</v>
      </c>
      <c r="CM161" s="373">
        <v>0</v>
      </c>
      <c r="CN161" s="373">
        <v>5753</v>
      </c>
      <c r="CO161" s="373">
        <v>5753</v>
      </c>
      <c r="CP161" s="373">
        <v>1</v>
      </c>
      <c r="CQ161" s="373">
        <v>0</v>
      </c>
      <c r="CR161" s="373">
        <v>1</v>
      </c>
      <c r="CS161" s="373">
        <v>1</v>
      </c>
      <c r="CT161" s="373">
        <v>5753</v>
      </c>
      <c r="CU161" s="373">
        <v>0</v>
      </c>
      <c r="CV161" s="373">
        <v>0</v>
      </c>
      <c r="CW161" s="373">
        <v>0</v>
      </c>
      <c r="CX161" s="373">
        <v>0</v>
      </c>
      <c r="CY161" s="373">
        <v>0</v>
      </c>
      <c r="CZ161" s="373">
        <v>0</v>
      </c>
      <c r="DA161" s="373">
        <v>0</v>
      </c>
    </row>
    <row r="162" spans="1:116" s="373" customFormat="1" x14ac:dyDescent="0.3">
      <c r="A162" s="364"/>
      <c r="B162" s="92"/>
      <c r="C162" s="366"/>
      <c r="G162" s="367"/>
      <c r="AI162" s="365"/>
      <c r="AK162" s="365"/>
      <c r="AL162" s="365"/>
      <c r="AM162" s="365"/>
      <c r="AN162" s="365"/>
      <c r="AO162" s="365"/>
      <c r="AP162" s="365"/>
      <c r="AQ162" s="365"/>
      <c r="AR162" s="365"/>
      <c r="AS162" s="365"/>
      <c r="AT162" s="365" t="s">
        <v>1033</v>
      </c>
      <c r="AU162" s="365">
        <v>1</v>
      </c>
      <c r="AV162" s="365">
        <v>38353</v>
      </c>
      <c r="AW162" s="365">
        <v>38353</v>
      </c>
      <c r="AX162" s="373">
        <v>0</v>
      </c>
      <c r="AY162" s="373">
        <v>38353</v>
      </c>
      <c r="AZ162" s="373">
        <v>396.8</v>
      </c>
      <c r="BA162" s="373">
        <v>8574</v>
      </c>
      <c r="BB162" s="373">
        <v>8574</v>
      </c>
      <c r="BC162" s="373">
        <v>0</v>
      </c>
      <c r="BD162" s="373">
        <v>8574</v>
      </c>
      <c r="BE162" s="373">
        <v>8574</v>
      </c>
      <c r="BF162" s="373">
        <v>1</v>
      </c>
      <c r="BG162" s="373">
        <v>0</v>
      </c>
      <c r="BH162" s="373">
        <v>1</v>
      </c>
      <c r="BI162" s="373">
        <v>1</v>
      </c>
      <c r="BJ162" s="373">
        <v>8574</v>
      </c>
      <c r="BK162" s="373">
        <v>0</v>
      </c>
      <c r="BL162" s="373">
        <v>0</v>
      </c>
      <c r="BM162" s="373">
        <v>0</v>
      </c>
      <c r="BN162" s="373">
        <v>0</v>
      </c>
      <c r="BO162" s="373">
        <v>0</v>
      </c>
      <c r="BP162" s="373">
        <v>0</v>
      </c>
      <c r="BQ162" s="373">
        <v>0</v>
      </c>
      <c r="CD162" s="373" t="s">
        <v>1033</v>
      </c>
      <c r="CE162" s="373">
        <v>1</v>
      </c>
      <c r="CF162" s="373">
        <v>38353</v>
      </c>
      <c r="CG162" s="373">
        <v>38353</v>
      </c>
      <c r="CH162" s="373">
        <v>0</v>
      </c>
      <c r="CI162" s="373">
        <v>38353</v>
      </c>
      <c r="CJ162" s="373">
        <v>396.8</v>
      </c>
      <c r="CK162" s="373">
        <v>8574</v>
      </c>
      <c r="CL162" s="373">
        <v>8574</v>
      </c>
      <c r="CM162" s="373">
        <v>0</v>
      </c>
      <c r="CN162" s="373">
        <v>8574</v>
      </c>
      <c r="CO162" s="373">
        <v>8574</v>
      </c>
      <c r="CP162" s="373">
        <v>1</v>
      </c>
      <c r="CQ162" s="373">
        <v>0</v>
      </c>
      <c r="CR162" s="373">
        <v>1</v>
      </c>
      <c r="CS162" s="373">
        <v>1</v>
      </c>
      <c r="CT162" s="373">
        <v>8574</v>
      </c>
      <c r="CU162" s="373">
        <v>0</v>
      </c>
      <c r="CV162" s="373">
        <v>0</v>
      </c>
      <c r="CW162" s="373">
        <v>0</v>
      </c>
      <c r="CX162" s="373">
        <v>0</v>
      </c>
      <c r="CY162" s="373">
        <v>0</v>
      </c>
      <c r="CZ162" s="373">
        <v>0</v>
      </c>
      <c r="DA162" s="373">
        <v>0</v>
      </c>
    </row>
    <row r="163" spans="1:116" s="373" customFormat="1" x14ac:dyDescent="0.3">
      <c r="A163" s="364"/>
      <c r="B163" s="92"/>
      <c r="C163" s="366"/>
      <c r="G163" s="367"/>
      <c r="AI163" s="365"/>
      <c r="AK163" s="365"/>
      <c r="AL163" s="365"/>
      <c r="AM163" s="365"/>
      <c r="AN163" s="365"/>
      <c r="AO163" s="365"/>
      <c r="AP163" s="365"/>
      <c r="AQ163" s="365"/>
      <c r="AR163" s="365"/>
      <c r="AS163" s="365"/>
      <c r="AT163" s="365" t="s">
        <v>1034</v>
      </c>
      <c r="AU163" s="365">
        <v>5</v>
      </c>
      <c r="AV163" s="365">
        <v>191764.9</v>
      </c>
      <c r="AW163" s="365">
        <v>191764.9</v>
      </c>
      <c r="AX163" s="373">
        <v>0</v>
      </c>
      <c r="AY163" s="373">
        <v>191764.9</v>
      </c>
      <c r="AZ163" s="373">
        <v>958.8</v>
      </c>
      <c r="BA163" s="373">
        <v>6585</v>
      </c>
      <c r="BB163" s="373">
        <v>6585</v>
      </c>
      <c r="BC163" s="373">
        <v>0</v>
      </c>
      <c r="BD163" s="373">
        <v>0</v>
      </c>
      <c r="BE163" s="373">
        <v>0</v>
      </c>
      <c r="BF163" s="373">
        <v>1</v>
      </c>
      <c r="BG163" s="373">
        <v>0</v>
      </c>
      <c r="BH163" s="373">
        <v>1</v>
      </c>
      <c r="BI163" s="373">
        <v>1</v>
      </c>
      <c r="BJ163" s="373">
        <v>6585</v>
      </c>
      <c r="BK163" s="373">
        <v>0</v>
      </c>
      <c r="BL163" s="373">
        <v>0</v>
      </c>
      <c r="BM163" s="373">
        <v>0</v>
      </c>
      <c r="BN163" s="373">
        <v>0</v>
      </c>
      <c r="BO163" s="373">
        <v>0</v>
      </c>
      <c r="BP163" s="373">
        <v>0</v>
      </c>
      <c r="BQ163" s="373">
        <v>0</v>
      </c>
      <c r="CD163" s="373" t="s">
        <v>1034</v>
      </c>
      <c r="CE163" s="373">
        <v>5</v>
      </c>
      <c r="CF163" s="373">
        <v>191764.9</v>
      </c>
      <c r="CG163" s="373">
        <v>191764.9</v>
      </c>
      <c r="CH163" s="373">
        <v>0</v>
      </c>
      <c r="CI163" s="373">
        <v>191764.9</v>
      </c>
      <c r="CJ163" s="373">
        <v>958.8</v>
      </c>
      <c r="CK163" s="373">
        <v>6585</v>
      </c>
      <c r="CL163" s="373">
        <v>6585</v>
      </c>
      <c r="CM163" s="373">
        <v>0</v>
      </c>
      <c r="CN163" s="373">
        <v>0</v>
      </c>
      <c r="CO163" s="373">
        <v>0</v>
      </c>
      <c r="CP163" s="373">
        <v>1</v>
      </c>
      <c r="CQ163" s="373">
        <v>0</v>
      </c>
      <c r="CR163" s="373">
        <v>1</v>
      </c>
      <c r="CS163" s="373">
        <v>1</v>
      </c>
      <c r="CT163" s="373">
        <v>6585</v>
      </c>
      <c r="CU163" s="373">
        <v>0</v>
      </c>
      <c r="CV163" s="373">
        <v>0</v>
      </c>
      <c r="CW163" s="373">
        <v>0</v>
      </c>
      <c r="CX163" s="373">
        <v>0</v>
      </c>
      <c r="CY163" s="373">
        <v>0</v>
      </c>
      <c r="CZ163" s="373">
        <v>0</v>
      </c>
      <c r="DA163" s="373">
        <v>0</v>
      </c>
    </row>
    <row r="164" spans="1:116" s="373" customFormat="1" x14ac:dyDescent="0.3">
      <c r="A164" s="364"/>
      <c r="B164" s="92"/>
      <c r="C164" s="366"/>
      <c r="G164" s="367"/>
      <c r="AI164" s="365"/>
      <c r="AK164" s="365"/>
      <c r="AL164" s="365"/>
      <c r="AM164" s="365"/>
      <c r="AN164" s="365"/>
      <c r="AO164" s="365"/>
      <c r="AP164" s="365"/>
      <c r="AQ164" s="365"/>
      <c r="AR164" s="365"/>
      <c r="AS164" s="365"/>
      <c r="AT164" s="365" t="s">
        <v>1035</v>
      </c>
      <c r="AU164" s="365">
        <v>5</v>
      </c>
      <c r="AV164" s="365">
        <v>191764.9</v>
      </c>
      <c r="AW164" s="365">
        <v>191764.9</v>
      </c>
      <c r="AX164" s="373">
        <v>0</v>
      </c>
      <c r="AY164" s="373">
        <v>191764.9</v>
      </c>
      <c r="AZ164" s="373">
        <v>958.8</v>
      </c>
      <c r="BA164" s="373">
        <v>5753</v>
      </c>
      <c r="BB164" s="373">
        <v>5753</v>
      </c>
      <c r="BC164" s="373">
        <v>0</v>
      </c>
      <c r="BD164" s="373">
        <v>5753</v>
      </c>
      <c r="BE164" s="373">
        <v>5753</v>
      </c>
      <c r="BF164" s="373">
        <v>1</v>
      </c>
      <c r="BG164" s="373">
        <v>0</v>
      </c>
      <c r="BH164" s="373">
        <v>1</v>
      </c>
      <c r="BI164" s="373">
        <v>1</v>
      </c>
      <c r="BJ164" s="373">
        <v>5753</v>
      </c>
      <c r="BK164" s="373">
        <v>0</v>
      </c>
      <c r="BL164" s="373">
        <v>0</v>
      </c>
      <c r="BM164" s="373">
        <v>0</v>
      </c>
      <c r="BN164" s="373">
        <v>0</v>
      </c>
      <c r="BO164" s="373">
        <v>0</v>
      </c>
      <c r="BP164" s="373">
        <v>0</v>
      </c>
      <c r="BQ164" s="373">
        <v>0</v>
      </c>
      <c r="CD164" s="373" t="s">
        <v>1035</v>
      </c>
      <c r="CE164" s="373">
        <v>5</v>
      </c>
      <c r="CF164" s="373">
        <v>191764.9</v>
      </c>
      <c r="CG164" s="373">
        <v>191764.9</v>
      </c>
      <c r="CH164" s="373">
        <v>0</v>
      </c>
      <c r="CI164" s="373">
        <v>191764.9</v>
      </c>
      <c r="CJ164" s="373">
        <v>958.8</v>
      </c>
      <c r="CK164" s="373">
        <v>5753</v>
      </c>
      <c r="CL164" s="373">
        <v>5753</v>
      </c>
      <c r="CM164" s="373">
        <v>0</v>
      </c>
      <c r="CN164" s="373">
        <v>5753</v>
      </c>
      <c r="CO164" s="373">
        <v>5753</v>
      </c>
      <c r="CP164" s="373">
        <v>1</v>
      </c>
      <c r="CQ164" s="373">
        <v>0</v>
      </c>
      <c r="CR164" s="373">
        <v>1</v>
      </c>
      <c r="CS164" s="373">
        <v>1</v>
      </c>
      <c r="CT164" s="373">
        <v>5753</v>
      </c>
      <c r="CU164" s="373">
        <v>0</v>
      </c>
      <c r="CV164" s="373">
        <v>0</v>
      </c>
      <c r="CW164" s="373">
        <v>0</v>
      </c>
      <c r="CX164" s="373">
        <v>0</v>
      </c>
      <c r="CY164" s="373">
        <v>0</v>
      </c>
      <c r="CZ164" s="373">
        <v>0</v>
      </c>
      <c r="DA164" s="373">
        <v>0</v>
      </c>
    </row>
    <row r="165" spans="1:116" s="373" customFormat="1" x14ac:dyDescent="0.3">
      <c r="A165" s="364"/>
      <c r="B165" s="92"/>
      <c r="C165" s="366"/>
      <c r="G165" s="367"/>
      <c r="AI165" s="365"/>
      <c r="AK165" s="365"/>
      <c r="AL165" s="365"/>
      <c r="AM165" s="365"/>
      <c r="AN165" s="365"/>
      <c r="AO165" s="365"/>
      <c r="AP165" s="365"/>
      <c r="AQ165" s="365"/>
      <c r="AR165" s="365"/>
      <c r="AS165" s="365"/>
      <c r="AT165" s="365" t="s">
        <v>1036</v>
      </c>
      <c r="AU165" s="365">
        <v>1</v>
      </c>
      <c r="AV165" s="365">
        <v>38353</v>
      </c>
      <c r="AW165" s="365">
        <v>38353</v>
      </c>
      <c r="AX165" s="373">
        <v>0</v>
      </c>
      <c r="AY165" s="373">
        <v>38353</v>
      </c>
      <c r="AZ165" s="373">
        <v>1216.9000000000001</v>
      </c>
      <c r="BA165" s="373">
        <v>18416</v>
      </c>
      <c r="BB165" s="373">
        <v>18416</v>
      </c>
      <c r="BC165" s="373">
        <v>0</v>
      </c>
      <c r="BD165" s="373">
        <v>18416</v>
      </c>
      <c r="BE165" s="373">
        <v>18416</v>
      </c>
      <c r="BF165" s="373">
        <v>1</v>
      </c>
      <c r="BG165" s="373">
        <v>0</v>
      </c>
      <c r="BH165" s="373">
        <v>1</v>
      </c>
      <c r="BI165" s="373">
        <v>1</v>
      </c>
      <c r="BJ165" s="373">
        <v>18416</v>
      </c>
      <c r="BK165" s="373">
        <v>0</v>
      </c>
      <c r="BL165" s="373">
        <v>0</v>
      </c>
      <c r="BM165" s="373">
        <v>0</v>
      </c>
      <c r="BN165" s="373">
        <v>0</v>
      </c>
      <c r="BO165" s="373">
        <v>0</v>
      </c>
      <c r="BP165" s="373">
        <v>0</v>
      </c>
      <c r="BQ165" s="373">
        <v>0</v>
      </c>
      <c r="CD165" s="373" t="s">
        <v>1036</v>
      </c>
      <c r="CE165" s="373">
        <v>1</v>
      </c>
      <c r="CF165" s="373">
        <v>38353</v>
      </c>
      <c r="CG165" s="373">
        <v>38353</v>
      </c>
      <c r="CH165" s="373">
        <v>0</v>
      </c>
      <c r="CI165" s="373">
        <v>38353</v>
      </c>
      <c r="CJ165" s="373">
        <v>1216.9000000000001</v>
      </c>
      <c r="CK165" s="373">
        <v>18416</v>
      </c>
      <c r="CL165" s="373">
        <v>18416</v>
      </c>
      <c r="CM165" s="373">
        <v>0</v>
      </c>
      <c r="CN165" s="373">
        <v>18416</v>
      </c>
      <c r="CO165" s="373">
        <v>18416</v>
      </c>
      <c r="CP165" s="373">
        <v>1</v>
      </c>
      <c r="CQ165" s="373">
        <v>0</v>
      </c>
      <c r="CR165" s="373">
        <v>1</v>
      </c>
      <c r="CS165" s="373">
        <v>1</v>
      </c>
      <c r="CT165" s="373">
        <v>18416</v>
      </c>
      <c r="CU165" s="373">
        <v>0</v>
      </c>
      <c r="CV165" s="373">
        <v>0</v>
      </c>
      <c r="CW165" s="373">
        <v>0</v>
      </c>
      <c r="CX165" s="373">
        <v>0</v>
      </c>
      <c r="CY165" s="373">
        <v>0</v>
      </c>
      <c r="CZ165" s="373">
        <v>0</v>
      </c>
      <c r="DA165" s="373">
        <v>0</v>
      </c>
    </row>
    <row r="166" spans="1:116" s="373" customFormat="1" x14ac:dyDescent="0.3">
      <c r="A166" s="364"/>
      <c r="B166" s="92"/>
      <c r="C166" s="366"/>
      <c r="G166" s="367"/>
      <c r="AI166" s="365"/>
      <c r="AK166" s="365"/>
      <c r="AL166" s="365"/>
      <c r="AM166" s="365"/>
      <c r="AN166" s="365"/>
      <c r="AO166" s="365"/>
      <c r="AP166" s="365"/>
      <c r="AQ166" s="365"/>
      <c r="AR166" s="365"/>
      <c r="AS166" s="365"/>
      <c r="AT166" s="365"/>
      <c r="AU166" s="365"/>
      <c r="AV166" s="365"/>
      <c r="AW166" s="365"/>
    </row>
    <row r="167" spans="1:116" s="373" customFormat="1" x14ac:dyDescent="0.3">
      <c r="A167" s="364"/>
      <c r="B167" s="92"/>
      <c r="C167" s="366"/>
      <c r="G167" s="367"/>
      <c r="AI167" s="365"/>
      <c r="AK167" s="365"/>
      <c r="AL167" s="365"/>
      <c r="AM167" s="365"/>
      <c r="AN167" s="365"/>
      <c r="AO167" s="365"/>
      <c r="AP167" s="365"/>
      <c r="AQ167" s="365"/>
      <c r="AR167" s="365"/>
      <c r="AS167" s="365"/>
      <c r="AT167" s="104" t="s">
        <v>1126</v>
      </c>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D167" s="50" t="s">
        <v>1126</v>
      </c>
      <c r="CE167" s="50"/>
      <c r="CF167" s="50"/>
      <c r="CG167" s="50"/>
      <c r="CH167" s="50"/>
      <c r="CI167" s="50"/>
      <c r="CJ167" s="50"/>
      <c r="CK167" s="50"/>
      <c r="CL167" s="50"/>
      <c r="CM167" s="50"/>
      <c r="CN167" s="50"/>
      <c r="CO167" s="50"/>
      <c r="CP167" s="50"/>
      <c r="CQ167" s="50"/>
      <c r="CR167" s="50"/>
      <c r="CS167" s="50"/>
      <c r="CT167" s="50"/>
      <c r="CU167" s="50"/>
      <c r="CV167" s="50"/>
      <c r="CW167" s="50"/>
      <c r="CX167" s="50"/>
      <c r="CY167" s="50"/>
      <c r="CZ167" s="50"/>
      <c r="DA167" s="50"/>
      <c r="DB167" s="50"/>
      <c r="DC167" s="50"/>
      <c r="DD167" s="50"/>
      <c r="DE167" s="50"/>
      <c r="DF167" s="50"/>
      <c r="DG167" s="50"/>
      <c r="DH167" s="50"/>
      <c r="DI167" s="50"/>
      <c r="DJ167" s="50"/>
      <c r="DK167" s="50"/>
      <c r="DL167" s="50"/>
    </row>
    <row r="168" spans="1:116" s="373" customFormat="1" x14ac:dyDescent="0.3">
      <c r="A168" s="364"/>
      <c r="B168" s="92"/>
      <c r="C168" s="366"/>
      <c r="G168" s="367"/>
      <c r="AI168" s="365"/>
      <c r="AK168" s="365"/>
      <c r="AL168" s="365"/>
      <c r="AM168" s="365"/>
      <c r="AN168" s="365"/>
      <c r="AO168" s="365"/>
      <c r="AP168" s="365"/>
      <c r="AQ168" s="365"/>
      <c r="AR168" s="365"/>
      <c r="AS168" s="365"/>
      <c r="AT168" s="606" t="s">
        <v>870</v>
      </c>
      <c r="AU168" s="365"/>
      <c r="AV168" s="365"/>
      <c r="AW168" s="365"/>
      <c r="CD168" s="606" t="s">
        <v>870</v>
      </c>
    </row>
    <row r="169" spans="1:116" s="373" customFormat="1" x14ac:dyDescent="0.3">
      <c r="A169" s="364"/>
      <c r="B169" s="92"/>
      <c r="C169" s="366"/>
      <c r="G169" s="367"/>
      <c r="AI169" s="365"/>
      <c r="AK169" s="365"/>
      <c r="AL169" s="365"/>
      <c r="AM169" s="365"/>
      <c r="AN169" s="365"/>
      <c r="AO169" s="365"/>
      <c r="AP169" s="365"/>
      <c r="AQ169" s="365"/>
      <c r="AR169" s="365"/>
      <c r="AS169" s="365"/>
      <c r="AT169" s="365"/>
      <c r="AU169" s="365"/>
      <c r="AV169" s="365"/>
      <c r="AW169" s="365"/>
      <c r="BA169" s="373" t="s">
        <v>1040</v>
      </c>
      <c r="BD169" s="373" t="s">
        <v>1027</v>
      </c>
      <c r="BF169" s="373" t="s">
        <v>1143</v>
      </c>
      <c r="BK169" s="373" t="s">
        <v>1144</v>
      </c>
      <c r="BO169" s="373" t="s">
        <v>1145</v>
      </c>
      <c r="BQ169" s="373" t="s">
        <v>381</v>
      </c>
      <c r="BT169" s="373" t="s">
        <v>1146</v>
      </c>
      <c r="CK169" s="373" t="s">
        <v>1040</v>
      </c>
      <c r="CN169" s="373" t="s">
        <v>1027</v>
      </c>
      <c r="CP169" s="373" t="s">
        <v>1143</v>
      </c>
      <c r="CU169" s="373" t="s">
        <v>1144</v>
      </c>
      <c r="CY169" s="373" t="s">
        <v>1145</v>
      </c>
      <c r="DA169" s="373" t="s">
        <v>381</v>
      </c>
      <c r="DD169" s="373" t="s">
        <v>1146</v>
      </c>
    </row>
    <row r="170" spans="1:116" s="373" customFormat="1" x14ac:dyDescent="0.3">
      <c r="A170" s="364"/>
      <c r="B170" s="92"/>
      <c r="C170" s="366"/>
      <c r="G170" s="367"/>
      <c r="AI170" s="365"/>
      <c r="AK170" s="365"/>
      <c r="AL170" s="365"/>
      <c r="AM170" s="365"/>
      <c r="AN170" s="365"/>
      <c r="AO170" s="365"/>
      <c r="AP170" s="365"/>
      <c r="AQ170" s="365"/>
      <c r="AR170" s="365"/>
      <c r="AS170" s="365"/>
      <c r="AT170" s="365" t="s">
        <v>121</v>
      </c>
      <c r="AU170" s="365" t="s">
        <v>1044</v>
      </c>
      <c r="AV170" s="365" t="s">
        <v>1147</v>
      </c>
      <c r="AW170" s="365" t="s">
        <v>52</v>
      </c>
      <c r="AX170" s="373" t="s">
        <v>1043</v>
      </c>
      <c r="AY170" s="373" t="s">
        <v>896</v>
      </c>
      <c r="AZ170" s="373" t="s">
        <v>954</v>
      </c>
      <c r="BA170" s="373" t="s">
        <v>1148</v>
      </c>
      <c r="BB170" s="373" t="s">
        <v>1149</v>
      </c>
      <c r="BC170" s="373" t="s">
        <v>1046</v>
      </c>
      <c r="BD170" s="373" t="s">
        <v>1150</v>
      </c>
      <c r="BE170" s="373" t="s">
        <v>527</v>
      </c>
      <c r="BF170" s="373" t="s">
        <v>1151</v>
      </c>
      <c r="BG170" s="373" t="s">
        <v>1152</v>
      </c>
      <c r="BH170" s="373" t="s">
        <v>1153</v>
      </c>
      <c r="BI170" s="373" t="s">
        <v>1154</v>
      </c>
      <c r="BJ170" s="373" t="s">
        <v>1155</v>
      </c>
      <c r="BK170" s="373" t="s">
        <v>1151</v>
      </c>
      <c r="BL170" s="373" t="s">
        <v>1152</v>
      </c>
      <c r="BM170" s="373" t="s">
        <v>1153</v>
      </c>
      <c r="BN170" s="373" t="s">
        <v>1155</v>
      </c>
      <c r="BQ170" s="373" t="s">
        <v>1155</v>
      </c>
      <c r="BR170" s="373" t="s">
        <v>1156</v>
      </c>
      <c r="BS170" s="373" t="s">
        <v>1157</v>
      </c>
      <c r="BT170" s="373" t="s">
        <v>1027</v>
      </c>
      <c r="BU170" s="373" t="s">
        <v>381</v>
      </c>
      <c r="CD170" s="373" t="s">
        <v>121</v>
      </c>
      <c r="CE170" s="373" t="s">
        <v>1044</v>
      </c>
      <c r="CF170" s="373" t="s">
        <v>1147</v>
      </c>
      <c r="CG170" s="373" t="s">
        <v>52</v>
      </c>
      <c r="CH170" s="373" t="s">
        <v>1043</v>
      </c>
      <c r="CI170" s="373" t="s">
        <v>896</v>
      </c>
      <c r="CJ170" s="373" t="s">
        <v>954</v>
      </c>
      <c r="CK170" s="373" t="s">
        <v>1148</v>
      </c>
      <c r="CL170" s="373" t="s">
        <v>1149</v>
      </c>
      <c r="CM170" s="373" t="s">
        <v>1046</v>
      </c>
      <c r="CN170" s="373" t="s">
        <v>1150</v>
      </c>
      <c r="CO170" s="373" t="s">
        <v>527</v>
      </c>
      <c r="CP170" s="373" t="s">
        <v>1151</v>
      </c>
      <c r="CQ170" s="373" t="s">
        <v>1152</v>
      </c>
      <c r="CR170" s="373" t="s">
        <v>1153</v>
      </c>
      <c r="CS170" s="373" t="s">
        <v>1154</v>
      </c>
      <c r="CT170" s="373" t="s">
        <v>1155</v>
      </c>
      <c r="CU170" s="373" t="s">
        <v>1151</v>
      </c>
      <c r="CV170" s="373" t="s">
        <v>1152</v>
      </c>
      <c r="CW170" s="373" t="s">
        <v>1153</v>
      </c>
      <c r="CX170" s="373" t="s">
        <v>1155</v>
      </c>
      <c r="DA170" s="373" t="s">
        <v>1155</v>
      </c>
      <c r="DB170" s="373" t="s">
        <v>1156</v>
      </c>
      <c r="DC170" s="373" t="s">
        <v>1157</v>
      </c>
      <c r="DD170" s="373" t="s">
        <v>1027</v>
      </c>
      <c r="DE170" s="373" t="s">
        <v>381</v>
      </c>
    </row>
    <row r="171" spans="1:116" s="373" customFormat="1" x14ac:dyDescent="0.3">
      <c r="A171" s="364"/>
      <c r="B171" s="92"/>
      <c r="C171" s="366"/>
      <c r="G171" s="367"/>
      <c r="AI171" s="365"/>
      <c r="AK171" s="365"/>
      <c r="AL171" s="365"/>
      <c r="AM171" s="365"/>
      <c r="AN171" s="365"/>
      <c r="AO171" s="365"/>
      <c r="AP171" s="365"/>
      <c r="AQ171" s="365"/>
      <c r="AR171" s="365"/>
      <c r="AS171" s="365"/>
      <c r="AT171" s="365"/>
      <c r="AU171" s="365"/>
      <c r="AV171" s="365"/>
      <c r="AW171" s="365"/>
      <c r="AY171" s="373" t="s">
        <v>966</v>
      </c>
      <c r="BA171" s="373" t="s">
        <v>1062</v>
      </c>
      <c r="BB171" s="373" t="s">
        <v>1062</v>
      </c>
      <c r="BC171" s="373" t="s">
        <v>1063</v>
      </c>
      <c r="BF171" s="373" t="s">
        <v>1067</v>
      </c>
      <c r="BG171" s="373" t="s">
        <v>1066</v>
      </c>
      <c r="BH171" s="373" t="s">
        <v>1158</v>
      </c>
      <c r="BI171" s="373" t="s">
        <v>1068</v>
      </c>
      <c r="BJ171" s="373" t="s">
        <v>1068</v>
      </c>
      <c r="BK171" s="373" t="s">
        <v>1067</v>
      </c>
      <c r="BL171" s="373" t="s">
        <v>1066</v>
      </c>
      <c r="BM171" s="373" t="s">
        <v>1158</v>
      </c>
      <c r="BN171" s="373" t="s">
        <v>1068</v>
      </c>
      <c r="BO171" s="373" t="s">
        <v>1067</v>
      </c>
      <c r="BP171" s="373" t="s">
        <v>1066</v>
      </c>
      <c r="BQ171" s="373" t="s">
        <v>1068</v>
      </c>
      <c r="BS171" s="373" t="s">
        <v>1068</v>
      </c>
      <c r="BT171" s="373" t="s">
        <v>1068</v>
      </c>
      <c r="BU171" s="373" t="s">
        <v>1068</v>
      </c>
      <c r="CI171" s="373" t="s">
        <v>966</v>
      </c>
      <c r="CK171" s="373" t="s">
        <v>1062</v>
      </c>
      <c r="CL171" s="373" t="s">
        <v>1062</v>
      </c>
      <c r="CM171" s="373" t="s">
        <v>1063</v>
      </c>
      <c r="CP171" s="373" t="s">
        <v>1067</v>
      </c>
      <c r="CQ171" s="373" t="s">
        <v>1066</v>
      </c>
      <c r="CR171" s="373" t="s">
        <v>1158</v>
      </c>
      <c r="CS171" s="373" t="s">
        <v>1068</v>
      </c>
      <c r="CT171" s="373" t="s">
        <v>1068</v>
      </c>
      <c r="CU171" s="373" t="s">
        <v>1067</v>
      </c>
      <c r="CV171" s="373" t="s">
        <v>1066</v>
      </c>
      <c r="CW171" s="373" t="s">
        <v>1158</v>
      </c>
      <c r="CX171" s="373" t="s">
        <v>1068</v>
      </c>
      <c r="CY171" s="373" t="s">
        <v>1067</v>
      </c>
      <c r="CZ171" s="373" t="s">
        <v>1066</v>
      </c>
      <c r="DA171" s="373" t="s">
        <v>1068</v>
      </c>
      <c r="DC171" s="373" t="s">
        <v>1068</v>
      </c>
      <c r="DD171" s="373" t="s">
        <v>1068</v>
      </c>
      <c r="DE171" s="373" t="s">
        <v>1068</v>
      </c>
    </row>
    <row r="172" spans="1:116" s="373" customFormat="1" x14ac:dyDescent="0.3">
      <c r="A172" s="364"/>
      <c r="B172" s="92"/>
      <c r="C172" s="366"/>
      <c r="G172" s="367"/>
      <c r="AI172" s="365"/>
      <c r="AK172" s="365"/>
      <c r="AL172" s="365"/>
      <c r="AM172" s="365"/>
      <c r="AN172" s="365"/>
      <c r="AO172" s="365"/>
      <c r="AP172" s="365"/>
      <c r="AQ172" s="365"/>
      <c r="AR172" s="365"/>
      <c r="AS172" s="365"/>
      <c r="AT172" s="365" t="s">
        <v>959</v>
      </c>
      <c r="AU172" s="365" t="s">
        <v>1032</v>
      </c>
      <c r="AV172" s="365" t="s">
        <v>170</v>
      </c>
      <c r="AW172" s="365" t="s">
        <v>915</v>
      </c>
      <c r="AX172" s="373" t="s">
        <v>1159</v>
      </c>
      <c r="AY172" s="373">
        <v>38353</v>
      </c>
      <c r="AZ172" s="373">
        <v>1</v>
      </c>
      <c r="BA172" s="373">
        <v>10</v>
      </c>
      <c r="BB172" s="373">
        <v>10</v>
      </c>
      <c r="BC172" s="373">
        <v>191.8</v>
      </c>
      <c r="BD172" s="373" t="s">
        <v>548</v>
      </c>
      <c r="BE172" s="373" t="s">
        <v>549</v>
      </c>
      <c r="BF172" s="373">
        <v>15</v>
      </c>
      <c r="BG172" s="373">
        <v>0.15</v>
      </c>
      <c r="BH172" s="373">
        <v>0</v>
      </c>
      <c r="BI172" s="373">
        <v>0</v>
      </c>
      <c r="BJ172" s="373">
        <v>5753</v>
      </c>
      <c r="BK172" s="373">
        <v>0</v>
      </c>
      <c r="BL172" s="373">
        <v>0.15</v>
      </c>
      <c r="BM172" s="373">
        <v>0</v>
      </c>
      <c r="BN172" s="373">
        <v>5753</v>
      </c>
      <c r="BO172" s="373">
        <v>0</v>
      </c>
      <c r="BP172" s="373">
        <v>0.15</v>
      </c>
      <c r="BQ172" s="373">
        <v>0</v>
      </c>
      <c r="BR172" s="373" t="s">
        <v>311</v>
      </c>
      <c r="BS172" s="373">
        <v>0</v>
      </c>
      <c r="BT172" s="373">
        <v>5753</v>
      </c>
      <c r="BU172" s="373">
        <v>0</v>
      </c>
      <c r="CD172" s="373" t="s">
        <v>959</v>
      </c>
      <c r="CE172" s="373" t="s">
        <v>1032</v>
      </c>
      <c r="CF172" s="373" t="s">
        <v>170</v>
      </c>
      <c r="CG172" s="373" t="s">
        <v>915</v>
      </c>
      <c r="CH172" s="373" t="s">
        <v>1159</v>
      </c>
      <c r="CI172" s="373">
        <v>38353</v>
      </c>
      <c r="CJ172" s="373">
        <v>1</v>
      </c>
      <c r="CK172" s="373">
        <v>10</v>
      </c>
      <c r="CL172" s="373">
        <v>10</v>
      </c>
      <c r="CM172" s="373">
        <v>191.8</v>
      </c>
      <c r="CN172" s="373" t="s">
        <v>548</v>
      </c>
      <c r="CO172" s="373" t="s">
        <v>549</v>
      </c>
      <c r="CP172" s="373">
        <v>0</v>
      </c>
      <c r="CQ172" s="373">
        <v>0.15</v>
      </c>
      <c r="CR172" s="373">
        <v>0</v>
      </c>
      <c r="CS172" s="373">
        <v>0</v>
      </c>
      <c r="CT172" s="373">
        <v>5753</v>
      </c>
      <c r="CU172" s="373">
        <v>0</v>
      </c>
      <c r="CV172" s="373">
        <v>0.15</v>
      </c>
      <c r="CW172" s="373">
        <v>0</v>
      </c>
      <c r="CX172" s="373">
        <v>5753</v>
      </c>
      <c r="CY172" s="373">
        <v>0</v>
      </c>
      <c r="CZ172" s="373">
        <v>0.15</v>
      </c>
      <c r="DA172" s="373">
        <v>0</v>
      </c>
      <c r="DB172" s="373" t="s">
        <v>311</v>
      </c>
      <c r="DC172" s="373">
        <v>0</v>
      </c>
      <c r="DD172" s="373">
        <v>5753</v>
      </c>
      <c r="DE172" s="373">
        <v>0</v>
      </c>
    </row>
    <row r="173" spans="1:116" s="373" customFormat="1" x14ac:dyDescent="0.3">
      <c r="A173" s="364"/>
      <c r="B173" s="92"/>
      <c r="C173" s="366"/>
      <c r="G173" s="367"/>
      <c r="AI173" s="365"/>
      <c r="AK173" s="365"/>
      <c r="AL173" s="365"/>
      <c r="AM173" s="365"/>
      <c r="AN173" s="365"/>
      <c r="AO173" s="365"/>
      <c r="AP173" s="365"/>
      <c r="AQ173" s="365"/>
      <c r="AR173" s="365"/>
      <c r="AS173" s="365"/>
      <c r="AT173" s="365" t="s">
        <v>970</v>
      </c>
      <c r="AU173" s="365" t="s">
        <v>1033</v>
      </c>
      <c r="AV173" s="365" t="s">
        <v>170</v>
      </c>
      <c r="AW173" s="365" t="s">
        <v>980</v>
      </c>
      <c r="AX173" s="373" t="s">
        <v>1160</v>
      </c>
      <c r="AY173" s="373">
        <v>27257.599999999999</v>
      </c>
      <c r="AZ173" s="373">
        <v>1</v>
      </c>
      <c r="BA173" s="373">
        <v>16.7</v>
      </c>
      <c r="BB173" s="373">
        <v>16.7</v>
      </c>
      <c r="BC173" s="373">
        <v>227.2</v>
      </c>
      <c r="BD173" s="373" t="s">
        <v>548</v>
      </c>
      <c r="BE173" s="373" t="s">
        <v>558</v>
      </c>
      <c r="BF173" s="373">
        <v>15</v>
      </c>
      <c r="BG173" s="373">
        <v>0.2</v>
      </c>
      <c r="BH173" s="373">
        <v>0</v>
      </c>
      <c r="BI173" s="373">
        <v>0</v>
      </c>
      <c r="BJ173" s="373">
        <v>5452</v>
      </c>
      <c r="BK173" s="373">
        <v>15</v>
      </c>
      <c r="BL173" s="373">
        <v>0.2</v>
      </c>
      <c r="BM173" s="373">
        <v>0</v>
      </c>
      <c r="BN173" s="373">
        <v>5452</v>
      </c>
      <c r="BO173" s="373">
        <v>15</v>
      </c>
      <c r="BP173" s="373">
        <v>0.2</v>
      </c>
      <c r="BQ173" s="373">
        <v>0</v>
      </c>
      <c r="BR173" s="373" t="s">
        <v>311</v>
      </c>
      <c r="BS173" s="373">
        <v>0</v>
      </c>
      <c r="BT173" s="373">
        <v>5452</v>
      </c>
      <c r="BU173" s="373">
        <v>0</v>
      </c>
      <c r="CD173" s="373" t="s">
        <v>970</v>
      </c>
      <c r="CE173" s="373" t="s">
        <v>1033</v>
      </c>
      <c r="CF173" s="373" t="s">
        <v>170</v>
      </c>
      <c r="CG173" s="373" t="s">
        <v>980</v>
      </c>
      <c r="CH173" s="373" t="s">
        <v>1160</v>
      </c>
      <c r="CI173" s="373">
        <v>27257.599999999999</v>
      </c>
      <c r="CJ173" s="373">
        <v>1</v>
      </c>
      <c r="CK173" s="373">
        <v>16.7</v>
      </c>
      <c r="CL173" s="373">
        <v>16.7</v>
      </c>
      <c r="CM173" s="373">
        <v>227.2</v>
      </c>
      <c r="CN173" s="373" t="s">
        <v>548</v>
      </c>
      <c r="CO173" s="373" t="s">
        <v>549</v>
      </c>
      <c r="CP173" s="373">
        <v>15</v>
      </c>
      <c r="CQ173" s="373">
        <v>0.2</v>
      </c>
      <c r="CR173" s="373">
        <v>0</v>
      </c>
      <c r="CS173" s="373">
        <v>0</v>
      </c>
      <c r="CT173" s="373">
        <v>5452</v>
      </c>
      <c r="CU173" s="373">
        <v>15</v>
      </c>
      <c r="CV173" s="373">
        <v>0.2</v>
      </c>
      <c r="CW173" s="373">
        <v>0</v>
      </c>
      <c r="CX173" s="373">
        <v>5452</v>
      </c>
      <c r="CY173" s="373">
        <v>0</v>
      </c>
      <c r="CZ173" s="373">
        <v>0.2</v>
      </c>
      <c r="DA173" s="373">
        <v>0</v>
      </c>
      <c r="DB173" s="373" t="s">
        <v>311</v>
      </c>
      <c r="DC173" s="373">
        <v>0</v>
      </c>
      <c r="DD173" s="373">
        <v>5452</v>
      </c>
      <c r="DE173" s="373">
        <v>0</v>
      </c>
    </row>
    <row r="174" spans="1:116" s="373" customFormat="1" x14ac:dyDescent="0.3">
      <c r="A174" s="364"/>
      <c r="B174" s="92"/>
      <c r="C174" s="366"/>
      <c r="G174" s="367"/>
      <c r="AI174" s="365"/>
      <c r="AK174" s="365"/>
      <c r="AL174" s="365"/>
      <c r="AM174" s="365"/>
      <c r="AN174" s="365"/>
      <c r="AO174" s="365"/>
      <c r="AP174" s="365"/>
      <c r="AQ174" s="365"/>
      <c r="AR174" s="365"/>
      <c r="AS174" s="365"/>
      <c r="AT174" s="365" t="s">
        <v>978</v>
      </c>
      <c r="AU174" s="365" t="s">
        <v>1033</v>
      </c>
      <c r="AV174" s="365" t="s">
        <v>983</v>
      </c>
      <c r="AW174" s="365" t="s">
        <v>979</v>
      </c>
      <c r="AX174" s="373" t="s">
        <v>1161</v>
      </c>
      <c r="AY174" s="373">
        <v>0</v>
      </c>
      <c r="AZ174" s="373">
        <v>1</v>
      </c>
      <c r="BA174" s="373">
        <v>0</v>
      </c>
      <c r="BB174" s="373">
        <v>0</v>
      </c>
      <c r="BC174" s="373">
        <v>0</v>
      </c>
      <c r="BD174" s="373" t="s">
        <v>1009</v>
      </c>
      <c r="BE174" s="373" t="s">
        <v>311</v>
      </c>
      <c r="BF174" s="373">
        <v>0</v>
      </c>
      <c r="BG174" s="373">
        <v>0</v>
      </c>
      <c r="BH174" s="373">
        <v>0</v>
      </c>
      <c r="BI174" s="373">
        <v>0</v>
      </c>
      <c r="BJ174" s="373">
        <v>0</v>
      </c>
      <c r="BK174" s="373">
        <v>0</v>
      </c>
      <c r="BL174" s="373">
        <v>0</v>
      </c>
      <c r="BM174" s="373">
        <v>0</v>
      </c>
      <c r="BN174" s="373">
        <v>0</v>
      </c>
      <c r="BO174" s="373">
        <v>0</v>
      </c>
      <c r="BP174" s="373">
        <v>0</v>
      </c>
      <c r="BQ174" s="373">
        <v>0</v>
      </c>
      <c r="BR174" s="373" t="s">
        <v>311</v>
      </c>
      <c r="BS174" s="373">
        <v>0</v>
      </c>
      <c r="BT174" s="373">
        <v>0</v>
      </c>
      <c r="BU174" s="373">
        <v>0</v>
      </c>
      <c r="CD174" s="373" t="s">
        <v>978</v>
      </c>
      <c r="CE174" s="373" t="s">
        <v>1033</v>
      </c>
      <c r="CF174" s="373" t="s">
        <v>983</v>
      </c>
      <c r="CG174" s="373" t="s">
        <v>979</v>
      </c>
      <c r="CH174" s="373" t="s">
        <v>1161</v>
      </c>
      <c r="CI174" s="373">
        <v>0</v>
      </c>
      <c r="CJ174" s="373">
        <v>1</v>
      </c>
      <c r="CK174" s="373">
        <v>0</v>
      </c>
      <c r="CL174" s="373">
        <v>0</v>
      </c>
      <c r="CM174" s="373">
        <v>0</v>
      </c>
      <c r="CN174" s="373" t="s">
        <v>1009</v>
      </c>
      <c r="CO174" s="373" t="s">
        <v>311</v>
      </c>
      <c r="CP174" s="373">
        <v>0</v>
      </c>
      <c r="CQ174" s="373">
        <v>0</v>
      </c>
      <c r="CR174" s="373">
        <v>0</v>
      </c>
      <c r="CS174" s="373">
        <v>0</v>
      </c>
      <c r="CT174" s="373">
        <v>0</v>
      </c>
      <c r="CU174" s="373">
        <v>0</v>
      </c>
      <c r="CV174" s="373">
        <v>0</v>
      </c>
      <c r="CW174" s="373">
        <v>0</v>
      </c>
      <c r="CX174" s="373">
        <v>0</v>
      </c>
      <c r="CY174" s="373">
        <v>0</v>
      </c>
      <c r="CZ174" s="373">
        <v>0</v>
      </c>
      <c r="DA174" s="373">
        <v>0</v>
      </c>
      <c r="DB174" s="373" t="s">
        <v>311</v>
      </c>
      <c r="DC174" s="373">
        <v>0</v>
      </c>
      <c r="DD174" s="373">
        <v>0</v>
      </c>
      <c r="DE174" s="373">
        <v>0</v>
      </c>
    </row>
    <row r="175" spans="1:116" s="373" customFormat="1" x14ac:dyDescent="0.3">
      <c r="A175" s="364"/>
      <c r="B175" s="92"/>
      <c r="C175" s="366"/>
      <c r="G175" s="367"/>
      <c r="AI175" s="365"/>
      <c r="AK175" s="365"/>
      <c r="AL175" s="365"/>
      <c r="AM175" s="365"/>
      <c r="AN175" s="365"/>
      <c r="AO175" s="365"/>
      <c r="AP175" s="365"/>
      <c r="AQ175" s="365"/>
      <c r="AR175" s="365"/>
      <c r="AS175" s="365"/>
      <c r="AT175" s="365" t="s">
        <v>981</v>
      </c>
      <c r="AU175" s="365" t="s">
        <v>1033</v>
      </c>
      <c r="AV175" s="365" t="s">
        <v>170</v>
      </c>
      <c r="AW175" s="365" t="s">
        <v>986</v>
      </c>
      <c r="AX175" s="373" t="s">
        <v>1162</v>
      </c>
      <c r="AY175" s="373">
        <v>3373.6</v>
      </c>
      <c r="AZ175" s="373">
        <v>1</v>
      </c>
      <c r="BA175" s="373">
        <v>66.7</v>
      </c>
      <c r="BB175" s="373">
        <v>66.7</v>
      </c>
      <c r="BC175" s="373">
        <v>112.5</v>
      </c>
      <c r="BD175" s="373" t="s">
        <v>548</v>
      </c>
      <c r="BE175" s="373" t="s">
        <v>558</v>
      </c>
      <c r="BF175" s="373">
        <v>14.9993</v>
      </c>
      <c r="BG175" s="373">
        <v>0.15</v>
      </c>
      <c r="BH175" s="373">
        <v>0</v>
      </c>
      <c r="BI175" s="373">
        <v>0</v>
      </c>
      <c r="BJ175" s="373">
        <v>1687</v>
      </c>
      <c r="BK175" s="373">
        <v>14.9993</v>
      </c>
      <c r="BL175" s="373">
        <v>0.15</v>
      </c>
      <c r="BM175" s="373">
        <v>0</v>
      </c>
      <c r="BN175" s="373">
        <v>1687</v>
      </c>
      <c r="BO175" s="373">
        <v>14.9993</v>
      </c>
      <c r="BP175" s="373">
        <v>0.15</v>
      </c>
      <c r="BQ175" s="373">
        <v>0</v>
      </c>
      <c r="BR175" s="373" t="s">
        <v>311</v>
      </c>
      <c r="BS175" s="373">
        <v>0</v>
      </c>
      <c r="BT175" s="373">
        <v>1687</v>
      </c>
      <c r="BU175" s="373">
        <v>0</v>
      </c>
      <c r="CD175" s="373" t="s">
        <v>981</v>
      </c>
      <c r="CE175" s="373" t="s">
        <v>1033</v>
      </c>
      <c r="CF175" s="373" t="s">
        <v>170</v>
      </c>
      <c r="CG175" s="373" t="s">
        <v>986</v>
      </c>
      <c r="CH175" s="373" t="s">
        <v>1162</v>
      </c>
      <c r="CI175" s="373">
        <v>3373.6</v>
      </c>
      <c r="CJ175" s="373">
        <v>1</v>
      </c>
      <c r="CK175" s="373">
        <v>66.7</v>
      </c>
      <c r="CL175" s="373">
        <v>66.7</v>
      </c>
      <c r="CM175" s="373">
        <v>112.5</v>
      </c>
      <c r="CN175" s="373" t="s">
        <v>548</v>
      </c>
      <c r="CO175" s="373" t="s">
        <v>558</v>
      </c>
      <c r="CP175" s="373">
        <v>14.9993</v>
      </c>
      <c r="CQ175" s="373">
        <v>0.15</v>
      </c>
      <c r="CR175" s="373">
        <v>0</v>
      </c>
      <c r="CS175" s="373">
        <v>0</v>
      </c>
      <c r="CT175" s="373">
        <v>1687</v>
      </c>
      <c r="CU175" s="373">
        <v>14.9993</v>
      </c>
      <c r="CV175" s="373">
        <v>0.15</v>
      </c>
      <c r="CW175" s="373">
        <v>0</v>
      </c>
      <c r="CX175" s="373">
        <v>1687</v>
      </c>
      <c r="CY175" s="373">
        <v>14.9993</v>
      </c>
      <c r="CZ175" s="373">
        <v>0.15</v>
      </c>
      <c r="DA175" s="373">
        <v>0</v>
      </c>
      <c r="DB175" s="373" t="s">
        <v>311</v>
      </c>
      <c r="DC175" s="373">
        <v>0</v>
      </c>
      <c r="DD175" s="373">
        <v>1687</v>
      </c>
      <c r="DE175" s="373">
        <v>0</v>
      </c>
      <c r="DF175" s="11"/>
    </row>
    <row r="176" spans="1:116" s="373" customFormat="1" x14ac:dyDescent="0.3">
      <c r="A176" s="364"/>
      <c r="B176" s="92"/>
      <c r="C176" s="366"/>
      <c r="G176" s="367"/>
      <c r="AI176" s="365"/>
      <c r="AK176" s="365"/>
      <c r="AL176" s="365"/>
      <c r="AM176" s="365"/>
      <c r="AN176" s="365"/>
      <c r="AO176" s="365"/>
      <c r="AP176" s="365"/>
      <c r="AQ176" s="365"/>
      <c r="AR176" s="365"/>
      <c r="AS176" s="365"/>
      <c r="AT176" s="365" t="s">
        <v>984</v>
      </c>
      <c r="AU176" s="365" t="s">
        <v>1033</v>
      </c>
      <c r="AV176" s="365" t="s">
        <v>170</v>
      </c>
      <c r="AW176" s="365" t="s">
        <v>988</v>
      </c>
      <c r="AX176" s="373" t="s">
        <v>1163</v>
      </c>
      <c r="AY176" s="373">
        <v>2174.1</v>
      </c>
      <c r="AZ176" s="373">
        <v>1</v>
      </c>
      <c r="BA176" s="373">
        <v>10</v>
      </c>
      <c r="BB176" s="373">
        <v>10</v>
      </c>
      <c r="BC176" s="373">
        <v>10.9</v>
      </c>
      <c r="BD176" s="373" t="s">
        <v>548</v>
      </c>
      <c r="BE176" s="373" t="s">
        <v>549</v>
      </c>
      <c r="BF176" s="373">
        <v>15</v>
      </c>
      <c r="BG176" s="373">
        <v>0.15</v>
      </c>
      <c r="BH176" s="373">
        <v>0</v>
      </c>
      <c r="BI176" s="373">
        <v>0</v>
      </c>
      <c r="BJ176" s="373">
        <v>326</v>
      </c>
      <c r="BK176" s="373">
        <v>0</v>
      </c>
      <c r="BL176" s="373">
        <v>0.15</v>
      </c>
      <c r="BM176" s="373">
        <v>0</v>
      </c>
      <c r="BN176" s="373">
        <v>326</v>
      </c>
      <c r="BO176" s="373">
        <v>0</v>
      </c>
      <c r="BP176" s="373">
        <v>0.15</v>
      </c>
      <c r="BQ176" s="373">
        <v>0</v>
      </c>
      <c r="BR176" s="373" t="s">
        <v>311</v>
      </c>
      <c r="BS176" s="373">
        <v>0</v>
      </c>
      <c r="BT176" s="373">
        <v>326</v>
      </c>
      <c r="BU176" s="373">
        <v>0</v>
      </c>
      <c r="CD176" s="373" t="s">
        <v>984</v>
      </c>
      <c r="CE176" s="373" t="s">
        <v>1033</v>
      </c>
      <c r="CF176" s="373" t="s">
        <v>170</v>
      </c>
      <c r="CG176" s="373" t="s">
        <v>988</v>
      </c>
      <c r="CH176" s="373" t="s">
        <v>1163</v>
      </c>
      <c r="CI176" s="373">
        <v>2174.1</v>
      </c>
      <c r="CJ176" s="373">
        <v>1</v>
      </c>
      <c r="CK176" s="373">
        <v>10</v>
      </c>
      <c r="CL176" s="373">
        <v>10</v>
      </c>
      <c r="CM176" s="373">
        <v>10.9</v>
      </c>
      <c r="CN176" s="373" t="s">
        <v>548</v>
      </c>
      <c r="CO176" s="373" t="s">
        <v>549</v>
      </c>
      <c r="CP176" s="373">
        <v>0</v>
      </c>
      <c r="CQ176" s="373">
        <v>0.15</v>
      </c>
      <c r="CR176" s="373">
        <v>0</v>
      </c>
      <c r="CS176" s="373">
        <v>0</v>
      </c>
      <c r="CT176" s="373">
        <v>326</v>
      </c>
      <c r="CU176" s="373">
        <v>0</v>
      </c>
      <c r="CV176" s="373">
        <v>0.15</v>
      </c>
      <c r="CW176" s="373">
        <v>0</v>
      </c>
      <c r="CX176" s="373">
        <v>326</v>
      </c>
      <c r="CY176" s="373">
        <v>0</v>
      </c>
      <c r="CZ176" s="373">
        <v>0.15</v>
      </c>
      <c r="DA176" s="373">
        <v>0</v>
      </c>
      <c r="DB176" s="373" t="s">
        <v>311</v>
      </c>
      <c r="DC176" s="373">
        <v>0</v>
      </c>
      <c r="DD176" s="373">
        <v>326</v>
      </c>
      <c r="DE176" s="373">
        <v>0</v>
      </c>
    </row>
    <row r="177" spans="1:109" s="373" customFormat="1" x14ac:dyDescent="0.3">
      <c r="A177" s="364"/>
      <c r="B177" s="92"/>
      <c r="C177" s="366"/>
      <c r="G177" s="367"/>
      <c r="AI177" s="365"/>
      <c r="AK177" s="365"/>
      <c r="AL177" s="365"/>
      <c r="AM177" s="365"/>
      <c r="AN177" s="365"/>
      <c r="AO177" s="365"/>
      <c r="AP177" s="365"/>
      <c r="AQ177" s="365"/>
      <c r="AR177" s="365"/>
      <c r="AS177" s="365"/>
      <c r="AT177" s="365" t="s">
        <v>987</v>
      </c>
      <c r="AU177" s="365" t="s">
        <v>1033</v>
      </c>
      <c r="AV177" s="365" t="s">
        <v>170</v>
      </c>
      <c r="AW177" s="365" t="s">
        <v>980</v>
      </c>
      <c r="AX177" s="373" t="s">
        <v>1164</v>
      </c>
      <c r="AY177" s="373">
        <v>3373.6</v>
      </c>
      <c r="AZ177" s="373">
        <v>1</v>
      </c>
      <c r="BA177" s="373">
        <v>16.7</v>
      </c>
      <c r="BB177" s="373">
        <v>16.7</v>
      </c>
      <c r="BC177" s="373">
        <v>28.1</v>
      </c>
      <c r="BD177" s="373" t="s">
        <v>548</v>
      </c>
      <c r="BE177" s="373" t="s">
        <v>558</v>
      </c>
      <c r="BF177" s="373">
        <v>15</v>
      </c>
      <c r="BG177" s="373">
        <v>0.2</v>
      </c>
      <c r="BH177" s="373">
        <v>0</v>
      </c>
      <c r="BI177" s="373">
        <v>0</v>
      </c>
      <c r="BJ177" s="373">
        <v>675</v>
      </c>
      <c r="BK177" s="373">
        <v>15</v>
      </c>
      <c r="BL177" s="373">
        <v>0.2</v>
      </c>
      <c r="BM177" s="373">
        <v>0</v>
      </c>
      <c r="BN177" s="373">
        <v>675</v>
      </c>
      <c r="BO177" s="373">
        <v>15</v>
      </c>
      <c r="BP177" s="373">
        <v>0.2</v>
      </c>
      <c r="BQ177" s="373">
        <v>0</v>
      </c>
      <c r="BR177" s="373" t="s">
        <v>311</v>
      </c>
      <c r="BS177" s="373">
        <v>0</v>
      </c>
      <c r="BT177" s="373">
        <v>675</v>
      </c>
      <c r="BU177" s="373">
        <v>0</v>
      </c>
      <c r="CD177" s="373" t="s">
        <v>987</v>
      </c>
      <c r="CE177" s="373" t="s">
        <v>1033</v>
      </c>
      <c r="CF177" s="373" t="s">
        <v>170</v>
      </c>
      <c r="CG177" s="373" t="s">
        <v>980</v>
      </c>
      <c r="CH177" s="373" t="s">
        <v>1164</v>
      </c>
      <c r="CI177" s="373">
        <v>3373.6</v>
      </c>
      <c r="CJ177" s="373">
        <v>1</v>
      </c>
      <c r="CK177" s="373">
        <v>16.7</v>
      </c>
      <c r="CL177" s="373">
        <v>16.7</v>
      </c>
      <c r="CM177" s="373">
        <v>28.1</v>
      </c>
      <c r="CN177" s="373" t="s">
        <v>548</v>
      </c>
      <c r="CO177" s="373" t="s">
        <v>549</v>
      </c>
      <c r="CP177" s="373">
        <v>15</v>
      </c>
      <c r="CQ177" s="373">
        <v>0.2</v>
      </c>
      <c r="CR177" s="373">
        <v>0</v>
      </c>
      <c r="CS177" s="373">
        <v>0</v>
      </c>
      <c r="CT177" s="373">
        <v>675</v>
      </c>
      <c r="CU177" s="373">
        <v>15</v>
      </c>
      <c r="CV177" s="373">
        <v>0.2</v>
      </c>
      <c r="CW177" s="373">
        <v>0</v>
      </c>
      <c r="CX177" s="373">
        <v>675</v>
      </c>
      <c r="CY177" s="373">
        <v>0</v>
      </c>
      <c r="CZ177" s="373">
        <v>0.2</v>
      </c>
      <c r="DA177" s="373">
        <v>0</v>
      </c>
      <c r="DB177" s="373" t="s">
        <v>311</v>
      </c>
      <c r="DC177" s="373">
        <v>0</v>
      </c>
      <c r="DD177" s="373">
        <v>675</v>
      </c>
      <c r="DE177" s="373">
        <v>0</v>
      </c>
    </row>
    <row r="178" spans="1:109" s="373" customFormat="1" x14ac:dyDescent="0.3">
      <c r="A178" s="364"/>
      <c r="B178" s="92"/>
      <c r="C178" s="366"/>
      <c r="G178" s="367"/>
      <c r="AI178" s="365"/>
      <c r="AK178" s="365"/>
      <c r="AL178" s="365"/>
      <c r="AM178" s="365"/>
      <c r="AN178" s="365"/>
      <c r="AO178" s="365"/>
      <c r="AP178" s="365"/>
      <c r="AQ178" s="365"/>
      <c r="AR178" s="365"/>
      <c r="AS178" s="365"/>
      <c r="AT178" s="365" t="s">
        <v>989</v>
      </c>
      <c r="AU178" s="365" t="s">
        <v>1033</v>
      </c>
      <c r="AV178" s="365" t="s">
        <v>170</v>
      </c>
      <c r="AW178" s="365" t="s">
        <v>980</v>
      </c>
      <c r="AX178" s="373" t="s">
        <v>1165</v>
      </c>
      <c r="AY178" s="373">
        <v>2174</v>
      </c>
      <c r="AZ178" s="373">
        <v>1</v>
      </c>
      <c r="BA178" s="373">
        <v>16.7</v>
      </c>
      <c r="BB178" s="373">
        <v>16.7</v>
      </c>
      <c r="BC178" s="373">
        <v>18.100000000000001</v>
      </c>
      <c r="BD178" s="373" t="s">
        <v>548</v>
      </c>
      <c r="BE178" s="373" t="s">
        <v>558</v>
      </c>
      <c r="BF178" s="373">
        <v>15</v>
      </c>
      <c r="BG178" s="373">
        <v>0.2</v>
      </c>
      <c r="BH178" s="373">
        <v>0</v>
      </c>
      <c r="BI178" s="373">
        <v>0</v>
      </c>
      <c r="BJ178" s="373">
        <v>435</v>
      </c>
      <c r="BK178" s="373">
        <v>15</v>
      </c>
      <c r="BL178" s="373">
        <v>0.2</v>
      </c>
      <c r="BM178" s="373">
        <v>0</v>
      </c>
      <c r="BN178" s="373">
        <v>435</v>
      </c>
      <c r="BO178" s="373">
        <v>15</v>
      </c>
      <c r="BP178" s="373">
        <v>0.2</v>
      </c>
      <c r="BQ178" s="373">
        <v>0</v>
      </c>
      <c r="BR178" s="373" t="s">
        <v>311</v>
      </c>
      <c r="BS178" s="373">
        <v>0</v>
      </c>
      <c r="BT178" s="373">
        <v>435</v>
      </c>
      <c r="BU178" s="373">
        <v>0</v>
      </c>
      <c r="CD178" s="373" t="s">
        <v>989</v>
      </c>
      <c r="CE178" s="373" t="s">
        <v>1033</v>
      </c>
      <c r="CF178" s="373" t="s">
        <v>170</v>
      </c>
      <c r="CG178" s="373" t="s">
        <v>980</v>
      </c>
      <c r="CH178" s="373" t="s">
        <v>1165</v>
      </c>
      <c r="CI178" s="373">
        <v>2174</v>
      </c>
      <c r="CJ178" s="373">
        <v>1</v>
      </c>
      <c r="CK178" s="373">
        <v>16.7</v>
      </c>
      <c r="CL178" s="373">
        <v>16.7</v>
      </c>
      <c r="CM178" s="373">
        <v>18.100000000000001</v>
      </c>
      <c r="CN178" s="373" t="s">
        <v>548</v>
      </c>
      <c r="CO178" s="373" t="s">
        <v>549</v>
      </c>
      <c r="CP178" s="373">
        <v>15</v>
      </c>
      <c r="CQ178" s="373">
        <v>0.2</v>
      </c>
      <c r="CR178" s="373">
        <v>0</v>
      </c>
      <c r="CS178" s="373">
        <v>0</v>
      </c>
      <c r="CT178" s="373">
        <v>435</v>
      </c>
      <c r="CU178" s="373">
        <v>15</v>
      </c>
      <c r="CV178" s="373">
        <v>0.2</v>
      </c>
      <c r="CW178" s="373">
        <v>0</v>
      </c>
      <c r="CX178" s="373">
        <v>435</v>
      </c>
      <c r="CY178" s="373">
        <v>0</v>
      </c>
      <c r="CZ178" s="373">
        <v>0.2</v>
      </c>
      <c r="DA178" s="373">
        <v>0</v>
      </c>
      <c r="DB178" s="373" t="s">
        <v>311</v>
      </c>
      <c r="DC178" s="373">
        <v>0</v>
      </c>
      <c r="DD178" s="373">
        <v>435</v>
      </c>
      <c r="DE178" s="373">
        <v>0</v>
      </c>
    </row>
    <row r="179" spans="1:109" s="373" customFormat="1" x14ac:dyDescent="0.3">
      <c r="A179" s="364"/>
      <c r="B179" s="92"/>
      <c r="C179" s="366"/>
      <c r="G179" s="367"/>
      <c r="AI179" s="365"/>
      <c r="AK179" s="365"/>
      <c r="AL179" s="365"/>
      <c r="AM179" s="365"/>
      <c r="AN179" s="365"/>
      <c r="AO179" s="365"/>
      <c r="AP179" s="365"/>
      <c r="AQ179" s="365"/>
      <c r="AR179" s="365"/>
      <c r="AS179" s="365"/>
      <c r="AT179" s="365" t="s">
        <v>990</v>
      </c>
      <c r="AU179" s="365" t="s">
        <v>1034</v>
      </c>
      <c r="AV179" s="365" t="s">
        <v>170</v>
      </c>
      <c r="AW179" s="365" t="s">
        <v>999</v>
      </c>
      <c r="AX179" s="373" t="s">
        <v>1166</v>
      </c>
      <c r="AY179" s="373">
        <v>27257.599999999999</v>
      </c>
      <c r="AZ179" s="373">
        <v>5</v>
      </c>
      <c r="BA179" s="373">
        <v>10</v>
      </c>
      <c r="BB179" s="373">
        <v>10</v>
      </c>
      <c r="BC179" s="373">
        <v>136.30000000000001</v>
      </c>
      <c r="BD179" s="373" t="s">
        <v>548</v>
      </c>
      <c r="BE179" s="373" t="s">
        <v>549</v>
      </c>
      <c r="BF179" s="373">
        <v>15</v>
      </c>
      <c r="BG179" s="373">
        <v>0.15</v>
      </c>
      <c r="BH179" s="373">
        <v>0</v>
      </c>
      <c r="BI179" s="373">
        <v>0</v>
      </c>
      <c r="BJ179" s="373">
        <v>4089</v>
      </c>
      <c r="BK179" s="373">
        <v>0</v>
      </c>
      <c r="BL179" s="373">
        <v>0.15</v>
      </c>
      <c r="BM179" s="373">
        <v>0</v>
      </c>
      <c r="BN179" s="373">
        <v>4089</v>
      </c>
      <c r="BO179" s="373">
        <v>0</v>
      </c>
      <c r="BP179" s="373">
        <v>0.15</v>
      </c>
      <c r="BQ179" s="373">
        <v>0</v>
      </c>
      <c r="BR179" s="373" t="s">
        <v>311</v>
      </c>
      <c r="BS179" s="373">
        <v>0</v>
      </c>
      <c r="BT179" s="373">
        <v>0</v>
      </c>
      <c r="BU179" s="373">
        <v>0</v>
      </c>
      <c r="CD179" s="373" t="s">
        <v>990</v>
      </c>
      <c r="CE179" s="373" t="s">
        <v>1034</v>
      </c>
      <c r="CF179" s="373" t="s">
        <v>170</v>
      </c>
      <c r="CG179" s="373" t="s">
        <v>999</v>
      </c>
      <c r="CH179" s="373" t="s">
        <v>1166</v>
      </c>
      <c r="CI179" s="373">
        <v>27257.599999999999</v>
      </c>
      <c r="CJ179" s="373">
        <v>5</v>
      </c>
      <c r="CK179" s="373">
        <v>10</v>
      </c>
      <c r="CL179" s="373">
        <v>10</v>
      </c>
      <c r="CM179" s="373">
        <v>136.30000000000001</v>
      </c>
      <c r="CN179" s="373" t="s">
        <v>548</v>
      </c>
      <c r="CO179" s="373" t="s">
        <v>549</v>
      </c>
      <c r="CP179" s="373">
        <v>0</v>
      </c>
      <c r="CQ179" s="373">
        <v>0.15</v>
      </c>
      <c r="CR179" s="373">
        <v>0</v>
      </c>
      <c r="CS179" s="373">
        <v>0</v>
      </c>
      <c r="CT179" s="373">
        <v>4089</v>
      </c>
      <c r="CU179" s="373">
        <v>0</v>
      </c>
      <c r="CV179" s="373">
        <v>0.15</v>
      </c>
      <c r="CW179" s="373">
        <v>0</v>
      </c>
      <c r="CX179" s="373">
        <v>4089</v>
      </c>
      <c r="CY179" s="373">
        <v>0</v>
      </c>
      <c r="CZ179" s="373">
        <v>0.15</v>
      </c>
      <c r="DA179" s="373">
        <v>0</v>
      </c>
      <c r="DB179" s="373" t="s">
        <v>311</v>
      </c>
      <c r="DC179" s="373">
        <v>0</v>
      </c>
      <c r="DD179" s="373">
        <v>0</v>
      </c>
      <c r="DE179" s="373">
        <v>0</v>
      </c>
    </row>
    <row r="180" spans="1:109" s="373" customFormat="1" x14ac:dyDescent="0.3">
      <c r="A180" s="364"/>
      <c r="B180" s="92"/>
      <c r="C180" s="366"/>
      <c r="G180" s="367"/>
      <c r="AI180" s="365"/>
      <c r="AK180" s="365"/>
      <c r="AL180" s="365"/>
      <c r="AM180" s="365"/>
      <c r="AN180" s="365"/>
      <c r="AO180" s="365"/>
      <c r="AP180" s="365"/>
      <c r="AQ180" s="365"/>
      <c r="AR180" s="365"/>
      <c r="AS180" s="365"/>
      <c r="AT180" s="365" t="s">
        <v>998</v>
      </c>
      <c r="AU180" s="365" t="s">
        <v>1034</v>
      </c>
      <c r="AV180" s="365" t="s">
        <v>983</v>
      </c>
      <c r="AW180" s="365" t="s">
        <v>979</v>
      </c>
      <c r="AX180" s="373" t="s">
        <v>1167</v>
      </c>
      <c r="AY180" s="373">
        <v>0</v>
      </c>
      <c r="AZ180" s="373">
        <v>5</v>
      </c>
      <c r="BA180" s="373">
        <v>0</v>
      </c>
      <c r="BB180" s="373">
        <v>0</v>
      </c>
      <c r="BC180" s="373">
        <v>0</v>
      </c>
      <c r="BD180" s="373" t="s">
        <v>1009</v>
      </c>
      <c r="BE180" s="373" t="s">
        <v>311</v>
      </c>
      <c r="BF180" s="373">
        <v>0</v>
      </c>
      <c r="BG180" s="373">
        <v>0</v>
      </c>
      <c r="BH180" s="373">
        <v>0</v>
      </c>
      <c r="BI180" s="373">
        <v>0</v>
      </c>
      <c r="BJ180" s="373">
        <v>0</v>
      </c>
      <c r="BK180" s="373">
        <v>0</v>
      </c>
      <c r="BL180" s="373">
        <v>0</v>
      </c>
      <c r="BM180" s="373">
        <v>0</v>
      </c>
      <c r="BN180" s="373">
        <v>0</v>
      </c>
      <c r="BO180" s="373">
        <v>0</v>
      </c>
      <c r="BP180" s="373">
        <v>0</v>
      </c>
      <c r="BQ180" s="373">
        <v>0</v>
      </c>
      <c r="BR180" s="373" t="s">
        <v>311</v>
      </c>
      <c r="BS180" s="373">
        <v>0</v>
      </c>
      <c r="BT180" s="373">
        <v>0</v>
      </c>
      <c r="BU180" s="373">
        <v>0</v>
      </c>
      <c r="CD180" s="373" t="s">
        <v>998</v>
      </c>
      <c r="CE180" s="373" t="s">
        <v>1034</v>
      </c>
      <c r="CF180" s="373" t="s">
        <v>983</v>
      </c>
      <c r="CG180" s="373" t="s">
        <v>979</v>
      </c>
      <c r="CH180" s="373" t="s">
        <v>1167</v>
      </c>
      <c r="CI180" s="373">
        <v>0</v>
      </c>
      <c r="CJ180" s="373">
        <v>5</v>
      </c>
      <c r="CK180" s="373">
        <v>0</v>
      </c>
      <c r="CL180" s="373">
        <v>0</v>
      </c>
      <c r="CM180" s="373">
        <v>0</v>
      </c>
      <c r="CN180" s="373" t="s">
        <v>1009</v>
      </c>
      <c r="CO180" s="373" t="s">
        <v>311</v>
      </c>
      <c r="CP180" s="373">
        <v>0</v>
      </c>
      <c r="CQ180" s="373">
        <v>0</v>
      </c>
      <c r="CR180" s="373">
        <v>0</v>
      </c>
      <c r="CS180" s="373">
        <v>0</v>
      </c>
      <c r="CT180" s="373">
        <v>0</v>
      </c>
      <c r="CU180" s="373">
        <v>0</v>
      </c>
      <c r="CV180" s="373">
        <v>0</v>
      </c>
      <c r="CW180" s="373">
        <v>0</v>
      </c>
      <c r="CX180" s="373">
        <v>0</v>
      </c>
      <c r="CY180" s="373">
        <v>0</v>
      </c>
      <c r="CZ180" s="373">
        <v>0</v>
      </c>
      <c r="DA180" s="373">
        <v>0</v>
      </c>
      <c r="DB180" s="373" t="s">
        <v>311</v>
      </c>
      <c r="DC180" s="373">
        <v>0</v>
      </c>
      <c r="DD180" s="373">
        <v>0</v>
      </c>
      <c r="DE180" s="373">
        <v>0</v>
      </c>
    </row>
    <row r="181" spans="1:109" s="373" customFormat="1" x14ac:dyDescent="0.3">
      <c r="A181" s="364"/>
      <c r="B181" s="92"/>
      <c r="C181" s="366"/>
      <c r="G181" s="367"/>
      <c r="AI181" s="365"/>
      <c r="AK181" s="365"/>
      <c r="AL181" s="365"/>
      <c r="AM181" s="365"/>
      <c r="AN181" s="365"/>
      <c r="AO181" s="365"/>
      <c r="AP181" s="365"/>
      <c r="AQ181" s="365"/>
      <c r="AR181" s="365"/>
      <c r="AS181" s="365"/>
      <c r="AT181" s="365" t="s">
        <v>1000</v>
      </c>
      <c r="AU181" s="365" t="s">
        <v>1034</v>
      </c>
      <c r="AV181" s="365" t="s">
        <v>170</v>
      </c>
      <c r="AW181" s="365" t="s">
        <v>999</v>
      </c>
      <c r="AX181" s="373" t="s">
        <v>1168</v>
      </c>
      <c r="AY181" s="373">
        <v>3373.6</v>
      </c>
      <c r="AZ181" s="373">
        <v>5</v>
      </c>
      <c r="BA181" s="373">
        <v>10</v>
      </c>
      <c r="BB181" s="373">
        <v>10</v>
      </c>
      <c r="BC181" s="373">
        <v>16.899999999999999</v>
      </c>
      <c r="BD181" s="373" t="s">
        <v>548</v>
      </c>
      <c r="BE181" s="373" t="s">
        <v>549</v>
      </c>
      <c r="BF181" s="373">
        <v>15</v>
      </c>
      <c r="BG181" s="373">
        <v>0.15</v>
      </c>
      <c r="BH181" s="373">
        <v>0</v>
      </c>
      <c r="BI181" s="373">
        <v>0</v>
      </c>
      <c r="BJ181" s="373">
        <v>506</v>
      </c>
      <c r="BK181" s="373">
        <v>0</v>
      </c>
      <c r="BL181" s="373">
        <v>0.15</v>
      </c>
      <c r="BM181" s="373">
        <v>0</v>
      </c>
      <c r="BN181" s="373">
        <v>506</v>
      </c>
      <c r="BO181" s="373">
        <v>0</v>
      </c>
      <c r="BP181" s="373">
        <v>0.15</v>
      </c>
      <c r="BQ181" s="373">
        <v>0</v>
      </c>
      <c r="BR181" s="373" t="s">
        <v>311</v>
      </c>
      <c r="BS181" s="373">
        <v>0</v>
      </c>
      <c r="BT181" s="373">
        <v>0</v>
      </c>
      <c r="BU181" s="373">
        <v>0</v>
      </c>
      <c r="CD181" s="373" t="s">
        <v>1000</v>
      </c>
      <c r="CE181" s="373" t="s">
        <v>1034</v>
      </c>
      <c r="CF181" s="373" t="s">
        <v>170</v>
      </c>
      <c r="CG181" s="373" t="s">
        <v>999</v>
      </c>
      <c r="CH181" s="373" t="s">
        <v>1168</v>
      </c>
      <c r="CI181" s="373">
        <v>3373.6</v>
      </c>
      <c r="CJ181" s="373">
        <v>5</v>
      </c>
      <c r="CK181" s="373">
        <v>10</v>
      </c>
      <c r="CL181" s="373">
        <v>10</v>
      </c>
      <c r="CM181" s="373">
        <v>16.899999999999999</v>
      </c>
      <c r="CN181" s="373" t="s">
        <v>548</v>
      </c>
      <c r="CO181" s="373" t="s">
        <v>549</v>
      </c>
      <c r="CP181" s="373">
        <v>0</v>
      </c>
      <c r="CQ181" s="373">
        <v>0.15</v>
      </c>
      <c r="CR181" s="373">
        <v>0</v>
      </c>
      <c r="CS181" s="373">
        <v>0</v>
      </c>
      <c r="CT181" s="373">
        <v>506</v>
      </c>
      <c r="CU181" s="373">
        <v>0</v>
      </c>
      <c r="CV181" s="373">
        <v>0.15</v>
      </c>
      <c r="CW181" s="373">
        <v>0</v>
      </c>
      <c r="CX181" s="373">
        <v>506</v>
      </c>
      <c r="CY181" s="373">
        <v>0</v>
      </c>
      <c r="CZ181" s="373">
        <v>0.15</v>
      </c>
      <c r="DA181" s="373">
        <v>0</v>
      </c>
      <c r="DB181" s="373" t="s">
        <v>311</v>
      </c>
      <c r="DC181" s="373">
        <v>0</v>
      </c>
      <c r="DD181" s="373">
        <v>0</v>
      </c>
      <c r="DE181" s="373">
        <v>0</v>
      </c>
    </row>
    <row r="182" spans="1:109" s="373" customFormat="1" x14ac:dyDescent="0.3">
      <c r="A182" s="364"/>
      <c r="B182" s="92"/>
      <c r="C182" s="366"/>
      <c r="G182" s="367"/>
      <c r="AI182" s="365"/>
      <c r="AK182" s="365"/>
      <c r="AL182" s="365"/>
      <c r="AM182" s="365"/>
      <c r="AN182" s="365"/>
      <c r="AO182" s="365"/>
      <c r="AP182" s="365"/>
      <c r="AQ182" s="365"/>
      <c r="AR182" s="365"/>
      <c r="AS182" s="365"/>
      <c r="AT182" s="365" t="s">
        <v>1001</v>
      </c>
      <c r="AU182" s="365" t="s">
        <v>1034</v>
      </c>
      <c r="AV182" s="365" t="s">
        <v>170</v>
      </c>
      <c r="AW182" s="365" t="s">
        <v>988</v>
      </c>
      <c r="AX182" s="373" t="s">
        <v>1169</v>
      </c>
      <c r="AY182" s="373">
        <v>2174.1</v>
      </c>
      <c r="AZ182" s="373">
        <v>5</v>
      </c>
      <c r="BA182" s="373">
        <v>10</v>
      </c>
      <c r="BB182" s="373">
        <v>10</v>
      </c>
      <c r="BC182" s="373">
        <v>10.9</v>
      </c>
      <c r="BD182" s="373" t="s">
        <v>548</v>
      </c>
      <c r="BE182" s="373" t="s">
        <v>549</v>
      </c>
      <c r="BF182" s="373">
        <v>15</v>
      </c>
      <c r="BG182" s="373">
        <v>0.15</v>
      </c>
      <c r="BH182" s="373">
        <v>0</v>
      </c>
      <c r="BI182" s="373">
        <v>0</v>
      </c>
      <c r="BJ182" s="373">
        <v>326</v>
      </c>
      <c r="BK182" s="373">
        <v>0</v>
      </c>
      <c r="BL182" s="373">
        <v>0.15</v>
      </c>
      <c r="BM182" s="373">
        <v>0</v>
      </c>
      <c r="BN182" s="373">
        <v>326</v>
      </c>
      <c r="BO182" s="373">
        <v>0</v>
      </c>
      <c r="BP182" s="373">
        <v>0.15</v>
      </c>
      <c r="BQ182" s="373">
        <v>0</v>
      </c>
      <c r="BR182" s="373" t="s">
        <v>311</v>
      </c>
      <c r="BS182" s="373">
        <v>0</v>
      </c>
      <c r="BT182" s="373">
        <v>0</v>
      </c>
      <c r="BU182" s="373">
        <v>0</v>
      </c>
      <c r="CD182" s="373" t="s">
        <v>1001</v>
      </c>
      <c r="CE182" s="373" t="s">
        <v>1034</v>
      </c>
      <c r="CF182" s="373" t="s">
        <v>170</v>
      </c>
      <c r="CG182" s="373" t="s">
        <v>988</v>
      </c>
      <c r="CH182" s="373" t="s">
        <v>1169</v>
      </c>
      <c r="CI182" s="373">
        <v>2174.1</v>
      </c>
      <c r="CJ182" s="373">
        <v>5</v>
      </c>
      <c r="CK182" s="373">
        <v>10</v>
      </c>
      <c r="CL182" s="373">
        <v>10</v>
      </c>
      <c r="CM182" s="373">
        <v>10.9</v>
      </c>
      <c r="CN182" s="373" t="s">
        <v>548</v>
      </c>
      <c r="CO182" s="373" t="s">
        <v>549</v>
      </c>
      <c r="CP182" s="373">
        <v>0</v>
      </c>
      <c r="CQ182" s="373">
        <v>0.15</v>
      </c>
      <c r="CR182" s="373">
        <v>0</v>
      </c>
      <c r="CS182" s="373">
        <v>0</v>
      </c>
      <c r="CT182" s="373">
        <v>326</v>
      </c>
      <c r="CU182" s="373">
        <v>0</v>
      </c>
      <c r="CV182" s="373">
        <v>0.15</v>
      </c>
      <c r="CW182" s="373">
        <v>0</v>
      </c>
      <c r="CX182" s="373">
        <v>326</v>
      </c>
      <c r="CY182" s="373">
        <v>0</v>
      </c>
      <c r="CZ182" s="373">
        <v>0.15</v>
      </c>
      <c r="DA182" s="373">
        <v>0</v>
      </c>
      <c r="DB182" s="373" t="s">
        <v>311</v>
      </c>
      <c r="DC182" s="373">
        <v>0</v>
      </c>
      <c r="DD182" s="373">
        <v>0</v>
      </c>
      <c r="DE182" s="373">
        <v>0</v>
      </c>
    </row>
    <row r="183" spans="1:109" s="373" customFormat="1" x14ac:dyDescent="0.3">
      <c r="A183" s="364"/>
      <c r="B183" s="92"/>
      <c r="C183" s="366"/>
      <c r="G183" s="367"/>
      <c r="AI183" s="365"/>
      <c r="AK183" s="365"/>
      <c r="AL183" s="365"/>
      <c r="AM183" s="365"/>
      <c r="AN183" s="365"/>
      <c r="AO183" s="365"/>
      <c r="AP183" s="365"/>
      <c r="AQ183" s="365"/>
      <c r="AR183" s="365"/>
      <c r="AS183" s="365"/>
      <c r="AT183" s="365" t="s">
        <v>1002</v>
      </c>
      <c r="AU183" s="365" t="s">
        <v>1034</v>
      </c>
      <c r="AV183" s="365" t="s">
        <v>170</v>
      </c>
      <c r="AW183" s="365" t="s">
        <v>999</v>
      </c>
      <c r="AX183" s="373" t="s">
        <v>1170</v>
      </c>
      <c r="AY183" s="373">
        <v>3373.6</v>
      </c>
      <c r="AZ183" s="373">
        <v>5</v>
      </c>
      <c r="BA183" s="373">
        <v>10</v>
      </c>
      <c r="BB183" s="373">
        <v>10</v>
      </c>
      <c r="BC183" s="373">
        <v>16.899999999999999</v>
      </c>
      <c r="BD183" s="373" t="s">
        <v>548</v>
      </c>
      <c r="BE183" s="373" t="s">
        <v>549</v>
      </c>
      <c r="BF183" s="373">
        <v>0</v>
      </c>
      <c r="BG183" s="373">
        <v>0.3</v>
      </c>
      <c r="BH183" s="373">
        <v>0</v>
      </c>
      <c r="BI183" s="373">
        <v>0</v>
      </c>
      <c r="BJ183" s="373">
        <v>1012</v>
      </c>
      <c r="BK183" s="373">
        <v>0</v>
      </c>
      <c r="BL183" s="373">
        <v>0.15</v>
      </c>
      <c r="BM183" s="373">
        <v>0</v>
      </c>
      <c r="BN183" s="373">
        <v>1012</v>
      </c>
      <c r="BO183" s="373">
        <v>0</v>
      </c>
      <c r="BP183" s="373">
        <v>0.3</v>
      </c>
      <c r="BQ183" s="373">
        <v>0</v>
      </c>
      <c r="BR183" s="373" t="s">
        <v>311</v>
      </c>
      <c r="BS183" s="373">
        <v>0</v>
      </c>
      <c r="BT183" s="373">
        <v>0</v>
      </c>
      <c r="BU183" s="373">
        <v>0</v>
      </c>
      <c r="CD183" s="373" t="s">
        <v>1002</v>
      </c>
      <c r="CE183" s="373" t="s">
        <v>1034</v>
      </c>
      <c r="CF183" s="373" t="s">
        <v>170</v>
      </c>
      <c r="CG183" s="373" t="s">
        <v>999</v>
      </c>
      <c r="CH183" s="373" t="s">
        <v>1170</v>
      </c>
      <c r="CI183" s="373">
        <v>3373.6</v>
      </c>
      <c r="CJ183" s="373">
        <v>5</v>
      </c>
      <c r="CK183" s="373">
        <v>10</v>
      </c>
      <c r="CL183" s="373">
        <v>10</v>
      </c>
      <c r="CM183" s="373">
        <v>16.899999999999999</v>
      </c>
      <c r="CN183" s="373" t="s">
        <v>548</v>
      </c>
      <c r="CO183" s="373" t="s">
        <v>549</v>
      </c>
      <c r="CP183" s="373">
        <v>0</v>
      </c>
      <c r="CQ183" s="373">
        <v>0.15</v>
      </c>
      <c r="CR183" s="373">
        <v>0</v>
      </c>
      <c r="CS183" s="373">
        <v>0</v>
      </c>
      <c r="CT183" s="373">
        <v>1012</v>
      </c>
      <c r="CU183" s="373">
        <v>0</v>
      </c>
      <c r="CV183" s="373">
        <v>0.15</v>
      </c>
      <c r="CW183" s="373">
        <v>0</v>
      </c>
      <c r="CX183" s="373">
        <v>1012</v>
      </c>
      <c r="CY183" s="373">
        <v>0</v>
      </c>
      <c r="CZ183" s="373">
        <v>0.3</v>
      </c>
      <c r="DA183" s="373">
        <v>0</v>
      </c>
      <c r="DB183" s="373" t="s">
        <v>311</v>
      </c>
      <c r="DC183" s="373">
        <v>0</v>
      </c>
      <c r="DD183" s="373">
        <v>0</v>
      </c>
      <c r="DE183" s="373">
        <v>0</v>
      </c>
    </row>
    <row r="184" spans="1:109" s="373" customFormat="1" x14ac:dyDescent="0.3">
      <c r="A184" s="364"/>
      <c r="B184" s="92"/>
      <c r="C184" s="366"/>
      <c r="G184" s="367"/>
      <c r="AI184" s="365"/>
      <c r="AK184" s="365"/>
      <c r="AL184" s="365"/>
      <c r="AM184" s="365"/>
      <c r="AN184" s="365"/>
      <c r="AO184" s="365"/>
      <c r="AP184" s="365"/>
      <c r="AQ184" s="365"/>
      <c r="AR184" s="365"/>
      <c r="AS184" s="365"/>
      <c r="AT184" s="365" t="s">
        <v>1003</v>
      </c>
      <c r="AU184" s="365" t="s">
        <v>1034</v>
      </c>
      <c r="AV184" s="365" t="s">
        <v>170</v>
      </c>
      <c r="AW184" s="365" t="s">
        <v>999</v>
      </c>
      <c r="AX184" s="373" t="s">
        <v>1171</v>
      </c>
      <c r="AY184" s="373">
        <v>2174</v>
      </c>
      <c r="AZ184" s="373">
        <v>5</v>
      </c>
      <c r="BA184" s="373">
        <v>10</v>
      </c>
      <c r="BB184" s="373">
        <v>10</v>
      </c>
      <c r="BC184" s="373">
        <v>10.9</v>
      </c>
      <c r="BD184" s="373" t="s">
        <v>548</v>
      </c>
      <c r="BE184" s="373" t="s">
        <v>549</v>
      </c>
      <c r="BF184" s="373">
        <v>0</v>
      </c>
      <c r="BG184" s="373">
        <v>0.3</v>
      </c>
      <c r="BH184" s="373">
        <v>0</v>
      </c>
      <c r="BI184" s="373">
        <v>0</v>
      </c>
      <c r="BJ184" s="373">
        <v>652</v>
      </c>
      <c r="BK184" s="373">
        <v>0</v>
      </c>
      <c r="BL184" s="373">
        <v>0.15</v>
      </c>
      <c r="BM184" s="373">
        <v>0</v>
      </c>
      <c r="BN184" s="373">
        <v>652</v>
      </c>
      <c r="BO184" s="373">
        <v>0</v>
      </c>
      <c r="BP184" s="373">
        <v>0.3</v>
      </c>
      <c r="BQ184" s="373">
        <v>0</v>
      </c>
      <c r="BR184" s="373" t="s">
        <v>311</v>
      </c>
      <c r="BS184" s="373">
        <v>0</v>
      </c>
      <c r="BT184" s="373">
        <v>0</v>
      </c>
      <c r="BU184" s="373">
        <v>0</v>
      </c>
      <c r="CD184" s="373" t="s">
        <v>1003</v>
      </c>
      <c r="CE184" s="373" t="s">
        <v>1034</v>
      </c>
      <c r="CF184" s="373" t="s">
        <v>170</v>
      </c>
      <c r="CG184" s="373" t="s">
        <v>999</v>
      </c>
      <c r="CH184" s="373" t="s">
        <v>1171</v>
      </c>
      <c r="CI184" s="373">
        <v>2174</v>
      </c>
      <c r="CJ184" s="373">
        <v>5</v>
      </c>
      <c r="CK184" s="373">
        <v>10</v>
      </c>
      <c r="CL184" s="373">
        <v>10</v>
      </c>
      <c r="CM184" s="373">
        <v>10.9</v>
      </c>
      <c r="CN184" s="373" t="s">
        <v>548</v>
      </c>
      <c r="CO184" s="373" t="s">
        <v>549</v>
      </c>
      <c r="CP184" s="373">
        <v>0</v>
      </c>
      <c r="CQ184" s="373">
        <v>0.15</v>
      </c>
      <c r="CR184" s="373">
        <v>0</v>
      </c>
      <c r="CS184" s="373">
        <v>0</v>
      </c>
      <c r="CT184" s="373">
        <v>652</v>
      </c>
      <c r="CU184" s="373">
        <v>0</v>
      </c>
      <c r="CV184" s="373">
        <v>0.15</v>
      </c>
      <c r="CW184" s="373">
        <v>0</v>
      </c>
      <c r="CX184" s="373">
        <v>652</v>
      </c>
      <c r="CY184" s="373">
        <v>0</v>
      </c>
      <c r="CZ184" s="373">
        <v>0.3</v>
      </c>
      <c r="DA184" s="373">
        <v>0</v>
      </c>
      <c r="DB184" s="373" t="s">
        <v>311</v>
      </c>
      <c r="DC184" s="373">
        <v>0</v>
      </c>
      <c r="DD184" s="373">
        <v>0</v>
      </c>
      <c r="DE184" s="373">
        <v>0</v>
      </c>
    </row>
    <row r="185" spans="1:109" s="373" customFormat="1" x14ac:dyDescent="0.3">
      <c r="A185" s="364"/>
      <c r="B185" s="92"/>
      <c r="C185" s="366"/>
      <c r="G185" s="367"/>
      <c r="AI185" s="365"/>
      <c r="AK185" s="365"/>
      <c r="AL185" s="365"/>
      <c r="AM185" s="365"/>
      <c r="AN185" s="365"/>
      <c r="AO185" s="365"/>
      <c r="AP185" s="365"/>
      <c r="AQ185" s="365"/>
      <c r="AR185" s="365"/>
      <c r="AS185" s="365"/>
      <c r="AT185" s="365" t="s">
        <v>1004</v>
      </c>
      <c r="AU185" s="365" t="s">
        <v>1035</v>
      </c>
      <c r="AV185" s="365" t="s">
        <v>170</v>
      </c>
      <c r="AW185" s="365" t="s">
        <v>915</v>
      </c>
      <c r="AX185" s="373" t="s">
        <v>1172</v>
      </c>
      <c r="AY185" s="373">
        <v>27257.599999999999</v>
      </c>
      <c r="AZ185" s="373">
        <v>5</v>
      </c>
      <c r="BA185" s="373">
        <v>10</v>
      </c>
      <c r="BB185" s="373">
        <v>10</v>
      </c>
      <c r="BC185" s="373">
        <v>136.30000000000001</v>
      </c>
      <c r="BD185" s="373" t="s">
        <v>1005</v>
      </c>
      <c r="BE185" s="373" t="s">
        <v>549</v>
      </c>
      <c r="BF185" s="373">
        <v>0</v>
      </c>
      <c r="BG185" s="373">
        <v>0</v>
      </c>
      <c r="BH185" s="373">
        <v>0</v>
      </c>
      <c r="BI185" s="373">
        <v>4415</v>
      </c>
      <c r="BJ185" s="373">
        <v>4415</v>
      </c>
      <c r="BK185" s="373">
        <v>0</v>
      </c>
      <c r="BL185" s="373">
        <v>0.15</v>
      </c>
      <c r="BM185" s="373">
        <v>0</v>
      </c>
      <c r="BN185" s="373">
        <v>4089</v>
      </c>
      <c r="BO185" s="373">
        <v>0</v>
      </c>
      <c r="BP185" s="373">
        <v>0.16197300000000001</v>
      </c>
      <c r="BQ185" s="373">
        <v>0</v>
      </c>
      <c r="BR185" s="373" t="s">
        <v>311</v>
      </c>
      <c r="BS185" s="373">
        <v>0</v>
      </c>
      <c r="BT185" s="373">
        <v>4415</v>
      </c>
      <c r="BU185" s="373">
        <v>0</v>
      </c>
      <c r="CD185" s="373" t="s">
        <v>1004</v>
      </c>
      <c r="CE185" s="373" t="s">
        <v>1035</v>
      </c>
      <c r="CF185" s="373" t="s">
        <v>170</v>
      </c>
      <c r="CG185" s="373" t="s">
        <v>915</v>
      </c>
      <c r="CH185" s="373" t="s">
        <v>1172</v>
      </c>
      <c r="CI185" s="373">
        <v>27257.599999999999</v>
      </c>
      <c r="CJ185" s="373">
        <v>5</v>
      </c>
      <c r="CK185" s="373">
        <v>10</v>
      </c>
      <c r="CL185" s="373">
        <v>10</v>
      </c>
      <c r="CM185" s="373">
        <v>136.30000000000001</v>
      </c>
      <c r="CN185" s="373" t="s">
        <v>1005</v>
      </c>
      <c r="CO185" s="373" t="s">
        <v>549</v>
      </c>
      <c r="CP185" s="373">
        <v>0</v>
      </c>
      <c r="CQ185" s="373">
        <v>0.15</v>
      </c>
      <c r="CR185" s="373">
        <v>0</v>
      </c>
      <c r="CS185" s="373">
        <v>0</v>
      </c>
      <c r="CT185" s="373">
        <v>4415</v>
      </c>
      <c r="CU185" s="373">
        <v>0</v>
      </c>
      <c r="CV185" s="373">
        <v>0.15</v>
      </c>
      <c r="CW185" s="373">
        <v>0</v>
      </c>
      <c r="CX185" s="373">
        <v>4089</v>
      </c>
      <c r="CY185" s="373">
        <v>0</v>
      </c>
      <c r="CZ185" s="373">
        <v>0.16197300000000001</v>
      </c>
      <c r="DA185" s="373">
        <v>0</v>
      </c>
      <c r="DB185" s="373" t="s">
        <v>311</v>
      </c>
      <c r="DC185" s="373">
        <v>0</v>
      </c>
      <c r="DD185" s="373">
        <v>4415</v>
      </c>
      <c r="DE185" s="373">
        <v>0</v>
      </c>
    </row>
    <row r="186" spans="1:109" s="373" customFormat="1" x14ac:dyDescent="0.3">
      <c r="A186" s="364"/>
      <c r="B186" s="92"/>
      <c r="C186" s="366"/>
      <c r="G186" s="367"/>
      <c r="AI186" s="365"/>
      <c r="AK186" s="365"/>
      <c r="AL186" s="365"/>
      <c r="AM186" s="365"/>
      <c r="AN186" s="365"/>
      <c r="AO186" s="365"/>
      <c r="AP186" s="365"/>
      <c r="AQ186" s="365"/>
      <c r="AR186" s="365"/>
      <c r="AS186" s="365"/>
      <c r="AT186" s="365" t="s">
        <v>1006</v>
      </c>
      <c r="AU186" s="365" t="s">
        <v>1035</v>
      </c>
      <c r="AV186" s="365" t="s">
        <v>983</v>
      </c>
      <c r="AW186" s="365" t="s">
        <v>979</v>
      </c>
      <c r="AX186" s="373" t="s">
        <v>1173</v>
      </c>
      <c r="AY186" s="373">
        <v>0</v>
      </c>
      <c r="AZ186" s="373">
        <v>5</v>
      </c>
      <c r="BA186" s="373">
        <v>0</v>
      </c>
      <c r="BB186" s="373">
        <v>0</v>
      </c>
      <c r="BC186" s="373">
        <v>0</v>
      </c>
      <c r="BD186" s="373" t="s">
        <v>1009</v>
      </c>
      <c r="BE186" s="373" t="s">
        <v>311</v>
      </c>
      <c r="BF186" s="373">
        <v>0</v>
      </c>
      <c r="BG186" s="373">
        <v>0</v>
      </c>
      <c r="BH186" s="373">
        <v>0</v>
      </c>
      <c r="BI186" s="373">
        <v>0</v>
      </c>
      <c r="BJ186" s="373">
        <v>0</v>
      </c>
      <c r="BK186" s="373">
        <v>0</v>
      </c>
      <c r="BL186" s="373">
        <v>0</v>
      </c>
      <c r="BM186" s="373">
        <v>0</v>
      </c>
      <c r="BN186" s="373">
        <v>0</v>
      </c>
      <c r="BO186" s="373">
        <v>0</v>
      </c>
      <c r="BP186" s="373">
        <v>0</v>
      </c>
      <c r="BQ186" s="373">
        <v>0</v>
      </c>
      <c r="BR186" s="373" t="s">
        <v>311</v>
      </c>
      <c r="BS186" s="373">
        <v>0</v>
      </c>
      <c r="BT186" s="373">
        <v>0</v>
      </c>
      <c r="BU186" s="373">
        <v>0</v>
      </c>
      <c r="CD186" s="373" t="s">
        <v>1006</v>
      </c>
      <c r="CE186" s="373" t="s">
        <v>1035</v>
      </c>
      <c r="CF186" s="373" t="s">
        <v>983</v>
      </c>
      <c r="CG186" s="373" t="s">
        <v>979</v>
      </c>
      <c r="CH186" s="373" t="s">
        <v>1173</v>
      </c>
      <c r="CI186" s="373">
        <v>0</v>
      </c>
      <c r="CJ186" s="373">
        <v>5</v>
      </c>
      <c r="CK186" s="373">
        <v>0</v>
      </c>
      <c r="CL186" s="373">
        <v>0</v>
      </c>
      <c r="CM186" s="373">
        <v>0</v>
      </c>
      <c r="CN186" s="373" t="s">
        <v>1009</v>
      </c>
      <c r="CO186" s="373" t="s">
        <v>311</v>
      </c>
      <c r="CP186" s="373">
        <v>0</v>
      </c>
      <c r="CQ186" s="373">
        <v>0</v>
      </c>
      <c r="CR186" s="373">
        <v>0</v>
      </c>
      <c r="CS186" s="373">
        <v>0</v>
      </c>
      <c r="CT186" s="373">
        <v>0</v>
      </c>
      <c r="CU186" s="373">
        <v>0</v>
      </c>
      <c r="CV186" s="373">
        <v>0</v>
      </c>
      <c r="CW186" s="373">
        <v>0</v>
      </c>
      <c r="CX186" s="373">
        <v>0</v>
      </c>
      <c r="CY186" s="373">
        <v>0</v>
      </c>
      <c r="CZ186" s="373">
        <v>0</v>
      </c>
      <c r="DA186" s="373">
        <v>0</v>
      </c>
      <c r="DB186" s="373" t="s">
        <v>311</v>
      </c>
      <c r="DC186" s="373">
        <v>0</v>
      </c>
      <c r="DD186" s="373">
        <v>0</v>
      </c>
      <c r="DE186" s="373">
        <v>0</v>
      </c>
    </row>
    <row r="187" spans="1:109" s="373" customFormat="1" x14ac:dyDescent="0.3">
      <c r="A187" s="364"/>
      <c r="B187" s="92"/>
      <c r="C187" s="366"/>
      <c r="G187" s="367"/>
      <c r="AI187" s="365"/>
      <c r="AK187" s="365"/>
      <c r="AL187" s="365"/>
      <c r="AM187" s="365"/>
      <c r="AN187" s="365"/>
      <c r="AO187" s="365"/>
      <c r="AP187" s="365"/>
      <c r="AQ187" s="365"/>
      <c r="AR187" s="365"/>
      <c r="AS187" s="365"/>
      <c r="AT187" s="365" t="s">
        <v>1007</v>
      </c>
      <c r="AU187" s="365" t="s">
        <v>1035</v>
      </c>
      <c r="AV187" s="365" t="s">
        <v>170</v>
      </c>
      <c r="AW187" s="365" t="s">
        <v>915</v>
      </c>
      <c r="AX187" s="373" t="s">
        <v>1174</v>
      </c>
      <c r="AY187" s="373">
        <v>3373.6</v>
      </c>
      <c r="AZ187" s="373">
        <v>5</v>
      </c>
      <c r="BA187" s="373">
        <v>10</v>
      </c>
      <c r="BB187" s="373">
        <v>10</v>
      </c>
      <c r="BC187" s="373">
        <v>16.899999999999999</v>
      </c>
      <c r="BD187" s="373" t="s">
        <v>548</v>
      </c>
      <c r="BE187" s="373" t="s">
        <v>549</v>
      </c>
      <c r="BF187" s="373">
        <v>15</v>
      </c>
      <c r="BG187" s="373">
        <v>0.15</v>
      </c>
      <c r="BH187" s="373">
        <v>0</v>
      </c>
      <c r="BI187" s="373">
        <v>0</v>
      </c>
      <c r="BJ187" s="373">
        <v>506</v>
      </c>
      <c r="BK187" s="373">
        <v>0</v>
      </c>
      <c r="BL187" s="373">
        <v>0.15</v>
      </c>
      <c r="BM187" s="373">
        <v>0</v>
      </c>
      <c r="BN187" s="373">
        <v>506</v>
      </c>
      <c r="BO187" s="373">
        <v>0</v>
      </c>
      <c r="BP187" s="373">
        <v>0.15</v>
      </c>
      <c r="BQ187" s="373">
        <v>0</v>
      </c>
      <c r="BR187" s="373" t="s">
        <v>311</v>
      </c>
      <c r="BS187" s="373">
        <v>0</v>
      </c>
      <c r="BT187" s="373">
        <v>506</v>
      </c>
      <c r="BU187" s="373">
        <v>0</v>
      </c>
      <c r="CD187" s="373" t="s">
        <v>1007</v>
      </c>
      <c r="CE187" s="373" t="s">
        <v>1035</v>
      </c>
      <c r="CF187" s="373" t="s">
        <v>170</v>
      </c>
      <c r="CG187" s="373" t="s">
        <v>915</v>
      </c>
      <c r="CH187" s="373" t="s">
        <v>1174</v>
      </c>
      <c r="CI187" s="373">
        <v>3373.6</v>
      </c>
      <c r="CJ187" s="373">
        <v>5</v>
      </c>
      <c r="CK187" s="373">
        <v>10</v>
      </c>
      <c r="CL187" s="373">
        <v>10</v>
      </c>
      <c r="CM187" s="373">
        <v>16.899999999999999</v>
      </c>
      <c r="CN187" s="373" t="s">
        <v>548</v>
      </c>
      <c r="CO187" s="373" t="s">
        <v>549</v>
      </c>
      <c r="CP187" s="373">
        <v>0</v>
      </c>
      <c r="CQ187" s="373">
        <v>0.15</v>
      </c>
      <c r="CR187" s="373">
        <v>0</v>
      </c>
      <c r="CS187" s="373">
        <v>0</v>
      </c>
      <c r="CT187" s="373">
        <v>506</v>
      </c>
      <c r="CU187" s="373">
        <v>0</v>
      </c>
      <c r="CV187" s="373">
        <v>0.15</v>
      </c>
      <c r="CW187" s="373">
        <v>0</v>
      </c>
      <c r="CX187" s="373">
        <v>506</v>
      </c>
      <c r="CY187" s="373">
        <v>0</v>
      </c>
      <c r="CZ187" s="373">
        <v>0.15</v>
      </c>
      <c r="DA187" s="373">
        <v>0</v>
      </c>
      <c r="DB187" s="373" t="s">
        <v>311</v>
      </c>
      <c r="DC187" s="373">
        <v>0</v>
      </c>
      <c r="DD187" s="373">
        <v>506</v>
      </c>
      <c r="DE187" s="373">
        <v>0</v>
      </c>
    </row>
    <row r="188" spans="1:109" s="373" customFormat="1" x14ac:dyDescent="0.3">
      <c r="A188" s="364"/>
      <c r="B188" s="92"/>
      <c r="C188" s="366"/>
      <c r="G188" s="367"/>
      <c r="AI188" s="365"/>
      <c r="AK188" s="365"/>
      <c r="AL188" s="365"/>
      <c r="AM188" s="365"/>
      <c r="AN188" s="365"/>
      <c r="AO188" s="365"/>
      <c r="AP188" s="365"/>
      <c r="AQ188" s="365"/>
      <c r="AR188" s="365"/>
      <c r="AS188" s="365"/>
      <c r="AT188" s="365" t="s">
        <v>1008</v>
      </c>
      <c r="AU188" s="365" t="s">
        <v>1035</v>
      </c>
      <c r="AV188" s="365" t="s">
        <v>140</v>
      </c>
      <c r="AW188" s="365" t="s">
        <v>988</v>
      </c>
      <c r="AX188" s="373" t="s">
        <v>1175</v>
      </c>
      <c r="AY188" s="373">
        <v>2174.1</v>
      </c>
      <c r="AZ188" s="373">
        <v>5</v>
      </c>
      <c r="BA188" s="373">
        <v>10</v>
      </c>
      <c r="BB188" s="373">
        <v>10</v>
      </c>
      <c r="BC188" s="373">
        <v>10.9</v>
      </c>
      <c r="BD188" s="373" t="s">
        <v>1009</v>
      </c>
      <c r="BE188" s="373" t="s">
        <v>311</v>
      </c>
      <c r="BF188" s="373">
        <v>0</v>
      </c>
      <c r="BG188" s="373">
        <v>0</v>
      </c>
      <c r="BH188" s="373">
        <v>0</v>
      </c>
      <c r="BI188" s="373">
        <v>0</v>
      </c>
      <c r="BJ188" s="373">
        <v>0</v>
      </c>
      <c r="BK188" s="373">
        <v>0</v>
      </c>
      <c r="BL188" s="373">
        <v>0.15</v>
      </c>
      <c r="BM188" s="373">
        <v>0</v>
      </c>
      <c r="BN188" s="373">
        <v>326</v>
      </c>
      <c r="BO188" s="373">
        <v>0</v>
      </c>
      <c r="BP188" s="373">
        <v>0</v>
      </c>
      <c r="BQ188" s="373">
        <v>0</v>
      </c>
      <c r="BR188" s="373" t="s">
        <v>311</v>
      </c>
      <c r="BS188" s="373">
        <v>0</v>
      </c>
      <c r="BT188" s="373">
        <v>0</v>
      </c>
      <c r="BU188" s="373">
        <v>0</v>
      </c>
      <c r="CD188" s="373" t="s">
        <v>1008</v>
      </c>
      <c r="CE188" s="373" t="s">
        <v>1035</v>
      </c>
      <c r="CF188" s="373" t="s">
        <v>140</v>
      </c>
      <c r="CG188" s="373" t="s">
        <v>988</v>
      </c>
      <c r="CH188" s="373" t="s">
        <v>1175</v>
      </c>
      <c r="CI188" s="373">
        <v>2174.1</v>
      </c>
      <c r="CJ188" s="373">
        <v>5</v>
      </c>
      <c r="CK188" s="373">
        <v>10</v>
      </c>
      <c r="CL188" s="373">
        <v>10</v>
      </c>
      <c r="CM188" s="373">
        <v>10.9</v>
      </c>
      <c r="CN188" s="373" t="s">
        <v>1009</v>
      </c>
      <c r="CO188" s="373" t="s">
        <v>311</v>
      </c>
      <c r="CP188" s="373">
        <v>0</v>
      </c>
      <c r="CQ188" s="373">
        <v>0</v>
      </c>
      <c r="CR188" s="373">
        <v>0</v>
      </c>
      <c r="CS188" s="373">
        <v>0</v>
      </c>
      <c r="CT188" s="373">
        <v>0</v>
      </c>
      <c r="CU188" s="373">
        <v>0</v>
      </c>
      <c r="CV188" s="373">
        <v>0.15</v>
      </c>
      <c r="CW188" s="373">
        <v>0</v>
      </c>
      <c r="CX188" s="373">
        <v>326</v>
      </c>
      <c r="CY188" s="373">
        <v>0</v>
      </c>
      <c r="CZ188" s="373">
        <v>0</v>
      </c>
      <c r="DA188" s="373">
        <v>0</v>
      </c>
      <c r="DB188" s="373" t="s">
        <v>311</v>
      </c>
      <c r="DC188" s="373">
        <v>0</v>
      </c>
      <c r="DD188" s="373">
        <v>0</v>
      </c>
      <c r="DE188" s="373">
        <v>0</v>
      </c>
    </row>
    <row r="189" spans="1:109" s="373" customFormat="1" x14ac:dyDescent="0.3">
      <c r="A189" s="364"/>
      <c r="B189" s="92"/>
      <c r="C189" s="366"/>
      <c r="G189" s="367"/>
      <c r="AI189" s="365"/>
      <c r="AK189" s="365"/>
      <c r="AL189" s="365"/>
      <c r="AM189" s="365"/>
      <c r="AN189" s="365"/>
      <c r="AO189" s="365"/>
      <c r="AP189" s="365"/>
      <c r="AQ189" s="365"/>
      <c r="AR189" s="365"/>
      <c r="AS189" s="365"/>
      <c r="AT189" s="365" t="s">
        <v>1011</v>
      </c>
      <c r="AU189" s="365" t="s">
        <v>1035</v>
      </c>
      <c r="AV189" s="365" t="s">
        <v>170</v>
      </c>
      <c r="AW189" s="365" t="s">
        <v>915</v>
      </c>
      <c r="AX189" s="373" t="s">
        <v>1176</v>
      </c>
      <c r="AY189" s="373">
        <v>3373.6</v>
      </c>
      <c r="AZ189" s="373">
        <v>5</v>
      </c>
      <c r="BA189" s="373">
        <v>10</v>
      </c>
      <c r="BB189" s="373">
        <v>10</v>
      </c>
      <c r="BC189" s="373">
        <v>16.899999999999999</v>
      </c>
      <c r="BD189" s="373" t="s">
        <v>548</v>
      </c>
      <c r="BE189" s="373" t="s">
        <v>549</v>
      </c>
      <c r="BF189" s="373">
        <v>15</v>
      </c>
      <c r="BG189" s="373">
        <v>0.15</v>
      </c>
      <c r="BH189" s="373">
        <v>0</v>
      </c>
      <c r="BI189" s="373">
        <v>0</v>
      </c>
      <c r="BJ189" s="373">
        <v>506</v>
      </c>
      <c r="BK189" s="373">
        <v>0</v>
      </c>
      <c r="BL189" s="373">
        <v>0.15</v>
      </c>
      <c r="BM189" s="373">
        <v>0</v>
      </c>
      <c r="BN189" s="373">
        <v>506</v>
      </c>
      <c r="BO189" s="373">
        <v>0</v>
      </c>
      <c r="BP189" s="373">
        <v>0.15</v>
      </c>
      <c r="BQ189" s="373">
        <v>0</v>
      </c>
      <c r="BR189" s="373" t="s">
        <v>311</v>
      </c>
      <c r="BS189" s="373">
        <v>0</v>
      </c>
      <c r="BT189" s="373">
        <v>506</v>
      </c>
      <c r="BU189" s="373">
        <v>0</v>
      </c>
      <c r="CD189" s="373" t="s">
        <v>1011</v>
      </c>
      <c r="CE189" s="373" t="s">
        <v>1035</v>
      </c>
      <c r="CF189" s="373" t="s">
        <v>170</v>
      </c>
      <c r="CG189" s="373" t="s">
        <v>915</v>
      </c>
      <c r="CH189" s="373" t="s">
        <v>1176</v>
      </c>
      <c r="CI189" s="373">
        <v>3373.6</v>
      </c>
      <c r="CJ189" s="373">
        <v>5</v>
      </c>
      <c r="CK189" s="373">
        <v>10</v>
      </c>
      <c r="CL189" s="373">
        <v>10</v>
      </c>
      <c r="CM189" s="373">
        <v>16.899999999999999</v>
      </c>
      <c r="CN189" s="373" t="s">
        <v>548</v>
      </c>
      <c r="CO189" s="373" t="s">
        <v>549</v>
      </c>
      <c r="CP189" s="373">
        <v>0</v>
      </c>
      <c r="CQ189" s="373">
        <v>0.15</v>
      </c>
      <c r="CR189" s="373">
        <v>0</v>
      </c>
      <c r="CS189" s="373">
        <v>0</v>
      </c>
      <c r="CT189" s="373">
        <v>506</v>
      </c>
      <c r="CU189" s="373">
        <v>0</v>
      </c>
      <c r="CV189" s="373">
        <v>0.15</v>
      </c>
      <c r="CW189" s="373">
        <v>0</v>
      </c>
      <c r="CX189" s="373">
        <v>506</v>
      </c>
      <c r="CY189" s="373">
        <v>0</v>
      </c>
      <c r="CZ189" s="373">
        <v>0.15</v>
      </c>
      <c r="DA189" s="373">
        <v>0</v>
      </c>
      <c r="DB189" s="373" t="s">
        <v>311</v>
      </c>
      <c r="DC189" s="373">
        <v>0</v>
      </c>
      <c r="DD189" s="373">
        <v>506</v>
      </c>
      <c r="DE189" s="373">
        <v>0</v>
      </c>
    </row>
    <row r="190" spans="1:109" s="373" customFormat="1" x14ac:dyDescent="0.3">
      <c r="A190" s="364"/>
      <c r="B190" s="92"/>
      <c r="C190" s="366"/>
      <c r="G190" s="367"/>
      <c r="AI190" s="365"/>
      <c r="AK190" s="365"/>
      <c r="AL190" s="365"/>
      <c r="AM190" s="365"/>
      <c r="AN190" s="365"/>
      <c r="AO190" s="365"/>
      <c r="AP190" s="365"/>
      <c r="AQ190" s="365"/>
      <c r="AR190" s="365"/>
      <c r="AS190" s="365"/>
      <c r="AT190" s="365" t="s">
        <v>1012</v>
      </c>
      <c r="AU190" s="365" t="s">
        <v>1035</v>
      </c>
      <c r="AV190" s="365" t="s">
        <v>170</v>
      </c>
      <c r="AW190" s="365" t="s">
        <v>915</v>
      </c>
      <c r="AX190" s="373" t="s">
        <v>1177</v>
      </c>
      <c r="AY190" s="373">
        <v>2174</v>
      </c>
      <c r="AZ190" s="373">
        <v>5</v>
      </c>
      <c r="BA190" s="373">
        <v>10</v>
      </c>
      <c r="BB190" s="373">
        <v>10</v>
      </c>
      <c r="BC190" s="373">
        <v>10.9</v>
      </c>
      <c r="BD190" s="373" t="s">
        <v>548</v>
      </c>
      <c r="BE190" s="373" t="s">
        <v>549</v>
      </c>
      <c r="BF190" s="373">
        <v>15</v>
      </c>
      <c r="BG190" s="373">
        <v>0.15</v>
      </c>
      <c r="BH190" s="373">
        <v>0</v>
      </c>
      <c r="BI190" s="373">
        <v>0</v>
      </c>
      <c r="BJ190" s="373">
        <v>326</v>
      </c>
      <c r="BK190" s="373">
        <v>0</v>
      </c>
      <c r="BL190" s="373">
        <v>0.15</v>
      </c>
      <c r="BM190" s="373">
        <v>0</v>
      </c>
      <c r="BN190" s="373">
        <v>326</v>
      </c>
      <c r="BO190" s="373">
        <v>0</v>
      </c>
      <c r="BP190" s="373">
        <v>0.15</v>
      </c>
      <c r="BQ190" s="373">
        <v>0</v>
      </c>
      <c r="BR190" s="373" t="s">
        <v>311</v>
      </c>
      <c r="BS190" s="373">
        <v>0</v>
      </c>
      <c r="BT190" s="373">
        <v>326</v>
      </c>
      <c r="BU190" s="373">
        <v>0</v>
      </c>
      <c r="CD190" s="373" t="s">
        <v>1012</v>
      </c>
      <c r="CE190" s="373" t="s">
        <v>1035</v>
      </c>
      <c r="CF190" s="373" t="s">
        <v>170</v>
      </c>
      <c r="CG190" s="373" t="s">
        <v>915</v>
      </c>
      <c r="CH190" s="373" t="s">
        <v>1177</v>
      </c>
      <c r="CI190" s="373">
        <v>2174</v>
      </c>
      <c r="CJ190" s="373">
        <v>5</v>
      </c>
      <c r="CK190" s="373">
        <v>10</v>
      </c>
      <c r="CL190" s="373">
        <v>10</v>
      </c>
      <c r="CM190" s="373">
        <v>10.9</v>
      </c>
      <c r="CN190" s="373" t="s">
        <v>548</v>
      </c>
      <c r="CO190" s="373" t="s">
        <v>549</v>
      </c>
      <c r="CP190" s="373">
        <v>0</v>
      </c>
      <c r="CQ190" s="373">
        <v>0.15</v>
      </c>
      <c r="CR190" s="373">
        <v>0</v>
      </c>
      <c r="CS190" s="373">
        <v>0</v>
      </c>
      <c r="CT190" s="373">
        <v>326</v>
      </c>
      <c r="CU190" s="373">
        <v>0</v>
      </c>
      <c r="CV190" s="373">
        <v>0.15</v>
      </c>
      <c r="CW190" s="373">
        <v>0</v>
      </c>
      <c r="CX190" s="373">
        <v>326</v>
      </c>
      <c r="CY190" s="373">
        <v>0</v>
      </c>
      <c r="CZ190" s="373">
        <v>0.15</v>
      </c>
      <c r="DA190" s="373">
        <v>0</v>
      </c>
      <c r="DB190" s="373" t="s">
        <v>311</v>
      </c>
      <c r="DC190" s="373">
        <v>0</v>
      </c>
      <c r="DD190" s="373">
        <v>326</v>
      </c>
      <c r="DE190" s="373">
        <v>0</v>
      </c>
    </row>
    <row r="191" spans="1:109" s="373" customFormat="1" x14ac:dyDescent="0.3">
      <c r="A191" s="364"/>
      <c r="B191" s="92"/>
      <c r="C191" s="366"/>
      <c r="G191" s="367"/>
      <c r="AI191" s="365"/>
      <c r="AK191" s="365"/>
      <c r="AL191" s="365"/>
      <c r="AM191" s="365"/>
      <c r="AN191" s="365"/>
      <c r="AO191" s="365"/>
      <c r="AP191" s="365"/>
      <c r="AQ191" s="365"/>
      <c r="AR191" s="365"/>
      <c r="AS191" s="365"/>
      <c r="AT191" s="365" t="s">
        <v>1013</v>
      </c>
      <c r="AU191" s="365" t="s">
        <v>1036</v>
      </c>
      <c r="AV191" s="365" t="s">
        <v>170</v>
      </c>
      <c r="AW191" s="365" t="s">
        <v>1022</v>
      </c>
      <c r="AX191" s="373" t="s">
        <v>1178</v>
      </c>
      <c r="AY191" s="373">
        <v>27257.599999999999</v>
      </c>
      <c r="AZ191" s="373">
        <v>1</v>
      </c>
      <c r="BA191" s="373">
        <v>66.7</v>
      </c>
      <c r="BB191" s="373">
        <v>66.7</v>
      </c>
      <c r="BC191" s="373">
        <v>908.6</v>
      </c>
      <c r="BD191" s="373" t="s">
        <v>548</v>
      </c>
      <c r="BE191" s="373" t="s">
        <v>558</v>
      </c>
      <c r="BF191" s="373">
        <v>14.9993</v>
      </c>
      <c r="BG191" s="373">
        <v>0.15</v>
      </c>
      <c r="BH191" s="373">
        <v>0</v>
      </c>
      <c r="BI191" s="373">
        <v>0</v>
      </c>
      <c r="BJ191" s="373">
        <v>13629</v>
      </c>
      <c r="BK191" s="373">
        <v>14.9993</v>
      </c>
      <c r="BL191" s="373">
        <v>0.15</v>
      </c>
      <c r="BM191" s="373">
        <v>0</v>
      </c>
      <c r="BN191" s="373">
        <v>13629</v>
      </c>
      <c r="BO191" s="373">
        <v>14.9993</v>
      </c>
      <c r="BP191" s="373">
        <v>0.15</v>
      </c>
      <c r="BQ191" s="373">
        <v>0</v>
      </c>
      <c r="BR191" s="373" t="s">
        <v>311</v>
      </c>
      <c r="BS191" s="373">
        <v>0</v>
      </c>
      <c r="BT191" s="373">
        <v>13629</v>
      </c>
      <c r="BU191" s="373">
        <v>0</v>
      </c>
      <c r="CD191" s="373" t="s">
        <v>1013</v>
      </c>
      <c r="CE191" s="373" t="s">
        <v>1036</v>
      </c>
      <c r="CF191" s="373" t="s">
        <v>170</v>
      </c>
      <c r="CG191" s="373" t="s">
        <v>1022</v>
      </c>
      <c r="CH191" s="373" t="s">
        <v>1178</v>
      </c>
      <c r="CI191" s="373">
        <v>27257.599999999999</v>
      </c>
      <c r="CJ191" s="373">
        <v>1</v>
      </c>
      <c r="CK191" s="373">
        <v>66.7</v>
      </c>
      <c r="CL191" s="373">
        <v>66.7</v>
      </c>
      <c r="CM191" s="373">
        <v>908.6</v>
      </c>
      <c r="CN191" s="373" t="s">
        <v>548</v>
      </c>
      <c r="CO191" s="373" t="s">
        <v>558</v>
      </c>
      <c r="CP191" s="373">
        <v>14.9993</v>
      </c>
      <c r="CQ191" s="373">
        <v>0.15</v>
      </c>
      <c r="CR191" s="373">
        <v>0</v>
      </c>
      <c r="CS191" s="373">
        <v>0</v>
      </c>
      <c r="CT191" s="373">
        <v>13629</v>
      </c>
      <c r="CU191" s="373">
        <v>14.9993</v>
      </c>
      <c r="CV191" s="373">
        <v>0.15</v>
      </c>
      <c r="CW191" s="373">
        <v>0</v>
      </c>
      <c r="CX191" s="373">
        <v>13629</v>
      </c>
      <c r="CY191" s="373">
        <v>14.9993</v>
      </c>
      <c r="CZ191" s="373">
        <v>0.15</v>
      </c>
      <c r="DA191" s="373">
        <v>0</v>
      </c>
      <c r="DB191" s="373" t="s">
        <v>311</v>
      </c>
      <c r="DC191" s="373">
        <v>0</v>
      </c>
      <c r="DD191" s="373">
        <v>13629</v>
      </c>
      <c r="DE191" s="373">
        <v>0</v>
      </c>
    </row>
    <row r="192" spans="1:109" x14ac:dyDescent="0.3">
      <c r="A192" s="364"/>
      <c r="C192" s="366"/>
      <c r="D192" s="373"/>
      <c r="E192" s="373"/>
      <c r="F192" s="373"/>
      <c r="G192" s="367"/>
      <c r="H192" s="373"/>
      <c r="I192" s="373"/>
      <c r="J192" s="373"/>
      <c r="K192" s="373"/>
      <c r="L192" s="373"/>
      <c r="M192" s="373"/>
      <c r="N192" s="373"/>
      <c r="O192" s="373"/>
      <c r="P192" s="373"/>
      <c r="Q192" s="373"/>
      <c r="R192" s="373"/>
      <c r="S192" s="373"/>
      <c r="T192" s="373"/>
      <c r="U192" s="373"/>
      <c r="V192" s="373"/>
      <c r="W192" s="373"/>
      <c r="X192" s="373"/>
      <c r="Y192" s="373"/>
      <c r="AB192" s="373"/>
      <c r="AC192" s="373"/>
      <c r="AD192" s="373"/>
      <c r="AE192" s="373"/>
      <c r="AH192" s="373"/>
      <c r="AI192" s="365"/>
      <c r="AK192" s="365"/>
      <c r="AL192" s="365"/>
      <c r="AM192" s="365"/>
      <c r="AN192" s="365"/>
      <c r="AO192" s="365"/>
      <c r="AP192" s="365"/>
      <c r="AQ192" s="365"/>
      <c r="AR192" s="365"/>
      <c r="AS192" s="365"/>
      <c r="AT192" s="365" t="s">
        <v>1021</v>
      </c>
      <c r="AU192" s="365" t="s">
        <v>1036</v>
      </c>
      <c r="AV192" s="365" t="s">
        <v>170</v>
      </c>
      <c r="AW192" s="365" t="s">
        <v>1022</v>
      </c>
      <c r="AX192" s="373" t="s">
        <v>1179</v>
      </c>
      <c r="AY192" s="373">
        <v>3373.6</v>
      </c>
      <c r="AZ192" s="373">
        <v>1</v>
      </c>
      <c r="BA192" s="373">
        <v>66.7</v>
      </c>
      <c r="BB192" s="373">
        <v>66.7</v>
      </c>
      <c r="BC192" s="373">
        <v>112.5</v>
      </c>
      <c r="BD192" s="373" t="s">
        <v>548</v>
      </c>
      <c r="BE192" s="373" t="s">
        <v>558</v>
      </c>
      <c r="BF192" s="373">
        <v>14.9993</v>
      </c>
      <c r="BG192" s="373">
        <v>0.15</v>
      </c>
      <c r="BH192" s="373">
        <v>0</v>
      </c>
      <c r="BI192" s="373">
        <v>0</v>
      </c>
      <c r="BJ192" s="373">
        <v>1687</v>
      </c>
      <c r="BK192" s="373">
        <v>14.9993</v>
      </c>
      <c r="BL192" s="373">
        <v>0.15</v>
      </c>
      <c r="BM192" s="373">
        <v>0</v>
      </c>
      <c r="BN192" s="373">
        <v>1687</v>
      </c>
      <c r="BO192" s="373">
        <v>14.9993</v>
      </c>
      <c r="BP192" s="373">
        <v>0.15</v>
      </c>
      <c r="BQ192" s="373">
        <v>0</v>
      </c>
      <c r="BR192" s="373" t="s">
        <v>311</v>
      </c>
      <c r="BS192" s="373">
        <v>0</v>
      </c>
      <c r="BT192" s="373">
        <v>1687</v>
      </c>
      <c r="BU192" s="373">
        <v>0</v>
      </c>
      <c r="CD192" s="373" t="s">
        <v>1021</v>
      </c>
      <c r="CE192" s="373" t="s">
        <v>1036</v>
      </c>
      <c r="CF192" s="373" t="s">
        <v>170</v>
      </c>
      <c r="CG192" s="373" t="s">
        <v>1022</v>
      </c>
      <c r="CH192" s="373" t="s">
        <v>1179</v>
      </c>
      <c r="CI192" s="373">
        <v>3373.6</v>
      </c>
      <c r="CJ192" s="373">
        <v>1</v>
      </c>
      <c r="CK192" s="373">
        <v>66.7</v>
      </c>
      <c r="CL192" s="373">
        <v>66.7</v>
      </c>
      <c r="CM192" s="373">
        <v>112.5</v>
      </c>
      <c r="CN192" s="373" t="s">
        <v>548</v>
      </c>
      <c r="CO192" s="373" t="s">
        <v>558</v>
      </c>
      <c r="CP192" s="373">
        <v>14.9993</v>
      </c>
      <c r="CQ192" s="373">
        <v>0.15</v>
      </c>
      <c r="CR192" s="373">
        <v>0</v>
      </c>
      <c r="CS192" s="373">
        <v>0</v>
      </c>
      <c r="CT192" s="373">
        <v>1687</v>
      </c>
      <c r="CU192" s="373">
        <v>14.9993</v>
      </c>
      <c r="CV192" s="373">
        <v>0.15</v>
      </c>
      <c r="CW192" s="373">
        <v>0</v>
      </c>
      <c r="CX192" s="373">
        <v>1687</v>
      </c>
      <c r="CY192" s="373">
        <v>14.9993</v>
      </c>
      <c r="CZ192" s="373">
        <v>0.15</v>
      </c>
      <c r="DA192" s="373">
        <v>0</v>
      </c>
      <c r="DB192" s="373" t="s">
        <v>311</v>
      </c>
      <c r="DC192" s="373">
        <v>0</v>
      </c>
      <c r="DD192" s="373">
        <v>1687</v>
      </c>
      <c r="DE192" s="373">
        <v>0</v>
      </c>
    </row>
    <row r="193" spans="1:116" x14ac:dyDescent="0.3">
      <c r="A193" s="364"/>
      <c r="C193" s="366"/>
      <c r="D193" s="373"/>
      <c r="E193" s="373"/>
      <c r="F193" s="373"/>
      <c r="G193" s="367"/>
      <c r="H193" s="373"/>
      <c r="I193" s="373"/>
      <c r="J193" s="373"/>
      <c r="K193" s="373"/>
      <c r="L193" s="373"/>
      <c r="M193" s="373"/>
      <c r="N193" s="373"/>
      <c r="O193" s="373"/>
      <c r="P193" s="373"/>
      <c r="Q193" s="373"/>
      <c r="R193" s="373"/>
      <c r="S193" s="373"/>
      <c r="T193" s="373"/>
      <c r="U193" s="373"/>
      <c r="V193" s="373"/>
      <c r="W193" s="373"/>
      <c r="X193" s="373"/>
      <c r="Y193" s="373"/>
      <c r="AB193" s="373"/>
      <c r="AC193" s="373"/>
      <c r="AD193" s="373"/>
      <c r="AE193" s="373"/>
      <c r="AH193" s="373"/>
      <c r="AI193" s="365"/>
      <c r="AK193" s="365"/>
      <c r="AL193" s="365"/>
      <c r="AM193" s="365"/>
      <c r="AN193" s="365"/>
      <c r="AO193" s="365"/>
      <c r="AP193" s="365"/>
      <c r="AQ193" s="365"/>
      <c r="AR193" s="365"/>
      <c r="AS193" s="365"/>
      <c r="AT193" s="365" t="s">
        <v>1023</v>
      </c>
      <c r="AU193" s="365" t="s">
        <v>1036</v>
      </c>
      <c r="AV193" s="365" t="s">
        <v>170</v>
      </c>
      <c r="AW193" s="365" t="s">
        <v>988</v>
      </c>
      <c r="AX193" s="373" t="s">
        <v>1180</v>
      </c>
      <c r="AY193" s="373">
        <v>2174.1</v>
      </c>
      <c r="AZ193" s="373">
        <v>1</v>
      </c>
      <c r="BA193" s="373">
        <v>10</v>
      </c>
      <c r="BB193" s="373">
        <v>10</v>
      </c>
      <c r="BC193" s="373">
        <v>10.9</v>
      </c>
      <c r="BD193" s="373" t="s">
        <v>548</v>
      </c>
      <c r="BE193" s="373" t="s">
        <v>549</v>
      </c>
      <c r="BF193" s="373">
        <v>15</v>
      </c>
      <c r="BG193" s="373">
        <v>0.15</v>
      </c>
      <c r="BH193" s="373">
        <v>0</v>
      </c>
      <c r="BI193" s="373">
        <v>0</v>
      </c>
      <c r="BJ193" s="373">
        <v>326</v>
      </c>
      <c r="BK193" s="373">
        <v>0</v>
      </c>
      <c r="BL193" s="373">
        <v>0.15</v>
      </c>
      <c r="BM193" s="373">
        <v>0</v>
      </c>
      <c r="BN193" s="373">
        <v>326</v>
      </c>
      <c r="BO193" s="373">
        <v>0</v>
      </c>
      <c r="BP193" s="373">
        <v>0.15</v>
      </c>
      <c r="BQ193" s="373">
        <v>0</v>
      </c>
      <c r="BR193" s="373" t="s">
        <v>311</v>
      </c>
      <c r="BS193" s="373">
        <v>0</v>
      </c>
      <c r="BT193" s="373">
        <v>326</v>
      </c>
      <c r="BU193" s="373">
        <v>0</v>
      </c>
      <c r="CD193" s="373" t="s">
        <v>1023</v>
      </c>
      <c r="CE193" s="373" t="s">
        <v>1036</v>
      </c>
      <c r="CF193" s="373" t="s">
        <v>170</v>
      </c>
      <c r="CG193" s="373" t="s">
        <v>988</v>
      </c>
      <c r="CH193" s="373" t="s">
        <v>1180</v>
      </c>
      <c r="CI193" s="373">
        <v>2174.1</v>
      </c>
      <c r="CJ193" s="373">
        <v>1</v>
      </c>
      <c r="CK193" s="373">
        <v>10</v>
      </c>
      <c r="CL193" s="373">
        <v>10</v>
      </c>
      <c r="CM193" s="373">
        <v>10.9</v>
      </c>
      <c r="CN193" s="373" t="s">
        <v>548</v>
      </c>
      <c r="CO193" s="373" t="s">
        <v>549</v>
      </c>
      <c r="CP193" s="373">
        <v>0</v>
      </c>
      <c r="CQ193" s="373">
        <v>0.15</v>
      </c>
      <c r="CR193" s="373">
        <v>0</v>
      </c>
      <c r="CS193" s="373">
        <v>0</v>
      </c>
      <c r="CT193" s="373">
        <v>326</v>
      </c>
      <c r="CU193" s="373">
        <v>0</v>
      </c>
      <c r="CV193" s="373">
        <v>0.15</v>
      </c>
      <c r="CW193" s="373">
        <v>0</v>
      </c>
      <c r="CX193" s="373">
        <v>326</v>
      </c>
      <c r="CY193" s="373">
        <v>0</v>
      </c>
      <c r="CZ193" s="373">
        <v>0.15</v>
      </c>
      <c r="DA193" s="373">
        <v>0</v>
      </c>
      <c r="DB193" s="373" t="s">
        <v>311</v>
      </c>
      <c r="DC193" s="373">
        <v>0</v>
      </c>
      <c r="DD193" s="373">
        <v>326</v>
      </c>
      <c r="DE193" s="373">
        <v>0</v>
      </c>
    </row>
    <row r="194" spans="1:116" x14ac:dyDescent="0.3">
      <c r="A194" s="364"/>
      <c r="C194" s="366"/>
      <c r="D194" s="373"/>
      <c r="E194" s="373"/>
      <c r="F194" s="373"/>
      <c r="G194" s="367"/>
      <c r="H194" s="373"/>
      <c r="I194" s="373"/>
      <c r="J194" s="373"/>
      <c r="K194" s="373"/>
      <c r="L194" s="373"/>
      <c r="M194" s="373"/>
      <c r="N194" s="373"/>
      <c r="O194" s="373"/>
      <c r="P194" s="373"/>
      <c r="Q194" s="373"/>
      <c r="R194" s="373"/>
      <c r="S194" s="373"/>
      <c r="T194" s="373"/>
      <c r="U194" s="373"/>
      <c r="V194" s="373"/>
      <c r="W194" s="373"/>
      <c r="X194" s="373"/>
      <c r="Y194" s="373"/>
      <c r="AB194" s="373"/>
      <c r="AC194" s="373"/>
      <c r="AD194" s="373"/>
      <c r="AE194" s="373"/>
      <c r="AH194" s="373"/>
      <c r="AI194" s="365"/>
      <c r="AK194" s="365"/>
      <c r="AL194" s="365"/>
      <c r="AM194" s="365"/>
      <c r="AN194" s="365"/>
      <c r="AO194" s="365"/>
      <c r="AP194" s="365"/>
      <c r="AQ194" s="365"/>
      <c r="AR194" s="365"/>
      <c r="AS194" s="365"/>
      <c r="AT194" s="365" t="s">
        <v>1024</v>
      </c>
      <c r="AU194" s="365" t="s">
        <v>1036</v>
      </c>
      <c r="AV194" s="365" t="s">
        <v>170</v>
      </c>
      <c r="AW194" s="365" t="s">
        <v>1022</v>
      </c>
      <c r="AX194" s="373" t="s">
        <v>1181</v>
      </c>
      <c r="AY194" s="373">
        <v>3373.6</v>
      </c>
      <c r="AZ194" s="373">
        <v>1</v>
      </c>
      <c r="BA194" s="373">
        <v>66.7</v>
      </c>
      <c r="BB194" s="373">
        <v>66.7</v>
      </c>
      <c r="BC194" s="373">
        <v>112.5</v>
      </c>
      <c r="BD194" s="373" t="s">
        <v>548</v>
      </c>
      <c r="BE194" s="373" t="s">
        <v>558</v>
      </c>
      <c r="BF194" s="373">
        <v>14.9993</v>
      </c>
      <c r="BG194" s="373">
        <v>0.15</v>
      </c>
      <c r="BH194" s="373">
        <v>0</v>
      </c>
      <c r="BI194" s="373">
        <v>0</v>
      </c>
      <c r="BJ194" s="373">
        <v>1687</v>
      </c>
      <c r="BK194" s="373">
        <v>14.9993</v>
      </c>
      <c r="BL194" s="373">
        <v>0.15</v>
      </c>
      <c r="BM194" s="373">
        <v>0</v>
      </c>
      <c r="BN194" s="373">
        <v>1687</v>
      </c>
      <c r="BO194" s="373">
        <v>14.9993</v>
      </c>
      <c r="BP194" s="373">
        <v>0.15</v>
      </c>
      <c r="BQ194" s="373">
        <v>0</v>
      </c>
      <c r="BR194" s="373" t="s">
        <v>311</v>
      </c>
      <c r="BS194" s="373">
        <v>0</v>
      </c>
      <c r="BT194" s="373">
        <v>1687</v>
      </c>
      <c r="BU194" s="373">
        <v>0</v>
      </c>
      <c r="CD194" s="373" t="s">
        <v>1024</v>
      </c>
      <c r="CE194" s="373" t="s">
        <v>1036</v>
      </c>
      <c r="CF194" s="373" t="s">
        <v>170</v>
      </c>
      <c r="CG194" s="373" t="s">
        <v>1022</v>
      </c>
      <c r="CH194" s="373" t="s">
        <v>1181</v>
      </c>
      <c r="CI194" s="373">
        <v>3373.6</v>
      </c>
      <c r="CJ194" s="373">
        <v>1</v>
      </c>
      <c r="CK194" s="373">
        <v>66.7</v>
      </c>
      <c r="CL194" s="373">
        <v>66.7</v>
      </c>
      <c r="CM194" s="373">
        <v>112.5</v>
      </c>
      <c r="CN194" s="373" t="s">
        <v>548</v>
      </c>
      <c r="CO194" s="373" t="s">
        <v>558</v>
      </c>
      <c r="CP194" s="373">
        <v>14.9993</v>
      </c>
      <c r="CQ194" s="373">
        <v>0.15</v>
      </c>
      <c r="CR194" s="373">
        <v>0</v>
      </c>
      <c r="CS194" s="373">
        <v>0</v>
      </c>
      <c r="CT194" s="373">
        <v>1687</v>
      </c>
      <c r="CU194" s="373">
        <v>14.9993</v>
      </c>
      <c r="CV194" s="373">
        <v>0.15</v>
      </c>
      <c r="CW194" s="373">
        <v>0</v>
      </c>
      <c r="CX194" s="373">
        <v>1687</v>
      </c>
      <c r="CY194" s="373">
        <v>14.9993</v>
      </c>
      <c r="CZ194" s="373">
        <v>0.15</v>
      </c>
      <c r="DA194" s="373">
        <v>0</v>
      </c>
      <c r="DB194" s="373" t="s">
        <v>311</v>
      </c>
      <c r="DC194" s="373">
        <v>0</v>
      </c>
      <c r="DD194" s="373">
        <v>1687</v>
      </c>
      <c r="DE194" s="373">
        <v>0</v>
      </c>
    </row>
    <row r="195" spans="1:116" x14ac:dyDescent="0.3">
      <c r="A195" s="364"/>
      <c r="C195" s="366"/>
      <c r="D195" s="373"/>
      <c r="E195" s="373"/>
      <c r="F195" s="373"/>
      <c r="G195" s="367"/>
      <c r="H195" s="373"/>
      <c r="I195" s="373"/>
      <c r="J195" s="373"/>
      <c r="K195" s="373"/>
      <c r="L195" s="373"/>
      <c r="M195" s="373"/>
      <c r="N195" s="373"/>
      <c r="O195" s="373"/>
      <c r="P195" s="373"/>
      <c r="Q195" s="373"/>
      <c r="R195" s="373"/>
      <c r="S195" s="373"/>
      <c r="T195" s="373"/>
      <c r="U195" s="373"/>
      <c r="V195" s="373"/>
      <c r="W195" s="373"/>
      <c r="X195" s="373"/>
      <c r="Y195" s="373"/>
      <c r="AB195" s="373"/>
      <c r="AC195" s="373"/>
      <c r="AD195" s="373"/>
      <c r="AE195" s="373"/>
      <c r="AH195" s="373"/>
      <c r="AI195" s="365"/>
      <c r="AK195" s="365"/>
      <c r="AL195" s="365"/>
      <c r="AM195" s="365"/>
      <c r="AN195" s="365"/>
      <c r="AO195" s="365"/>
      <c r="AP195" s="365"/>
      <c r="AQ195" s="365"/>
      <c r="AR195" s="365"/>
      <c r="AS195" s="365"/>
      <c r="AT195" s="365" t="s">
        <v>1025</v>
      </c>
      <c r="AU195" s="365" t="s">
        <v>1036</v>
      </c>
      <c r="AV195" s="365" t="s">
        <v>170</v>
      </c>
      <c r="AW195" s="365" t="s">
        <v>1022</v>
      </c>
      <c r="AX195" s="373" t="s">
        <v>1182</v>
      </c>
      <c r="AY195" s="373">
        <v>2174</v>
      </c>
      <c r="AZ195" s="373">
        <v>1</v>
      </c>
      <c r="BA195" s="373">
        <v>66.7</v>
      </c>
      <c r="BB195" s="373">
        <v>66.7</v>
      </c>
      <c r="BC195" s="373">
        <v>72.5</v>
      </c>
      <c r="BD195" s="373" t="s">
        <v>548</v>
      </c>
      <c r="BE195" s="373" t="s">
        <v>558</v>
      </c>
      <c r="BF195" s="373">
        <v>14.9993</v>
      </c>
      <c r="BG195" s="373">
        <v>0.15</v>
      </c>
      <c r="BH195" s="373">
        <v>0</v>
      </c>
      <c r="BI195" s="373">
        <v>0</v>
      </c>
      <c r="BJ195" s="373">
        <v>1087</v>
      </c>
      <c r="BK195" s="373">
        <v>14.9993</v>
      </c>
      <c r="BL195" s="373">
        <v>0.15</v>
      </c>
      <c r="BM195" s="373">
        <v>0</v>
      </c>
      <c r="BN195" s="373">
        <v>1087</v>
      </c>
      <c r="BO195" s="373">
        <v>14.9993</v>
      </c>
      <c r="BP195" s="373">
        <v>0.15</v>
      </c>
      <c r="BQ195" s="373">
        <v>0</v>
      </c>
      <c r="BR195" s="373" t="s">
        <v>311</v>
      </c>
      <c r="BS195" s="373">
        <v>0</v>
      </c>
      <c r="BT195" s="373">
        <v>1087</v>
      </c>
      <c r="BU195" s="373">
        <v>0</v>
      </c>
      <c r="CD195" s="373" t="s">
        <v>1025</v>
      </c>
      <c r="CE195" s="373" t="s">
        <v>1036</v>
      </c>
      <c r="CF195" s="373" t="s">
        <v>170</v>
      </c>
      <c r="CG195" s="373" t="s">
        <v>1022</v>
      </c>
      <c r="CH195" s="373" t="s">
        <v>1182</v>
      </c>
      <c r="CI195" s="373">
        <v>2174</v>
      </c>
      <c r="CJ195" s="373">
        <v>1</v>
      </c>
      <c r="CK195" s="373">
        <v>66.7</v>
      </c>
      <c r="CL195" s="373">
        <v>66.7</v>
      </c>
      <c r="CM195" s="373">
        <v>72.5</v>
      </c>
      <c r="CN195" s="373" t="s">
        <v>548</v>
      </c>
      <c r="CO195" s="373" t="s">
        <v>558</v>
      </c>
      <c r="CP195" s="373">
        <v>14.9993</v>
      </c>
      <c r="CQ195" s="373">
        <v>0.15</v>
      </c>
      <c r="CR195" s="373">
        <v>0</v>
      </c>
      <c r="CS195" s="373">
        <v>0</v>
      </c>
      <c r="CT195" s="373">
        <v>1087</v>
      </c>
      <c r="CU195" s="373">
        <v>14.9993</v>
      </c>
      <c r="CV195" s="373">
        <v>0.15</v>
      </c>
      <c r="CW195" s="373">
        <v>0</v>
      </c>
      <c r="CX195" s="373">
        <v>1087</v>
      </c>
      <c r="CY195" s="373">
        <v>14.9993</v>
      </c>
      <c r="CZ195" s="373">
        <v>0.15</v>
      </c>
      <c r="DA195" s="373">
        <v>0</v>
      </c>
      <c r="DB195" s="373" t="s">
        <v>311</v>
      </c>
      <c r="DC195" s="373">
        <v>0</v>
      </c>
      <c r="DD195" s="373">
        <v>1087</v>
      </c>
      <c r="DE195" s="373">
        <v>0</v>
      </c>
    </row>
    <row r="196" spans="1:116" x14ac:dyDescent="0.3">
      <c r="A196" s="364"/>
      <c r="C196" s="366"/>
      <c r="D196" s="373"/>
      <c r="E196" s="373"/>
      <c r="F196" s="373"/>
      <c r="G196" s="367"/>
      <c r="H196" s="373"/>
      <c r="I196" s="373"/>
      <c r="J196" s="373"/>
      <c r="K196" s="373"/>
      <c r="L196" s="373"/>
      <c r="M196" s="373"/>
      <c r="N196" s="373"/>
      <c r="O196" s="373"/>
      <c r="P196" s="373"/>
      <c r="Q196" s="373"/>
      <c r="R196" s="373"/>
      <c r="S196" s="373"/>
      <c r="T196" s="373"/>
      <c r="U196" s="373"/>
      <c r="V196" s="373"/>
      <c r="W196" s="373"/>
      <c r="X196" s="373"/>
      <c r="Y196" s="373"/>
      <c r="AB196" s="373"/>
      <c r="AC196" s="373"/>
      <c r="AD196" s="373"/>
      <c r="AE196" s="373"/>
      <c r="AH196" s="373"/>
      <c r="AI196" s="365"/>
      <c r="AK196" s="365"/>
      <c r="AL196" s="365"/>
      <c r="AM196" s="365"/>
      <c r="AN196" s="365"/>
      <c r="AO196" s="365"/>
      <c r="AP196" s="365"/>
      <c r="AQ196" s="365"/>
      <c r="AR196" s="365"/>
      <c r="AS196" s="365"/>
      <c r="AT196" s="365" t="s">
        <v>1026</v>
      </c>
      <c r="AU196" s="365" t="s">
        <v>1036</v>
      </c>
      <c r="AV196" s="365" t="s">
        <v>983</v>
      </c>
      <c r="AW196" s="365" t="s">
        <v>979</v>
      </c>
      <c r="AX196" s="373" t="s">
        <v>1183</v>
      </c>
      <c r="AY196" s="373">
        <v>0</v>
      </c>
      <c r="AZ196" s="373">
        <v>1</v>
      </c>
      <c r="BA196" s="373">
        <v>0</v>
      </c>
      <c r="BB196" s="373">
        <v>0</v>
      </c>
      <c r="BC196" s="373">
        <v>0</v>
      </c>
      <c r="BD196" s="373" t="s">
        <v>1009</v>
      </c>
      <c r="BE196" s="373" t="s">
        <v>311</v>
      </c>
      <c r="BF196" s="373">
        <v>0</v>
      </c>
      <c r="BG196" s="373">
        <v>0</v>
      </c>
      <c r="BH196" s="373">
        <v>0</v>
      </c>
      <c r="BI196" s="373">
        <v>0</v>
      </c>
      <c r="BJ196" s="373">
        <v>0</v>
      </c>
      <c r="BK196" s="373">
        <v>0</v>
      </c>
      <c r="BL196" s="373">
        <v>0</v>
      </c>
      <c r="BM196" s="373">
        <v>0</v>
      </c>
      <c r="BN196" s="373">
        <v>0</v>
      </c>
      <c r="BO196" s="373">
        <v>0</v>
      </c>
      <c r="BP196" s="373">
        <v>0</v>
      </c>
      <c r="BQ196" s="373">
        <v>0</v>
      </c>
      <c r="BR196" s="373" t="s">
        <v>311</v>
      </c>
      <c r="BS196" s="373">
        <v>0</v>
      </c>
      <c r="BT196" s="373">
        <v>0</v>
      </c>
      <c r="BU196" s="373">
        <v>0</v>
      </c>
      <c r="CD196" s="373" t="s">
        <v>1026</v>
      </c>
      <c r="CE196" s="373" t="s">
        <v>1036</v>
      </c>
      <c r="CF196" s="373" t="s">
        <v>983</v>
      </c>
      <c r="CG196" s="373" t="s">
        <v>979</v>
      </c>
      <c r="CH196" s="373" t="s">
        <v>1183</v>
      </c>
      <c r="CI196" s="373">
        <v>0</v>
      </c>
      <c r="CJ196" s="373">
        <v>1</v>
      </c>
      <c r="CK196" s="373">
        <v>0</v>
      </c>
      <c r="CL196" s="373">
        <v>0</v>
      </c>
      <c r="CM196" s="373">
        <v>0</v>
      </c>
      <c r="CN196" s="373" t="s">
        <v>1009</v>
      </c>
      <c r="CO196" s="373" t="s">
        <v>311</v>
      </c>
      <c r="CP196" s="373">
        <v>0</v>
      </c>
      <c r="CQ196" s="373">
        <v>0</v>
      </c>
      <c r="CR196" s="373">
        <v>0</v>
      </c>
      <c r="CS196" s="373">
        <v>0</v>
      </c>
      <c r="CT196" s="373">
        <v>0</v>
      </c>
      <c r="CU196" s="373">
        <v>0</v>
      </c>
      <c r="CV196" s="373">
        <v>0</v>
      </c>
      <c r="CW196" s="373">
        <v>0</v>
      </c>
      <c r="CX196" s="373">
        <v>0</v>
      </c>
      <c r="CY196" s="373">
        <v>0</v>
      </c>
      <c r="CZ196" s="373">
        <v>0</v>
      </c>
      <c r="DA196" s="373">
        <v>0</v>
      </c>
      <c r="DB196" s="373" t="s">
        <v>311</v>
      </c>
      <c r="DC196" s="373">
        <v>0</v>
      </c>
      <c r="DD196" s="373">
        <v>0</v>
      </c>
      <c r="DE196" s="373">
        <v>0</v>
      </c>
    </row>
    <row r="197" spans="1:116" x14ac:dyDescent="0.3">
      <c r="A197" s="364"/>
      <c r="C197" s="366"/>
      <c r="D197" s="373"/>
      <c r="E197" s="373"/>
      <c r="F197" s="373"/>
      <c r="G197" s="367"/>
      <c r="H197" s="373"/>
      <c r="I197" s="373"/>
      <c r="J197" s="373"/>
      <c r="K197" s="373"/>
      <c r="L197" s="373"/>
      <c r="M197" s="373"/>
      <c r="N197" s="373"/>
      <c r="O197" s="373"/>
      <c r="P197" s="373"/>
      <c r="Q197" s="373"/>
      <c r="R197" s="373"/>
      <c r="S197" s="373"/>
      <c r="T197" s="373"/>
      <c r="U197" s="373"/>
      <c r="V197" s="373"/>
      <c r="W197" s="373"/>
      <c r="X197" s="373"/>
      <c r="Y197" s="373"/>
      <c r="AB197" s="373"/>
      <c r="AC197" s="373"/>
      <c r="AD197" s="373"/>
      <c r="AE197" s="373"/>
      <c r="AH197" s="373"/>
      <c r="AI197" s="365"/>
      <c r="AK197" s="365"/>
      <c r="AL197" s="365"/>
      <c r="AM197" s="365"/>
      <c r="AN197" s="365"/>
      <c r="AO197" s="365"/>
      <c r="AP197" s="365"/>
      <c r="AQ197" s="365"/>
      <c r="AR197" s="365"/>
      <c r="AS197" s="365"/>
      <c r="AT197" s="365"/>
      <c r="AU197" s="365"/>
      <c r="AV197" s="365"/>
      <c r="AW197" s="365"/>
    </row>
    <row r="198" spans="1:116" x14ac:dyDescent="0.3">
      <c r="A198" s="364"/>
      <c r="C198" s="366"/>
      <c r="D198" s="373"/>
      <c r="E198" s="373"/>
      <c r="F198" s="373"/>
      <c r="G198" s="367"/>
      <c r="H198" s="373"/>
      <c r="I198" s="373"/>
      <c r="J198" s="373"/>
      <c r="K198" s="373"/>
      <c r="L198" s="373"/>
      <c r="M198" s="373"/>
      <c r="N198" s="373"/>
      <c r="O198" s="373"/>
      <c r="P198" s="373"/>
      <c r="Q198" s="373"/>
      <c r="R198" s="373"/>
      <c r="S198" s="373"/>
      <c r="T198" s="373"/>
      <c r="U198" s="373"/>
      <c r="V198" s="373"/>
      <c r="W198" s="373"/>
      <c r="X198" s="373"/>
      <c r="Y198" s="373"/>
      <c r="AB198" s="373"/>
      <c r="AC198" s="373"/>
      <c r="AD198" s="373"/>
      <c r="AE198" s="373"/>
      <c r="AH198" s="373"/>
      <c r="AI198" s="365"/>
      <c r="AK198" s="365"/>
      <c r="AL198" s="365"/>
      <c r="AM198" s="365"/>
      <c r="AN198" s="365"/>
      <c r="AO198" s="365"/>
      <c r="AP198" s="365"/>
      <c r="AQ198" s="365"/>
      <c r="AR198" s="365"/>
      <c r="AS198" s="365"/>
      <c r="AT198" s="104" t="s">
        <v>1126</v>
      </c>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c r="BP198" s="104"/>
      <c r="BQ198" s="104"/>
      <c r="BR198" s="104"/>
      <c r="BS198" s="104"/>
      <c r="BT198" s="104"/>
      <c r="BU198" s="104"/>
      <c r="BV198" s="104"/>
      <c r="BW198" s="104"/>
      <c r="BX198" s="104"/>
      <c r="BY198" s="104"/>
      <c r="BZ198" s="104"/>
      <c r="CA198" s="104"/>
      <c r="CD198" s="50" t="s">
        <v>1126</v>
      </c>
      <c r="CE198" s="50"/>
      <c r="CF198" s="50"/>
      <c r="CG198" s="50"/>
      <c r="CH198" s="50"/>
      <c r="CI198" s="50"/>
      <c r="CJ198" s="50"/>
      <c r="CK198" s="50"/>
      <c r="CL198" s="50"/>
      <c r="CM198" s="50"/>
      <c r="CN198" s="50"/>
      <c r="CO198" s="50"/>
      <c r="CP198" s="50"/>
      <c r="CQ198" s="50"/>
      <c r="CR198" s="50"/>
      <c r="CS198" s="50"/>
      <c r="CT198" s="50"/>
      <c r="CU198" s="50"/>
      <c r="CV198" s="50"/>
      <c r="CW198" s="50"/>
      <c r="CX198" s="50"/>
      <c r="CY198" s="50"/>
      <c r="CZ198" s="50"/>
      <c r="DA198" s="50"/>
      <c r="DB198" s="50"/>
      <c r="DC198" s="50"/>
      <c r="DD198" s="50"/>
      <c r="DE198" s="50"/>
      <c r="DF198" s="50"/>
      <c r="DG198" s="50"/>
      <c r="DH198" s="50"/>
      <c r="DI198" s="50"/>
      <c r="DJ198" s="50"/>
      <c r="DK198" s="50"/>
      <c r="DL198" s="50"/>
    </row>
    <row r="199" spans="1:116" x14ac:dyDescent="0.3">
      <c r="A199" s="364"/>
      <c r="C199" s="366"/>
      <c r="D199" s="373"/>
      <c r="E199" s="373"/>
      <c r="F199" s="373"/>
      <c r="G199" s="367"/>
      <c r="H199" s="373"/>
      <c r="I199" s="373"/>
      <c r="J199" s="373"/>
      <c r="K199" s="373"/>
      <c r="L199" s="373"/>
      <c r="M199" s="373"/>
      <c r="N199" s="373"/>
      <c r="O199" s="373"/>
      <c r="P199" s="373"/>
      <c r="Q199" s="373"/>
      <c r="R199" s="373"/>
      <c r="S199" s="373"/>
      <c r="T199" s="373"/>
      <c r="U199" s="373"/>
      <c r="V199" s="373"/>
      <c r="W199" s="373"/>
      <c r="X199" s="373"/>
      <c r="Y199" s="373"/>
      <c r="AB199" s="373"/>
      <c r="AC199" s="373"/>
      <c r="AD199" s="373"/>
      <c r="AE199" s="373"/>
      <c r="AH199" s="373"/>
      <c r="AI199" s="365"/>
      <c r="AK199" s="365"/>
      <c r="AL199" s="365"/>
      <c r="AM199" s="365"/>
      <c r="AN199" s="365"/>
      <c r="AO199" s="365"/>
      <c r="AP199" s="365"/>
      <c r="AQ199" s="365"/>
      <c r="AR199" s="365"/>
      <c r="AS199" s="365"/>
      <c r="AT199" s="845" t="s">
        <v>1184</v>
      </c>
      <c r="AU199" s="357"/>
      <c r="AV199" s="365"/>
      <c r="AW199" s="365"/>
      <c r="CD199" s="606" t="s">
        <v>1184</v>
      </c>
      <c r="CE199" s="357"/>
    </row>
    <row r="200" spans="1:116" x14ac:dyDescent="0.3">
      <c r="A200" s="364"/>
      <c r="C200" s="366"/>
      <c r="D200" s="373"/>
      <c r="E200" s="373"/>
      <c r="F200" s="373"/>
      <c r="G200" s="367"/>
      <c r="H200" s="373"/>
      <c r="I200" s="373"/>
      <c r="J200" s="373"/>
      <c r="K200" s="373"/>
      <c r="L200" s="373"/>
      <c r="M200" s="373"/>
      <c r="N200" s="373"/>
      <c r="O200" s="373"/>
      <c r="P200" s="373"/>
      <c r="Q200" s="373"/>
      <c r="R200" s="373"/>
      <c r="S200" s="373"/>
      <c r="T200" s="373"/>
      <c r="U200" s="373"/>
      <c r="V200" s="373"/>
      <c r="W200" s="373"/>
      <c r="X200" s="373"/>
      <c r="Y200" s="373"/>
      <c r="AB200" s="373"/>
      <c r="AC200" s="373"/>
      <c r="AD200" s="373"/>
      <c r="AE200" s="373"/>
      <c r="AH200" s="373"/>
      <c r="AI200" s="365"/>
      <c r="AK200" s="365"/>
      <c r="AL200" s="365"/>
      <c r="AM200" s="365"/>
      <c r="AN200" s="365"/>
      <c r="AO200" s="365"/>
      <c r="AP200" s="365"/>
      <c r="AQ200" s="365"/>
      <c r="AR200" s="365"/>
      <c r="AS200" s="365"/>
      <c r="AT200" s="365"/>
      <c r="AU200" s="365"/>
      <c r="AV200" s="365"/>
      <c r="AW200" s="365"/>
      <c r="BA200" s="373" t="s">
        <v>1040</v>
      </c>
      <c r="BE200" s="373" t="s">
        <v>1027</v>
      </c>
      <c r="BG200" s="373" t="s">
        <v>1185</v>
      </c>
      <c r="BL200" s="373" t="s">
        <v>1186</v>
      </c>
      <c r="BP200" s="373" t="s">
        <v>1145</v>
      </c>
      <c r="BS200" s="373" t="s">
        <v>381</v>
      </c>
      <c r="CK200" s="373" t="s">
        <v>1040</v>
      </c>
      <c r="CO200" s="373" t="s">
        <v>1027</v>
      </c>
      <c r="CQ200" s="373" t="s">
        <v>1185</v>
      </c>
      <c r="CV200" s="373" t="s">
        <v>1186</v>
      </c>
      <c r="CZ200" s="373" t="s">
        <v>1145</v>
      </c>
      <c r="DC200" s="373" t="s">
        <v>381</v>
      </c>
    </row>
    <row r="201" spans="1:116" x14ac:dyDescent="0.3">
      <c r="A201" s="364"/>
      <c r="C201" s="366"/>
      <c r="D201" s="373"/>
      <c r="E201" s="373"/>
      <c r="F201" s="373"/>
      <c r="G201" s="367"/>
      <c r="H201" s="373"/>
      <c r="I201" s="373"/>
      <c r="J201" s="373"/>
      <c r="K201" s="373"/>
      <c r="L201" s="373"/>
      <c r="M201" s="373"/>
      <c r="N201" s="373"/>
      <c r="O201" s="373"/>
      <c r="P201" s="373"/>
      <c r="Q201" s="373"/>
      <c r="R201" s="373"/>
      <c r="S201" s="373"/>
      <c r="T201" s="373"/>
      <c r="U201" s="373"/>
      <c r="V201" s="373"/>
      <c r="W201" s="373"/>
      <c r="X201" s="373"/>
      <c r="Y201" s="373"/>
      <c r="AB201" s="373"/>
      <c r="AC201" s="373"/>
      <c r="AD201" s="373"/>
      <c r="AE201" s="373"/>
      <c r="AH201" s="373"/>
      <c r="AI201" s="365"/>
      <c r="AK201" s="365"/>
      <c r="AL201" s="365"/>
      <c r="AM201" s="365"/>
      <c r="AN201" s="365"/>
      <c r="AO201" s="365"/>
      <c r="AP201" s="365"/>
      <c r="AQ201" s="365"/>
      <c r="AR201" s="365"/>
      <c r="AS201" s="365"/>
      <c r="AT201" s="365" t="s">
        <v>121</v>
      </c>
      <c r="AU201" s="365" t="s">
        <v>1044</v>
      </c>
      <c r="AV201" s="365" t="s">
        <v>148</v>
      </c>
      <c r="AW201" s="365" t="s">
        <v>525</v>
      </c>
      <c r="AX201" s="373" t="s">
        <v>1187</v>
      </c>
      <c r="AY201" s="373" t="s">
        <v>1188</v>
      </c>
      <c r="AZ201" s="373" t="s">
        <v>896</v>
      </c>
      <c r="BA201" s="373" t="s">
        <v>954</v>
      </c>
      <c r="BB201" s="373" t="s">
        <v>1148</v>
      </c>
      <c r="BC201" s="373" t="s">
        <v>1149</v>
      </c>
      <c r="BD201" s="373" t="s">
        <v>1046</v>
      </c>
      <c r="BE201" s="373" t="s">
        <v>1150</v>
      </c>
      <c r="BF201" s="373" t="s">
        <v>527</v>
      </c>
      <c r="BG201" s="373" t="s">
        <v>1151</v>
      </c>
      <c r="BH201" s="373" t="s">
        <v>1152</v>
      </c>
      <c r="BI201" s="373" t="s">
        <v>1153</v>
      </c>
      <c r="BJ201" s="373" t="s">
        <v>1155</v>
      </c>
      <c r="BL201" s="373" t="s">
        <v>1151</v>
      </c>
      <c r="BM201" s="373" t="s">
        <v>1152</v>
      </c>
      <c r="BN201" s="373" t="s">
        <v>1153</v>
      </c>
      <c r="BO201" s="373" t="s">
        <v>1155</v>
      </c>
      <c r="BP201" s="373" t="s">
        <v>1151</v>
      </c>
      <c r="BQ201" s="373" t="s">
        <v>1152</v>
      </c>
      <c r="BR201" s="373" t="s">
        <v>1155</v>
      </c>
      <c r="BS201" s="373" t="s">
        <v>1155</v>
      </c>
      <c r="BT201" s="373" t="s">
        <v>1189</v>
      </c>
      <c r="BU201" s="373" t="s">
        <v>1190</v>
      </c>
      <c r="BV201" s="373" t="s">
        <v>1191</v>
      </c>
      <c r="BW201" s="373" t="s">
        <v>1192</v>
      </c>
      <c r="CD201" s="373" t="s">
        <v>121</v>
      </c>
      <c r="CE201" s="373" t="s">
        <v>1044</v>
      </c>
      <c r="CF201" s="373" t="s">
        <v>148</v>
      </c>
      <c r="CG201" s="373" t="s">
        <v>525</v>
      </c>
      <c r="CH201" s="373" t="s">
        <v>1187</v>
      </c>
      <c r="CI201" s="373" t="s">
        <v>1188</v>
      </c>
      <c r="CJ201" s="373" t="s">
        <v>896</v>
      </c>
      <c r="CK201" s="373" t="s">
        <v>954</v>
      </c>
      <c r="CL201" s="373" t="s">
        <v>1148</v>
      </c>
      <c r="CM201" s="373" t="s">
        <v>1149</v>
      </c>
      <c r="CN201" s="373" t="s">
        <v>1046</v>
      </c>
      <c r="CO201" s="373" t="s">
        <v>1150</v>
      </c>
      <c r="CP201" s="373" t="s">
        <v>527</v>
      </c>
      <c r="CQ201" s="373" t="s">
        <v>1151</v>
      </c>
      <c r="CR201" s="373" t="s">
        <v>1152</v>
      </c>
      <c r="CS201" s="373" t="s">
        <v>1153</v>
      </c>
      <c r="CT201" s="373" t="s">
        <v>1155</v>
      </c>
      <c r="CV201" s="373" t="s">
        <v>1151</v>
      </c>
      <c r="CW201" s="373" t="s">
        <v>1152</v>
      </c>
      <c r="CX201" s="373" t="s">
        <v>1153</v>
      </c>
      <c r="CY201" s="373" t="s">
        <v>1155</v>
      </c>
      <c r="CZ201" s="373" t="s">
        <v>1151</v>
      </c>
      <c r="DA201" s="373" t="s">
        <v>1152</v>
      </c>
      <c r="DB201" s="373" t="s">
        <v>1155</v>
      </c>
      <c r="DC201" s="373" t="s">
        <v>1155</v>
      </c>
      <c r="DD201" s="373" t="s">
        <v>1189</v>
      </c>
      <c r="DE201" s="373" t="s">
        <v>1190</v>
      </c>
      <c r="DF201" s="373" t="s">
        <v>1191</v>
      </c>
      <c r="DG201" s="373" t="s">
        <v>1192</v>
      </c>
    </row>
    <row r="202" spans="1:116" x14ac:dyDescent="0.3">
      <c r="A202" s="364"/>
      <c r="C202" s="366"/>
      <c r="D202" s="373"/>
      <c r="E202" s="373"/>
      <c r="F202" s="373"/>
      <c r="G202" s="367"/>
      <c r="H202" s="373"/>
      <c r="I202" s="373"/>
      <c r="J202" s="373"/>
      <c r="K202" s="373"/>
      <c r="L202" s="373"/>
      <c r="M202" s="373"/>
      <c r="N202" s="373"/>
      <c r="O202" s="373"/>
      <c r="P202" s="373"/>
      <c r="Q202" s="373"/>
      <c r="R202" s="373"/>
      <c r="S202" s="373"/>
      <c r="T202" s="373"/>
      <c r="U202" s="373"/>
      <c r="V202" s="373"/>
      <c r="W202" s="373"/>
      <c r="X202" s="373"/>
      <c r="Y202" s="373"/>
      <c r="AB202" s="373"/>
      <c r="AC202" s="373"/>
      <c r="AD202" s="373"/>
      <c r="AE202" s="373"/>
      <c r="AH202" s="373"/>
      <c r="AI202" s="365"/>
      <c r="AK202" s="365"/>
      <c r="AL202" s="365"/>
      <c r="AM202" s="365"/>
      <c r="AN202" s="365"/>
      <c r="AO202" s="365"/>
      <c r="AP202" s="365"/>
      <c r="AQ202" s="365"/>
      <c r="AR202" s="365"/>
      <c r="AS202" s="365"/>
      <c r="AT202" s="365"/>
      <c r="AU202" s="365"/>
      <c r="AV202" s="365"/>
      <c r="AW202" s="365"/>
      <c r="AY202" s="373" t="s">
        <v>966</v>
      </c>
      <c r="BA202" s="373" t="s">
        <v>1062</v>
      </c>
      <c r="BB202" s="373" t="s">
        <v>1062</v>
      </c>
      <c r="BC202" s="373" t="s">
        <v>1063</v>
      </c>
      <c r="BG202" s="373" t="s">
        <v>1067</v>
      </c>
      <c r="BH202" s="373" t="s">
        <v>1066</v>
      </c>
      <c r="BI202" s="373" t="s">
        <v>1158</v>
      </c>
      <c r="BJ202" s="373" t="s">
        <v>1068</v>
      </c>
      <c r="BL202" s="373" t="s">
        <v>1067</v>
      </c>
      <c r="BM202" s="373" t="s">
        <v>1066</v>
      </c>
      <c r="BN202" s="373" t="s">
        <v>1158</v>
      </c>
      <c r="BO202" s="373" t="s">
        <v>1068</v>
      </c>
      <c r="BP202" s="373" t="s">
        <v>1067</v>
      </c>
      <c r="BQ202" s="373" t="s">
        <v>1066</v>
      </c>
      <c r="BR202" s="373" t="s">
        <v>1068</v>
      </c>
      <c r="BS202" s="373" t="s">
        <v>1068</v>
      </c>
      <c r="CI202" s="373" t="s">
        <v>966</v>
      </c>
      <c r="CK202" s="373" t="s">
        <v>1062</v>
      </c>
      <c r="CL202" s="373" t="s">
        <v>1062</v>
      </c>
      <c r="CM202" s="373" t="s">
        <v>1063</v>
      </c>
      <c r="CQ202" s="373" t="s">
        <v>1067</v>
      </c>
      <c r="CR202" s="373" t="s">
        <v>1066</v>
      </c>
      <c r="CS202" s="373" t="s">
        <v>1158</v>
      </c>
      <c r="CT202" s="373" t="s">
        <v>1068</v>
      </c>
      <c r="CV202" s="373" t="s">
        <v>1067</v>
      </c>
      <c r="CW202" s="373" t="s">
        <v>1066</v>
      </c>
      <c r="CX202" s="373" t="s">
        <v>1158</v>
      </c>
      <c r="CY202" s="373" t="s">
        <v>1068</v>
      </c>
      <c r="CZ202" s="373" t="s">
        <v>1067</v>
      </c>
      <c r="DA202" s="373" t="s">
        <v>1066</v>
      </c>
      <c r="DB202" s="373" t="s">
        <v>1068</v>
      </c>
      <c r="DC202" s="373" t="s">
        <v>1068</v>
      </c>
    </row>
    <row r="203" spans="1:116" x14ac:dyDescent="0.3">
      <c r="A203" s="364"/>
      <c r="C203" s="366"/>
      <c r="D203" s="373"/>
      <c r="E203" s="373"/>
      <c r="F203" s="373"/>
      <c r="G203" s="367"/>
      <c r="H203" s="373"/>
      <c r="I203" s="373"/>
      <c r="J203" s="373"/>
      <c r="K203" s="373"/>
      <c r="L203" s="373"/>
      <c r="M203" s="373"/>
      <c r="N203" s="373"/>
      <c r="O203" s="373"/>
      <c r="P203" s="373"/>
      <c r="Q203" s="373"/>
      <c r="R203" s="373"/>
      <c r="S203" s="373"/>
      <c r="T203" s="373"/>
      <c r="U203" s="373"/>
      <c r="V203" s="373"/>
      <c r="W203" s="373"/>
      <c r="X203" s="373"/>
      <c r="Y203" s="373"/>
      <c r="AB203" s="373"/>
      <c r="AC203" s="373"/>
      <c r="AD203" s="373"/>
      <c r="AE203" s="373"/>
      <c r="AH203" s="373"/>
      <c r="AI203" s="365"/>
      <c r="AK203" s="365"/>
      <c r="AL203" s="365"/>
      <c r="AM203" s="365"/>
      <c r="AN203" s="365"/>
      <c r="AO203" s="365"/>
      <c r="AP203" s="365"/>
      <c r="AQ203" s="365"/>
      <c r="AR203" s="365"/>
      <c r="AS203" s="365"/>
      <c r="AT203" s="365" t="s">
        <v>1159</v>
      </c>
      <c r="AU203" s="365" t="s">
        <v>1032</v>
      </c>
      <c r="AV203" s="365" t="s">
        <v>546</v>
      </c>
      <c r="AW203" s="365" t="s">
        <v>547</v>
      </c>
      <c r="AX203" s="373" t="s">
        <v>1193</v>
      </c>
      <c r="AY203" s="373" t="s">
        <v>1193</v>
      </c>
      <c r="AZ203" s="373">
        <v>38353</v>
      </c>
      <c r="BA203" s="373">
        <v>1</v>
      </c>
      <c r="BB203" s="373">
        <v>10</v>
      </c>
      <c r="BC203" s="373">
        <v>10</v>
      </c>
      <c r="BD203" s="373">
        <v>191.8</v>
      </c>
      <c r="BE203" s="373" t="s">
        <v>548</v>
      </c>
      <c r="BF203" s="373" t="s">
        <v>549</v>
      </c>
      <c r="BG203" s="373">
        <v>30</v>
      </c>
      <c r="BH203" s="373">
        <v>0.15</v>
      </c>
      <c r="BI203" s="373">
        <v>1.1247199999999999</v>
      </c>
      <c r="BJ203" s="373">
        <v>5753</v>
      </c>
      <c r="BL203" s="373">
        <v>30</v>
      </c>
      <c r="BM203" s="373">
        <v>0.15</v>
      </c>
      <c r="BN203" s="373">
        <v>1.1247199999999999</v>
      </c>
      <c r="BO203" s="373">
        <v>5753</v>
      </c>
      <c r="BP203" s="373">
        <v>0</v>
      </c>
      <c r="BQ203" s="373">
        <v>0.15</v>
      </c>
      <c r="BR203" s="373">
        <v>5753</v>
      </c>
      <c r="CD203" s="373" t="s">
        <v>1159</v>
      </c>
      <c r="CE203" s="373" t="s">
        <v>1032</v>
      </c>
      <c r="CF203" s="373" t="s">
        <v>546</v>
      </c>
      <c r="CG203" s="373" t="s">
        <v>547</v>
      </c>
      <c r="CH203" s="373" t="s">
        <v>1194</v>
      </c>
      <c r="CI203" s="373" t="s">
        <v>1194</v>
      </c>
      <c r="CJ203" s="373">
        <v>38353</v>
      </c>
      <c r="CK203" s="373">
        <v>1</v>
      </c>
      <c r="CL203" s="373">
        <v>10</v>
      </c>
      <c r="CM203" s="373">
        <v>10</v>
      </c>
      <c r="CN203" s="373">
        <v>191.8</v>
      </c>
      <c r="CO203" s="373" t="s">
        <v>548</v>
      </c>
      <c r="CP203" s="373" t="s">
        <v>549</v>
      </c>
      <c r="CQ203" s="373">
        <v>30</v>
      </c>
      <c r="CR203" s="373">
        <v>0.15</v>
      </c>
      <c r="CS203" s="373">
        <v>1.1247199999999999</v>
      </c>
      <c r="CT203" s="373">
        <v>5753</v>
      </c>
      <c r="CV203" s="373">
        <v>30</v>
      </c>
      <c r="CW203" s="373">
        <v>0.15</v>
      </c>
      <c r="CX203" s="373">
        <v>1.1247199999999999</v>
      </c>
      <c r="CY203" s="373">
        <v>5753</v>
      </c>
      <c r="CZ203" s="373">
        <v>0</v>
      </c>
      <c r="DA203" s="373">
        <v>0.15</v>
      </c>
      <c r="DB203" s="373">
        <v>5753</v>
      </c>
    </row>
    <row r="204" spans="1:116" x14ac:dyDescent="0.3">
      <c r="A204" s="364"/>
      <c r="C204" s="366"/>
      <c r="D204" s="373"/>
      <c r="E204" s="373"/>
      <c r="F204" s="373"/>
      <c r="G204" s="367"/>
      <c r="H204" s="373"/>
      <c r="I204" s="373"/>
      <c r="J204" s="373"/>
      <c r="K204" s="373"/>
      <c r="L204" s="373"/>
      <c r="M204" s="373"/>
      <c r="N204" s="373"/>
      <c r="O204" s="373"/>
      <c r="P204" s="373"/>
      <c r="Q204" s="373"/>
      <c r="R204" s="373"/>
      <c r="S204" s="373"/>
      <c r="T204" s="373"/>
      <c r="U204" s="373"/>
      <c r="V204" s="373"/>
      <c r="W204" s="373"/>
      <c r="X204" s="373"/>
      <c r="Y204" s="373"/>
      <c r="AB204" s="373"/>
      <c r="AC204" s="373"/>
      <c r="AD204" s="373"/>
      <c r="AE204" s="373"/>
      <c r="AH204" s="373"/>
      <c r="AI204" s="365"/>
      <c r="AK204" s="365"/>
      <c r="AL204" s="365"/>
      <c r="AM204" s="365"/>
      <c r="AN204" s="365"/>
      <c r="AO204" s="365"/>
      <c r="AP204" s="365"/>
      <c r="AQ204" s="365"/>
      <c r="AR204" s="365"/>
      <c r="AS204" s="365"/>
      <c r="AT204" s="365" t="s">
        <v>1160</v>
      </c>
      <c r="AU204" s="365" t="s">
        <v>1033</v>
      </c>
      <c r="AV204" s="365" t="s">
        <v>546</v>
      </c>
      <c r="AW204" s="365" t="s">
        <v>547</v>
      </c>
      <c r="AX204" s="373" t="s">
        <v>1195</v>
      </c>
      <c r="AY204" s="373" t="s">
        <v>1195</v>
      </c>
      <c r="AZ204" s="373">
        <v>27257.599999999999</v>
      </c>
      <c r="BA204" s="373">
        <v>1</v>
      </c>
      <c r="BB204" s="373">
        <v>16.7</v>
      </c>
      <c r="BC204" s="373">
        <v>16.7</v>
      </c>
      <c r="BD204" s="373">
        <v>227.2</v>
      </c>
      <c r="BE204" s="373" t="s">
        <v>548</v>
      </c>
      <c r="BF204" s="373" t="s">
        <v>558</v>
      </c>
      <c r="BG204" s="373">
        <v>23.995200000000001</v>
      </c>
      <c r="BH204" s="373">
        <v>0.2</v>
      </c>
      <c r="BI204" s="373">
        <v>1.33294</v>
      </c>
      <c r="BJ204" s="373">
        <v>5452</v>
      </c>
      <c r="BL204" s="373">
        <v>23.995200000000001</v>
      </c>
      <c r="BM204" s="373">
        <v>0.2</v>
      </c>
      <c r="BN204" s="373">
        <v>1.33294</v>
      </c>
      <c r="BO204" s="373">
        <v>5452</v>
      </c>
      <c r="BP204" s="373">
        <v>15</v>
      </c>
      <c r="BQ204" s="373">
        <v>0.2</v>
      </c>
      <c r="BR204" s="373">
        <v>5452</v>
      </c>
      <c r="CD204" s="373" t="s">
        <v>1160</v>
      </c>
      <c r="CE204" s="373" t="s">
        <v>1033</v>
      </c>
      <c r="CF204" s="373" t="s">
        <v>546</v>
      </c>
      <c r="CG204" s="373" t="s">
        <v>547</v>
      </c>
      <c r="CH204" s="373" t="s">
        <v>1196</v>
      </c>
      <c r="CI204" s="373" t="s">
        <v>1196</v>
      </c>
      <c r="CJ204" s="373">
        <v>27257.599999999999</v>
      </c>
      <c r="CK204" s="373">
        <v>1</v>
      </c>
      <c r="CL204" s="373">
        <v>16.7</v>
      </c>
      <c r="CM204" s="373">
        <v>16.7</v>
      </c>
      <c r="CN204" s="373">
        <v>227.2</v>
      </c>
      <c r="CO204" s="373" t="s">
        <v>548</v>
      </c>
      <c r="CP204" s="373" t="s">
        <v>549</v>
      </c>
      <c r="CQ204" s="373">
        <v>23.995200000000001</v>
      </c>
      <c r="CR204" s="373">
        <v>0.2</v>
      </c>
      <c r="CS204" s="373">
        <v>1.33294</v>
      </c>
      <c r="CT204" s="373">
        <v>5452</v>
      </c>
      <c r="CV204" s="373">
        <v>23.995200000000001</v>
      </c>
      <c r="CW204" s="373">
        <v>0.2</v>
      </c>
      <c r="CX204" s="373">
        <v>1.33294</v>
      </c>
      <c r="CY204" s="373">
        <v>5452</v>
      </c>
      <c r="CZ204" s="373">
        <v>0</v>
      </c>
      <c r="DA204" s="373">
        <v>0.2</v>
      </c>
      <c r="DB204" s="373">
        <v>5452</v>
      </c>
    </row>
    <row r="205" spans="1:116" x14ac:dyDescent="0.3">
      <c r="A205" s="364"/>
      <c r="C205" s="366"/>
      <c r="D205" s="373"/>
      <c r="E205" s="373"/>
      <c r="F205" s="373"/>
      <c r="G205" s="367"/>
      <c r="H205" s="373"/>
      <c r="I205" s="373"/>
      <c r="J205" s="373"/>
      <c r="K205" s="373"/>
      <c r="L205" s="373"/>
      <c r="M205" s="373"/>
      <c r="N205" s="373"/>
      <c r="O205" s="373"/>
      <c r="P205" s="373"/>
      <c r="Q205" s="373"/>
      <c r="R205" s="373"/>
      <c r="S205" s="373"/>
      <c r="T205" s="373"/>
      <c r="U205" s="373"/>
      <c r="V205" s="373"/>
      <c r="W205" s="373"/>
      <c r="X205" s="373"/>
      <c r="Y205" s="373"/>
      <c r="AB205" s="373"/>
      <c r="AC205" s="373"/>
      <c r="AD205" s="373"/>
      <c r="AE205" s="373"/>
      <c r="AH205" s="373"/>
      <c r="AI205" s="365"/>
      <c r="AK205" s="365"/>
      <c r="AL205" s="365"/>
      <c r="AM205" s="365"/>
      <c r="AN205" s="365"/>
      <c r="AO205" s="365"/>
      <c r="AP205" s="365"/>
      <c r="AQ205" s="365"/>
      <c r="AR205" s="365"/>
      <c r="AS205" s="365"/>
      <c r="AT205" s="365" t="s">
        <v>1161</v>
      </c>
      <c r="AU205" s="365" t="s">
        <v>1033</v>
      </c>
      <c r="AV205" s="365" t="s">
        <v>983</v>
      </c>
      <c r="AW205" s="365" t="s">
        <v>312</v>
      </c>
      <c r="AX205" s="373" t="s">
        <v>1010</v>
      </c>
      <c r="AY205" s="373" t="s">
        <v>1010</v>
      </c>
      <c r="AZ205" s="373">
        <v>0</v>
      </c>
      <c r="BA205" s="373">
        <v>1</v>
      </c>
      <c r="BB205" s="373">
        <v>0</v>
      </c>
      <c r="BC205" s="373">
        <v>0</v>
      </c>
      <c r="BD205" s="373">
        <v>0</v>
      </c>
      <c r="BE205" s="373" t="s">
        <v>1009</v>
      </c>
      <c r="BF205" s="373" t="s">
        <v>311</v>
      </c>
      <c r="BG205" s="373">
        <v>0</v>
      </c>
      <c r="BH205" s="373">
        <v>0</v>
      </c>
      <c r="BI205" s="373">
        <v>0</v>
      </c>
      <c r="BJ205" s="373">
        <v>0</v>
      </c>
      <c r="BL205" s="373">
        <v>0</v>
      </c>
      <c r="BM205" s="373">
        <v>0</v>
      </c>
      <c r="BN205" s="373">
        <v>0</v>
      </c>
      <c r="BO205" s="373">
        <v>0</v>
      </c>
      <c r="BP205" s="373">
        <v>0</v>
      </c>
      <c r="BQ205" s="373">
        <v>0</v>
      </c>
      <c r="BR205" s="373">
        <v>0</v>
      </c>
      <c r="CD205" s="373" t="s">
        <v>1161</v>
      </c>
      <c r="CE205" s="373" t="s">
        <v>1033</v>
      </c>
      <c r="CF205" s="373" t="s">
        <v>983</v>
      </c>
      <c r="CG205" s="373" t="s">
        <v>312</v>
      </c>
      <c r="CH205" s="373" t="s">
        <v>1010</v>
      </c>
      <c r="CI205" s="373" t="s">
        <v>1010</v>
      </c>
      <c r="CJ205" s="373">
        <v>0</v>
      </c>
      <c r="CK205" s="373">
        <v>1</v>
      </c>
      <c r="CL205" s="373">
        <v>0</v>
      </c>
      <c r="CM205" s="373">
        <v>0</v>
      </c>
      <c r="CN205" s="373">
        <v>0</v>
      </c>
      <c r="CO205" s="373" t="s">
        <v>1009</v>
      </c>
      <c r="CP205" s="373" t="s">
        <v>311</v>
      </c>
      <c r="CQ205" s="373">
        <v>0</v>
      </c>
      <c r="CR205" s="373">
        <v>0</v>
      </c>
      <c r="CS205" s="373">
        <v>0</v>
      </c>
      <c r="CT205" s="373">
        <v>0</v>
      </c>
      <c r="CV205" s="373">
        <v>0</v>
      </c>
      <c r="CW205" s="373">
        <v>0</v>
      </c>
      <c r="CX205" s="373">
        <v>0</v>
      </c>
      <c r="CY205" s="373">
        <v>0</v>
      </c>
      <c r="CZ205" s="373">
        <v>0</v>
      </c>
      <c r="DA205" s="373">
        <v>0</v>
      </c>
      <c r="DB205" s="373">
        <v>0</v>
      </c>
    </row>
    <row r="206" spans="1:116" x14ac:dyDescent="0.3">
      <c r="A206" s="364"/>
      <c r="C206" s="366"/>
      <c r="D206" s="373"/>
      <c r="E206" s="373"/>
      <c r="F206" s="373"/>
      <c r="G206" s="367"/>
      <c r="H206" s="373"/>
      <c r="I206" s="373"/>
      <c r="J206" s="373"/>
      <c r="K206" s="373"/>
      <c r="L206" s="373"/>
      <c r="M206" s="373"/>
      <c r="N206" s="373"/>
      <c r="O206" s="373"/>
      <c r="P206" s="373"/>
      <c r="Q206" s="373"/>
      <c r="R206" s="373"/>
      <c r="S206" s="373"/>
      <c r="T206" s="373"/>
      <c r="U206" s="373"/>
      <c r="V206" s="373"/>
      <c r="W206" s="373"/>
      <c r="X206" s="373"/>
      <c r="Y206" s="373"/>
      <c r="AB206" s="373"/>
      <c r="AC206" s="373"/>
      <c r="AD206" s="373"/>
      <c r="AE206" s="373"/>
      <c r="AH206" s="373"/>
      <c r="AI206" s="365"/>
      <c r="AK206" s="365"/>
      <c r="AL206" s="365"/>
      <c r="AM206" s="365"/>
      <c r="AN206" s="365"/>
      <c r="AO206" s="365"/>
      <c r="AP206" s="365"/>
      <c r="AQ206" s="365"/>
      <c r="AR206" s="365"/>
      <c r="AS206" s="365"/>
      <c r="AT206" s="365" t="s">
        <v>1162</v>
      </c>
      <c r="AU206" s="365" t="s">
        <v>1033</v>
      </c>
      <c r="AV206" s="365" t="s">
        <v>546</v>
      </c>
      <c r="AW206" s="365" t="s">
        <v>547</v>
      </c>
      <c r="AX206" s="373" t="s">
        <v>1195</v>
      </c>
      <c r="AY206" s="373" t="s">
        <v>1195</v>
      </c>
      <c r="AZ206" s="373">
        <v>3373.6</v>
      </c>
      <c r="BA206" s="373">
        <v>1</v>
      </c>
      <c r="BB206" s="373">
        <v>66.7</v>
      </c>
      <c r="BC206" s="373">
        <v>66.7</v>
      </c>
      <c r="BD206" s="373">
        <v>112.5</v>
      </c>
      <c r="BE206" s="373" t="s">
        <v>548</v>
      </c>
      <c r="BF206" s="373" t="s">
        <v>558</v>
      </c>
      <c r="BG206" s="373">
        <v>14.9993</v>
      </c>
      <c r="BH206" s="373">
        <v>0.5</v>
      </c>
      <c r="BI206" s="373">
        <v>3.33236</v>
      </c>
      <c r="BJ206" s="373">
        <v>1687</v>
      </c>
      <c r="BL206" s="373">
        <v>14.9993</v>
      </c>
      <c r="BM206" s="373">
        <v>0.5</v>
      </c>
      <c r="BN206" s="373">
        <v>3.33236</v>
      </c>
      <c r="BO206" s="373">
        <v>1687</v>
      </c>
      <c r="BP206" s="373">
        <v>14.9993</v>
      </c>
      <c r="BQ206" s="373">
        <v>0.15</v>
      </c>
      <c r="BR206" s="373">
        <v>1687</v>
      </c>
      <c r="CD206" s="373" t="s">
        <v>1162</v>
      </c>
      <c r="CE206" s="373" t="s">
        <v>1033</v>
      </c>
      <c r="CF206" s="373" t="s">
        <v>546</v>
      </c>
      <c r="CG206" s="373" t="s">
        <v>547</v>
      </c>
      <c r="CH206" s="373" t="s">
        <v>1196</v>
      </c>
      <c r="CI206" s="373" t="s">
        <v>1196</v>
      </c>
      <c r="CJ206" s="373">
        <v>3373.6</v>
      </c>
      <c r="CK206" s="373">
        <v>1</v>
      </c>
      <c r="CL206" s="373">
        <v>66.7</v>
      </c>
      <c r="CM206" s="373">
        <v>66.7</v>
      </c>
      <c r="CN206" s="373">
        <v>112.5</v>
      </c>
      <c r="CO206" s="373" t="s">
        <v>548</v>
      </c>
      <c r="CP206" s="373" t="s">
        <v>558</v>
      </c>
      <c r="CQ206" s="373">
        <v>14.9993</v>
      </c>
      <c r="CR206" s="373">
        <v>0.5</v>
      </c>
      <c r="CS206" s="373">
        <v>3.33236</v>
      </c>
      <c r="CT206" s="373">
        <v>1687</v>
      </c>
      <c r="CV206" s="373">
        <v>14.9993</v>
      </c>
      <c r="CW206" s="373">
        <v>0.5</v>
      </c>
      <c r="CX206" s="373">
        <v>3.33236</v>
      </c>
      <c r="CY206" s="373">
        <v>1687</v>
      </c>
      <c r="CZ206" s="373">
        <v>14.9993</v>
      </c>
      <c r="DA206" s="373">
        <v>0.15</v>
      </c>
      <c r="DB206" s="373">
        <v>1687</v>
      </c>
    </row>
    <row r="207" spans="1:116" x14ac:dyDescent="0.3">
      <c r="A207" s="364"/>
      <c r="C207" s="366"/>
      <c r="D207" s="373"/>
      <c r="E207" s="373"/>
      <c r="F207" s="373"/>
      <c r="G207" s="367"/>
      <c r="H207" s="373"/>
      <c r="I207" s="373"/>
      <c r="J207" s="373"/>
      <c r="K207" s="373"/>
      <c r="L207" s="373"/>
      <c r="M207" s="373"/>
      <c r="N207" s="373"/>
      <c r="O207" s="373"/>
      <c r="P207" s="373"/>
      <c r="Q207" s="373"/>
      <c r="R207" s="373"/>
      <c r="S207" s="373"/>
      <c r="T207" s="373"/>
      <c r="U207" s="373"/>
      <c r="V207" s="373"/>
      <c r="W207" s="373"/>
      <c r="X207" s="373"/>
      <c r="Y207" s="373"/>
      <c r="AB207" s="373"/>
      <c r="AC207" s="373"/>
      <c r="AD207" s="373"/>
      <c r="AE207" s="373"/>
      <c r="AH207" s="373"/>
      <c r="AI207" s="365"/>
      <c r="AK207" s="365"/>
      <c r="AL207" s="365"/>
      <c r="AM207" s="365"/>
      <c r="AN207" s="365"/>
      <c r="AO207" s="365"/>
      <c r="AP207" s="365"/>
      <c r="AQ207" s="365"/>
      <c r="AR207" s="365"/>
      <c r="AS207" s="365"/>
      <c r="AT207" s="365" t="s">
        <v>1163</v>
      </c>
      <c r="AU207" s="365" t="s">
        <v>1033</v>
      </c>
      <c r="AV207" s="365" t="s">
        <v>546</v>
      </c>
      <c r="AW207" s="365" t="s">
        <v>547</v>
      </c>
      <c r="AX207" s="373" t="s">
        <v>1195</v>
      </c>
      <c r="AY207" s="373" t="s">
        <v>1195</v>
      </c>
      <c r="AZ207" s="373">
        <v>2174.1</v>
      </c>
      <c r="BA207" s="373">
        <v>1</v>
      </c>
      <c r="BB207" s="373">
        <v>10</v>
      </c>
      <c r="BC207" s="373">
        <v>10</v>
      </c>
      <c r="BD207" s="373">
        <v>10.9</v>
      </c>
      <c r="BE207" s="373" t="s">
        <v>548</v>
      </c>
      <c r="BF207" s="373" t="s">
        <v>549</v>
      </c>
      <c r="BG207" s="373">
        <v>30</v>
      </c>
      <c r="BH207" s="373">
        <v>0.15</v>
      </c>
      <c r="BI207" s="373">
        <v>0.99971100000000002</v>
      </c>
      <c r="BJ207" s="373">
        <v>326</v>
      </c>
      <c r="BL207" s="373">
        <v>30</v>
      </c>
      <c r="BM207" s="373">
        <v>0.15</v>
      </c>
      <c r="BN207" s="373">
        <v>0.99971100000000002</v>
      </c>
      <c r="BO207" s="373">
        <v>326</v>
      </c>
      <c r="BP207" s="373">
        <v>0</v>
      </c>
      <c r="BQ207" s="373">
        <v>0.15</v>
      </c>
      <c r="BR207" s="373">
        <v>326</v>
      </c>
      <c r="CD207" s="373" t="s">
        <v>1163</v>
      </c>
      <c r="CE207" s="373" t="s">
        <v>1033</v>
      </c>
      <c r="CF207" s="373" t="s">
        <v>546</v>
      </c>
      <c r="CG207" s="373" t="s">
        <v>547</v>
      </c>
      <c r="CH207" s="373" t="s">
        <v>1196</v>
      </c>
      <c r="CI207" s="373" t="s">
        <v>1196</v>
      </c>
      <c r="CJ207" s="373">
        <v>2174.1</v>
      </c>
      <c r="CK207" s="373">
        <v>1</v>
      </c>
      <c r="CL207" s="373">
        <v>10</v>
      </c>
      <c r="CM207" s="373">
        <v>10</v>
      </c>
      <c r="CN207" s="373">
        <v>10.9</v>
      </c>
      <c r="CO207" s="373" t="s">
        <v>548</v>
      </c>
      <c r="CP207" s="373" t="s">
        <v>549</v>
      </c>
      <c r="CQ207" s="373">
        <v>30</v>
      </c>
      <c r="CR207" s="373">
        <v>0.15</v>
      </c>
      <c r="CS207" s="373">
        <v>0.99971100000000002</v>
      </c>
      <c r="CT207" s="373">
        <v>326</v>
      </c>
      <c r="CV207" s="373">
        <v>30</v>
      </c>
      <c r="CW207" s="373">
        <v>0.15</v>
      </c>
      <c r="CX207" s="373">
        <v>0.99971100000000002</v>
      </c>
      <c r="CY207" s="373">
        <v>326</v>
      </c>
      <c r="CZ207" s="373">
        <v>0</v>
      </c>
      <c r="DA207" s="373">
        <v>0.15</v>
      </c>
      <c r="DB207" s="373">
        <v>326</v>
      </c>
    </row>
    <row r="208" spans="1:116" x14ac:dyDescent="0.3">
      <c r="A208" s="364"/>
      <c r="C208" s="366"/>
      <c r="D208" s="373"/>
      <c r="E208" s="373"/>
      <c r="F208" s="373"/>
      <c r="G208" s="367"/>
      <c r="H208" s="373"/>
      <c r="I208" s="373"/>
      <c r="J208" s="373"/>
      <c r="K208" s="373"/>
      <c r="L208" s="373"/>
      <c r="M208" s="373"/>
      <c r="N208" s="373"/>
      <c r="O208" s="373"/>
      <c r="P208" s="373"/>
      <c r="Q208" s="373"/>
      <c r="R208" s="373"/>
      <c r="S208" s="373"/>
      <c r="T208" s="373"/>
      <c r="U208" s="373"/>
      <c r="V208" s="373"/>
      <c r="W208" s="373"/>
      <c r="X208" s="373"/>
      <c r="Y208" s="373"/>
      <c r="AB208" s="373"/>
      <c r="AC208" s="373"/>
      <c r="AD208" s="373"/>
      <c r="AE208" s="373"/>
      <c r="AH208" s="373"/>
      <c r="AI208" s="365"/>
      <c r="AK208" s="365"/>
      <c r="AL208" s="365"/>
      <c r="AM208" s="365"/>
      <c r="AN208" s="365"/>
      <c r="AO208" s="365"/>
      <c r="AP208" s="365"/>
      <c r="AQ208" s="365"/>
      <c r="AR208" s="365"/>
      <c r="AS208" s="365"/>
      <c r="AT208" s="365" t="s">
        <v>1164</v>
      </c>
      <c r="AU208" s="365" t="s">
        <v>1033</v>
      </c>
      <c r="AV208" s="365" t="s">
        <v>546</v>
      </c>
      <c r="AW208" s="365" t="s">
        <v>547</v>
      </c>
      <c r="AX208" s="373" t="s">
        <v>1195</v>
      </c>
      <c r="AY208" s="373" t="s">
        <v>1195</v>
      </c>
      <c r="AZ208" s="373">
        <v>3373.6</v>
      </c>
      <c r="BA208" s="373">
        <v>1</v>
      </c>
      <c r="BB208" s="373">
        <v>16.7</v>
      </c>
      <c r="BC208" s="373">
        <v>16.7</v>
      </c>
      <c r="BD208" s="373">
        <v>28.1</v>
      </c>
      <c r="BE208" s="373" t="s">
        <v>548</v>
      </c>
      <c r="BF208" s="373" t="s">
        <v>558</v>
      </c>
      <c r="BG208" s="373">
        <v>23.995200000000001</v>
      </c>
      <c r="BH208" s="373">
        <v>0.2</v>
      </c>
      <c r="BI208" s="373">
        <v>1.3329800000000001</v>
      </c>
      <c r="BJ208" s="373">
        <v>675</v>
      </c>
      <c r="BL208" s="373">
        <v>23.995200000000001</v>
      </c>
      <c r="BM208" s="373">
        <v>0.2</v>
      </c>
      <c r="BN208" s="373">
        <v>1.3329800000000001</v>
      </c>
      <c r="BO208" s="373">
        <v>675</v>
      </c>
      <c r="BP208" s="373">
        <v>15</v>
      </c>
      <c r="BQ208" s="373">
        <v>0.2</v>
      </c>
      <c r="BR208" s="373">
        <v>675</v>
      </c>
      <c r="CD208" s="373" t="s">
        <v>1164</v>
      </c>
      <c r="CE208" s="373" t="s">
        <v>1033</v>
      </c>
      <c r="CF208" s="373" t="s">
        <v>546</v>
      </c>
      <c r="CG208" s="373" t="s">
        <v>547</v>
      </c>
      <c r="CH208" s="373" t="s">
        <v>1196</v>
      </c>
      <c r="CI208" s="373" t="s">
        <v>1196</v>
      </c>
      <c r="CJ208" s="373">
        <v>3373.6</v>
      </c>
      <c r="CK208" s="373">
        <v>1</v>
      </c>
      <c r="CL208" s="373">
        <v>16.7</v>
      </c>
      <c r="CM208" s="373">
        <v>16.7</v>
      </c>
      <c r="CN208" s="373">
        <v>28.1</v>
      </c>
      <c r="CO208" s="373" t="s">
        <v>548</v>
      </c>
      <c r="CP208" s="373" t="s">
        <v>549</v>
      </c>
      <c r="CQ208" s="373">
        <v>23.995200000000001</v>
      </c>
      <c r="CR208" s="373">
        <v>0.2</v>
      </c>
      <c r="CS208" s="373">
        <v>1.3329800000000001</v>
      </c>
      <c r="CT208" s="373">
        <v>675</v>
      </c>
      <c r="CV208" s="373">
        <v>23.995200000000001</v>
      </c>
      <c r="CW208" s="373">
        <v>0.2</v>
      </c>
      <c r="CX208" s="373">
        <v>1.3329800000000001</v>
      </c>
      <c r="CY208" s="373">
        <v>675</v>
      </c>
      <c r="CZ208" s="373">
        <v>0</v>
      </c>
      <c r="DA208" s="373">
        <v>0.2</v>
      </c>
      <c r="DB208" s="373">
        <v>675</v>
      </c>
    </row>
    <row r="209" spans="42:106" x14ac:dyDescent="0.3">
      <c r="AP209" s="365"/>
      <c r="AQ209" s="365"/>
      <c r="AR209" s="365"/>
      <c r="AS209" s="365"/>
      <c r="AT209" s="365" t="s">
        <v>1165</v>
      </c>
      <c r="AU209" s="365" t="s">
        <v>1033</v>
      </c>
      <c r="AV209" s="365" t="s">
        <v>546</v>
      </c>
      <c r="AW209" s="365" t="s">
        <v>547</v>
      </c>
      <c r="AX209" s="373" t="s">
        <v>1195</v>
      </c>
      <c r="AY209" s="373" t="s">
        <v>1195</v>
      </c>
      <c r="AZ209" s="373">
        <v>2174</v>
      </c>
      <c r="BA209" s="373">
        <v>1</v>
      </c>
      <c r="BB209" s="373">
        <v>16.7</v>
      </c>
      <c r="BC209" s="373">
        <v>16.7</v>
      </c>
      <c r="BD209" s="373">
        <v>18.100000000000001</v>
      </c>
      <c r="BE209" s="373" t="s">
        <v>548</v>
      </c>
      <c r="BF209" s="373" t="s">
        <v>558</v>
      </c>
      <c r="BG209" s="373">
        <v>23.995200000000001</v>
      </c>
      <c r="BH209" s="373">
        <v>0.2</v>
      </c>
      <c r="BI209" s="373">
        <v>1.33294</v>
      </c>
      <c r="BJ209" s="373">
        <v>435</v>
      </c>
      <c r="BL209" s="373">
        <v>23.995200000000001</v>
      </c>
      <c r="BM209" s="373">
        <v>0.2</v>
      </c>
      <c r="BN209" s="373">
        <v>1.33294</v>
      </c>
      <c r="BO209" s="373">
        <v>435</v>
      </c>
      <c r="BP209" s="373">
        <v>15</v>
      </c>
      <c r="BQ209" s="373">
        <v>0.2</v>
      </c>
      <c r="BR209" s="373">
        <v>435</v>
      </c>
      <c r="CD209" s="373" t="s">
        <v>1165</v>
      </c>
      <c r="CE209" s="373" t="s">
        <v>1033</v>
      </c>
      <c r="CF209" s="373" t="s">
        <v>546</v>
      </c>
      <c r="CG209" s="373" t="s">
        <v>547</v>
      </c>
      <c r="CH209" s="373" t="s">
        <v>1196</v>
      </c>
      <c r="CI209" s="373" t="s">
        <v>1196</v>
      </c>
      <c r="CJ209" s="373">
        <v>2174</v>
      </c>
      <c r="CK209" s="373">
        <v>1</v>
      </c>
      <c r="CL209" s="373">
        <v>16.7</v>
      </c>
      <c r="CM209" s="373">
        <v>16.7</v>
      </c>
      <c r="CN209" s="373">
        <v>18.100000000000001</v>
      </c>
      <c r="CO209" s="373" t="s">
        <v>548</v>
      </c>
      <c r="CP209" s="373" t="s">
        <v>549</v>
      </c>
      <c r="CQ209" s="373">
        <v>23.995200000000001</v>
      </c>
      <c r="CR209" s="373">
        <v>0.2</v>
      </c>
      <c r="CS209" s="373">
        <v>1.33294</v>
      </c>
      <c r="CT209" s="373">
        <v>435</v>
      </c>
      <c r="CV209" s="373">
        <v>23.995200000000001</v>
      </c>
      <c r="CW209" s="373">
        <v>0.2</v>
      </c>
      <c r="CX209" s="373">
        <v>1.33294</v>
      </c>
      <c r="CY209" s="373">
        <v>435</v>
      </c>
      <c r="CZ209" s="373">
        <v>0</v>
      </c>
      <c r="DA209" s="373">
        <v>0.2</v>
      </c>
      <c r="DB209" s="373">
        <v>435</v>
      </c>
    </row>
    <row r="210" spans="42:106" x14ac:dyDescent="0.3">
      <c r="AP210" s="365"/>
      <c r="AQ210" s="365"/>
      <c r="AR210" s="365"/>
      <c r="AS210" s="365"/>
      <c r="AT210" s="365" t="s">
        <v>1166</v>
      </c>
      <c r="AU210" s="365" t="s">
        <v>1034</v>
      </c>
      <c r="AV210" s="365" t="s">
        <v>546</v>
      </c>
      <c r="AW210" s="365" t="s">
        <v>547</v>
      </c>
      <c r="AX210" s="373" t="s">
        <v>1197</v>
      </c>
      <c r="AY210" s="373" t="s">
        <v>1197</v>
      </c>
      <c r="AZ210" s="373">
        <v>27257.599999999999</v>
      </c>
      <c r="BA210" s="373">
        <v>5</v>
      </c>
      <c r="BB210" s="373">
        <v>10</v>
      </c>
      <c r="BC210" s="373">
        <v>10</v>
      </c>
      <c r="BD210" s="373">
        <v>136.30000000000001</v>
      </c>
      <c r="BE210" s="373" t="s">
        <v>548</v>
      </c>
      <c r="BF210" s="373" t="s">
        <v>549</v>
      </c>
      <c r="BG210" s="373">
        <v>30</v>
      </c>
      <c r="BH210" s="373">
        <v>0.15</v>
      </c>
      <c r="BI210" s="373">
        <v>0.99970599999999998</v>
      </c>
      <c r="BJ210" s="373">
        <v>4089</v>
      </c>
      <c r="BL210" s="373">
        <v>30</v>
      </c>
      <c r="BM210" s="373">
        <v>0.15</v>
      </c>
      <c r="BN210" s="373">
        <v>0.99970599999999998</v>
      </c>
      <c r="BO210" s="373">
        <v>4089</v>
      </c>
      <c r="BP210" s="373">
        <v>0</v>
      </c>
      <c r="BQ210" s="373">
        <v>0.15</v>
      </c>
      <c r="BR210" s="373">
        <v>4089</v>
      </c>
      <c r="CD210" s="373" t="s">
        <v>1166</v>
      </c>
      <c r="CE210" s="373" t="s">
        <v>1034</v>
      </c>
      <c r="CF210" s="373" t="s">
        <v>546</v>
      </c>
      <c r="CG210" s="373" t="s">
        <v>547</v>
      </c>
      <c r="CH210" s="373" t="s">
        <v>1197</v>
      </c>
      <c r="CI210" s="373" t="s">
        <v>1197</v>
      </c>
      <c r="CJ210" s="373">
        <v>27257.599999999999</v>
      </c>
      <c r="CK210" s="373">
        <v>5</v>
      </c>
      <c r="CL210" s="373">
        <v>10</v>
      </c>
      <c r="CM210" s="373">
        <v>10</v>
      </c>
      <c r="CN210" s="373">
        <v>136.30000000000001</v>
      </c>
      <c r="CO210" s="373" t="s">
        <v>548</v>
      </c>
      <c r="CP210" s="373" t="s">
        <v>549</v>
      </c>
      <c r="CQ210" s="373">
        <v>30</v>
      </c>
      <c r="CR210" s="373">
        <v>0.15</v>
      </c>
      <c r="CS210" s="373">
        <v>0.99970599999999998</v>
      </c>
      <c r="CT210" s="373">
        <v>4089</v>
      </c>
      <c r="CV210" s="373">
        <v>30</v>
      </c>
      <c r="CW210" s="373">
        <v>0.15</v>
      </c>
      <c r="CX210" s="373">
        <v>0.99970599999999998</v>
      </c>
      <c r="CY210" s="373">
        <v>4089</v>
      </c>
      <c r="CZ210" s="373">
        <v>0</v>
      </c>
      <c r="DA210" s="373">
        <v>0.15</v>
      </c>
      <c r="DB210" s="373">
        <v>4089</v>
      </c>
    </row>
    <row r="211" spans="42:106" x14ac:dyDescent="0.3">
      <c r="AP211" s="365"/>
      <c r="AQ211" s="365"/>
      <c r="AR211" s="365"/>
      <c r="AS211" s="365"/>
      <c r="AT211" s="365" t="s">
        <v>1167</v>
      </c>
      <c r="AU211" s="365" t="s">
        <v>1034</v>
      </c>
      <c r="AV211" s="365" t="s">
        <v>983</v>
      </c>
      <c r="AW211" s="365" t="s">
        <v>312</v>
      </c>
      <c r="AX211" s="373" t="s">
        <v>1010</v>
      </c>
      <c r="AY211" s="373" t="s">
        <v>1010</v>
      </c>
      <c r="AZ211" s="373">
        <v>0</v>
      </c>
      <c r="BA211" s="373">
        <v>5</v>
      </c>
      <c r="BB211" s="373">
        <v>0</v>
      </c>
      <c r="BC211" s="373">
        <v>0</v>
      </c>
      <c r="BD211" s="373">
        <v>0</v>
      </c>
      <c r="BE211" s="373" t="s">
        <v>1009</v>
      </c>
      <c r="BF211" s="373" t="s">
        <v>311</v>
      </c>
      <c r="BG211" s="373">
        <v>0</v>
      </c>
      <c r="BH211" s="373">
        <v>0</v>
      </c>
      <c r="BI211" s="373">
        <v>0</v>
      </c>
      <c r="BJ211" s="373">
        <v>0</v>
      </c>
      <c r="BL211" s="373">
        <v>0</v>
      </c>
      <c r="BM211" s="373">
        <v>0</v>
      </c>
      <c r="BN211" s="373">
        <v>0</v>
      </c>
      <c r="BO211" s="373">
        <v>0</v>
      </c>
      <c r="BP211" s="373">
        <v>0</v>
      </c>
      <c r="BQ211" s="373">
        <v>0</v>
      </c>
      <c r="BR211" s="373">
        <v>0</v>
      </c>
      <c r="CD211" s="373" t="s">
        <v>1167</v>
      </c>
      <c r="CE211" s="373" t="s">
        <v>1034</v>
      </c>
      <c r="CF211" s="373" t="s">
        <v>983</v>
      </c>
      <c r="CG211" s="373" t="s">
        <v>312</v>
      </c>
      <c r="CH211" s="373" t="s">
        <v>1010</v>
      </c>
      <c r="CI211" s="373" t="s">
        <v>1010</v>
      </c>
      <c r="CJ211" s="373">
        <v>0</v>
      </c>
      <c r="CK211" s="373">
        <v>5</v>
      </c>
      <c r="CL211" s="373">
        <v>0</v>
      </c>
      <c r="CM211" s="373">
        <v>0</v>
      </c>
      <c r="CN211" s="373">
        <v>0</v>
      </c>
      <c r="CO211" s="373" t="s">
        <v>1009</v>
      </c>
      <c r="CP211" s="373" t="s">
        <v>311</v>
      </c>
      <c r="CQ211" s="373">
        <v>0</v>
      </c>
      <c r="CR211" s="373">
        <v>0</v>
      </c>
      <c r="CS211" s="373">
        <v>0</v>
      </c>
      <c r="CT211" s="373">
        <v>0</v>
      </c>
      <c r="CV211" s="373">
        <v>0</v>
      </c>
      <c r="CW211" s="373">
        <v>0</v>
      </c>
      <c r="CX211" s="373">
        <v>0</v>
      </c>
      <c r="CY211" s="373">
        <v>0</v>
      </c>
      <c r="CZ211" s="373">
        <v>0</v>
      </c>
      <c r="DA211" s="373">
        <v>0</v>
      </c>
      <c r="DB211" s="373">
        <v>0</v>
      </c>
    </row>
    <row r="212" spans="42:106" x14ac:dyDescent="0.3">
      <c r="AP212" s="365"/>
      <c r="AQ212" s="365"/>
      <c r="AR212" s="365"/>
      <c r="AS212" s="365"/>
      <c r="AT212" s="365" t="s">
        <v>1168</v>
      </c>
      <c r="AU212" s="365" t="s">
        <v>1034</v>
      </c>
      <c r="AV212" s="365" t="s">
        <v>546</v>
      </c>
      <c r="AW212" s="365" t="s">
        <v>547</v>
      </c>
      <c r="AX212" s="373" t="s">
        <v>1197</v>
      </c>
      <c r="AY212" s="373" t="s">
        <v>1197</v>
      </c>
      <c r="AZ212" s="373">
        <v>3373.6</v>
      </c>
      <c r="BA212" s="373">
        <v>5</v>
      </c>
      <c r="BB212" s="373">
        <v>10</v>
      </c>
      <c r="BC212" s="373">
        <v>10</v>
      </c>
      <c r="BD212" s="373">
        <v>16.899999999999999</v>
      </c>
      <c r="BE212" s="373" t="s">
        <v>548</v>
      </c>
      <c r="BF212" s="373" t="s">
        <v>549</v>
      </c>
      <c r="BG212" s="373">
        <v>30</v>
      </c>
      <c r="BH212" s="373">
        <v>0.15</v>
      </c>
      <c r="BI212" s="373">
        <v>0.99970700000000001</v>
      </c>
      <c r="BJ212" s="373">
        <v>506</v>
      </c>
      <c r="BL212" s="373">
        <v>30</v>
      </c>
      <c r="BM212" s="373">
        <v>0.15</v>
      </c>
      <c r="BN212" s="373">
        <v>0.99970700000000001</v>
      </c>
      <c r="BO212" s="373">
        <v>506</v>
      </c>
      <c r="BP212" s="373">
        <v>0</v>
      </c>
      <c r="BQ212" s="373">
        <v>0.15</v>
      </c>
      <c r="BR212" s="373">
        <v>506</v>
      </c>
      <c r="CD212" s="373" t="s">
        <v>1168</v>
      </c>
      <c r="CE212" s="373" t="s">
        <v>1034</v>
      </c>
      <c r="CF212" s="373" t="s">
        <v>546</v>
      </c>
      <c r="CG212" s="373" t="s">
        <v>547</v>
      </c>
      <c r="CH212" s="373" t="s">
        <v>1197</v>
      </c>
      <c r="CI212" s="373" t="s">
        <v>1197</v>
      </c>
      <c r="CJ212" s="373">
        <v>3373.6</v>
      </c>
      <c r="CK212" s="373">
        <v>5</v>
      </c>
      <c r="CL212" s="373">
        <v>10</v>
      </c>
      <c r="CM212" s="373">
        <v>10</v>
      </c>
      <c r="CN212" s="373">
        <v>16.899999999999999</v>
      </c>
      <c r="CO212" s="373" t="s">
        <v>548</v>
      </c>
      <c r="CP212" s="373" t="s">
        <v>549</v>
      </c>
      <c r="CQ212" s="373">
        <v>30</v>
      </c>
      <c r="CR212" s="373">
        <v>0.15</v>
      </c>
      <c r="CS212" s="373">
        <v>0.99970700000000001</v>
      </c>
      <c r="CT212" s="373">
        <v>506</v>
      </c>
      <c r="CV212" s="373">
        <v>30</v>
      </c>
      <c r="CW212" s="373">
        <v>0.15</v>
      </c>
      <c r="CX212" s="373">
        <v>0.99970700000000001</v>
      </c>
      <c r="CY212" s="373">
        <v>506</v>
      </c>
      <c r="CZ212" s="373">
        <v>0</v>
      </c>
      <c r="DA212" s="373">
        <v>0.15</v>
      </c>
      <c r="DB212" s="373">
        <v>506</v>
      </c>
    </row>
    <row r="213" spans="42:106" x14ac:dyDescent="0.3">
      <c r="AP213" s="365"/>
      <c r="AQ213" s="365"/>
      <c r="AR213" s="365"/>
      <c r="AS213" s="365"/>
      <c r="AT213" s="365" t="s">
        <v>1169</v>
      </c>
      <c r="AU213" s="365" t="s">
        <v>1034</v>
      </c>
      <c r="AV213" s="365" t="s">
        <v>546</v>
      </c>
      <c r="AW213" s="365" t="s">
        <v>547</v>
      </c>
      <c r="AX213" s="373" t="s">
        <v>1197</v>
      </c>
      <c r="AY213" s="373" t="s">
        <v>1197</v>
      </c>
      <c r="AZ213" s="373">
        <v>2174.1</v>
      </c>
      <c r="BA213" s="373">
        <v>5</v>
      </c>
      <c r="BB213" s="373">
        <v>10</v>
      </c>
      <c r="BC213" s="373">
        <v>10</v>
      </c>
      <c r="BD213" s="373">
        <v>10.9</v>
      </c>
      <c r="BE213" s="373" t="s">
        <v>548</v>
      </c>
      <c r="BF213" s="373" t="s">
        <v>549</v>
      </c>
      <c r="BG213" s="373">
        <v>30</v>
      </c>
      <c r="BH213" s="373">
        <v>0.15</v>
      </c>
      <c r="BI213" s="373">
        <v>0.99971100000000002</v>
      </c>
      <c r="BJ213" s="373">
        <v>326</v>
      </c>
      <c r="BL213" s="373">
        <v>30</v>
      </c>
      <c r="BM213" s="373">
        <v>0.15</v>
      </c>
      <c r="BN213" s="373">
        <v>0.99971100000000002</v>
      </c>
      <c r="BO213" s="373">
        <v>326</v>
      </c>
      <c r="BP213" s="373">
        <v>0</v>
      </c>
      <c r="BQ213" s="373">
        <v>0.15</v>
      </c>
      <c r="BR213" s="373">
        <v>326</v>
      </c>
      <c r="CD213" s="373" t="s">
        <v>1169</v>
      </c>
      <c r="CE213" s="373" t="s">
        <v>1034</v>
      </c>
      <c r="CF213" s="373" t="s">
        <v>546</v>
      </c>
      <c r="CG213" s="373" t="s">
        <v>547</v>
      </c>
      <c r="CH213" s="373" t="s">
        <v>1197</v>
      </c>
      <c r="CI213" s="373" t="s">
        <v>1197</v>
      </c>
      <c r="CJ213" s="373">
        <v>2174.1</v>
      </c>
      <c r="CK213" s="373">
        <v>5</v>
      </c>
      <c r="CL213" s="373">
        <v>10</v>
      </c>
      <c r="CM213" s="373">
        <v>10</v>
      </c>
      <c r="CN213" s="373">
        <v>10.9</v>
      </c>
      <c r="CO213" s="373" t="s">
        <v>548</v>
      </c>
      <c r="CP213" s="373" t="s">
        <v>549</v>
      </c>
      <c r="CQ213" s="373">
        <v>30</v>
      </c>
      <c r="CR213" s="373">
        <v>0.15</v>
      </c>
      <c r="CS213" s="373">
        <v>0.99971100000000002</v>
      </c>
      <c r="CT213" s="373">
        <v>326</v>
      </c>
      <c r="CV213" s="373">
        <v>30</v>
      </c>
      <c r="CW213" s="373">
        <v>0.15</v>
      </c>
      <c r="CX213" s="373">
        <v>0.99971100000000002</v>
      </c>
      <c r="CY213" s="373">
        <v>326</v>
      </c>
      <c r="CZ213" s="373">
        <v>0</v>
      </c>
      <c r="DA213" s="373">
        <v>0.15</v>
      </c>
      <c r="DB213" s="373">
        <v>326</v>
      </c>
    </row>
    <row r="214" spans="42:106" x14ac:dyDescent="0.3">
      <c r="AP214" s="365"/>
      <c r="AQ214" s="365"/>
      <c r="AR214" s="365"/>
      <c r="AS214" s="365"/>
      <c r="AT214" s="365" t="s">
        <v>1170</v>
      </c>
      <c r="AU214" s="365" t="s">
        <v>1034</v>
      </c>
      <c r="AV214" s="365" t="s">
        <v>546</v>
      </c>
      <c r="AW214" s="365" t="s">
        <v>547</v>
      </c>
      <c r="AX214" s="373" t="s">
        <v>1197</v>
      </c>
      <c r="AY214" s="373" t="s">
        <v>1197</v>
      </c>
      <c r="AZ214" s="373">
        <v>3373.6</v>
      </c>
      <c r="BA214" s="373">
        <v>5</v>
      </c>
      <c r="BB214" s="373">
        <v>10</v>
      </c>
      <c r="BC214" s="373">
        <v>10</v>
      </c>
      <c r="BD214" s="373">
        <v>16.899999999999999</v>
      </c>
      <c r="BE214" s="373" t="s">
        <v>548</v>
      </c>
      <c r="BF214" s="373" t="s">
        <v>549</v>
      </c>
      <c r="BG214" s="373">
        <v>60</v>
      </c>
      <c r="BH214" s="373">
        <v>0.3</v>
      </c>
      <c r="BI214" s="373">
        <v>1.9994700000000001</v>
      </c>
      <c r="BJ214" s="373">
        <v>1012</v>
      </c>
      <c r="BL214" s="373">
        <v>60</v>
      </c>
      <c r="BM214" s="373">
        <v>0.3</v>
      </c>
      <c r="BN214" s="373">
        <v>1.9994700000000001</v>
      </c>
      <c r="BO214" s="373">
        <v>1012</v>
      </c>
      <c r="BP214" s="373">
        <v>0</v>
      </c>
      <c r="BQ214" s="373">
        <v>0.3</v>
      </c>
      <c r="BR214" s="373">
        <v>1012</v>
      </c>
      <c r="CD214" s="373" t="s">
        <v>1170</v>
      </c>
      <c r="CE214" s="373" t="s">
        <v>1034</v>
      </c>
      <c r="CF214" s="373" t="s">
        <v>546</v>
      </c>
      <c r="CG214" s="373" t="s">
        <v>547</v>
      </c>
      <c r="CH214" s="373" t="s">
        <v>1197</v>
      </c>
      <c r="CI214" s="373" t="s">
        <v>1197</v>
      </c>
      <c r="CJ214" s="373">
        <v>3373.6</v>
      </c>
      <c r="CK214" s="373">
        <v>5</v>
      </c>
      <c r="CL214" s="373">
        <v>10</v>
      </c>
      <c r="CM214" s="373">
        <v>10</v>
      </c>
      <c r="CN214" s="373">
        <v>16.899999999999999</v>
      </c>
      <c r="CO214" s="373" t="s">
        <v>548</v>
      </c>
      <c r="CP214" s="373" t="s">
        <v>549</v>
      </c>
      <c r="CQ214" s="373">
        <v>60</v>
      </c>
      <c r="CR214" s="373">
        <v>0.3</v>
      </c>
      <c r="CS214" s="373">
        <v>1.9994700000000001</v>
      </c>
      <c r="CT214" s="373">
        <v>1012</v>
      </c>
      <c r="CV214" s="373">
        <v>60</v>
      </c>
      <c r="CW214" s="373">
        <v>0.3</v>
      </c>
      <c r="CX214" s="373">
        <v>1.9994700000000001</v>
      </c>
      <c r="CY214" s="373">
        <v>1012</v>
      </c>
      <c r="CZ214" s="373">
        <v>0</v>
      </c>
      <c r="DA214" s="373">
        <v>0.3</v>
      </c>
      <c r="DB214" s="373">
        <v>1012</v>
      </c>
    </row>
    <row r="215" spans="42:106" x14ac:dyDescent="0.3">
      <c r="AP215" s="365"/>
      <c r="AQ215" s="365"/>
      <c r="AR215" s="365"/>
      <c r="AS215" s="365"/>
      <c r="AT215" s="365" t="s">
        <v>1171</v>
      </c>
      <c r="AU215" s="365" t="s">
        <v>1034</v>
      </c>
      <c r="AV215" s="365" t="s">
        <v>546</v>
      </c>
      <c r="AW215" s="365" t="s">
        <v>547</v>
      </c>
      <c r="AX215" s="373" t="s">
        <v>1197</v>
      </c>
      <c r="AY215" s="373" t="s">
        <v>1197</v>
      </c>
      <c r="AZ215" s="373">
        <v>2174</v>
      </c>
      <c r="BA215" s="373">
        <v>5</v>
      </c>
      <c r="BB215" s="373">
        <v>10</v>
      </c>
      <c r="BC215" s="373">
        <v>10</v>
      </c>
      <c r="BD215" s="373">
        <v>10.9</v>
      </c>
      <c r="BE215" s="373" t="s">
        <v>548</v>
      </c>
      <c r="BF215" s="373" t="s">
        <v>549</v>
      </c>
      <c r="BG215" s="373">
        <v>60</v>
      </c>
      <c r="BH215" s="373">
        <v>0.3</v>
      </c>
      <c r="BI215" s="373">
        <v>1.9994099999999999</v>
      </c>
      <c r="BJ215" s="373">
        <v>652</v>
      </c>
      <c r="BL215" s="373">
        <v>60</v>
      </c>
      <c r="BM215" s="373">
        <v>0.3</v>
      </c>
      <c r="BN215" s="373">
        <v>1.9994099999999999</v>
      </c>
      <c r="BO215" s="373">
        <v>652</v>
      </c>
      <c r="BP215" s="373">
        <v>0</v>
      </c>
      <c r="BQ215" s="373">
        <v>0.3</v>
      </c>
      <c r="BR215" s="373">
        <v>652</v>
      </c>
      <c r="CD215" s="373" t="s">
        <v>1171</v>
      </c>
      <c r="CE215" s="373" t="s">
        <v>1034</v>
      </c>
      <c r="CF215" s="373" t="s">
        <v>546</v>
      </c>
      <c r="CG215" s="373" t="s">
        <v>547</v>
      </c>
      <c r="CH215" s="373" t="s">
        <v>1197</v>
      </c>
      <c r="CI215" s="373" t="s">
        <v>1197</v>
      </c>
      <c r="CJ215" s="373">
        <v>2174</v>
      </c>
      <c r="CK215" s="373">
        <v>5</v>
      </c>
      <c r="CL215" s="373">
        <v>10</v>
      </c>
      <c r="CM215" s="373">
        <v>10</v>
      </c>
      <c r="CN215" s="373">
        <v>10.9</v>
      </c>
      <c r="CO215" s="373" t="s">
        <v>548</v>
      </c>
      <c r="CP215" s="373" t="s">
        <v>549</v>
      </c>
      <c r="CQ215" s="373">
        <v>60</v>
      </c>
      <c r="CR215" s="373">
        <v>0.3</v>
      </c>
      <c r="CS215" s="373">
        <v>1.9994099999999999</v>
      </c>
      <c r="CT215" s="373">
        <v>652</v>
      </c>
      <c r="CV215" s="373">
        <v>60</v>
      </c>
      <c r="CW215" s="373">
        <v>0.3</v>
      </c>
      <c r="CX215" s="373">
        <v>1.9994099999999999</v>
      </c>
      <c r="CY215" s="373">
        <v>652</v>
      </c>
      <c r="CZ215" s="373">
        <v>0</v>
      </c>
      <c r="DA215" s="373">
        <v>0.3</v>
      </c>
      <c r="DB215" s="373">
        <v>652</v>
      </c>
    </row>
    <row r="216" spans="42:106" x14ac:dyDescent="0.3">
      <c r="AP216" s="365"/>
      <c r="AQ216" s="365"/>
      <c r="AR216" s="365"/>
      <c r="AS216" s="365"/>
      <c r="AT216" s="365" t="s">
        <v>1172</v>
      </c>
      <c r="AU216" s="365" t="s">
        <v>1035</v>
      </c>
      <c r="AV216" s="365" t="s">
        <v>546</v>
      </c>
      <c r="AW216" s="365" t="s">
        <v>547</v>
      </c>
      <c r="AX216" s="373" t="s">
        <v>1198</v>
      </c>
      <c r="AY216" s="373" t="s">
        <v>1198</v>
      </c>
      <c r="AZ216" s="373">
        <v>27257.599999999999</v>
      </c>
      <c r="BA216" s="373">
        <v>5</v>
      </c>
      <c r="BB216" s="373">
        <v>10</v>
      </c>
      <c r="BC216" s="373">
        <v>10</v>
      </c>
      <c r="BD216" s="373">
        <v>136.30000000000001</v>
      </c>
      <c r="BE216" s="373" t="s">
        <v>1005</v>
      </c>
      <c r="BF216" s="373" t="s">
        <v>549</v>
      </c>
      <c r="BG216" s="373">
        <v>32.394599999999997</v>
      </c>
      <c r="BH216" s="373">
        <v>0.16197300000000001</v>
      </c>
      <c r="BI216" s="373">
        <v>1.0794999999999999</v>
      </c>
      <c r="BJ216" s="373">
        <v>4415</v>
      </c>
      <c r="BL216" s="373">
        <v>30</v>
      </c>
      <c r="BM216" s="373">
        <v>0.15</v>
      </c>
      <c r="BN216" s="373">
        <v>0.99970599999999998</v>
      </c>
      <c r="BO216" s="373">
        <v>4089</v>
      </c>
      <c r="BP216" s="373">
        <v>0</v>
      </c>
      <c r="BQ216" s="373">
        <v>0.16197300000000001</v>
      </c>
      <c r="BR216" s="373">
        <v>4415</v>
      </c>
      <c r="CD216" s="373" t="s">
        <v>1172</v>
      </c>
      <c r="CE216" s="373" t="s">
        <v>1035</v>
      </c>
      <c r="CF216" s="373" t="s">
        <v>546</v>
      </c>
      <c r="CG216" s="373" t="s">
        <v>547</v>
      </c>
      <c r="CH216" s="373" t="s">
        <v>1199</v>
      </c>
      <c r="CI216" s="373" t="s">
        <v>1199</v>
      </c>
      <c r="CJ216" s="373">
        <v>27257.599999999999</v>
      </c>
      <c r="CK216" s="373">
        <v>5</v>
      </c>
      <c r="CL216" s="373">
        <v>10</v>
      </c>
      <c r="CM216" s="373">
        <v>10</v>
      </c>
      <c r="CN216" s="373">
        <v>136.30000000000001</v>
      </c>
      <c r="CO216" s="373" t="s">
        <v>1005</v>
      </c>
      <c r="CP216" s="373" t="s">
        <v>549</v>
      </c>
      <c r="CQ216" s="373">
        <v>32.394599999999997</v>
      </c>
      <c r="CR216" s="373">
        <v>0.16197300000000001</v>
      </c>
      <c r="CS216" s="373">
        <v>1.0794999999999999</v>
      </c>
      <c r="CT216" s="373">
        <v>4415</v>
      </c>
      <c r="CV216" s="373">
        <v>30</v>
      </c>
      <c r="CW216" s="373">
        <v>0.15</v>
      </c>
      <c r="CX216" s="373">
        <v>0.99970599999999998</v>
      </c>
      <c r="CY216" s="373">
        <v>4089</v>
      </c>
      <c r="CZ216" s="373">
        <v>0</v>
      </c>
      <c r="DA216" s="373">
        <v>0.16197300000000001</v>
      </c>
      <c r="DB216" s="373">
        <v>4415</v>
      </c>
    </row>
    <row r="217" spans="42:106" x14ac:dyDescent="0.3">
      <c r="AP217" s="365"/>
      <c r="AQ217" s="365"/>
      <c r="AR217" s="365"/>
      <c r="AS217" s="365"/>
      <c r="AT217" s="365" t="s">
        <v>1173</v>
      </c>
      <c r="AU217" s="365" t="s">
        <v>1035</v>
      </c>
      <c r="AV217" s="365" t="s">
        <v>983</v>
      </c>
      <c r="AW217" s="365" t="s">
        <v>312</v>
      </c>
      <c r="AX217" s="373" t="s">
        <v>1010</v>
      </c>
      <c r="AY217" s="373" t="s">
        <v>1010</v>
      </c>
      <c r="AZ217" s="373">
        <v>0</v>
      </c>
      <c r="BA217" s="373">
        <v>5</v>
      </c>
      <c r="BB217" s="373">
        <v>0</v>
      </c>
      <c r="BC217" s="373">
        <v>0</v>
      </c>
      <c r="BD217" s="373">
        <v>0</v>
      </c>
      <c r="BE217" s="373" t="s">
        <v>1009</v>
      </c>
      <c r="BF217" s="373" t="s">
        <v>311</v>
      </c>
      <c r="BG217" s="373">
        <v>0</v>
      </c>
      <c r="BH217" s="373">
        <v>0</v>
      </c>
      <c r="BI217" s="373">
        <v>0</v>
      </c>
      <c r="BJ217" s="373">
        <v>0</v>
      </c>
      <c r="BL217" s="373">
        <v>0</v>
      </c>
      <c r="BM217" s="373">
        <v>0</v>
      </c>
      <c r="BN217" s="373">
        <v>0</v>
      </c>
      <c r="BO217" s="373">
        <v>0</v>
      </c>
      <c r="BP217" s="373">
        <v>0</v>
      </c>
      <c r="BQ217" s="373">
        <v>0</v>
      </c>
      <c r="BR217" s="373">
        <v>0</v>
      </c>
      <c r="CD217" s="373" t="s">
        <v>1173</v>
      </c>
      <c r="CE217" s="373" t="s">
        <v>1035</v>
      </c>
      <c r="CF217" s="373" t="s">
        <v>983</v>
      </c>
      <c r="CG217" s="373" t="s">
        <v>312</v>
      </c>
      <c r="CH217" s="373" t="s">
        <v>1010</v>
      </c>
      <c r="CI217" s="373" t="s">
        <v>1010</v>
      </c>
      <c r="CJ217" s="373">
        <v>0</v>
      </c>
      <c r="CK217" s="373">
        <v>5</v>
      </c>
      <c r="CL217" s="373">
        <v>0</v>
      </c>
      <c r="CM217" s="373">
        <v>0</v>
      </c>
      <c r="CN217" s="373">
        <v>0</v>
      </c>
      <c r="CO217" s="373" t="s">
        <v>1009</v>
      </c>
      <c r="CP217" s="373" t="s">
        <v>311</v>
      </c>
      <c r="CQ217" s="373">
        <v>0</v>
      </c>
      <c r="CR217" s="373">
        <v>0</v>
      </c>
      <c r="CS217" s="373">
        <v>0</v>
      </c>
      <c r="CT217" s="373">
        <v>0</v>
      </c>
      <c r="CV217" s="373">
        <v>0</v>
      </c>
      <c r="CW217" s="373">
        <v>0</v>
      </c>
      <c r="CX217" s="373">
        <v>0</v>
      </c>
      <c r="CY217" s="373">
        <v>0</v>
      </c>
      <c r="CZ217" s="373">
        <v>0</v>
      </c>
      <c r="DA217" s="373">
        <v>0</v>
      </c>
      <c r="DB217" s="373">
        <v>0</v>
      </c>
    </row>
    <row r="218" spans="42:106" x14ac:dyDescent="0.3">
      <c r="AP218" s="365"/>
      <c r="AQ218" s="365"/>
      <c r="AR218" s="365"/>
      <c r="AS218" s="365"/>
      <c r="AT218" s="365" t="s">
        <v>1174</v>
      </c>
      <c r="AU218" s="365" t="s">
        <v>1035</v>
      </c>
      <c r="AV218" s="365" t="s">
        <v>546</v>
      </c>
      <c r="AW218" s="365" t="s">
        <v>547</v>
      </c>
      <c r="AX218" s="373" t="s">
        <v>1198</v>
      </c>
      <c r="AY218" s="373" t="s">
        <v>1198</v>
      </c>
      <c r="AZ218" s="373">
        <v>3373.6</v>
      </c>
      <c r="BA218" s="373">
        <v>5</v>
      </c>
      <c r="BB218" s="373">
        <v>10</v>
      </c>
      <c r="BC218" s="373">
        <v>10</v>
      </c>
      <c r="BD218" s="373">
        <v>16.899999999999999</v>
      </c>
      <c r="BE218" s="373" t="s">
        <v>548</v>
      </c>
      <c r="BF218" s="373" t="s">
        <v>549</v>
      </c>
      <c r="BG218" s="373">
        <v>30</v>
      </c>
      <c r="BH218" s="373">
        <v>0.15</v>
      </c>
      <c r="BI218" s="373">
        <v>0.99970700000000001</v>
      </c>
      <c r="BJ218" s="373">
        <v>506</v>
      </c>
      <c r="BL218" s="373">
        <v>30</v>
      </c>
      <c r="BM218" s="373">
        <v>0.15</v>
      </c>
      <c r="BN218" s="373">
        <v>0.99970700000000001</v>
      </c>
      <c r="BO218" s="373">
        <v>506</v>
      </c>
      <c r="BP218" s="373">
        <v>0</v>
      </c>
      <c r="BQ218" s="373">
        <v>0.15</v>
      </c>
      <c r="BR218" s="373">
        <v>506</v>
      </c>
      <c r="CD218" s="373" t="s">
        <v>1174</v>
      </c>
      <c r="CE218" s="373" t="s">
        <v>1035</v>
      </c>
      <c r="CF218" s="373" t="s">
        <v>546</v>
      </c>
      <c r="CG218" s="373" t="s">
        <v>547</v>
      </c>
      <c r="CH218" s="373" t="s">
        <v>1199</v>
      </c>
      <c r="CI218" s="373" t="s">
        <v>1199</v>
      </c>
      <c r="CJ218" s="373">
        <v>3373.6</v>
      </c>
      <c r="CK218" s="373">
        <v>5</v>
      </c>
      <c r="CL218" s="373">
        <v>10</v>
      </c>
      <c r="CM218" s="373">
        <v>10</v>
      </c>
      <c r="CN218" s="373">
        <v>16.899999999999999</v>
      </c>
      <c r="CO218" s="373" t="s">
        <v>548</v>
      </c>
      <c r="CP218" s="373" t="s">
        <v>549</v>
      </c>
      <c r="CQ218" s="373">
        <v>30</v>
      </c>
      <c r="CR218" s="373">
        <v>0.15</v>
      </c>
      <c r="CS218" s="373">
        <v>0.99970700000000001</v>
      </c>
      <c r="CT218" s="373">
        <v>506</v>
      </c>
      <c r="CV218" s="373">
        <v>30</v>
      </c>
      <c r="CW218" s="373">
        <v>0.15</v>
      </c>
      <c r="CX218" s="373">
        <v>0.99970700000000001</v>
      </c>
      <c r="CY218" s="373">
        <v>506</v>
      </c>
      <c r="CZ218" s="373">
        <v>0</v>
      </c>
      <c r="DA218" s="373">
        <v>0.15</v>
      </c>
      <c r="DB218" s="373">
        <v>506</v>
      </c>
    </row>
    <row r="219" spans="42:106" x14ac:dyDescent="0.3">
      <c r="AP219" s="365"/>
      <c r="AQ219" s="365"/>
      <c r="AR219" s="365"/>
      <c r="AS219" s="365"/>
      <c r="AT219" s="365" t="s">
        <v>1175</v>
      </c>
      <c r="AU219" s="365" t="s">
        <v>1035</v>
      </c>
      <c r="AV219" s="365" t="s">
        <v>1200</v>
      </c>
      <c r="AW219" s="365" t="s">
        <v>312</v>
      </c>
      <c r="AX219" s="373" t="s">
        <v>1010</v>
      </c>
      <c r="AY219" s="373" t="s">
        <v>1010</v>
      </c>
      <c r="AZ219" s="373">
        <v>2174.1</v>
      </c>
      <c r="BA219" s="373">
        <v>5</v>
      </c>
      <c r="BB219" s="373">
        <v>10</v>
      </c>
      <c r="BC219" s="373">
        <v>10</v>
      </c>
      <c r="BD219" s="373">
        <v>10.9</v>
      </c>
      <c r="BE219" s="373" t="s">
        <v>1009</v>
      </c>
      <c r="BF219" s="373" t="s">
        <v>311</v>
      </c>
      <c r="BG219" s="373">
        <v>0</v>
      </c>
      <c r="BH219" s="373">
        <v>0</v>
      </c>
      <c r="BI219" s="373">
        <v>0</v>
      </c>
      <c r="BJ219" s="373">
        <v>0</v>
      </c>
      <c r="BL219" s="373">
        <v>30</v>
      </c>
      <c r="BM219" s="373">
        <v>0.15</v>
      </c>
      <c r="BN219" s="373">
        <v>0.99971100000000002</v>
      </c>
      <c r="BO219" s="373">
        <v>326</v>
      </c>
      <c r="BP219" s="373">
        <v>0</v>
      </c>
      <c r="BQ219" s="373">
        <v>0</v>
      </c>
      <c r="BR219" s="373">
        <v>326</v>
      </c>
      <c r="CD219" s="373" t="s">
        <v>1175</v>
      </c>
      <c r="CE219" s="373" t="s">
        <v>1035</v>
      </c>
      <c r="CF219" s="373" t="s">
        <v>1200</v>
      </c>
      <c r="CG219" s="373" t="s">
        <v>312</v>
      </c>
      <c r="CH219" s="373" t="s">
        <v>1010</v>
      </c>
      <c r="CI219" s="373" t="s">
        <v>1010</v>
      </c>
      <c r="CJ219" s="373">
        <v>2174.1</v>
      </c>
      <c r="CK219" s="373">
        <v>5</v>
      </c>
      <c r="CL219" s="373">
        <v>10</v>
      </c>
      <c r="CM219" s="373">
        <v>10</v>
      </c>
      <c r="CN219" s="373">
        <v>10.9</v>
      </c>
      <c r="CO219" s="373" t="s">
        <v>1009</v>
      </c>
      <c r="CP219" s="373" t="s">
        <v>311</v>
      </c>
      <c r="CQ219" s="373">
        <v>0</v>
      </c>
      <c r="CR219" s="373">
        <v>0</v>
      </c>
      <c r="CS219" s="373">
        <v>0</v>
      </c>
      <c r="CT219" s="373">
        <v>0</v>
      </c>
      <c r="CV219" s="373">
        <v>30</v>
      </c>
      <c r="CW219" s="373">
        <v>0.15</v>
      </c>
      <c r="CX219" s="373">
        <v>0.99971100000000002</v>
      </c>
      <c r="CY219" s="373">
        <v>326</v>
      </c>
      <c r="CZ219" s="373">
        <v>0</v>
      </c>
      <c r="DA219" s="373">
        <v>0</v>
      </c>
      <c r="DB219" s="373">
        <v>326</v>
      </c>
    </row>
    <row r="220" spans="42:106" x14ac:dyDescent="0.3">
      <c r="AP220" s="365"/>
      <c r="AQ220" s="365"/>
      <c r="AR220" s="365"/>
      <c r="AS220" s="365"/>
      <c r="AT220" s="365" t="s">
        <v>1176</v>
      </c>
      <c r="AU220" s="365" t="s">
        <v>1035</v>
      </c>
      <c r="AV220" s="365" t="s">
        <v>546</v>
      </c>
      <c r="AW220" s="365" t="s">
        <v>547</v>
      </c>
      <c r="AX220" s="373" t="s">
        <v>1198</v>
      </c>
      <c r="AY220" s="373" t="s">
        <v>1198</v>
      </c>
      <c r="AZ220" s="373">
        <v>3373.6</v>
      </c>
      <c r="BA220" s="373">
        <v>5</v>
      </c>
      <c r="BB220" s="373">
        <v>10</v>
      </c>
      <c r="BC220" s="373">
        <v>10</v>
      </c>
      <c r="BD220" s="373">
        <v>16.899999999999999</v>
      </c>
      <c r="BE220" s="373" t="s">
        <v>548</v>
      </c>
      <c r="BF220" s="373" t="s">
        <v>549</v>
      </c>
      <c r="BG220" s="373">
        <v>30</v>
      </c>
      <c r="BH220" s="373">
        <v>0.15</v>
      </c>
      <c r="BI220" s="373">
        <v>0.99973400000000001</v>
      </c>
      <c r="BJ220" s="373">
        <v>506</v>
      </c>
      <c r="BL220" s="373">
        <v>30</v>
      </c>
      <c r="BM220" s="373">
        <v>0.15</v>
      </c>
      <c r="BN220" s="373">
        <v>0.99973400000000001</v>
      </c>
      <c r="BO220" s="373">
        <v>506</v>
      </c>
      <c r="BP220" s="373">
        <v>0</v>
      </c>
      <c r="BQ220" s="373">
        <v>0.15</v>
      </c>
      <c r="BR220" s="373">
        <v>506</v>
      </c>
      <c r="CD220" s="373" t="s">
        <v>1176</v>
      </c>
      <c r="CE220" s="373" t="s">
        <v>1035</v>
      </c>
      <c r="CF220" s="373" t="s">
        <v>546</v>
      </c>
      <c r="CG220" s="373" t="s">
        <v>547</v>
      </c>
      <c r="CH220" s="373" t="s">
        <v>1199</v>
      </c>
      <c r="CI220" s="373" t="s">
        <v>1199</v>
      </c>
      <c r="CJ220" s="373">
        <v>3373.6</v>
      </c>
      <c r="CK220" s="373">
        <v>5</v>
      </c>
      <c r="CL220" s="373">
        <v>10</v>
      </c>
      <c r="CM220" s="373">
        <v>10</v>
      </c>
      <c r="CN220" s="373">
        <v>16.899999999999999</v>
      </c>
      <c r="CO220" s="373" t="s">
        <v>548</v>
      </c>
      <c r="CP220" s="373" t="s">
        <v>549</v>
      </c>
      <c r="CQ220" s="373">
        <v>30</v>
      </c>
      <c r="CR220" s="373">
        <v>0.15</v>
      </c>
      <c r="CS220" s="373">
        <v>0.99973400000000001</v>
      </c>
      <c r="CT220" s="373">
        <v>506</v>
      </c>
      <c r="CV220" s="373">
        <v>30</v>
      </c>
      <c r="CW220" s="373">
        <v>0.15</v>
      </c>
      <c r="CX220" s="373">
        <v>0.99973400000000001</v>
      </c>
      <c r="CY220" s="373">
        <v>506</v>
      </c>
      <c r="CZ220" s="373">
        <v>0</v>
      </c>
      <c r="DA220" s="373">
        <v>0.15</v>
      </c>
      <c r="DB220" s="373">
        <v>506</v>
      </c>
    </row>
    <row r="221" spans="42:106" x14ac:dyDescent="0.3">
      <c r="AP221" s="365"/>
      <c r="AQ221" s="365"/>
      <c r="AR221" s="365"/>
      <c r="AS221" s="365"/>
      <c r="AT221" s="365" t="s">
        <v>1177</v>
      </c>
      <c r="AU221" s="365" t="s">
        <v>1035</v>
      </c>
      <c r="AV221" s="365" t="s">
        <v>546</v>
      </c>
      <c r="AW221" s="365" t="s">
        <v>547</v>
      </c>
      <c r="AX221" s="373" t="s">
        <v>1198</v>
      </c>
      <c r="AY221" s="373" t="s">
        <v>1198</v>
      </c>
      <c r="AZ221" s="373">
        <v>2174</v>
      </c>
      <c r="BA221" s="373">
        <v>5</v>
      </c>
      <c r="BB221" s="373">
        <v>10</v>
      </c>
      <c r="BC221" s="373">
        <v>10</v>
      </c>
      <c r="BD221" s="373">
        <v>10.9</v>
      </c>
      <c r="BE221" s="373" t="s">
        <v>548</v>
      </c>
      <c r="BF221" s="373" t="s">
        <v>549</v>
      </c>
      <c r="BG221" s="373">
        <v>30</v>
      </c>
      <c r="BH221" s="373">
        <v>0.15</v>
      </c>
      <c r="BI221" s="373">
        <v>0.99970499999999995</v>
      </c>
      <c r="BJ221" s="373">
        <v>326</v>
      </c>
      <c r="BL221" s="373">
        <v>30</v>
      </c>
      <c r="BM221" s="373">
        <v>0.15</v>
      </c>
      <c r="BN221" s="373">
        <v>0.99970499999999995</v>
      </c>
      <c r="BO221" s="373">
        <v>326</v>
      </c>
      <c r="BP221" s="373">
        <v>0</v>
      </c>
      <c r="BQ221" s="373">
        <v>0.15</v>
      </c>
      <c r="BR221" s="373">
        <v>326</v>
      </c>
      <c r="CD221" s="373" t="s">
        <v>1177</v>
      </c>
      <c r="CE221" s="373" t="s">
        <v>1035</v>
      </c>
      <c r="CF221" s="373" t="s">
        <v>546</v>
      </c>
      <c r="CG221" s="373" t="s">
        <v>547</v>
      </c>
      <c r="CH221" s="373" t="s">
        <v>1199</v>
      </c>
      <c r="CI221" s="373" t="s">
        <v>1199</v>
      </c>
      <c r="CJ221" s="373">
        <v>2174</v>
      </c>
      <c r="CK221" s="373">
        <v>5</v>
      </c>
      <c r="CL221" s="373">
        <v>10</v>
      </c>
      <c r="CM221" s="373">
        <v>10</v>
      </c>
      <c r="CN221" s="373">
        <v>10.9</v>
      </c>
      <c r="CO221" s="373" t="s">
        <v>548</v>
      </c>
      <c r="CP221" s="373" t="s">
        <v>549</v>
      </c>
      <c r="CQ221" s="373">
        <v>30</v>
      </c>
      <c r="CR221" s="373">
        <v>0.15</v>
      </c>
      <c r="CS221" s="373">
        <v>0.99970499999999995</v>
      </c>
      <c r="CT221" s="373">
        <v>326</v>
      </c>
      <c r="CV221" s="373">
        <v>30</v>
      </c>
      <c r="CW221" s="373">
        <v>0.15</v>
      </c>
      <c r="CX221" s="373">
        <v>0.99970499999999995</v>
      </c>
      <c r="CY221" s="373">
        <v>326</v>
      </c>
      <c r="CZ221" s="373">
        <v>0</v>
      </c>
      <c r="DA221" s="373">
        <v>0.15</v>
      </c>
      <c r="DB221" s="373">
        <v>326</v>
      </c>
    </row>
    <row r="222" spans="42:106" x14ac:dyDescent="0.3">
      <c r="AP222" s="365"/>
      <c r="AQ222" s="365"/>
      <c r="AR222" s="365"/>
      <c r="AS222" s="365"/>
      <c r="AT222" s="365" t="s">
        <v>1178</v>
      </c>
      <c r="AU222" s="365" t="s">
        <v>1036</v>
      </c>
      <c r="AV222" s="365" t="s">
        <v>546</v>
      </c>
      <c r="AW222" s="365" t="s">
        <v>547</v>
      </c>
      <c r="AX222" s="373" t="s">
        <v>1201</v>
      </c>
      <c r="AY222" s="373" t="s">
        <v>1201</v>
      </c>
      <c r="AZ222" s="373">
        <v>27257.599999999999</v>
      </c>
      <c r="BA222" s="373">
        <v>1</v>
      </c>
      <c r="BB222" s="373">
        <v>66.7</v>
      </c>
      <c r="BC222" s="373">
        <v>66.7</v>
      </c>
      <c r="BD222" s="373">
        <v>908.6</v>
      </c>
      <c r="BE222" s="373" t="s">
        <v>548</v>
      </c>
      <c r="BF222" s="373" t="s">
        <v>558</v>
      </c>
      <c r="BG222" s="373">
        <v>14.9993</v>
      </c>
      <c r="BH222" s="373">
        <v>0.5</v>
      </c>
      <c r="BI222" s="373">
        <v>3.3323499999999999</v>
      </c>
      <c r="BJ222" s="373">
        <v>13629</v>
      </c>
      <c r="BL222" s="373">
        <v>14.9993</v>
      </c>
      <c r="BM222" s="373">
        <v>0.5</v>
      </c>
      <c r="BN222" s="373">
        <v>3.3323499999999999</v>
      </c>
      <c r="BO222" s="373">
        <v>13629</v>
      </c>
      <c r="BP222" s="373">
        <v>14.9993</v>
      </c>
      <c r="BQ222" s="373">
        <v>0.15</v>
      </c>
      <c r="BR222" s="373">
        <v>13629</v>
      </c>
      <c r="CD222" s="373" t="s">
        <v>1178</v>
      </c>
      <c r="CE222" s="373" t="s">
        <v>1036</v>
      </c>
      <c r="CF222" s="373" t="s">
        <v>546</v>
      </c>
      <c r="CG222" s="373" t="s">
        <v>547</v>
      </c>
      <c r="CH222" s="373" t="s">
        <v>1202</v>
      </c>
      <c r="CI222" s="373" t="s">
        <v>1202</v>
      </c>
      <c r="CJ222" s="373">
        <v>27257.599999999999</v>
      </c>
      <c r="CK222" s="373">
        <v>1</v>
      </c>
      <c r="CL222" s="373">
        <v>66.7</v>
      </c>
      <c r="CM222" s="373">
        <v>66.7</v>
      </c>
      <c r="CN222" s="373">
        <v>908.6</v>
      </c>
      <c r="CO222" s="373" t="s">
        <v>548</v>
      </c>
      <c r="CP222" s="373" t="s">
        <v>558</v>
      </c>
      <c r="CQ222" s="373">
        <v>14.9993</v>
      </c>
      <c r="CR222" s="373">
        <v>0.5</v>
      </c>
      <c r="CS222" s="373">
        <v>3.3323499999999999</v>
      </c>
      <c r="CT222" s="373">
        <v>13629</v>
      </c>
      <c r="CV222" s="373">
        <v>14.9993</v>
      </c>
      <c r="CW222" s="373">
        <v>0.5</v>
      </c>
      <c r="CX222" s="373">
        <v>3.3323499999999999</v>
      </c>
      <c r="CY222" s="373">
        <v>13629</v>
      </c>
      <c r="CZ222" s="373">
        <v>14.9993</v>
      </c>
      <c r="DA222" s="373">
        <v>0.15</v>
      </c>
      <c r="DB222" s="373">
        <v>13629</v>
      </c>
    </row>
    <row r="223" spans="42:106" x14ac:dyDescent="0.3">
      <c r="AP223" s="365"/>
      <c r="AQ223" s="365"/>
      <c r="AR223" s="365"/>
      <c r="AS223" s="365"/>
      <c r="AT223" s="365" t="s">
        <v>1179</v>
      </c>
      <c r="AU223" s="365" t="s">
        <v>1036</v>
      </c>
      <c r="AV223" s="365" t="s">
        <v>546</v>
      </c>
      <c r="AW223" s="365" t="s">
        <v>547</v>
      </c>
      <c r="AX223" s="373" t="s">
        <v>1201</v>
      </c>
      <c r="AY223" s="373" t="s">
        <v>1201</v>
      </c>
      <c r="AZ223" s="373">
        <v>3373.6</v>
      </c>
      <c r="BA223" s="373">
        <v>1</v>
      </c>
      <c r="BB223" s="373">
        <v>66.7</v>
      </c>
      <c r="BC223" s="373">
        <v>66.7</v>
      </c>
      <c r="BD223" s="373">
        <v>112.5</v>
      </c>
      <c r="BE223" s="373" t="s">
        <v>548</v>
      </c>
      <c r="BF223" s="373" t="s">
        <v>558</v>
      </c>
      <c r="BG223" s="373">
        <v>14.9993</v>
      </c>
      <c r="BH223" s="373">
        <v>0.5</v>
      </c>
      <c r="BI223" s="373">
        <v>3.33236</v>
      </c>
      <c r="BJ223" s="373">
        <v>1687</v>
      </c>
      <c r="BL223" s="373">
        <v>14.9993</v>
      </c>
      <c r="BM223" s="373">
        <v>0.5</v>
      </c>
      <c r="BN223" s="373">
        <v>3.33236</v>
      </c>
      <c r="BO223" s="373">
        <v>1687</v>
      </c>
      <c r="BP223" s="373">
        <v>14.9993</v>
      </c>
      <c r="BQ223" s="373">
        <v>0.15</v>
      </c>
      <c r="BR223" s="373">
        <v>1687</v>
      </c>
      <c r="CD223" s="373" t="s">
        <v>1179</v>
      </c>
      <c r="CE223" s="373" t="s">
        <v>1036</v>
      </c>
      <c r="CF223" s="373" t="s">
        <v>546</v>
      </c>
      <c r="CG223" s="373" t="s">
        <v>547</v>
      </c>
      <c r="CH223" s="373" t="s">
        <v>1202</v>
      </c>
      <c r="CI223" s="373" t="s">
        <v>1202</v>
      </c>
      <c r="CJ223" s="373">
        <v>3373.6</v>
      </c>
      <c r="CK223" s="373">
        <v>1</v>
      </c>
      <c r="CL223" s="373">
        <v>66.7</v>
      </c>
      <c r="CM223" s="373">
        <v>66.7</v>
      </c>
      <c r="CN223" s="373">
        <v>112.5</v>
      </c>
      <c r="CO223" s="373" t="s">
        <v>548</v>
      </c>
      <c r="CP223" s="373" t="s">
        <v>558</v>
      </c>
      <c r="CQ223" s="373">
        <v>14.9993</v>
      </c>
      <c r="CR223" s="373">
        <v>0.5</v>
      </c>
      <c r="CS223" s="373">
        <v>3.33236</v>
      </c>
      <c r="CT223" s="373">
        <v>1687</v>
      </c>
      <c r="CV223" s="373">
        <v>14.9993</v>
      </c>
      <c r="CW223" s="373">
        <v>0.5</v>
      </c>
      <c r="CX223" s="373">
        <v>3.33236</v>
      </c>
      <c r="CY223" s="373">
        <v>1687</v>
      </c>
      <c r="CZ223" s="373">
        <v>14.9993</v>
      </c>
      <c r="DA223" s="373">
        <v>0.15</v>
      </c>
      <c r="DB223" s="373">
        <v>1687</v>
      </c>
    </row>
    <row r="224" spans="42:106" x14ac:dyDescent="0.3">
      <c r="AP224" s="365"/>
      <c r="AQ224" s="365"/>
      <c r="AR224" s="365"/>
      <c r="AS224" s="365"/>
      <c r="AT224" s="365" t="s">
        <v>1180</v>
      </c>
      <c r="AU224" s="365" t="s">
        <v>1036</v>
      </c>
      <c r="AV224" s="365" t="s">
        <v>546</v>
      </c>
      <c r="AW224" s="365" t="s">
        <v>547</v>
      </c>
      <c r="AX224" s="373" t="s">
        <v>1201</v>
      </c>
      <c r="AY224" s="373" t="s">
        <v>1201</v>
      </c>
      <c r="AZ224" s="373">
        <v>2174.1</v>
      </c>
      <c r="BA224" s="373">
        <v>1</v>
      </c>
      <c r="BB224" s="373">
        <v>10</v>
      </c>
      <c r="BC224" s="373">
        <v>10</v>
      </c>
      <c r="BD224" s="373">
        <v>10.9</v>
      </c>
      <c r="BE224" s="373" t="s">
        <v>548</v>
      </c>
      <c r="BF224" s="373" t="s">
        <v>549</v>
      </c>
      <c r="BG224" s="373">
        <v>30</v>
      </c>
      <c r="BH224" s="373">
        <v>0.15</v>
      </c>
      <c r="BI224" s="373">
        <v>0.99971100000000002</v>
      </c>
      <c r="BJ224" s="373">
        <v>326</v>
      </c>
      <c r="BL224" s="373">
        <v>30</v>
      </c>
      <c r="BM224" s="373">
        <v>0.15</v>
      </c>
      <c r="BN224" s="373">
        <v>0.99971100000000002</v>
      </c>
      <c r="BO224" s="373">
        <v>326</v>
      </c>
      <c r="BP224" s="373">
        <v>0</v>
      </c>
      <c r="BQ224" s="373">
        <v>0.15</v>
      </c>
      <c r="BR224" s="373">
        <v>326</v>
      </c>
      <c r="CD224" s="373" t="s">
        <v>1180</v>
      </c>
      <c r="CE224" s="373" t="s">
        <v>1036</v>
      </c>
      <c r="CF224" s="373" t="s">
        <v>546</v>
      </c>
      <c r="CG224" s="373" t="s">
        <v>547</v>
      </c>
      <c r="CH224" s="373" t="s">
        <v>1202</v>
      </c>
      <c r="CI224" s="373" t="s">
        <v>1202</v>
      </c>
      <c r="CJ224" s="373">
        <v>2174.1</v>
      </c>
      <c r="CK224" s="373">
        <v>1</v>
      </c>
      <c r="CL224" s="373">
        <v>10</v>
      </c>
      <c r="CM224" s="373">
        <v>10</v>
      </c>
      <c r="CN224" s="373">
        <v>10.9</v>
      </c>
      <c r="CO224" s="373" t="s">
        <v>548</v>
      </c>
      <c r="CP224" s="373" t="s">
        <v>549</v>
      </c>
      <c r="CQ224" s="373">
        <v>30</v>
      </c>
      <c r="CR224" s="373">
        <v>0.15</v>
      </c>
      <c r="CS224" s="373">
        <v>0.99971100000000002</v>
      </c>
      <c r="CT224" s="373">
        <v>326</v>
      </c>
      <c r="CV224" s="373">
        <v>30</v>
      </c>
      <c r="CW224" s="373">
        <v>0.15</v>
      </c>
      <c r="CX224" s="373">
        <v>0.99971100000000002</v>
      </c>
      <c r="CY224" s="373">
        <v>326</v>
      </c>
      <c r="CZ224" s="373">
        <v>0</v>
      </c>
      <c r="DA224" s="373">
        <v>0.15</v>
      </c>
      <c r="DB224" s="373">
        <v>326</v>
      </c>
    </row>
    <row r="225" spans="42:106" x14ac:dyDescent="0.3">
      <c r="AP225" s="365"/>
      <c r="AQ225" s="365"/>
      <c r="AR225" s="365"/>
      <c r="AS225" s="365"/>
      <c r="AT225" s="365" t="s">
        <v>1181</v>
      </c>
      <c r="AU225" s="365" t="s">
        <v>1036</v>
      </c>
      <c r="AV225" s="365" t="s">
        <v>546</v>
      </c>
      <c r="AW225" s="365" t="s">
        <v>547</v>
      </c>
      <c r="AX225" s="373" t="s">
        <v>1201</v>
      </c>
      <c r="AY225" s="373" t="s">
        <v>1201</v>
      </c>
      <c r="AZ225" s="373">
        <v>3373.6</v>
      </c>
      <c r="BA225" s="373">
        <v>1</v>
      </c>
      <c r="BB225" s="373">
        <v>66.7</v>
      </c>
      <c r="BC225" s="373">
        <v>66.7</v>
      </c>
      <c r="BD225" s="373">
        <v>112.5</v>
      </c>
      <c r="BE225" s="373" t="s">
        <v>548</v>
      </c>
      <c r="BF225" s="373" t="s">
        <v>558</v>
      </c>
      <c r="BG225" s="373">
        <v>14.9993</v>
      </c>
      <c r="BH225" s="373">
        <v>0.5</v>
      </c>
      <c r="BI225" s="373">
        <v>3.3324500000000001</v>
      </c>
      <c r="BJ225" s="373">
        <v>1687</v>
      </c>
      <c r="BL225" s="373">
        <v>14.9993</v>
      </c>
      <c r="BM225" s="373">
        <v>0.5</v>
      </c>
      <c r="BN225" s="373">
        <v>3.3324500000000001</v>
      </c>
      <c r="BO225" s="373">
        <v>1687</v>
      </c>
      <c r="BP225" s="373">
        <v>14.9993</v>
      </c>
      <c r="BQ225" s="373">
        <v>0.15</v>
      </c>
      <c r="BR225" s="373">
        <v>1687</v>
      </c>
      <c r="CD225" s="373" t="s">
        <v>1181</v>
      </c>
      <c r="CE225" s="373" t="s">
        <v>1036</v>
      </c>
      <c r="CF225" s="373" t="s">
        <v>546</v>
      </c>
      <c r="CG225" s="373" t="s">
        <v>547</v>
      </c>
      <c r="CH225" s="373" t="s">
        <v>1202</v>
      </c>
      <c r="CI225" s="373" t="s">
        <v>1202</v>
      </c>
      <c r="CJ225" s="373">
        <v>3373.6</v>
      </c>
      <c r="CK225" s="373">
        <v>1</v>
      </c>
      <c r="CL225" s="373">
        <v>66.7</v>
      </c>
      <c r="CM225" s="373">
        <v>66.7</v>
      </c>
      <c r="CN225" s="373">
        <v>112.5</v>
      </c>
      <c r="CO225" s="373" t="s">
        <v>548</v>
      </c>
      <c r="CP225" s="373" t="s">
        <v>558</v>
      </c>
      <c r="CQ225" s="373">
        <v>14.9993</v>
      </c>
      <c r="CR225" s="373">
        <v>0.5</v>
      </c>
      <c r="CS225" s="373">
        <v>3.3324500000000001</v>
      </c>
      <c r="CT225" s="373">
        <v>1687</v>
      </c>
      <c r="CV225" s="373">
        <v>14.9993</v>
      </c>
      <c r="CW225" s="373">
        <v>0.5</v>
      </c>
      <c r="CX225" s="373">
        <v>3.3324500000000001</v>
      </c>
      <c r="CY225" s="373">
        <v>1687</v>
      </c>
      <c r="CZ225" s="373">
        <v>14.9993</v>
      </c>
      <c r="DA225" s="373">
        <v>0.15</v>
      </c>
      <c r="DB225" s="373">
        <v>1687</v>
      </c>
    </row>
    <row r="226" spans="42:106" x14ac:dyDescent="0.3">
      <c r="AP226" s="365"/>
      <c r="AQ226" s="365"/>
      <c r="AR226" s="365"/>
      <c r="AS226" s="365"/>
      <c r="AT226" s="365" t="s">
        <v>1182</v>
      </c>
      <c r="AU226" s="365" t="s">
        <v>1036</v>
      </c>
      <c r="AV226" s="365" t="s">
        <v>546</v>
      </c>
      <c r="AW226" s="365" t="s">
        <v>547</v>
      </c>
      <c r="AX226" s="373" t="s">
        <v>1201</v>
      </c>
      <c r="AY226" s="373" t="s">
        <v>1201</v>
      </c>
      <c r="AZ226" s="373">
        <v>2174</v>
      </c>
      <c r="BA226" s="373">
        <v>1</v>
      </c>
      <c r="BB226" s="373">
        <v>66.7</v>
      </c>
      <c r="BC226" s="373">
        <v>66.7</v>
      </c>
      <c r="BD226" s="373">
        <v>72.5</v>
      </c>
      <c r="BE226" s="373" t="s">
        <v>548</v>
      </c>
      <c r="BF226" s="373" t="s">
        <v>558</v>
      </c>
      <c r="BG226" s="373">
        <v>14.9993</v>
      </c>
      <c r="BH226" s="373">
        <v>0.5</v>
      </c>
      <c r="BI226" s="373">
        <v>3.3323499999999999</v>
      </c>
      <c r="BJ226" s="373">
        <v>1087</v>
      </c>
      <c r="BL226" s="373">
        <v>14.9993</v>
      </c>
      <c r="BM226" s="373">
        <v>0.5</v>
      </c>
      <c r="BN226" s="373">
        <v>3.3323499999999999</v>
      </c>
      <c r="BO226" s="373">
        <v>1087</v>
      </c>
      <c r="BP226" s="373">
        <v>14.9993</v>
      </c>
      <c r="BQ226" s="373">
        <v>0.15</v>
      </c>
      <c r="BR226" s="373">
        <v>1087</v>
      </c>
      <c r="CD226" s="373" t="s">
        <v>1182</v>
      </c>
      <c r="CE226" s="373" t="s">
        <v>1036</v>
      </c>
      <c r="CF226" s="373" t="s">
        <v>546</v>
      </c>
      <c r="CG226" s="373" t="s">
        <v>547</v>
      </c>
      <c r="CH226" s="373" t="s">
        <v>1202</v>
      </c>
      <c r="CI226" s="373" t="s">
        <v>1202</v>
      </c>
      <c r="CJ226" s="373">
        <v>2174</v>
      </c>
      <c r="CK226" s="373">
        <v>1</v>
      </c>
      <c r="CL226" s="373">
        <v>66.7</v>
      </c>
      <c r="CM226" s="373">
        <v>66.7</v>
      </c>
      <c r="CN226" s="373">
        <v>72.5</v>
      </c>
      <c r="CO226" s="373" t="s">
        <v>548</v>
      </c>
      <c r="CP226" s="373" t="s">
        <v>558</v>
      </c>
      <c r="CQ226" s="373">
        <v>14.9993</v>
      </c>
      <c r="CR226" s="373">
        <v>0.5</v>
      </c>
      <c r="CS226" s="373">
        <v>3.3323499999999999</v>
      </c>
      <c r="CT226" s="373">
        <v>1087</v>
      </c>
      <c r="CV226" s="373">
        <v>14.9993</v>
      </c>
      <c r="CW226" s="373">
        <v>0.5</v>
      </c>
      <c r="CX226" s="373">
        <v>3.3323499999999999</v>
      </c>
      <c r="CY226" s="373">
        <v>1087</v>
      </c>
      <c r="CZ226" s="373">
        <v>14.9993</v>
      </c>
      <c r="DA226" s="373">
        <v>0.15</v>
      </c>
      <c r="DB226" s="373">
        <v>1087</v>
      </c>
    </row>
    <row r="227" spans="42:106" x14ac:dyDescent="0.3">
      <c r="AP227" s="365"/>
      <c r="AQ227" s="365"/>
      <c r="AR227" s="365"/>
      <c r="AS227" s="365"/>
      <c r="AT227" s="365" t="s">
        <v>1183</v>
      </c>
      <c r="AU227" s="365" t="s">
        <v>1036</v>
      </c>
      <c r="AV227" s="365" t="s">
        <v>983</v>
      </c>
      <c r="AW227" s="365" t="s">
        <v>312</v>
      </c>
      <c r="AX227" s="373" t="s">
        <v>1010</v>
      </c>
      <c r="AY227" s="373" t="s">
        <v>1010</v>
      </c>
      <c r="AZ227" s="373">
        <v>0</v>
      </c>
      <c r="BA227" s="373">
        <v>1</v>
      </c>
      <c r="BB227" s="373">
        <v>0</v>
      </c>
      <c r="BC227" s="373">
        <v>0</v>
      </c>
      <c r="BD227" s="373">
        <v>0</v>
      </c>
      <c r="BE227" s="373" t="s">
        <v>1009</v>
      </c>
      <c r="BF227" s="373" t="s">
        <v>311</v>
      </c>
      <c r="BG227" s="373">
        <v>0</v>
      </c>
      <c r="BH227" s="373">
        <v>0</v>
      </c>
      <c r="BI227" s="373">
        <v>0</v>
      </c>
      <c r="BJ227" s="373">
        <v>0</v>
      </c>
      <c r="BL227" s="373">
        <v>0</v>
      </c>
      <c r="BM227" s="373">
        <v>0</v>
      </c>
      <c r="BN227" s="373">
        <v>0</v>
      </c>
      <c r="BO227" s="373">
        <v>0</v>
      </c>
      <c r="BP227" s="373">
        <v>0</v>
      </c>
      <c r="BQ227" s="373">
        <v>0</v>
      </c>
      <c r="BR227" s="373">
        <v>0</v>
      </c>
      <c r="CD227" s="373" t="s">
        <v>1183</v>
      </c>
      <c r="CE227" s="373" t="s">
        <v>1036</v>
      </c>
      <c r="CF227" s="373" t="s">
        <v>983</v>
      </c>
      <c r="CG227" s="373" t="s">
        <v>312</v>
      </c>
      <c r="CH227" s="373" t="s">
        <v>1010</v>
      </c>
      <c r="CI227" s="373" t="s">
        <v>1010</v>
      </c>
      <c r="CJ227" s="373">
        <v>0</v>
      </c>
      <c r="CK227" s="373">
        <v>1</v>
      </c>
      <c r="CL227" s="373">
        <v>0</v>
      </c>
      <c r="CM227" s="373">
        <v>0</v>
      </c>
      <c r="CN227" s="373">
        <v>0</v>
      </c>
      <c r="CO227" s="373" t="s">
        <v>1009</v>
      </c>
      <c r="CP227" s="373" t="s">
        <v>311</v>
      </c>
      <c r="CQ227" s="373">
        <v>0</v>
      </c>
      <c r="CR227" s="373">
        <v>0</v>
      </c>
      <c r="CS227" s="373">
        <v>0</v>
      </c>
      <c r="CT227" s="373">
        <v>0</v>
      </c>
      <c r="CV227" s="373">
        <v>0</v>
      </c>
      <c r="CW227" s="373">
        <v>0</v>
      </c>
      <c r="CX227" s="373">
        <v>0</v>
      </c>
      <c r="CY227" s="373">
        <v>0</v>
      </c>
      <c r="CZ227" s="373">
        <v>0</v>
      </c>
      <c r="DA227" s="373">
        <v>0</v>
      </c>
      <c r="DB227" s="373">
        <v>0</v>
      </c>
    </row>
    <row r="228" spans="42:106" x14ac:dyDescent="0.3">
      <c r="AP228" s="365"/>
      <c r="AQ228" s="365"/>
      <c r="AR228" s="365"/>
      <c r="AS228" s="365"/>
      <c r="AT228" s="365"/>
      <c r="AU228" s="365"/>
      <c r="AV228" s="365"/>
      <c r="AW228" s="365"/>
    </row>
    <row r="229" spans="42:106" x14ac:dyDescent="0.3">
      <c r="AP229" s="365"/>
      <c r="AQ229" s="365"/>
      <c r="AR229" s="365"/>
      <c r="AS229" s="365"/>
      <c r="AT229" s="365"/>
      <c r="AU229" s="365"/>
      <c r="AV229" s="365"/>
      <c r="AW229" s="365"/>
    </row>
    <row r="230" spans="42:106" x14ac:dyDescent="0.3">
      <c r="AP230" s="365"/>
      <c r="AQ230" s="365"/>
      <c r="AR230" s="365"/>
      <c r="AS230" s="365"/>
      <c r="AT230" s="365"/>
      <c r="AU230" s="365"/>
      <c r="AV230" s="365"/>
      <c r="AW230" s="365"/>
    </row>
    <row r="231" spans="42:106" x14ac:dyDescent="0.3">
      <c r="AP231" s="365"/>
      <c r="AQ231" s="365"/>
      <c r="AR231" s="365"/>
      <c r="AS231" s="365"/>
      <c r="AT231" s="365"/>
      <c r="AU231" s="365"/>
      <c r="AV231" s="365"/>
      <c r="AW231" s="365"/>
    </row>
    <row r="232" spans="42:106" x14ac:dyDescent="0.3">
      <c r="AP232" s="365"/>
      <c r="AQ232" s="365"/>
      <c r="AR232" s="365"/>
      <c r="AS232" s="365"/>
      <c r="AT232" s="365"/>
      <c r="AU232" s="365"/>
      <c r="AV232" s="365"/>
      <c r="AW232" s="365"/>
    </row>
    <row r="233" spans="42:106" x14ac:dyDescent="0.3">
      <c r="AP233" s="365"/>
      <c r="AQ233" s="365"/>
      <c r="AR233" s="365"/>
      <c r="AS233" s="365"/>
      <c r="AT233" s="365"/>
      <c r="AU233" s="365"/>
      <c r="AV233" s="365"/>
      <c r="AW233" s="365"/>
    </row>
    <row r="234" spans="42:106" x14ac:dyDescent="0.3">
      <c r="AP234" s="365"/>
      <c r="AQ234" s="365"/>
      <c r="AR234" s="365"/>
      <c r="AS234" s="365"/>
      <c r="AT234" s="365"/>
      <c r="AU234" s="365"/>
      <c r="AV234" s="365"/>
      <c r="AW234" s="365"/>
    </row>
    <row r="235" spans="42:106" x14ac:dyDescent="0.3">
      <c r="AP235" s="365"/>
      <c r="AQ235" s="365"/>
      <c r="AR235" s="365"/>
      <c r="AS235" s="365"/>
      <c r="AT235" s="365"/>
      <c r="AU235" s="365"/>
      <c r="AV235" s="365"/>
      <c r="AW235" s="365"/>
    </row>
    <row r="236" spans="42:106" x14ac:dyDescent="0.3">
      <c r="AP236" s="365"/>
      <c r="AQ236" s="365"/>
      <c r="AR236" s="365"/>
      <c r="AS236" s="365"/>
      <c r="AT236" s="365"/>
      <c r="AU236" s="365"/>
      <c r="AV236" s="365"/>
      <c r="AW236" s="365"/>
    </row>
    <row r="237" spans="42:106" x14ac:dyDescent="0.3">
      <c r="AP237" s="365"/>
      <c r="AQ237" s="365"/>
      <c r="AR237" s="365"/>
      <c r="AS237" s="365"/>
      <c r="AT237" s="365"/>
      <c r="AU237" s="365"/>
      <c r="AV237" s="365"/>
      <c r="AW237" s="365"/>
    </row>
    <row r="238" spans="42:106" x14ac:dyDescent="0.3">
      <c r="AP238" s="365"/>
      <c r="AQ238" s="365"/>
      <c r="AR238" s="365"/>
      <c r="AS238" s="365"/>
      <c r="AT238" s="365"/>
      <c r="AU238" s="365"/>
      <c r="AV238" s="365"/>
      <c r="AW238" s="365"/>
    </row>
    <row r="239" spans="42:106" x14ac:dyDescent="0.3">
      <c r="AP239" s="365"/>
      <c r="AQ239" s="365"/>
      <c r="AR239" s="365"/>
      <c r="AS239" s="365"/>
      <c r="AT239" s="365"/>
      <c r="AU239" s="365"/>
      <c r="AV239" s="365"/>
      <c r="AW239" s="365"/>
    </row>
    <row r="240" spans="42:106" x14ac:dyDescent="0.3">
      <c r="AP240" s="365"/>
      <c r="AQ240" s="365"/>
      <c r="AR240" s="365"/>
      <c r="AS240" s="365"/>
      <c r="AT240" s="365"/>
      <c r="AU240" s="365"/>
      <c r="AV240" s="365"/>
      <c r="AW240" s="365"/>
    </row>
    <row r="241" spans="46:49" x14ac:dyDescent="0.3">
      <c r="AT241" s="365"/>
      <c r="AU241" s="365"/>
      <c r="AV241" s="365"/>
      <c r="AW241" s="365"/>
    </row>
  </sheetData>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AP57"/>
  <sheetViews>
    <sheetView zoomScaleNormal="100" workbookViewId="0">
      <selection activeCell="J8" sqref="J8"/>
    </sheetView>
  </sheetViews>
  <sheetFormatPr defaultColWidth="9.109375" defaultRowHeight="13.8" outlineLevelCol="1" x14ac:dyDescent="0.3"/>
  <cols>
    <col min="1" max="1" width="3.6640625" style="21" customWidth="1"/>
    <col min="2" max="2" width="21.6640625" style="22" customWidth="1"/>
    <col min="3" max="3" width="28.5546875" style="7" customWidth="1"/>
    <col min="4" max="4" width="2.6640625" style="113" customWidth="1"/>
    <col min="5" max="5" width="28.109375" style="19" bestFit="1" customWidth="1"/>
    <col min="6" max="6" width="2.6640625" style="113" customWidth="1"/>
    <col min="7" max="7" width="22.44140625" style="2" bestFit="1" customWidth="1"/>
    <col min="8" max="8" width="2.6640625" style="113" customWidth="1"/>
    <col min="9" max="9" width="17.33203125" style="103" customWidth="1"/>
    <col min="10" max="10" width="2.6640625" style="113" customWidth="1"/>
    <col min="11" max="11" width="18.44140625" style="19" customWidth="1"/>
    <col min="12" max="12" width="2.6640625" style="113" customWidth="1"/>
    <col min="13" max="13" width="18.109375" style="19" customWidth="1"/>
    <col min="14" max="14" width="2.6640625" style="19" customWidth="1"/>
    <col min="15" max="15" width="9.109375" style="19"/>
    <col min="16" max="20" width="9.109375" style="19" outlineLevel="1"/>
    <col min="21" max="21" width="23" style="19" customWidth="1" outlineLevel="1"/>
    <col min="22" max="42" width="9.109375" style="19" outlineLevel="1"/>
    <col min="43" max="16384" width="9.109375" style="19"/>
  </cols>
  <sheetData>
    <row r="1" spans="1:38" x14ac:dyDescent="0.3">
      <c r="A1" s="74"/>
      <c r="B1" s="74"/>
      <c r="C1" s="74"/>
      <c r="D1" s="74"/>
      <c r="E1" s="74"/>
      <c r="F1" s="74"/>
      <c r="G1" s="79"/>
      <c r="H1" s="74"/>
      <c r="I1" s="74"/>
      <c r="J1" s="74"/>
      <c r="K1" s="74"/>
      <c r="L1" s="74"/>
      <c r="M1" s="74"/>
      <c r="N1" s="74"/>
      <c r="O1" s="373"/>
      <c r="P1" s="373"/>
      <c r="Q1" s="373"/>
      <c r="R1" s="373"/>
      <c r="S1" s="373"/>
      <c r="T1" s="373"/>
      <c r="U1" s="373"/>
      <c r="V1" s="373"/>
      <c r="W1" s="373"/>
      <c r="X1" s="373"/>
      <c r="Y1" s="373"/>
      <c r="Z1" s="373"/>
      <c r="AA1" s="373"/>
      <c r="AB1" s="373"/>
      <c r="AC1" s="373"/>
      <c r="AD1" s="373"/>
      <c r="AE1" s="373"/>
      <c r="AF1" s="373"/>
      <c r="AG1" s="373"/>
      <c r="AH1" s="373"/>
      <c r="AI1" s="373"/>
      <c r="AJ1" s="373"/>
      <c r="AK1" s="373"/>
      <c r="AL1" s="373"/>
    </row>
    <row r="2" spans="1:38" s="21" customFormat="1" x14ac:dyDescent="0.3">
      <c r="A2" s="364"/>
      <c r="B2" s="513" t="s">
        <v>0</v>
      </c>
      <c r="C2" s="513"/>
      <c r="D2" s="520"/>
      <c r="E2" s="513" t="s">
        <v>1</v>
      </c>
      <c r="F2" s="364"/>
      <c r="G2" s="72"/>
      <c r="H2" s="364"/>
      <c r="I2" s="364"/>
      <c r="J2" s="513"/>
      <c r="K2" s="516" t="s">
        <v>109</v>
      </c>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row>
    <row r="3" spans="1:38" s="21" customFormat="1" x14ac:dyDescent="0.3">
      <c r="A3" s="364"/>
      <c r="B3" s="364" t="s">
        <v>2</v>
      </c>
      <c r="C3" s="97" t="s">
        <v>56</v>
      </c>
      <c r="D3" s="364"/>
      <c r="E3" s="364" t="s">
        <v>3</v>
      </c>
      <c r="F3" s="364"/>
      <c r="G3" s="951" t="str">
        <f>'Documentation Main Sheet'!I2</f>
        <v>r6055</v>
      </c>
      <c r="H3" s="364"/>
      <c r="I3" s="397"/>
      <c r="J3" s="521"/>
      <c r="K3" s="364" t="s">
        <v>110</v>
      </c>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row>
    <row r="4" spans="1:38" s="21" customFormat="1" x14ac:dyDescent="0.3">
      <c r="A4" s="364"/>
      <c r="B4" s="364" t="s">
        <v>6</v>
      </c>
      <c r="C4" s="364" t="str">
        <f>C3&amp;".cibd19"</f>
        <v>030006-OffMed-Run12.cibd19</v>
      </c>
      <c r="D4" s="364"/>
      <c r="E4" s="364" t="s">
        <v>7</v>
      </c>
      <c r="F4" s="364"/>
      <c r="G4" s="364" t="str">
        <f>'Documentation Main Sheet'!I3</f>
        <v>Release package</v>
      </c>
      <c r="H4" s="364"/>
      <c r="I4" s="397"/>
      <c r="J4" s="994">
        <v>1</v>
      </c>
      <c r="K4" s="373" t="s">
        <v>111</v>
      </c>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row>
    <row r="5" spans="1:38" s="21" customFormat="1" x14ac:dyDescent="0.3">
      <c r="A5" s="364"/>
      <c r="B5" s="364" t="s">
        <v>9</v>
      </c>
      <c r="C5" s="364" t="s">
        <v>112</v>
      </c>
      <c r="D5" s="364"/>
      <c r="E5" s="364" t="s">
        <v>10</v>
      </c>
      <c r="F5" s="364"/>
      <c r="G5" s="364" t="str">
        <f>'Documentation Main Sheet'!I4</f>
        <v>CBECC-Com 2019.1.2 Release</v>
      </c>
      <c r="H5" s="364"/>
      <c r="I5" s="397"/>
      <c r="J5" s="991">
        <v>1</v>
      </c>
      <c r="K5" s="373" t="s">
        <v>111</v>
      </c>
      <c r="L5" s="68"/>
      <c r="M5" s="68"/>
      <c r="N5" s="68"/>
      <c r="O5" s="364"/>
      <c r="P5" s="364"/>
      <c r="Q5" s="364"/>
      <c r="R5" s="364"/>
      <c r="S5" s="364"/>
      <c r="T5" s="364"/>
      <c r="U5" s="364"/>
      <c r="V5" s="364"/>
      <c r="W5" s="364"/>
      <c r="X5" s="364"/>
      <c r="Y5" s="364"/>
      <c r="Z5" s="364"/>
      <c r="AA5" s="364"/>
      <c r="AB5" s="364"/>
      <c r="AC5" s="364"/>
      <c r="AD5" s="364"/>
      <c r="AE5" s="364"/>
      <c r="AF5" s="364"/>
      <c r="AG5" s="364"/>
      <c r="AH5" s="364"/>
      <c r="AI5" s="364"/>
      <c r="AJ5" s="364"/>
      <c r="AK5" s="364"/>
      <c r="AL5" s="364"/>
    </row>
    <row r="6" spans="1:38" s="21" customFormat="1" x14ac:dyDescent="0.3">
      <c r="A6" s="364"/>
      <c r="B6" s="364" t="s">
        <v>17</v>
      </c>
      <c r="C6" s="92" t="s">
        <v>35</v>
      </c>
      <c r="D6" s="364"/>
      <c r="E6" s="364" t="s">
        <v>12</v>
      </c>
      <c r="F6" s="364"/>
      <c r="G6" s="68">
        <f>'Documentation Main Sheet'!I5</f>
        <v>43754</v>
      </c>
      <c r="H6" s="364"/>
      <c r="I6" s="398"/>
      <c r="J6" s="524">
        <v>1</v>
      </c>
      <c r="K6" s="376" t="s">
        <v>113</v>
      </c>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row>
    <row r="7" spans="1:38" s="21" customFormat="1" x14ac:dyDescent="0.3">
      <c r="A7" s="364"/>
      <c r="B7" s="364" t="s">
        <v>20</v>
      </c>
      <c r="C7" s="92" t="s">
        <v>57</v>
      </c>
      <c r="D7" s="364"/>
      <c r="E7" s="364" t="s">
        <v>13</v>
      </c>
      <c r="F7" s="364"/>
      <c r="G7" s="364" t="str">
        <f>'Documentation Main Sheet'!I6</f>
        <v>Jireh Peng</v>
      </c>
      <c r="H7" s="83"/>
      <c r="I7" s="397"/>
      <c r="J7" s="525">
        <v>1</v>
      </c>
      <c r="K7" s="373" t="s">
        <v>114</v>
      </c>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row>
    <row r="8" spans="1:38" s="21" customFormat="1" x14ac:dyDescent="0.3">
      <c r="A8" s="364"/>
      <c r="B8" s="364" t="s">
        <v>19</v>
      </c>
      <c r="C8" s="92" t="s">
        <v>27</v>
      </c>
      <c r="D8" s="364"/>
      <c r="E8" s="364"/>
      <c r="F8" s="364"/>
      <c r="G8" s="376"/>
      <c r="H8" s="364"/>
      <c r="I8" s="364"/>
      <c r="J8" s="996">
        <v>1</v>
      </c>
      <c r="K8" s="364" t="s">
        <v>115</v>
      </c>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row>
    <row r="9" spans="1:38" s="21" customFormat="1" x14ac:dyDescent="0.3">
      <c r="A9" s="364"/>
      <c r="B9" s="364"/>
      <c r="C9" s="364"/>
      <c r="D9" s="364"/>
      <c r="E9" s="364"/>
      <c r="F9" s="364"/>
      <c r="G9" s="72"/>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row>
    <row r="10" spans="1:38" s="33" customFormat="1" x14ac:dyDescent="0.3">
      <c r="A10" s="283"/>
      <c r="B10" s="336" t="s">
        <v>134</v>
      </c>
      <c r="C10" s="283"/>
      <c r="D10" s="283"/>
      <c r="E10" s="283"/>
      <c r="F10" s="283"/>
      <c r="G10" s="283"/>
      <c r="H10" s="283"/>
      <c r="I10" s="283"/>
      <c r="J10" s="283"/>
      <c r="K10" s="283"/>
      <c r="L10" s="283"/>
      <c r="M10" s="283"/>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row>
    <row r="11" spans="1:38" s="3" customFormat="1" ht="14.4" x14ac:dyDescent="0.3">
      <c r="A11" s="77"/>
      <c r="B11" s="377" t="s">
        <v>922</v>
      </c>
      <c r="C11" s="89"/>
      <c r="D11" s="91"/>
      <c r="E11" s="89"/>
      <c r="F11" s="91"/>
      <c r="G11" s="89"/>
      <c r="H11" s="91"/>
      <c r="I11" s="89"/>
      <c r="J11" s="91"/>
      <c r="K11" s="89"/>
      <c r="L11" s="91"/>
      <c r="M11" s="89"/>
      <c r="N11" s="96"/>
      <c r="O11" s="89"/>
      <c r="P11" s="89"/>
      <c r="Q11" s="89"/>
      <c r="R11" s="89"/>
      <c r="S11" s="89"/>
      <c r="T11" s="89"/>
      <c r="U11" s="89"/>
      <c r="V11" s="369" t="s">
        <v>1081</v>
      </c>
      <c r="W11" s="982"/>
      <c r="X11" s="982"/>
      <c r="Y11" s="982"/>
      <c r="Z11" s="982"/>
      <c r="AA11" s="982"/>
      <c r="AB11" s="982"/>
      <c r="AC11" s="982"/>
      <c r="AD11" s="982"/>
      <c r="AE11" s="982"/>
      <c r="AF11" s="982"/>
      <c r="AG11" s="982"/>
      <c r="AH11" s="982"/>
      <c r="AI11" s="982"/>
      <c r="AJ11" s="982"/>
      <c r="AK11" s="982"/>
      <c r="AL11" s="982"/>
    </row>
    <row r="12" spans="1:38" s="3" customFormat="1" ht="14.4" x14ac:dyDescent="0.3">
      <c r="A12" s="89"/>
      <c r="B12" s="84" t="s">
        <v>870</v>
      </c>
      <c r="C12" s="89"/>
      <c r="D12" s="91"/>
      <c r="E12" s="89"/>
      <c r="F12" s="91"/>
      <c r="G12" s="89"/>
      <c r="H12" s="91"/>
      <c r="I12" s="89"/>
      <c r="J12" s="91"/>
      <c r="K12" s="89"/>
      <c r="L12" s="91"/>
      <c r="M12" s="89"/>
      <c r="N12" s="96"/>
      <c r="O12" s="89"/>
      <c r="P12" s="89"/>
      <c r="Q12" s="89"/>
      <c r="R12" s="89"/>
      <c r="S12" s="89"/>
      <c r="T12" s="89"/>
      <c r="U12" s="89"/>
      <c r="V12" s="982" t="s">
        <v>870</v>
      </c>
      <c r="W12" s="982"/>
      <c r="X12" s="982"/>
      <c r="Y12" s="982"/>
      <c r="Z12" s="982"/>
      <c r="AA12" s="982" t="s">
        <v>924</v>
      </c>
      <c r="AB12" s="982"/>
      <c r="AC12" s="982"/>
      <c r="AD12" s="982"/>
      <c r="AE12" s="982"/>
      <c r="AF12" s="982"/>
      <c r="AG12" s="982"/>
      <c r="AH12" s="982"/>
      <c r="AI12" s="982" t="s">
        <v>925</v>
      </c>
      <c r="AJ12" s="982"/>
      <c r="AK12" s="982"/>
      <c r="AL12" s="982"/>
    </row>
    <row r="13" spans="1:38" s="84" customFormat="1" ht="55.2" x14ac:dyDescent="0.3">
      <c r="B13" s="115" t="s">
        <v>580</v>
      </c>
      <c r="C13" s="123" t="s">
        <v>52</v>
      </c>
      <c r="D13" s="274"/>
      <c r="E13" s="117" t="s">
        <v>1203</v>
      </c>
      <c r="F13" s="274"/>
      <c r="G13" s="117" t="s">
        <v>1204</v>
      </c>
      <c r="H13" s="274"/>
      <c r="I13" s="117" t="s">
        <v>1205</v>
      </c>
      <c r="J13" s="274"/>
      <c r="K13" s="117" t="s">
        <v>930</v>
      </c>
      <c r="L13" s="274"/>
      <c r="M13" s="117" t="s">
        <v>1206</v>
      </c>
      <c r="N13" s="88"/>
      <c r="V13" s="982" t="s">
        <v>121</v>
      </c>
      <c r="W13" s="982" t="s">
        <v>523</v>
      </c>
      <c r="X13" s="982" t="s">
        <v>52</v>
      </c>
      <c r="Y13" s="982" t="s">
        <v>1082</v>
      </c>
      <c r="Z13" s="982" t="s">
        <v>896</v>
      </c>
      <c r="AA13" s="982" t="s">
        <v>1083</v>
      </c>
      <c r="AB13" s="982" t="s">
        <v>1084</v>
      </c>
      <c r="AC13" s="982" t="s">
        <v>956</v>
      </c>
      <c r="AD13" s="982" t="s">
        <v>957</v>
      </c>
      <c r="AE13" s="982" t="s">
        <v>1085</v>
      </c>
      <c r="AF13" s="982" t="s">
        <v>1086</v>
      </c>
      <c r="AG13" s="982" t="s">
        <v>1087</v>
      </c>
      <c r="AH13" s="982" t="s">
        <v>1088</v>
      </c>
      <c r="AI13" s="982" t="s">
        <v>1089</v>
      </c>
      <c r="AJ13" s="982" t="s">
        <v>956</v>
      </c>
      <c r="AK13" s="982" t="s">
        <v>957</v>
      </c>
      <c r="AL13" s="982" t="s">
        <v>1090</v>
      </c>
    </row>
    <row r="14" spans="1:38" s="21" customFormat="1" ht="15" thickBot="1" x14ac:dyDescent="0.35">
      <c r="A14" s="364"/>
      <c r="B14" s="211" t="s">
        <v>942</v>
      </c>
      <c r="C14" s="124"/>
      <c r="D14" s="107"/>
      <c r="E14" s="1003" t="s">
        <v>1207</v>
      </c>
      <c r="F14" s="107"/>
      <c r="G14" s="1003" t="s">
        <v>1207</v>
      </c>
      <c r="H14" s="107"/>
      <c r="I14" s="1000" t="s">
        <v>946</v>
      </c>
      <c r="J14" s="107"/>
      <c r="K14" s="1000" t="s">
        <v>947</v>
      </c>
      <c r="L14" s="107"/>
      <c r="M14" s="1000" t="s">
        <v>1208</v>
      </c>
      <c r="N14" s="96"/>
      <c r="O14" s="364"/>
      <c r="P14" s="364"/>
      <c r="Q14" s="364"/>
      <c r="R14" s="364"/>
      <c r="S14" s="364"/>
      <c r="T14" s="364"/>
      <c r="U14" s="364"/>
      <c r="V14" s="982"/>
      <c r="W14" s="982"/>
      <c r="X14" s="982"/>
      <c r="Y14" s="982"/>
      <c r="Z14" s="982" t="s">
        <v>966</v>
      </c>
      <c r="AA14" s="982"/>
      <c r="AB14" s="982" t="s">
        <v>1094</v>
      </c>
      <c r="AC14" s="982"/>
      <c r="AD14" s="982" t="s">
        <v>968</v>
      </c>
      <c r="AE14" s="982"/>
      <c r="AF14" s="982" t="s">
        <v>1094</v>
      </c>
      <c r="AG14" s="982" t="s">
        <v>1094</v>
      </c>
      <c r="AH14" s="982" t="s">
        <v>1095</v>
      </c>
      <c r="AI14" s="982" t="s">
        <v>1094</v>
      </c>
      <c r="AJ14" s="982"/>
      <c r="AK14" s="982" t="s">
        <v>968</v>
      </c>
      <c r="AL14" s="982" t="s">
        <v>1095</v>
      </c>
    </row>
    <row r="15" spans="1:38" s="21" customFormat="1" ht="28.2" thickTop="1" x14ac:dyDescent="0.3">
      <c r="A15" s="364"/>
      <c r="B15" s="130" t="s">
        <v>970</v>
      </c>
      <c r="C15" s="92" t="s">
        <v>1022</v>
      </c>
      <c r="D15" s="332"/>
      <c r="E15" s="1001">
        <f>7936/10587</f>
        <v>0.74959856427694338</v>
      </c>
      <c r="F15" s="332"/>
      <c r="G15" s="1001">
        <f>2112/10587</f>
        <v>0.19948994049305752</v>
      </c>
      <c r="H15" s="958" t="str">
        <f>IF(ROUND(I15,2)=ROUND(AH15,2),"x","")</f>
        <v>x</v>
      </c>
      <c r="I15" s="203">
        <f>E15+G15</f>
        <v>0.94908850477000084</v>
      </c>
      <c r="J15" s="958" t="str">
        <f>IF(K15=AC15,"x","")</f>
        <v>x</v>
      </c>
      <c r="K15" s="203" t="s">
        <v>1016</v>
      </c>
      <c r="L15" s="958" t="str">
        <f>IF(M15=AA15,"x","")</f>
        <v>x</v>
      </c>
      <c r="M15" s="203" t="s">
        <v>1209</v>
      </c>
      <c r="N15" s="96"/>
      <c r="O15" s="364"/>
      <c r="P15" s="809"/>
      <c r="Q15" s="809"/>
      <c r="R15" s="809"/>
      <c r="S15" s="809"/>
      <c r="T15" s="809"/>
      <c r="U15" s="808" t="s">
        <v>1210</v>
      </c>
      <c r="V15" s="949" t="s">
        <v>970</v>
      </c>
      <c r="W15" s="949" t="s">
        <v>170</v>
      </c>
      <c r="X15" s="949" t="s">
        <v>1022</v>
      </c>
      <c r="Y15" s="949" t="s">
        <v>137</v>
      </c>
      <c r="Z15" s="949">
        <v>10586.7</v>
      </c>
      <c r="AA15" s="949" t="s">
        <v>1209</v>
      </c>
      <c r="AB15" s="949">
        <v>10048</v>
      </c>
      <c r="AC15" s="949" t="s">
        <v>1016</v>
      </c>
      <c r="AD15" s="949">
        <v>3340.2</v>
      </c>
      <c r="AE15" s="949">
        <v>-99996</v>
      </c>
      <c r="AF15" s="949">
        <v>0</v>
      </c>
      <c r="AG15" s="949">
        <v>10048</v>
      </c>
      <c r="AH15" s="949">
        <v>0.95</v>
      </c>
      <c r="AI15" s="982"/>
      <c r="AJ15" s="982"/>
      <c r="AK15" s="982"/>
      <c r="AL15" s="982"/>
    </row>
    <row r="16" spans="1:38" s="21" customFormat="1" ht="14.4" x14ac:dyDescent="0.3">
      <c r="A16" s="364"/>
      <c r="B16" s="130" t="s">
        <v>981</v>
      </c>
      <c r="C16" s="245" t="s">
        <v>986</v>
      </c>
      <c r="D16" s="333"/>
      <c r="E16" s="1001">
        <v>0.5</v>
      </c>
      <c r="F16" s="982" t="s">
        <v>173</v>
      </c>
      <c r="G16" s="1001" t="s">
        <v>173</v>
      </c>
      <c r="H16" s="958" t="str">
        <f t="shared" ref="H16:H19" si="0">IF(ROUND(I16,2)=ROUND(AH16,2),"x","")</f>
        <v>x</v>
      </c>
      <c r="I16" s="203">
        <v>0.5</v>
      </c>
      <c r="J16" s="958" t="str">
        <f t="shared" ref="J16:J19" si="1">IF(K16=AC16,"x","")</f>
        <v>x</v>
      </c>
      <c r="K16" s="203" t="s">
        <v>1016</v>
      </c>
      <c r="L16" s="958" t="str">
        <f t="shared" ref="L16:L19" si="2">IF(M16=AA16,"x","")</f>
        <v>x</v>
      </c>
      <c r="M16" s="203" t="s">
        <v>1209</v>
      </c>
      <c r="N16" s="96"/>
      <c r="O16" s="364"/>
      <c r="P16" s="364"/>
      <c r="Q16" s="364"/>
      <c r="R16" s="364"/>
      <c r="S16" s="364"/>
      <c r="T16" s="364"/>
      <c r="U16" s="364"/>
      <c r="V16" s="949" t="s">
        <v>981</v>
      </c>
      <c r="W16" s="949" t="s">
        <v>170</v>
      </c>
      <c r="X16" s="949" t="s">
        <v>986</v>
      </c>
      <c r="Y16" s="949" t="s">
        <v>137</v>
      </c>
      <c r="Z16" s="949">
        <v>2231.7600000000002</v>
      </c>
      <c r="AA16" s="949" t="s">
        <v>1209</v>
      </c>
      <c r="AB16" s="949">
        <v>1115.8800000000001</v>
      </c>
      <c r="AC16" s="949" t="s">
        <v>1016</v>
      </c>
      <c r="AD16" s="949">
        <v>3340.2</v>
      </c>
      <c r="AE16" s="949">
        <v>-99996</v>
      </c>
      <c r="AF16" s="949">
        <v>0</v>
      </c>
      <c r="AG16" s="949">
        <v>1115.8800000000001</v>
      </c>
      <c r="AH16" s="949">
        <v>0.5</v>
      </c>
      <c r="AI16" s="982"/>
      <c r="AJ16" s="982"/>
      <c r="AK16" s="982"/>
      <c r="AL16" s="982"/>
    </row>
    <row r="17" spans="2:38" ht="14.4" x14ac:dyDescent="0.3">
      <c r="B17" s="130" t="s">
        <v>984</v>
      </c>
      <c r="C17" s="72" t="s">
        <v>986</v>
      </c>
      <c r="D17" s="333"/>
      <c r="E17" s="1001">
        <v>0.5</v>
      </c>
      <c r="F17" s="982" t="s">
        <v>173</v>
      </c>
      <c r="G17" s="1001" t="s">
        <v>173</v>
      </c>
      <c r="H17" s="958" t="str">
        <f t="shared" si="0"/>
        <v>x</v>
      </c>
      <c r="I17" s="203">
        <v>0.5</v>
      </c>
      <c r="J17" s="958" t="str">
        <f t="shared" si="1"/>
        <v>x</v>
      </c>
      <c r="K17" s="203" t="s">
        <v>1016</v>
      </c>
      <c r="L17" s="958" t="str">
        <f t="shared" si="2"/>
        <v>x</v>
      </c>
      <c r="M17" s="203" t="s">
        <v>1209</v>
      </c>
      <c r="N17" s="96"/>
      <c r="O17" s="373"/>
      <c r="P17" s="373"/>
      <c r="Q17" s="373"/>
      <c r="R17" s="373"/>
      <c r="S17" s="373"/>
      <c r="T17" s="373"/>
      <c r="U17" s="373"/>
      <c r="V17" s="949" t="s">
        <v>984</v>
      </c>
      <c r="W17" s="949" t="s">
        <v>170</v>
      </c>
      <c r="X17" s="949" t="s">
        <v>986</v>
      </c>
      <c r="Y17" s="949" t="s">
        <v>137</v>
      </c>
      <c r="Z17" s="949">
        <v>1412.9</v>
      </c>
      <c r="AA17" s="949" t="s">
        <v>1209</v>
      </c>
      <c r="AB17" s="949">
        <v>706.45100000000002</v>
      </c>
      <c r="AC17" s="949" t="s">
        <v>1016</v>
      </c>
      <c r="AD17" s="949">
        <v>3340.2</v>
      </c>
      <c r="AE17" s="949">
        <v>-99996</v>
      </c>
      <c r="AF17" s="949">
        <v>0</v>
      </c>
      <c r="AG17" s="949">
        <v>706.45100000000002</v>
      </c>
      <c r="AH17" s="949">
        <v>0.5</v>
      </c>
      <c r="AI17" s="982"/>
      <c r="AJ17" s="982"/>
      <c r="AK17" s="982"/>
      <c r="AL17" s="982"/>
    </row>
    <row r="18" spans="2:38" s="21" customFormat="1" ht="14.4" x14ac:dyDescent="0.3">
      <c r="B18" s="130" t="s">
        <v>987</v>
      </c>
      <c r="C18" s="245" t="s">
        <v>986</v>
      </c>
      <c r="D18" s="333"/>
      <c r="E18" s="1001">
        <v>0.5</v>
      </c>
      <c r="F18" s="982" t="s">
        <v>173</v>
      </c>
      <c r="G18" s="1001" t="s">
        <v>173</v>
      </c>
      <c r="H18" s="958" t="str">
        <f t="shared" si="0"/>
        <v>x</v>
      </c>
      <c r="I18" s="203">
        <v>0.5</v>
      </c>
      <c r="J18" s="958" t="str">
        <f t="shared" si="1"/>
        <v>x</v>
      </c>
      <c r="K18" s="203" t="s">
        <v>1016</v>
      </c>
      <c r="L18" s="958" t="str">
        <f t="shared" si="2"/>
        <v>x</v>
      </c>
      <c r="M18" s="203" t="s">
        <v>1209</v>
      </c>
      <c r="N18" s="96"/>
      <c r="O18" s="364"/>
      <c r="P18" s="364"/>
      <c r="Q18" s="364"/>
      <c r="R18" s="364"/>
      <c r="S18" s="364"/>
      <c r="T18" s="364"/>
      <c r="U18" s="364"/>
      <c r="V18" s="949" t="s">
        <v>987</v>
      </c>
      <c r="W18" s="949" t="s">
        <v>170</v>
      </c>
      <c r="X18" s="949" t="s">
        <v>986</v>
      </c>
      <c r="Y18" s="949" t="s">
        <v>137</v>
      </c>
      <c r="Z18" s="949">
        <v>2231.7600000000002</v>
      </c>
      <c r="AA18" s="949" t="s">
        <v>1209</v>
      </c>
      <c r="AB18" s="949">
        <v>1115.8800000000001</v>
      </c>
      <c r="AC18" s="949" t="s">
        <v>1016</v>
      </c>
      <c r="AD18" s="949">
        <v>3340.2</v>
      </c>
      <c r="AE18" s="949">
        <v>-99996</v>
      </c>
      <c r="AF18" s="949">
        <v>0</v>
      </c>
      <c r="AG18" s="949">
        <v>1115.8800000000001</v>
      </c>
      <c r="AH18" s="949">
        <v>0.5</v>
      </c>
      <c r="AI18" s="982"/>
      <c r="AJ18" s="982"/>
      <c r="AK18" s="982"/>
      <c r="AL18" s="982"/>
    </row>
    <row r="19" spans="2:38" s="21" customFormat="1" ht="14.4" x14ac:dyDescent="0.3">
      <c r="B19" s="130" t="s">
        <v>989</v>
      </c>
      <c r="C19" s="738" t="s">
        <v>915</v>
      </c>
      <c r="D19" s="333"/>
      <c r="E19" s="1001">
        <v>0.5</v>
      </c>
      <c r="F19" s="982" t="s">
        <v>173</v>
      </c>
      <c r="G19" s="1001" t="s">
        <v>173</v>
      </c>
      <c r="H19" s="958" t="str">
        <f t="shared" si="0"/>
        <v>x</v>
      </c>
      <c r="I19" s="203">
        <v>0.5</v>
      </c>
      <c r="J19" s="958" t="str">
        <f t="shared" si="1"/>
        <v>x</v>
      </c>
      <c r="K19" s="203" t="s">
        <v>1016</v>
      </c>
      <c r="L19" s="958" t="str">
        <f t="shared" si="2"/>
        <v>x</v>
      </c>
      <c r="M19" s="203" t="s">
        <v>1096</v>
      </c>
      <c r="N19" s="96"/>
      <c r="O19" s="364"/>
      <c r="P19" s="364"/>
      <c r="Q19" s="364"/>
      <c r="R19" s="364"/>
      <c r="S19" s="364"/>
      <c r="T19" s="364"/>
      <c r="U19" s="364"/>
      <c r="V19" s="949" t="s">
        <v>989</v>
      </c>
      <c r="W19" s="949" t="s">
        <v>170</v>
      </c>
      <c r="X19" s="949" t="s">
        <v>915</v>
      </c>
      <c r="Y19" s="949" t="s">
        <v>137</v>
      </c>
      <c r="Z19" s="949">
        <v>1412.8</v>
      </c>
      <c r="AA19" s="949" t="s">
        <v>1096</v>
      </c>
      <c r="AB19" s="949">
        <v>706.399</v>
      </c>
      <c r="AC19" s="949" t="s">
        <v>1016</v>
      </c>
      <c r="AD19" s="949">
        <v>3340.2</v>
      </c>
      <c r="AE19" s="949">
        <v>-99996</v>
      </c>
      <c r="AF19" s="949">
        <v>0</v>
      </c>
      <c r="AG19" s="949">
        <v>706.399</v>
      </c>
      <c r="AH19" s="949">
        <v>0.5</v>
      </c>
      <c r="AI19" s="982"/>
      <c r="AJ19" s="982"/>
      <c r="AK19" s="982"/>
      <c r="AL19" s="982"/>
    </row>
    <row r="20" spans="2:38" s="21" customFormat="1" ht="14.4" x14ac:dyDescent="0.3">
      <c r="B20" s="130" t="s">
        <v>1211</v>
      </c>
      <c r="C20" s="364"/>
      <c r="D20" s="982" t="s">
        <v>173</v>
      </c>
      <c r="E20" s="1001" t="s">
        <v>173</v>
      </c>
      <c r="F20" s="982" t="s">
        <v>173</v>
      </c>
      <c r="G20" s="1001" t="s">
        <v>173</v>
      </c>
      <c r="H20" s="324" t="s">
        <v>173</v>
      </c>
      <c r="I20" s="979" t="s">
        <v>173</v>
      </c>
      <c r="J20" s="324" t="s">
        <v>173</v>
      </c>
      <c r="K20" s="979" t="s">
        <v>173</v>
      </c>
      <c r="L20" s="324" t="s">
        <v>173</v>
      </c>
      <c r="M20" s="979" t="s">
        <v>173</v>
      </c>
      <c r="N20" s="96"/>
      <c r="O20" s="364"/>
      <c r="P20" s="364"/>
      <c r="Q20" s="364"/>
      <c r="R20" s="364"/>
      <c r="S20" s="364"/>
      <c r="T20" s="364"/>
      <c r="U20" s="364"/>
      <c r="V20" s="949" t="s">
        <v>1211</v>
      </c>
      <c r="W20" s="949" t="s">
        <v>983</v>
      </c>
      <c r="X20" s="949" t="s">
        <v>979</v>
      </c>
      <c r="Y20" s="949" t="s">
        <v>137</v>
      </c>
      <c r="Z20" s="949">
        <v>0</v>
      </c>
      <c r="AA20" s="949"/>
      <c r="AB20" s="949"/>
      <c r="AC20" s="949"/>
      <c r="AD20" s="949"/>
      <c r="AE20" s="949"/>
      <c r="AF20" s="949"/>
      <c r="AG20" s="949"/>
      <c r="AH20" s="949"/>
      <c r="AI20" s="982"/>
      <c r="AJ20" s="982"/>
      <c r="AK20" s="982"/>
      <c r="AL20" s="982"/>
    </row>
    <row r="21" spans="2:38" s="21" customFormat="1" ht="27.6" x14ac:dyDescent="0.3">
      <c r="B21" s="130" t="s">
        <v>990</v>
      </c>
      <c r="C21" s="92" t="s">
        <v>1022</v>
      </c>
      <c r="D21" s="333"/>
      <c r="E21" s="1001">
        <f>7936/10587</f>
        <v>0.74959856427694338</v>
      </c>
      <c r="F21" s="333"/>
      <c r="G21" s="1001">
        <f>2112/10587</f>
        <v>0.19948994049305752</v>
      </c>
      <c r="H21" s="958" t="str">
        <f>IF(ROUND(I21,2)=ROUND(AH21,2),"x","")</f>
        <v>x</v>
      </c>
      <c r="I21" s="203">
        <f>E21+G21</f>
        <v>0.94908850477000084</v>
      </c>
      <c r="J21" s="958" t="str">
        <f>IF(K21=AC21,"x","")</f>
        <v>x</v>
      </c>
      <c r="K21" s="203" t="s">
        <v>1016</v>
      </c>
      <c r="L21" s="958" t="str">
        <f>IF(M21=AA21,"x","")</f>
        <v>x</v>
      </c>
      <c r="M21" s="203" t="s">
        <v>1209</v>
      </c>
      <c r="N21" s="96"/>
      <c r="O21" s="364"/>
      <c r="P21" s="364"/>
      <c r="Q21" s="364"/>
      <c r="R21" s="364"/>
      <c r="S21" s="364"/>
      <c r="T21" s="364"/>
      <c r="U21" s="364"/>
      <c r="V21" s="949" t="s">
        <v>990</v>
      </c>
      <c r="W21" s="949" t="s">
        <v>170</v>
      </c>
      <c r="X21" s="949" t="s">
        <v>1022</v>
      </c>
      <c r="Y21" s="949" t="s">
        <v>137</v>
      </c>
      <c r="Z21" s="949">
        <v>10586.7</v>
      </c>
      <c r="AA21" s="949" t="s">
        <v>1209</v>
      </c>
      <c r="AB21" s="949">
        <v>10048</v>
      </c>
      <c r="AC21" s="949" t="s">
        <v>1016</v>
      </c>
      <c r="AD21" s="949">
        <v>3340.2</v>
      </c>
      <c r="AE21" s="949">
        <v>-99996</v>
      </c>
      <c r="AF21" s="949">
        <v>0</v>
      </c>
      <c r="AG21" s="949">
        <v>10048</v>
      </c>
      <c r="AH21" s="949">
        <v>0.95</v>
      </c>
      <c r="AI21" s="982"/>
      <c r="AJ21" s="982"/>
      <c r="AK21" s="982"/>
      <c r="AL21" s="982"/>
    </row>
    <row r="22" spans="2:38" s="21" customFormat="1" ht="14.4" x14ac:dyDescent="0.3">
      <c r="B22" s="130" t="s">
        <v>1000</v>
      </c>
      <c r="C22" s="245" t="s">
        <v>986</v>
      </c>
      <c r="D22" s="333"/>
      <c r="E22" s="1001">
        <v>0.5</v>
      </c>
      <c r="F22" s="982" t="s">
        <v>173</v>
      </c>
      <c r="G22" s="1001" t="s">
        <v>173</v>
      </c>
      <c r="H22" s="958" t="str">
        <f t="shared" ref="H22:H25" si="3">IF(ROUND(I22,2)=ROUND(AH22,2),"x","")</f>
        <v>x</v>
      </c>
      <c r="I22" s="203">
        <v>0.5</v>
      </c>
      <c r="J22" s="958" t="str">
        <f t="shared" ref="J22:J25" si="4">IF(K22=AC22,"x","")</f>
        <v>x</v>
      </c>
      <c r="K22" s="203" t="s">
        <v>1016</v>
      </c>
      <c r="L22" s="958" t="str">
        <f t="shared" ref="L22:L25" si="5">IF(M22=AA22,"x","")</f>
        <v>x</v>
      </c>
      <c r="M22" s="203" t="s">
        <v>1209</v>
      </c>
      <c r="N22" s="96"/>
      <c r="O22" s="364"/>
      <c r="P22" s="364"/>
      <c r="Q22" s="364"/>
      <c r="R22" s="364"/>
      <c r="S22" s="364"/>
      <c r="T22" s="364"/>
      <c r="U22" s="364"/>
      <c r="V22" s="949" t="s">
        <v>1000</v>
      </c>
      <c r="W22" s="949" t="s">
        <v>170</v>
      </c>
      <c r="X22" s="949" t="s">
        <v>986</v>
      </c>
      <c r="Y22" s="949" t="s">
        <v>137</v>
      </c>
      <c r="Z22" s="949">
        <v>2231.7600000000002</v>
      </c>
      <c r="AA22" s="949" t="s">
        <v>1209</v>
      </c>
      <c r="AB22" s="949">
        <v>1115.8800000000001</v>
      </c>
      <c r="AC22" s="949" t="s">
        <v>1016</v>
      </c>
      <c r="AD22" s="949">
        <v>3340.2</v>
      </c>
      <c r="AE22" s="949">
        <v>-99996</v>
      </c>
      <c r="AF22" s="949">
        <v>0</v>
      </c>
      <c r="AG22" s="949">
        <v>1115.8800000000001</v>
      </c>
      <c r="AH22" s="949">
        <v>0.5</v>
      </c>
      <c r="AI22" s="982"/>
      <c r="AJ22" s="982"/>
      <c r="AK22" s="982"/>
      <c r="AL22" s="982"/>
    </row>
    <row r="23" spans="2:38" s="21" customFormat="1" ht="14.4" x14ac:dyDescent="0.3">
      <c r="B23" s="130" t="s">
        <v>1001</v>
      </c>
      <c r="C23" s="245" t="s">
        <v>986</v>
      </c>
      <c r="D23" s="333"/>
      <c r="E23" s="1001">
        <v>0.5</v>
      </c>
      <c r="F23" s="982" t="s">
        <v>173</v>
      </c>
      <c r="G23" s="1001" t="s">
        <v>173</v>
      </c>
      <c r="H23" s="958" t="str">
        <f t="shared" si="3"/>
        <v>x</v>
      </c>
      <c r="I23" s="203">
        <v>0.5</v>
      </c>
      <c r="J23" s="958" t="str">
        <f t="shared" si="4"/>
        <v>x</v>
      </c>
      <c r="K23" s="203" t="s">
        <v>1016</v>
      </c>
      <c r="L23" s="958" t="str">
        <f t="shared" si="5"/>
        <v>x</v>
      </c>
      <c r="M23" s="203" t="s">
        <v>1209</v>
      </c>
      <c r="N23" s="96"/>
      <c r="O23" s="364"/>
      <c r="P23" s="364"/>
      <c r="Q23" s="364"/>
      <c r="R23" s="364"/>
      <c r="S23" s="364"/>
      <c r="T23" s="364"/>
      <c r="U23" s="364"/>
      <c r="V23" s="949" t="s">
        <v>1001</v>
      </c>
      <c r="W23" s="949" t="s">
        <v>170</v>
      </c>
      <c r="X23" s="949" t="s">
        <v>986</v>
      </c>
      <c r="Y23" s="949" t="s">
        <v>137</v>
      </c>
      <c r="Z23" s="949">
        <v>1412.9</v>
      </c>
      <c r="AA23" s="949" t="s">
        <v>1209</v>
      </c>
      <c r="AB23" s="949">
        <v>706.45100000000002</v>
      </c>
      <c r="AC23" s="949" t="s">
        <v>1016</v>
      </c>
      <c r="AD23" s="949">
        <v>3340.2</v>
      </c>
      <c r="AE23" s="949">
        <v>-99996</v>
      </c>
      <c r="AF23" s="949">
        <v>0</v>
      </c>
      <c r="AG23" s="949">
        <v>706.45100000000002</v>
      </c>
      <c r="AH23" s="949">
        <v>0.5</v>
      </c>
      <c r="AI23" s="982"/>
      <c r="AJ23" s="982"/>
      <c r="AK23" s="982"/>
      <c r="AL23" s="982"/>
    </row>
    <row r="24" spans="2:38" s="21" customFormat="1" ht="14.4" x14ac:dyDescent="0.3">
      <c r="B24" s="130" t="s">
        <v>1002</v>
      </c>
      <c r="C24" s="245" t="s">
        <v>986</v>
      </c>
      <c r="D24" s="333"/>
      <c r="E24" s="1001">
        <v>0.5</v>
      </c>
      <c r="F24" s="982" t="s">
        <v>173</v>
      </c>
      <c r="G24" s="1001" t="s">
        <v>173</v>
      </c>
      <c r="H24" s="958" t="str">
        <f t="shared" si="3"/>
        <v>x</v>
      </c>
      <c r="I24" s="203">
        <v>0.5</v>
      </c>
      <c r="J24" s="958" t="str">
        <f t="shared" si="4"/>
        <v>x</v>
      </c>
      <c r="K24" s="203" t="s">
        <v>1016</v>
      </c>
      <c r="L24" s="958" t="str">
        <f t="shared" si="5"/>
        <v>x</v>
      </c>
      <c r="M24" s="203" t="s">
        <v>1209</v>
      </c>
      <c r="N24" s="96"/>
      <c r="O24" s="364"/>
      <c r="P24" s="364"/>
      <c r="Q24" s="364"/>
      <c r="R24" s="364"/>
      <c r="S24" s="364"/>
      <c r="T24" s="364"/>
      <c r="U24" s="364"/>
      <c r="V24" s="949" t="s">
        <v>1002</v>
      </c>
      <c r="W24" s="949" t="s">
        <v>170</v>
      </c>
      <c r="X24" s="949" t="s">
        <v>986</v>
      </c>
      <c r="Y24" s="949" t="s">
        <v>137</v>
      </c>
      <c r="Z24" s="949">
        <v>2231.7600000000002</v>
      </c>
      <c r="AA24" s="949" t="s">
        <v>1209</v>
      </c>
      <c r="AB24" s="949">
        <v>1115.8800000000001</v>
      </c>
      <c r="AC24" s="949" t="s">
        <v>1016</v>
      </c>
      <c r="AD24" s="949">
        <v>3340.2</v>
      </c>
      <c r="AE24" s="949">
        <v>-99996</v>
      </c>
      <c r="AF24" s="949">
        <v>0</v>
      </c>
      <c r="AG24" s="949">
        <v>1115.8800000000001</v>
      </c>
      <c r="AH24" s="949">
        <v>0.5</v>
      </c>
      <c r="AI24" s="982"/>
      <c r="AJ24" s="982"/>
      <c r="AK24" s="982"/>
      <c r="AL24" s="982"/>
    </row>
    <row r="25" spans="2:38" s="21" customFormat="1" ht="14.4" x14ac:dyDescent="0.3">
      <c r="B25" s="130" t="s">
        <v>1003</v>
      </c>
      <c r="C25" s="738" t="s">
        <v>915</v>
      </c>
      <c r="D25" s="333"/>
      <c r="E25" s="1001">
        <v>0.5</v>
      </c>
      <c r="F25" s="982" t="s">
        <v>173</v>
      </c>
      <c r="G25" s="1001" t="s">
        <v>173</v>
      </c>
      <c r="H25" s="958" t="str">
        <f t="shared" si="3"/>
        <v>x</v>
      </c>
      <c r="I25" s="203">
        <v>0.5</v>
      </c>
      <c r="J25" s="958" t="str">
        <f t="shared" si="4"/>
        <v>x</v>
      </c>
      <c r="K25" s="203" t="s">
        <v>1016</v>
      </c>
      <c r="L25" s="958" t="str">
        <f t="shared" si="5"/>
        <v>x</v>
      </c>
      <c r="M25" s="203" t="s">
        <v>1096</v>
      </c>
      <c r="N25" s="96"/>
      <c r="O25" s="364"/>
      <c r="P25" s="364"/>
      <c r="Q25" s="364"/>
      <c r="R25" s="364"/>
      <c r="S25" s="364"/>
      <c r="T25" s="364"/>
      <c r="U25" s="364"/>
      <c r="V25" s="949" t="s">
        <v>1003</v>
      </c>
      <c r="W25" s="949" t="s">
        <v>170</v>
      </c>
      <c r="X25" s="949" t="s">
        <v>915</v>
      </c>
      <c r="Y25" s="949" t="s">
        <v>137</v>
      </c>
      <c r="Z25" s="949">
        <v>1412.8</v>
      </c>
      <c r="AA25" s="949" t="s">
        <v>1096</v>
      </c>
      <c r="AB25" s="949">
        <v>706.399</v>
      </c>
      <c r="AC25" s="949" t="s">
        <v>1016</v>
      </c>
      <c r="AD25" s="949">
        <v>3340.2</v>
      </c>
      <c r="AE25" s="949">
        <v>-99996</v>
      </c>
      <c r="AF25" s="949">
        <v>0</v>
      </c>
      <c r="AG25" s="949">
        <v>706.399</v>
      </c>
      <c r="AH25" s="949">
        <v>0.5</v>
      </c>
      <c r="AI25" s="982"/>
      <c r="AJ25" s="982"/>
      <c r="AK25" s="982"/>
      <c r="AL25" s="982"/>
    </row>
    <row r="26" spans="2:38" s="21" customFormat="1" ht="14.4" x14ac:dyDescent="0.3">
      <c r="B26" s="130" t="s">
        <v>998</v>
      </c>
      <c r="C26" s="92"/>
      <c r="D26" s="982" t="s">
        <v>173</v>
      </c>
      <c r="E26" s="1001" t="s">
        <v>173</v>
      </c>
      <c r="F26" s="982" t="s">
        <v>173</v>
      </c>
      <c r="G26" s="1001" t="s">
        <v>173</v>
      </c>
      <c r="H26" s="324" t="s">
        <v>173</v>
      </c>
      <c r="I26" s="979" t="s">
        <v>173</v>
      </c>
      <c r="J26" s="324" t="s">
        <v>173</v>
      </c>
      <c r="K26" s="979" t="s">
        <v>173</v>
      </c>
      <c r="L26" s="324" t="s">
        <v>173</v>
      </c>
      <c r="M26" s="979" t="s">
        <v>173</v>
      </c>
      <c r="N26" s="96"/>
      <c r="O26" s="364"/>
      <c r="P26" s="364"/>
      <c r="Q26" s="364"/>
      <c r="R26" s="364"/>
      <c r="S26" s="364"/>
      <c r="T26" s="364"/>
      <c r="U26" s="364"/>
      <c r="V26" s="949" t="s">
        <v>998</v>
      </c>
      <c r="W26" s="949" t="s">
        <v>983</v>
      </c>
      <c r="X26" s="949" t="s">
        <v>979</v>
      </c>
      <c r="Y26" s="949" t="s">
        <v>137</v>
      </c>
      <c r="Z26" s="949">
        <v>0</v>
      </c>
      <c r="AA26" s="949"/>
      <c r="AB26" s="949"/>
      <c r="AC26" s="949"/>
      <c r="AD26" s="949"/>
      <c r="AE26" s="949"/>
      <c r="AF26" s="949"/>
      <c r="AG26" s="949"/>
      <c r="AH26" s="949"/>
      <c r="AI26" s="982"/>
      <c r="AJ26" s="982"/>
      <c r="AK26" s="982"/>
      <c r="AL26" s="982"/>
    </row>
    <row r="27" spans="2:38" s="21" customFormat="1" ht="27.6" x14ac:dyDescent="0.3">
      <c r="B27" s="130" t="s">
        <v>1013</v>
      </c>
      <c r="C27" s="92" t="s">
        <v>1022</v>
      </c>
      <c r="D27" s="333"/>
      <c r="E27" s="1001">
        <f>7936/10587</f>
        <v>0.74959856427694338</v>
      </c>
      <c r="F27" s="333"/>
      <c r="G27" s="1001">
        <f>2112/10587</f>
        <v>0.19948994049305752</v>
      </c>
      <c r="H27" s="958" t="str">
        <f>IF(ROUND(I27,2)=ROUND(AH27,2),"x","")</f>
        <v>x</v>
      </c>
      <c r="I27" s="203">
        <f>E27+G27</f>
        <v>0.94908850477000084</v>
      </c>
      <c r="J27" s="958" t="str">
        <f>IF(K27=AC27,"x","")</f>
        <v>x</v>
      </c>
      <c r="K27" s="203" t="s">
        <v>1016</v>
      </c>
      <c r="L27" s="958" t="str">
        <f>IF(M27=AA27,"x","")</f>
        <v>x</v>
      </c>
      <c r="M27" s="203" t="s">
        <v>1209</v>
      </c>
      <c r="N27" s="96"/>
      <c r="O27" s="364"/>
      <c r="P27" s="364"/>
      <c r="Q27" s="364"/>
      <c r="R27" s="364"/>
      <c r="S27" s="364"/>
      <c r="T27" s="364"/>
      <c r="U27" s="364"/>
      <c r="V27" s="949" t="s">
        <v>1013</v>
      </c>
      <c r="W27" s="949" t="s">
        <v>170</v>
      </c>
      <c r="X27" s="949" t="s">
        <v>1022</v>
      </c>
      <c r="Y27" s="949" t="s">
        <v>137</v>
      </c>
      <c r="Z27" s="949">
        <v>10586.7</v>
      </c>
      <c r="AA27" s="949" t="s">
        <v>1209</v>
      </c>
      <c r="AB27" s="949">
        <v>10048</v>
      </c>
      <c r="AC27" s="949" t="s">
        <v>1016</v>
      </c>
      <c r="AD27" s="949">
        <v>3340.2</v>
      </c>
      <c r="AE27" s="949">
        <v>-99996</v>
      </c>
      <c r="AF27" s="949">
        <v>0</v>
      </c>
      <c r="AG27" s="949">
        <v>10048</v>
      </c>
      <c r="AH27" s="949">
        <v>0.95</v>
      </c>
      <c r="AI27" s="982"/>
      <c r="AJ27" s="982"/>
      <c r="AK27" s="982"/>
      <c r="AL27" s="982"/>
    </row>
    <row r="28" spans="2:38" s="21" customFormat="1" ht="14.4" x14ac:dyDescent="0.3">
      <c r="B28" s="130" t="s">
        <v>1021</v>
      </c>
      <c r="C28" s="245" t="s">
        <v>986</v>
      </c>
      <c r="D28" s="333"/>
      <c r="E28" s="1001">
        <v>0.5</v>
      </c>
      <c r="F28" s="982" t="s">
        <v>173</v>
      </c>
      <c r="G28" s="1001" t="s">
        <v>173</v>
      </c>
      <c r="H28" s="958" t="str">
        <f t="shared" ref="H28:H31" si="6">IF(ROUND(I28,2)=ROUND(AH28,2),"x","")</f>
        <v>x</v>
      </c>
      <c r="I28" s="203">
        <v>0.5</v>
      </c>
      <c r="J28" s="958" t="str">
        <f t="shared" ref="J28:J31" si="7">IF(K28=AC28,"x","")</f>
        <v>x</v>
      </c>
      <c r="K28" s="203" t="s">
        <v>1016</v>
      </c>
      <c r="L28" s="958" t="str">
        <f t="shared" ref="L28:L31" si="8">IF(M28=AA28,"x","")</f>
        <v>x</v>
      </c>
      <c r="M28" s="203" t="s">
        <v>1209</v>
      </c>
      <c r="N28" s="96"/>
      <c r="O28" s="364"/>
      <c r="P28" s="364"/>
      <c r="Q28" s="364"/>
      <c r="R28" s="364"/>
      <c r="S28" s="364"/>
      <c r="T28" s="364"/>
      <c r="U28" s="364"/>
      <c r="V28" s="949" t="s">
        <v>1021</v>
      </c>
      <c r="W28" s="949" t="s">
        <v>170</v>
      </c>
      <c r="X28" s="949" t="s">
        <v>986</v>
      </c>
      <c r="Y28" s="949" t="s">
        <v>137</v>
      </c>
      <c r="Z28" s="949">
        <v>2231.7600000000002</v>
      </c>
      <c r="AA28" s="949" t="s">
        <v>1209</v>
      </c>
      <c r="AB28" s="949">
        <v>1115.8800000000001</v>
      </c>
      <c r="AC28" s="949" t="s">
        <v>1016</v>
      </c>
      <c r="AD28" s="949">
        <v>3340.2</v>
      </c>
      <c r="AE28" s="949">
        <v>-99996</v>
      </c>
      <c r="AF28" s="949">
        <v>0</v>
      </c>
      <c r="AG28" s="949">
        <v>1115.8800000000001</v>
      </c>
      <c r="AH28" s="949">
        <v>0.5</v>
      </c>
      <c r="AI28" s="982"/>
      <c r="AJ28" s="982"/>
      <c r="AK28" s="982"/>
      <c r="AL28" s="982"/>
    </row>
    <row r="29" spans="2:38" s="21" customFormat="1" ht="14.4" x14ac:dyDescent="0.3">
      <c r="B29" s="130" t="s">
        <v>1023</v>
      </c>
      <c r="C29" s="245" t="s">
        <v>986</v>
      </c>
      <c r="D29" s="333"/>
      <c r="E29" s="1001">
        <v>0.5</v>
      </c>
      <c r="F29" s="982" t="s">
        <v>173</v>
      </c>
      <c r="G29" s="1001" t="s">
        <v>173</v>
      </c>
      <c r="H29" s="958" t="str">
        <f t="shared" si="6"/>
        <v>x</v>
      </c>
      <c r="I29" s="203">
        <v>0.5</v>
      </c>
      <c r="J29" s="958" t="str">
        <f t="shared" si="7"/>
        <v>x</v>
      </c>
      <c r="K29" s="203" t="s">
        <v>1016</v>
      </c>
      <c r="L29" s="958" t="str">
        <f t="shared" si="8"/>
        <v>x</v>
      </c>
      <c r="M29" s="203" t="s">
        <v>1209</v>
      </c>
      <c r="N29" s="96"/>
      <c r="O29" s="364"/>
      <c r="P29" s="364"/>
      <c r="Q29" s="364"/>
      <c r="R29" s="364"/>
      <c r="S29" s="364"/>
      <c r="T29" s="364"/>
      <c r="U29" s="364"/>
      <c r="V29" s="949" t="s">
        <v>1023</v>
      </c>
      <c r="W29" s="949" t="s">
        <v>170</v>
      </c>
      <c r="X29" s="949" t="s">
        <v>986</v>
      </c>
      <c r="Y29" s="949" t="s">
        <v>137</v>
      </c>
      <c r="Z29" s="949">
        <v>1412.9</v>
      </c>
      <c r="AA29" s="949" t="s">
        <v>1209</v>
      </c>
      <c r="AB29" s="949">
        <v>706.45100000000002</v>
      </c>
      <c r="AC29" s="949" t="s">
        <v>1016</v>
      </c>
      <c r="AD29" s="949">
        <v>3340.2</v>
      </c>
      <c r="AE29" s="949">
        <v>-99996</v>
      </c>
      <c r="AF29" s="949">
        <v>0</v>
      </c>
      <c r="AG29" s="949">
        <v>706.45100000000002</v>
      </c>
      <c r="AH29" s="949">
        <v>0.5</v>
      </c>
      <c r="AI29" s="982"/>
      <c r="AJ29" s="982"/>
      <c r="AK29" s="982"/>
      <c r="AL29" s="982"/>
    </row>
    <row r="30" spans="2:38" s="21" customFormat="1" ht="14.4" x14ac:dyDescent="0.3">
      <c r="B30" s="130" t="s">
        <v>1024</v>
      </c>
      <c r="C30" s="245" t="s">
        <v>986</v>
      </c>
      <c r="D30" s="333"/>
      <c r="E30" s="1001">
        <v>0.5</v>
      </c>
      <c r="F30" s="982" t="s">
        <v>173</v>
      </c>
      <c r="G30" s="1001" t="s">
        <v>173</v>
      </c>
      <c r="H30" s="958" t="str">
        <f t="shared" si="6"/>
        <v>x</v>
      </c>
      <c r="I30" s="203">
        <v>0.5</v>
      </c>
      <c r="J30" s="958" t="str">
        <f t="shared" si="7"/>
        <v>x</v>
      </c>
      <c r="K30" s="203" t="s">
        <v>1016</v>
      </c>
      <c r="L30" s="958" t="str">
        <f t="shared" si="8"/>
        <v>x</v>
      </c>
      <c r="M30" s="203" t="s">
        <v>1209</v>
      </c>
      <c r="N30" s="96"/>
      <c r="O30" s="364"/>
      <c r="P30" s="364"/>
      <c r="Q30" s="364"/>
      <c r="R30" s="364"/>
      <c r="S30" s="364"/>
      <c r="T30" s="364"/>
      <c r="U30" s="364"/>
      <c r="V30" s="949" t="s">
        <v>1024</v>
      </c>
      <c r="W30" s="949" t="s">
        <v>170</v>
      </c>
      <c r="X30" s="949" t="s">
        <v>986</v>
      </c>
      <c r="Y30" s="949" t="s">
        <v>137</v>
      </c>
      <c r="Z30" s="949">
        <v>2231.7600000000002</v>
      </c>
      <c r="AA30" s="949" t="s">
        <v>1209</v>
      </c>
      <c r="AB30" s="949">
        <v>1115.8800000000001</v>
      </c>
      <c r="AC30" s="949" t="s">
        <v>1016</v>
      </c>
      <c r="AD30" s="949">
        <v>3340.2</v>
      </c>
      <c r="AE30" s="949">
        <v>-99996</v>
      </c>
      <c r="AF30" s="949">
        <v>0</v>
      </c>
      <c r="AG30" s="949">
        <v>1115.8800000000001</v>
      </c>
      <c r="AH30" s="949">
        <v>0.5</v>
      </c>
      <c r="AI30" s="982"/>
      <c r="AJ30" s="982"/>
      <c r="AK30" s="982"/>
      <c r="AL30" s="982"/>
    </row>
    <row r="31" spans="2:38" s="21" customFormat="1" ht="14.4" x14ac:dyDescent="0.3">
      <c r="B31" s="130" t="s">
        <v>1025</v>
      </c>
      <c r="C31" s="738" t="s">
        <v>915</v>
      </c>
      <c r="D31" s="333"/>
      <c r="E31" s="1001">
        <v>0.5</v>
      </c>
      <c r="F31" s="982" t="s">
        <v>173</v>
      </c>
      <c r="G31" s="1001" t="s">
        <v>173</v>
      </c>
      <c r="H31" s="958" t="str">
        <f t="shared" si="6"/>
        <v>x</v>
      </c>
      <c r="I31" s="203">
        <v>0.5</v>
      </c>
      <c r="J31" s="958" t="str">
        <f t="shared" si="7"/>
        <v>x</v>
      </c>
      <c r="K31" s="203" t="s">
        <v>1016</v>
      </c>
      <c r="L31" s="958" t="str">
        <f t="shared" si="8"/>
        <v>x</v>
      </c>
      <c r="M31" s="203" t="s">
        <v>1096</v>
      </c>
      <c r="N31" s="96"/>
      <c r="O31" s="364"/>
      <c r="P31" s="364"/>
      <c r="Q31" s="364"/>
      <c r="R31" s="364"/>
      <c r="S31" s="364"/>
      <c r="T31" s="364"/>
      <c r="U31" s="364"/>
      <c r="V31" s="949" t="s">
        <v>1025</v>
      </c>
      <c r="W31" s="949" t="s">
        <v>170</v>
      </c>
      <c r="X31" s="949" t="s">
        <v>915</v>
      </c>
      <c r="Y31" s="949" t="s">
        <v>137</v>
      </c>
      <c r="Z31" s="949">
        <v>1412.8</v>
      </c>
      <c r="AA31" s="949" t="s">
        <v>1096</v>
      </c>
      <c r="AB31" s="949">
        <v>706.399</v>
      </c>
      <c r="AC31" s="949" t="s">
        <v>1016</v>
      </c>
      <c r="AD31" s="949">
        <v>3340.2</v>
      </c>
      <c r="AE31" s="949">
        <v>-99996</v>
      </c>
      <c r="AF31" s="949">
        <v>0</v>
      </c>
      <c r="AG31" s="949">
        <v>706.399</v>
      </c>
      <c r="AH31" s="949">
        <v>0.5</v>
      </c>
      <c r="AI31" s="982"/>
      <c r="AJ31" s="982"/>
      <c r="AK31" s="982"/>
      <c r="AL31" s="982"/>
    </row>
    <row r="32" spans="2:38" s="21" customFormat="1" ht="14.4" x14ac:dyDescent="0.3">
      <c r="B32" s="180" t="s">
        <v>1026</v>
      </c>
      <c r="C32" s="156"/>
      <c r="D32" s="982" t="s">
        <v>173</v>
      </c>
      <c r="E32" s="1002" t="s">
        <v>173</v>
      </c>
      <c r="F32" s="982" t="s">
        <v>173</v>
      </c>
      <c r="G32" s="1002" t="s">
        <v>173</v>
      </c>
      <c r="H32" s="325" t="s">
        <v>173</v>
      </c>
      <c r="I32" s="980" t="s">
        <v>173</v>
      </c>
      <c r="J32" s="325" t="s">
        <v>173</v>
      </c>
      <c r="K32" s="980" t="s">
        <v>173</v>
      </c>
      <c r="L32" s="325" t="s">
        <v>173</v>
      </c>
      <c r="M32" s="980" t="s">
        <v>173</v>
      </c>
      <c r="N32" s="96"/>
      <c r="O32" s="364"/>
      <c r="P32" s="364"/>
      <c r="Q32" s="364"/>
      <c r="R32" s="364"/>
      <c r="S32" s="364"/>
      <c r="T32" s="364"/>
      <c r="U32" s="364"/>
      <c r="V32" s="949" t="s">
        <v>1026</v>
      </c>
      <c r="W32" s="949" t="s">
        <v>983</v>
      </c>
      <c r="X32" s="949" t="s">
        <v>979</v>
      </c>
      <c r="Y32" s="949" t="s">
        <v>137</v>
      </c>
      <c r="Z32" s="949">
        <v>0</v>
      </c>
      <c r="AA32" s="949"/>
      <c r="AB32" s="949"/>
      <c r="AC32" s="949"/>
      <c r="AD32" s="949"/>
      <c r="AE32" s="949"/>
      <c r="AF32" s="949"/>
      <c r="AG32" s="949"/>
      <c r="AH32" s="949"/>
      <c r="AI32" s="982"/>
      <c r="AJ32" s="982"/>
      <c r="AK32" s="982"/>
      <c r="AL32" s="982"/>
    </row>
    <row r="33" spans="1:41" s="21" customFormat="1" x14ac:dyDescent="0.3">
      <c r="A33" s="364"/>
      <c r="B33" s="84"/>
      <c r="C33" s="30"/>
      <c r="D33" s="364"/>
      <c r="E33" s="364"/>
      <c r="F33" s="364"/>
      <c r="G33" s="364"/>
      <c r="H33" s="364"/>
      <c r="I33" s="365"/>
      <c r="J33" s="364"/>
      <c r="K33" s="365"/>
      <c r="L33" s="96"/>
      <c r="M33" s="96"/>
      <c r="N33" s="96"/>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row>
    <row r="34" spans="1:41" s="21" customFormat="1" x14ac:dyDescent="0.3">
      <c r="A34" s="364"/>
      <c r="B34" s="92"/>
      <c r="C34" s="90"/>
      <c r="D34" s="364"/>
      <c r="E34" s="364"/>
      <c r="F34" s="364"/>
      <c r="G34" s="364"/>
      <c r="H34" s="364"/>
      <c r="I34" s="82"/>
      <c r="J34" s="364"/>
      <c r="K34" s="82"/>
      <c r="L34" s="364"/>
      <c r="M34" s="82"/>
      <c r="N34" s="82"/>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row>
    <row r="35" spans="1:41" s="13" customFormat="1" x14ac:dyDescent="0.3">
      <c r="A35" s="285"/>
      <c r="B35" s="337" t="s">
        <v>243</v>
      </c>
      <c r="C35" s="285"/>
      <c r="D35" s="285"/>
      <c r="E35" s="285"/>
      <c r="F35" s="285"/>
      <c r="G35" s="285"/>
      <c r="H35" s="285"/>
      <c r="I35" s="285"/>
      <c r="J35" s="285"/>
      <c r="K35" s="285"/>
      <c r="L35" s="285"/>
      <c r="M35" s="285"/>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row>
    <row r="36" spans="1:41" s="3" customFormat="1" ht="14.4" x14ac:dyDescent="0.3">
      <c r="A36" s="78"/>
      <c r="B36" s="50" t="s">
        <v>922</v>
      </c>
      <c r="C36" s="89"/>
      <c r="D36" s="91"/>
      <c r="E36" s="89"/>
      <c r="F36" s="91"/>
      <c r="G36" s="89"/>
      <c r="H36" s="91"/>
      <c r="I36" s="89"/>
      <c r="J36" s="91"/>
      <c r="K36" s="89"/>
      <c r="L36" s="91"/>
      <c r="M36" s="89"/>
      <c r="N36" s="96"/>
      <c r="O36" s="89"/>
      <c r="P36" s="89"/>
      <c r="Q36" s="89"/>
      <c r="R36" s="89"/>
      <c r="S36" s="89"/>
      <c r="T36" s="89"/>
      <c r="U36" s="89"/>
      <c r="V36" s="369" t="s">
        <v>1081</v>
      </c>
      <c r="W36" s="982"/>
      <c r="X36" s="982"/>
      <c r="Y36" s="982"/>
      <c r="Z36" s="982"/>
      <c r="AA36" s="982"/>
      <c r="AB36" s="982"/>
      <c r="AC36" s="982"/>
      <c r="AD36" s="982"/>
      <c r="AE36" s="982"/>
      <c r="AF36" s="982"/>
      <c r="AG36" s="982"/>
      <c r="AH36" s="982"/>
      <c r="AI36" s="982"/>
      <c r="AJ36" s="982"/>
      <c r="AK36" s="982"/>
      <c r="AL36" s="982"/>
      <c r="AM36" s="89"/>
      <c r="AN36" s="89"/>
      <c r="AO36" s="89"/>
    </row>
    <row r="37" spans="1:41" s="3" customFormat="1" ht="14.4" x14ac:dyDescent="0.3">
      <c r="A37" s="89"/>
      <c r="B37" s="84" t="s">
        <v>870</v>
      </c>
      <c r="C37" s="89"/>
      <c r="D37" s="91"/>
      <c r="E37" s="89"/>
      <c r="F37" s="91"/>
      <c r="G37" s="89"/>
      <c r="H37" s="91"/>
      <c r="I37" s="89"/>
      <c r="J37" s="91"/>
      <c r="K37" s="89"/>
      <c r="L37" s="91"/>
      <c r="M37" s="89"/>
      <c r="N37" s="96"/>
      <c r="O37" s="89"/>
      <c r="P37" s="89"/>
      <c r="Q37" s="89"/>
      <c r="R37" s="89"/>
      <c r="S37" s="89"/>
      <c r="T37" s="89"/>
      <c r="U37" s="89"/>
      <c r="V37" s="982" t="s">
        <v>870</v>
      </c>
      <c r="W37" s="982"/>
      <c r="X37" s="982"/>
      <c r="Y37" s="982"/>
      <c r="Z37" s="982"/>
      <c r="AA37" s="982" t="s">
        <v>924</v>
      </c>
      <c r="AB37" s="982"/>
      <c r="AC37" s="982"/>
      <c r="AD37" s="982"/>
      <c r="AE37" s="982"/>
      <c r="AF37" s="982"/>
      <c r="AG37" s="982"/>
      <c r="AH37" s="982"/>
      <c r="AI37" s="982"/>
      <c r="AJ37" s="982"/>
      <c r="AK37" s="982"/>
      <c r="AL37" s="982" t="s">
        <v>925</v>
      </c>
      <c r="AM37" s="89"/>
      <c r="AN37" s="89"/>
      <c r="AO37" s="89"/>
    </row>
    <row r="38" spans="1:41" s="84" customFormat="1" ht="55.2" x14ac:dyDescent="0.3">
      <c r="B38" s="115" t="s">
        <v>580</v>
      </c>
      <c r="C38" s="123" t="s">
        <v>52</v>
      </c>
      <c r="D38" s="274"/>
      <c r="E38" s="117" t="s">
        <v>1203</v>
      </c>
      <c r="F38" s="226"/>
      <c r="G38" s="173" t="s">
        <v>1204</v>
      </c>
      <c r="H38" s="274"/>
      <c r="I38" s="117" t="s">
        <v>1205</v>
      </c>
      <c r="J38" s="274"/>
      <c r="K38" s="117" t="s">
        <v>930</v>
      </c>
      <c r="L38" s="274"/>
      <c r="M38" s="117" t="s">
        <v>1206</v>
      </c>
      <c r="N38" s="88"/>
      <c r="V38" s="982" t="s">
        <v>121</v>
      </c>
      <c r="W38" s="982" t="s">
        <v>523</v>
      </c>
      <c r="X38" s="982" t="s">
        <v>52</v>
      </c>
      <c r="Y38" s="982" t="s">
        <v>1082</v>
      </c>
      <c r="Z38" s="982" t="s">
        <v>896</v>
      </c>
      <c r="AA38" s="982" t="s">
        <v>1083</v>
      </c>
      <c r="AB38" s="982" t="s">
        <v>1084</v>
      </c>
      <c r="AC38" s="982" t="s">
        <v>956</v>
      </c>
      <c r="AD38" s="982" t="s">
        <v>957</v>
      </c>
      <c r="AE38" s="982" t="s">
        <v>1085</v>
      </c>
      <c r="AF38" s="982" t="s">
        <v>1086</v>
      </c>
      <c r="AG38" s="982" t="s">
        <v>1091</v>
      </c>
      <c r="AH38" s="982" t="s">
        <v>1092</v>
      </c>
      <c r="AI38" s="982" t="s">
        <v>1093</v>
      </c>
      <c r="AJ38" s="982" t="s">
        <v>1087</v>
      </c>
      <c r="AK38" s="982" t="s">
        <v>1088</v>
      </c>
      <c r="AL38" s="982" t="s">
        <v>1089</v>
      </c>
      <c r="AM38" s="84" t="s">
        <v>956</v>
      </c>
      <c r="AN38" s="84" t="s">
        <v>957</v>
      </c>
      <c r="AO38" s="84" t="s">
        <v>1090</v>
      </c>
    </row>
    <row r="39" spans="1:41" s="109" customFormat="1" ht="15" thickBot="1" x14ac:dyDescent="0.35">
      <c r="A39" s="364"/>
      <c r="B39" s="211" t="s">
        <v>942</v>
      </c>
      <c r="C39" s="124"/>
      <c r="D39" s="107"/>
      <c r="E39" s="1003" t="s">
        <v>1207</v>
      </c>
      <c r="F39" s="476"/>
      <c r="G39" s="1004" t="s">
        <v>1207</v>
      </c>
      <c r="H39" s="107"/>
      <c r="I39" s="1000" t="s">
        <v>946</v>
      </c>
      <c r="J39" s="107"/>
      <c r="K39" s="1000" t="s">
        <v>947</v>
      </c>
      <c r="L39" s="107"/>
      <c r="M39" s="1000" t="s">
        <v>1208</v>
      </c>
      <c r="N39" s="96"/>
      <c r="O39" s="364"/>
      <c r="P39" s="364"/>
      <c r="Q39" s="364"/>
      <c r="R39" s="364"/>
      <c r="S39" s="364"/>
      <c r="T39" s="364"/>
      <c r="U39" s="364"/>
      <c r="V39" s="982"/>
      <c r="W39" s="982"/>
      <c r="X39" s="982"/>
      <c r="Y39" s="982"/>
      <c r="Z39" s="982" t="s">
        <v>966</v>
      </c>
      <c r="AA39" s="982"/>
      <c r="AB39" s="982" t="s">
        <v>1094</v>
      </c>
      <c r="AC39" s="982"/>
      <c r="AD39" s="982" t="s">
        <v>968</v>
      </c>
      <c r="AE39" s="982"/>
      <c r="AF39" s="982" t="s">
        <v>1094</v>
      </c>
      <c r="AG39" s="982" t="s">
        <v>1094</v>
      </c>
      <c r="AH39" s="982" t="s">
        <v>1094</v>
      </c>
      <c r="AI39" s="982" t="s">
        <v>1094</v>
      </c>
      <c r="AJ39" s="982" t="s">
        <v>1094</v>
      </c>
      <c r="AK39" s="982" t="s">
        <v>1095</v>
      </c>
      <c r="AL39" s="982" t="s">
        <v>1094</v>
      </c>
      <c r="AM39" s="364"/>
      <c r="AN39" s="364" t="s">
        <v>968</v>
      </c>
      <c r="AO39" s="364" t="s">
        <v>1095</v>
      </c>
    </row>
    <row r="40" spans="1:41" s="51" customFormat="1" ht="28.2" thickTop="1" x14ac:dyDescent="0.3">
      <c r="A40" s="364"/>
      <c r="B40" s="130" t="s">
        <v>970</v>
      </c>
      <c r="C40" s="92" t="s">
        <v>1022</v>
      </c>
      <c r="D40" s="332"/>
      <c r="E40" s="1001">
        <v>0.65</v>
      </c>
      <c r="F40" s="332"/>
      <c r="G40" s="1001">
        <f>MIN(G15,0.3)</f>
        <v>0.19948994049305752</v>
      </c>
      <c r="H40" s="958" t="str">
        <f>IF(ROUND(I40,2)=ROUND(AK40,2),"x","")</f>
        <v>x</v>
      </c>
      <c r="I40" s="203">
        <f>E40+G40</f>
        <v>0.84948994049305759</v>
      </c>
      <c r="J40" s="958" t="str">
        <f>IF(K40=AC40,"x","")</f>
        <v>x</v>
      </c>
      <c r="K40" s="203" t="s">
        <v>1016</v>
      </c>
      <c r="L40" s="958" t="str">
        <f>IF(M40=AA40,"x","")</f>
        <v>x</v>
      </c>
      <c r="M40" s="203" t="s">
        <v>1209</v>
      </c>
      <c r="N40" s="96"/>
      <c r="O40" s="364"/>
      <c r="P40" s="812"/>
      <c r="Q40" s="812"/>
      <c r="R40" s="812"/>
      <c r="S40" s="812"/>
      <c r="T40" s="812"/>
      <c r="U40" s="813" t="s">
        <v>1212</v>
      </c>
      <c r="V40" s="949" t="s">
        <v>970</v>
      </c>
      <c r="W40" s="949" t="s">
        <v>170</v>
      </c>
      <c r="X40" s="949" t="s">
        <v>1022</v>
      </c>
      <c r="Y40" s="949" t="s">
        <v>137</v>
      </c>
      <c r="Z40" s="949">
        <v>10586.7</v>
      </c>
      <c r="AA40" s="949" t="s">
        <v>1209</v>
      </c>
      <c r="AB40" s="949">
        <v>0</v>
      </c>
      <c r="AC40" s="949" t="s">
        <v>1016</v>
      </c>
      <c r="AD40" s="949">
        <v>3340.2</v>
      </c>
      <c r="AE40" s="949">
        <v>-99996</v>
      </c>
      <c r="AF40" s="949">
        <v>0</v>
      </c>
      <c r="AG40" s="949">
        <v>6881.36</v>
      </c>
      <c r="AH40" s="949">
        <v>0</v>
      </c>
      <c r="AI40" s="949">
        <v>2112</v>
      </c>
      <c r="AJ40" s="949">
        <v>8993.36</v>
      </c>
      <c r="AK40" s="949">
        <v>0.85</v>
      </c>
      <c r="AL40" s="982"/>
      <c r="AM40" s="364"/>
      <c r="AN40" s="364"/>
      <c r="AO40" s="364"/>
    </row>
    <row r="41" spans="1:41" s="51" customFormat="1" ht="14.4" x14ac:dyDescent="0.3">
      <c r="A41" s="364"/>
      <c r="B41" s="130" t="s">
        <v>981</v>
      </c>
      <c r="C41" s="245" t="s">
        <v>986</v>
      </c>
      <c r="D41" s="333"/>
      <c r="E41" s="1001">
        <v>0.55000000000000004</v>
      </c>
      <c r="F41" s="982" t="s">
        <v>173</v>
      </c>
      <c r="G41" s="1001" t="s">
        <v>173</v>
      </c>
      <c r="H41" s="958" t="str">
        <f t="shared" ref="H41:H44" si="9">IF(ROUND(I41,2)=ROUND(AK41,2),"x","")</f>
        <v>x</v>
      </c>
      <c r="I41" s="203">
        <f>E41</f>
        <v>0.55000000000000004</v>
      </c>
      <c r="J41" s="958" t="str">
        <f t="shared" ref="J41:J44" si="10">IF(K41=AC41,"x","")</f>
        <v>x</v>
      </c>
      <c r="K41" s="203" t="s">
        <v>1016</v>
      </c>
      <c r="L41" s="958" t="str">
        <f t="shared" ref="L41:L44" si="11">IF(M41=AA41,"x","")</f>
        <v>x</v>
      </c>
      <c r="M41" s="203" t="s">
        <v>1209</v>
      </c>
      <c r="N41" s="96"/>
      <c r="O41" s="364"/>
      <c r="P41" s="364"/>
      <c r="Q41" s="364"/>
      <c r="R41" s="364"/>
      <c r="S41" s="364"/>
      <c r="T41" s="364"/>
      <c r="U41" s="364"/>
      <c r="V41" s="949" t="s">
        <v>981</v>
      </c>
      <c r="W41" s="949" t="s">
        <v>170</v>
      </c>
      <c r="X41" s="949" t="s">
        <v>986</v>
      </c>
      <c r="Y41" s="949" t="s">
        <v>137</v>
      </c>
      <c r="Z41" s="949">
        <v>2231.7600000000002</v>
      </c>
      <c r="AA41" s="949" t="s">
        <v>1209</v>
      </c>
      <c r="AB41" s="949">
        <v>0</v>
      </c>
      <c r="AC41" s="949" t="s">
        <v>1016</v>
      </c>
      <c r="AD41" s="949">
        <v>3340.2</v>
      </c>
      <c r="AE41" s="949">
        <v>-99996</v>
      </c>
      <c r="AF41" s="949">
        <v>0</v>
      </c>
      <c r="AG41" s="949">
        <v>1227.47</v>
      </c>
      <c r="AH41" s="949">
        <v>0</v>
      </c>
      <c r="AI41" s="949">
        <v>0</v>
      </c>
      <c r="AJ41" s="949">
        <v>1227.47</v>
      </c>
      <c r="AK41" s="949">
        <v>0.55000000000000004</v>
      </c>
      <c r="AL41" s="982"/>
      <c r="AM41" s="364"/>
      <c r="AN41" s="364"/>
      <c r="AO41" s="364"/>
    </row>
    <row r="42" spans="1:41" ht="14.4" x14ac:dyDescent="0.3">
      <c r="A42" s="364"/>
      <c r="B42" s="130" t="s">
        <v>984</v>
      </c>
      <c r="C42" s="245" t="s">
        <v>986</v>
      </c>
      <c r="D42" s="333"/>
      <c r="E42" s="1001">
        <v>0.55000000000000004</v>
      </c>
      <c r="F42" s="982" t="s">
        <v>173</v>
      </c>
      <c r="G42" s="1001" t="s">
        <v>173</v>
      </c>
      <c r="H42" s="958" t="str">
        <f t="shared" si="9"/>
        <v>x</v>
      </c>
      <c r="I42" s="203">
        <f t="shared" ref="I42:I44" si="12">E42</f>
        <v>0.55000000000000004</v>
      </c>
      <c r="J42" s="958" t="str">
        <f t="shared" si="10"/>
        <v>x</v>
      </c>
      <c r="K42" s="203" t="s">
        <v>1016</v>
      </c>
      <c r="L42" s="958" t="str">
        <f t="shared" si="11"/>
        <v>x</v>
      </c>
      <c r="M42" s="203" t="s">
        <v>1209</v>
      </c>
      <c r="N42" s="96"/>
      <c r="O42" s="373"/>
      <c r="P42" s="373"/>
      <c r="Q42" s="373"/>
      <c r="R42" s="373"/>
      <c r="S42" s="373"/>
      <c r="T42" s="373"/>
      <c r="U42" s="373"/>
      <c r="V42" s="949" t="s">
        <v>984</v>
      </c>
      <c r="W42" s="949" t="s">
        <v>170</v>
      </c>
      <c r="X42" s="949" t="s">
        <v>986</v>
      </c>
      <c r="Y42" s="949" t="s">
        <v>137</v>
      </c>
      <c r="Z42" s="949">
        <v>1412.9</v>
      </c>
      <c r="AA42" s="949" t="s">
        <v>1209</v>
      </c>
      <c r="AB42" s="949">
        <v>0</v>
      </c>
      <c r="AC42" s="949" t="s">
        <v>1016</v>
      </c>
      <c r="AD42" s="949">
        <v>3340.2</v>
      </c>
      <c r="AE42" s="949">
        <v>-99996</v>
      </c>
      <c r="AF42" s="949">
        <v>0</v>
      </c>
      <c r="AG42" s="949">
        <v>777.096</v>
      </c>
      <c r="AH42" s="949">
        <v>0</v>
      </c>
      <c r="AI42" s="949">
        <v>0</v>
      </c>
      <c r="AJ42" s="949">
        <v>777.096</v>
      </c>
      <c r="AK42" s="949">
        <v>0.55000000000000004</v>
      </c>
      <c r="AL42" s="982"/>
      <c r="AM42" s="373"/>
      <c r="AN42" s="373"/>
      <c r="AO42" s="373"/>
    </row>
    <row r="43" spans="1:41" s="51" customFormat="1" ht="14.4" x14ac:dyDescent="0.3">
      <c r="A43" s="364"/>
      <c r="B43" s="130" t="s">
        <v>987</v>
      </c>
      <c r="C43" s="245" t="s">
        <v>986</v>
      </c>
      <c r="D43" s="333"/>
      <c r="E43" s="1001">
        <v>0.55000000000000004</v>
      </c>
      <c r="F43" s="982" t="s">
        <v>173</v>
      </c>
      <c r="G43" s="1001" t="s">
        <v>173</v>
      </c>
      <c r="H43" s="958" t="str">
        <f t="shared" si="9"/>
        <v>x</v>
      </c>
      <c r="I43" s="203">
        <f t="shared" si="12"/>
        <v>0.55000000000000004</v>
      </c>
      <c r="J43" s="958" t="str">
        <f t="shared" si="10"/>
        <v>x</v>
      </c>
      <c r="K43" s="203" t="s">
        <v>1016</v>
      </c>
      <c r="L43" s="958" t="str">
        <f t="shared" si="11"/>
        <v>x</v>
      </c>
      <c r="M43" s="203" t="s">
        <v>1209</v>
      </c>
      <c r="N43" s="96"/>
      <c r="O43" s="364"/>
      <c r="P43" s="364"/>
      <c r="Q43" s="364"/>
      <c r="R43" s="364"/>
      <c r="S43" s="364"/>
      <c r="T43" s="364"/>
      <c r="U43" s="364"/>
      <c r="V43" s="949" t="s">
        <v>987</v>
      </c>
      <c r="W43" s="949" t="s">
        <v>170</v>
      </c>
      <c r="X43" s="949" t="s">
        <v>986</v>
      </c>
      <c r="Y43" s="949" t="s">
        <v>137</v>
      </c>
      <c r="Z43" s="949">
        <v>2231.7600000000002</v>
      </c>
      <c r="AA43" s="949" t="s">
        <v>1209</v>
      </c>
      <c r="AB43" s="949">
        <v>0</v>
      </c>
      <c r="AC43" s="949" t="s">
        <v>1016</v>
      </c>
      <c r="AD43" s="949">
        <v>3340.2</v>
      </c>
      <c r="AE43" s="949">
        <v>-99996</v>
      </c>
      <c r="AF43" s="949">
        <v>0</v>
      </c>
      <c r="AG43" s="949">
        <v>1227.47</v>
      </c>
      <c r="AH43" s="949">
        <v>0</v>
      </c>
      <c r="AI43" s="949">
        <v>0</v>
      </c>
      <c r="AJ43" s="949">
        <v>1227.47</v>
      </c>
      <c r="AK43" s="949">
        <v>0.55000000000000004</v>
      </c>
      <c r="AL43" s="982"/>
      <c r="AM43" s="364"/>
      <c r="AN43" s="364"/>
      <c r="AO43" s="364"/>
    </row>
    <row r="44" spans="1:41" s="51" customFormat="1" ht="14.4" x14ac:dyDescent="0.3">
      <c r="A44" s="364"/>
      <c r="B44" s="130" t="s">
        <v>989</v>
      </c>
      <c r="C44" s="738" t="s">
        <v>915</v>
      </c>
      <c r="D44" s="333"/>
      <c r="E44" s="1001">
        <v>0.6</v>
      </c>
      <c r="F44" s="982" t="s">
        <v>173</v>
      </c>
      <c r="G44" s="1001" t="s">
        <v>173</v>
      </c>
      <c r="H44" s="958" t="str">
        <f t="shared" si="9"/>
        <v>x</v>
      </c>
      <c r="I44" s="203">
        <f t="shared" si="12"/>
        <v>0.6</v>
      </c>
      <c r="J44" s="958" t="str">
        <f t="shared" si="10"/>
        <v>x</v>
      </c>
      <c r="K44" s="203" t="s">
        <v>1016</v>
      </c>
      <c r="L44" s="958" t="str">
        <f t="shared" si="11"/>
        <v>x</v>
      </c>
      <c r="M44" s="203" t="s">
        <v>1096</v>
      </c>
      <c r="N44" s="96"/>
      <c r="O44" s="364"/>
      <c r="P44" s="364"/>
      <c r="Q44" s="364"/>
      <c r="R44" s="364"/>
      <c r="S44" s="364"/>
      <c r="T44" s="364"/>
      <c r="U44" s="364"/>
      <c r="V44" s="949" t="s">
        <v>989</v>
      </c>
      <c r="W44" s="949" t="s">
        <v>170</v>
      </c>
      <c r="X44" s="949" t="s">
        <v>915</v>
      </c>
      <c r="Y44" s="949" t="s">
        <v>137</v>
      </c>
      <c r="Z44" s="949">
        <v>1412.8</v>
      </c>
      <c r="AA44" s="949" t="s">
        <v>1096</v>
      </c>
      <c r="AB44" s="949">
        <v>0</v>
      </c>
      <c r="AC44" s="949" t="s">
        <v>1016</v>
      </c>
      <c r="AD44" s="949">
        <v>3340.2</v>
      </c>
      <c r="AE44" s="949">
        <v>-99996</v>
      </c>
      <c r="AF44" s="949">
        <v>0</v>
      </c>
      <c r="AG44" s="949">
        <v>847.67899999999997</v>
      </c>
      <c r="AH44" s="949">
        <v>0</v>
      </c>
      <c r="AI44" s="949">
        <v>0</v>
      </c>
      <c r="AJ44" s="949">
        <v>847.67899999999997</v>
      </c>
      <c r="AK44" s="949">
        <v>0.6</v>
      </c>
      <c r="AL44" s="982"/>
      <c r="AM44" s="364"/>
      <c r="AN44" s="364"/>
      <c r="AO44" s="364"/>
    </row>
    <row r="45" spans="1:41" s="51" customFormat="1" ht="14.4" x14ac:dyDescent="0.3">
      <c r="A45" s="364"/>
      <c r="B45" s="130" t="s">
        <v>1211</v>
      </c>
      <c r="C45" s="364"/>
      <c r="D45" s="982" t="s">
        <v>173</v>
      </c>
      <c r="E45" s="1001" t="s">
        <v>173</v>
      </c>
      <c r="F45" s="982" t="s">
        <v>173</v>
      </c>
      <c r="G45" s="1001" t="s">
        <v>173</v>
      </c>
      <c r="H45" s="324" t="s">
        <v>173</v>
      </c>
      <c r="I45" s="979" t="s">
        <v>173</v>
      </c>
      <c r="J45" s="324" t="s">
        <v>173</v>
      </c>
      <c r="K45" s="979" t="s">
        <v>173</v>
      </c>
      <c r="L45" s="324" t="s">
        <v>173</v>
      </c>
      <c r="M45" s="979" t="s">
        <v>173</v>
      </c>
      <c r="N45" s="96"/>
      <c r="O45" s="364"/>
      <c r="P45" s="364"/>
      <c r="Q45" s="364"/>
      <c r="R45" s="364"/>
      <c r="S45" s="364"/>
      <c r="T45" s="364"/>
      <c r="U45" s="364"/>
      <c r="V45" s="949" t="s">
        <v>1211</v>
      </c>
      <c r="W45" s="949" t="s">
        <v>983</v>
      </c>
      <c r="X45" s="949" t="s">
        <v>979</v>
      </c>
      <c r="Y45" s="949" t="s">
        <v>137</v>
      </c>
      <c r="Z45" s="949">
        <v>0</v>
      </c>
      <c r="AA45" s="949"/>
      <c r="AB45" s="949"/>
      <c r="AC45" s="949"/>
      <c r="AD45" s="949"/>
      <c r="AE45" s="949"/>
      <c r="AF45" s="949"/>
      <c r="AG45" s="949"/>
      <c r="AH45" s="949"/>
      <c r="AI45" s="949"/>
      <c r="AJ45" s="949"/>
      <c r="AK45" s="949"/>
      <c r="AL45" s="982"/>
      <c r="AM45" s="364"/>
      <c r="AN45" s="364"/>
      <c r="AO45" s="364"/>
    </row>
    <row r="46" spans="1:41" s="51" customFormat="1" ht="27.6" x14ac:dyDescent="0.3">
      <c r="A46" s="364"/>
      <c r="B46" s="130" t="s">
        <v>990</v>
      </c>
      <c r="C46" s="92" t="s">
        <v>1022</v>
      </c>
      <c r="D46" s="333"/>
      <c r="E46" s="1001">
        <v>0.65</v>
      </c>
      <c r="F46" s="333"/>
      <c r="G46" s="1001">
        <f>MIN(G21,0.3)</f>
        <v>0.19948994049305752</v>
      </c>
      <c r="H46" s="958" t="str">
        <f t="shared" ref="H46:H50" si="13">IF(ROUND(I46,2)=ROUND(AK46,2),"x","")</f>
        <v>x</v>
      </c>
      <c r="I46" s="203">
        <f t="shared" ref="I46:I52" si="14">E46+G46</f>
        <v>0.84948994049305759</v>
      </c>
      <c r="J46" s="958" t="str">
        <f>IF(K46=AC46,"x","")</f>
        <v>x</v>
      </c>
      <c r="K46" s="203" t="s">
        <v>1016</v>
      </c>
      <c r="L46" s="958" t="str">
        <f>IF(M46=AA46,"x","")</f>
        <v>x</v>
      </c>
      <c r="M46" s="203" t="s">
        <v>1209</v>
      </c>
      <c r="N46" s="96"/>
      <c r="O46" s="364"/>
      <c r="P46" s="364"/>
      <c r="Q46" s="364"/>
      <c r="R46" s="364"/>
      <c r="S46" s="364"/>
      <c r="T46" s="364"/>
      <c r="U46" s="364"/>
      <c r="V46" s="949" t="s">
        <v>990</v>
      </c>
      <c r="W46" s="949" t="s">
        <v>170</v>
      </c>
      <c r="X46" s="949" t="s">
        <v>1022</v>
      </c>
      <c r="Y46" s="949" t="s">
        <v>137</v>
      </c>
      <c r="Z46" s="949">
        <v>10586.7</v>
      </c>
      <c r="AA46" s="949" t="s">
        <v>1209</v>
      </c>
      <c r="AB46" s="949">
        <v>0</v>
      </c>
      <c r="AC46" s="949" t="s">
        <v>1016</v>
      </c>
      <c r="AD46" s="949">
        <v>3340.2</v>
      </c>
      <c r="AE46" s="949">
        <v>-99996</v>
      </c>
      <c r="AF46" s="949">
        <v>0</v>
      </c>
      <c r="AG46" s="949">
        <v>6881.36</v>
      </c>
      <c r="AH46" s="949">
        <v>0</v>
      </c>
      <c r="AI46" s="949">
        <v>2112</v>
      </c>
      <c r="AJ46" s="949">
        <v>8993.36</v>
      </c>
      <c r="AK46" s="949">
        <v>0.85</v>
      </c>
      <c r="AL46" s="982"/>
      <c r="AM46" s="364"/>
      <c r="AN46" s="364"/>
      <c r="AO46" s="364"/>
    </row>
    <row r="47" spans="1:41" s="51" customFormat="1" ht="14.4" x14ac:dyDescent="0.3">
      <c r="A47" s="364"/>
      <c r="B47" s="130" t="s">
        <v>1000</v>
      </c>
      <c r="C47" s="245" t="s">
        <v>986</v>
      </c>
      <c r="D47" s="333"/>
      <c r="E47" s="1001">
        <v>0.55000000000000004</v>
      </c>
      <c r="F47" s="982" t="s">
        <v>173</v>
      </c>
      <c r="G47" s="1001" t="s">
        <v>173</v>
      </c>
      <c r="H47" s="958" t="str">
        <f t="shared" si="13"/>
        <v>x</v>
      </c>
      <c r="I47" s="203">
        <f t="shared" ref="I47:I50" si="15">E47</f>
        <v>0.55000000000000004</v>
      </c>
      <c r="J47" s="958" t="str">
        <f t="shared" ref="J47:J50" si="16">IF(K47=AC47,"x","")</f>
        <v>x</v>
      </c>
      <c r="K47" s="203" t="s">
        <v>1016</v>
      </c>
      <c r="L47" s="958" t="str">
        <f t="shared" ref="L47:L50" si="17">IF(M47=AA47,"x","")</f>
        <v>x</v>
      </c>
      <c r="M47" s="203" t="s">
        <v>1209</v>
      </c>
      <c r="N47" s="96"/>
      <c r="O47" s="364"/>
      <c r="P47" s="364"/>
      <c r="Q47" s="364"/>
      <c r="R47" s="364"/>
      <c r="S47" s="364"/>
      <c r="T47" s="364"/>
      <c r="U47" s="364"/>
      <c r="V47" s="949" t="s">
        <v>1000</v>
      </c>
      <c r="W47" s="949" t="s">
        <v>170</v>
      </c>
      <c r="X47" s="949" t="s">
        <v>986</v>
      </c>
      <c r="Y47" s="949" t="s">
        <v>137</v>
      </c>
      <c r="Z47" s="949">
        <v>2231.7600000000002</v>
      </c>
      <c r="AA47" s="949" t="s">
        <v>1209</v>
      </c>
      <c r="AB47" s="949">
        <v>0</v>
      </c>
      <c r="AC47" s="949" t="s">
        <v>1016</v>
      </c>
      <c r="AD47" s="949">
        <v>3340.2</v>
      </c>
      <c r="AE47" s="949">
        <v>-99996</v>
      </c>
      <c r="AF47" s="949">
        <v>0</v>
      </c>
      <c r="AG47" s="949">
        <v>1227.47</v>
      </c>
      <c r="AH47" s="949">
        <v>0</v>
      </c>
      <c r="AI47" s="949">
        <v>0</v>
      </c>
      <c r="AJ47" s="949">
        <v>1227.47</v>
      </c>
      <c r="AK47" s="949">
        <v>0.55000000000000004</v>
      </c>
      <c r="AL47" s="982"/>
      <c r="AM47" s="364"/>
      <c r="AN47" s="364"/>
      <c r="AO47" s="364"/>
    </row>
    <row r="48" spans="1:41" s="51" customFormat="1" ht="14.4" x14ac:dyDescent="0.3">
      <c r="A48" s="364"/>
      <c r="B48" s="130" t="s">
        <v>1001</v>
      </c>
      <c r="C48" s="245" t="s">
        <v>986</v>
      </c>
      <c r="D48" s="333"/>
      <c r="E48" s="1001">
        <v>0.55000000000000004</v>
      </c>
      <c r="F48" s="982" t="s">
        <v>173</v>
      </c>
      <c r="G48" s="1001" t="s">
        <v>173</v>
      </c>
      <c r="H48" s="958" t="str">
        <f t="shared" si="13"/>
        <v>x</v>
      </c>
      <c r="I48" s="203">
        <f t="shared" si="15"/>
        <v>0.55000000000000004</v>
      </c>
      <c r="J48" s="958" t="str">
        <f t="shared" si="16"/>
        <v>x</v>
      </c>
      <c r="K48" s="203" t="s">
        <v>1016</v>
      </c>
      <c r="L48" s="958" t="str">
        <f t="shared" si="17"/>
        <v>x</v>
      </c>
      <c r="M48" s="203" t="s">
        <v>1209</v>
      </c>
      <c r="N48" s="96"/>
      <c r="O48" s="364"/>
      <c r="P48" s="364"/>
      <c r="Q48" s="364"/>
      <c r="R48" s="364"/>
      <c r="S48" s="364"/>
      <c r="T48" s="364"/>
      <c r="U48" s="364"/>
      <c r="V48" s="949" t="s">
        <v>1001</v>
      </c>
      <c r="W48" s="949" t="s">
        <v>170</v>
      </c>
      <c r="X48" s="949" t="s">
        <v>986</v>
      </c>
      <c r="Y48" s="949" t="s">
        <v>137</v>
      </c>
      <c r="Z48" s="949">
        <v>1412.9</v>
      </c>
      <c r="AA48" s="949" t="s">
        <v>1209</v>
      </c>
      <c r="AB48" s="949">
        <v>0</v>
      </c>
      <c r="AC48" s="949" t="s">
        <v>1016</v>
      </c>
      <c r="AD48" s="949">
        <v>3340.2</v>
      </c>
      <c r="AE48" s="949">
        <v>-99996</v>
      </c>
      <c r="AF48" s="949">
        <v>0</v>
      </c>
      <c r="AG48" s="949">
        <v>777.096</v>
      </c>
      <c r="AH48" s="949">
        <v>0</v>
      </c>
      <c r="AI48" s="949">
        <v>0</v>
      </c>
      <c r="AJ48" s="949">
        <v>777.096</v>
      </c>
      <c r="AK48" s="949">
        <v>0.55000000000000004</v>
      </c>
      <c r="AL48" s="982"/>
      <c r="AM48" s="364"/>
      <c r="AN48" s="364"/>
      <c r="AO48" s="364"/>
    </row>
    <row r="49" spans="2:38" s="51" customFormat="1" ht="14.4" x14ac:dyDescent="0.3">
      <c r="B49" s="130" t="s">
        <v>1002</v>
      </c>
      <c r="C49" s="245" t="s">
        <v>986</v>
      </c>
      <c r="D49" s="333"/>
      <c r="E49" s="1001">
        <v>0.55000000000000004</v>
      </c>
      <c r="F49" s="982" t="s">
        <v>173</v>
      </c>
      <c r="G49" s="1001" t="s">
        <v>173</v>
      </c>
      <c r="H49" s="958" t="str">
        <f t="shared" si="13"/>
        <v>x</v>
      </c>
      <c r="I49" s="203">
        <f t="shared" si="15"/>
        <v>0.55000000000000004</v>
      </c>
      <c r="J49" s="958" t="str">
        <f t="shared" si="16"/>
        <v>x</v>
      </c>
      <c r="K49" s="203" t="s">
        <v>1016</v>
      </c>
      <c r="L49" s="958" t="str">
        <f t="shared" si="17"/>
        <v>x</v>
      </c>
      <c r="M49" s="203" t="s">
        <v>1209</v>
      </c>
      <c r="N49" s="96"/>
      <c r="O49" s="364"/>
      <c r="P49" s="364"/>
      <c r="Q49" s="364"/>
      <c r="R49" s="364"/>
      <c r="S49" s="364"/>
      <c r="T49" s="364"/>
      <c r="U49" s="364"/>
      <c r="V49" s="949" t="s">
        <v>1002</v>
      </c>
      <c r="W49" s="949" t="s">
        <v>170</v>
      </c>
      <c r="X49" s="949" t="s">
        <v>986</v>
      </c>
      <c r="Y49" s="949" t="s">
        <v>137</v>
      </c>
      <c r="Z49" s="949">
        <v>2231.7600000000002</v>
      </c>
      <c r="AA49" s="949" t="s">
        <v>1209</v>
      </c>
      <c r="AB49" s="949">
        <v>0</v>
      </c>
      <c r="AC49" s="949" t="s">
        <v>1016</v>
      </c>
      <c r="AD49" s="949">
        <v>3340.2</v>
      </c>
      <c r="AE49" s="949">
        <v>-99996</v>
      </c>
      <c r="AF49" s="949">
        <v>0</v>
      </c>
      <c r="AG49" s="949">
        <v>1227.47</v>
      </c>
      <c r="AH49" s="949">
        <v>0</v>
      </c>
      <c r="AI49" s="949">
        <v>0</v>
      </c>
      <c r="AJ49" s="949">
        <v>1227.47</v>
      </c>
      <c r="AK49" s="949">
        <v>0.55000000000000004</v>
      </c>
      <c r="AL49" s="982"/>
    </row>
    <row r="50" spans="2:38" s="51" customFormat="1" ht="14.4" x14ac:dyDescent="0.3">
      <c r="B50" s="130" t="s">
        <v>1003</v>
      </c>
      <c r="C50" s="738" t="s">
        <v>915</v>
      </c>
      <c r="D50" s="333"/>
      <c r="E50" s="1001">
        <v>0.6</v>
      </c>
      <c r="F50" s="982" t="s">
        <v>173</v>
      </c>
      <c r="G50" s="1001" t="s">
        <v>173</v>
      </c>
      <c r="H50" s="958" t="str">
        <f t="shared" si="13"/>
        <v>x</v>
      </c>
      <c r="I50" s="203">
        <f t="shared" si="15"/>
        <v>0.6</v>
      </c>
      <c r="J50" s="958" t="str">
        <f t="shared" si="16"/>
        <v>x</v>
      </c>
      <c r="K50" s="203" t="s">
        <v>1016</v>
      </c>
      <c r="L50" s="958" t="str">
        <f t="shared" si="17"/>
        <v>x</v>
      </c>
      <c r="M50" s="203" t="s">
        <v>1096</v>
      </c>
      <c r="N50" s="96"/>
      <c r="O50" s="364"/>
      <c r="P50" s="364"/>
      <c r="Q50" s="364"/>
      <c r="R50" s="364"/>
      <c r="S50" s="364"/>
      <c r="T50" s="364"/>
      <c r="U50" s="364"/>
      <c r="V50" s="949" t="s">
        <v>1003</v>
      </c>
      <c r="W50" s="949" t="s">
        <v>170</v>
      </c>
      <c r="X50" s="949" t="s">
        <v>915</v>
      </c>
      <c r="Y50" s="949" t="s">
        <v>137</v>
      </c>
      <c r="Z50" s="949">
        <v>1412.8</v>
      </c>
      <c r="AA50" s="949" t="s">
        <v>1096</v>
      </c>
      <c r="AB50" s="949">
        <v>0</v>
      </c>
      <c r="AC50" s="949" t="s">
        <v>1016</v>
      </c>
      <c r="AD50" s="949">
        <v>3340.2</v>
      </c>
      <c r="AE50" s="949">
        <v>-99996</v>
      </c>
      <c r="AF50" s="949">
        <v>0</v>
      </c>
      <c r="AG50" s="949">
        <v>847.67899999999997</v>
      </c>
      <c r="AH50" s="949">
        <v>0</v>
      </c>
      <c r="AI50" s="949">
        <v>0</v>
      </c>
      <c r="AJ50" s="949">
        <v>847.67899999999997</v>
      </c>
      <c r="AK50" s="949">
        <v>0.6</v>
      </c>
      <c r="AL50" s="982"/>
    </row>
    <row r="51" spans="2:38" s="51" customFormat="1" ht="14.4" x14ac:dyDescent="0.3">
      <c r="B51" s="130" t="s">
        <v>998</v>
      </c>
      <c r="C51" s="92"/>
      <c r="D51" s="982" t="s">
        <v>173</v>
      </c>
      <c r="E51" s="1001" t="s">
        <v>173</v>
      </c>
      <c r="F51" s="982" t="s">
        <v>173</v>
      </c>
      <c r="G51" s="1001" t="s">
        <v>173</v>
      </c>
      <c r="H51" s="324" t="s">
        <v>173</v>
      </c>
      <c r="I51" s="979" t="s">
        <v>173</v>
      </c>
      <c r="J51" s="324" t="s">
        <v>173</v>
      </c>
      <c r="K51" s="979" t="s">
        <v>173</v>
      </c>
      <c r="L51" s="324" t="s">
        <v>173</v>
      </c>
      <c r="M51" s="979" t="s">
        <v>173</v>
      </c>
      <c r="N51" s="96"/>
      <c r="O51" s="364"/>
      <c r="P51" s="364"/>
      <c r="Q51" s="364"/>
      <c r="R51" s="364"/>
      <c r="S51" s="364"/>
      <c r="T51" s="364"/>
      <c r="U51" s="364"/>
      <c r="V51" s="949" t="s">
        <v>998</v>
      </c>
      <c r="W51" s="949" t="s">
        <v>983</v>
      </c>
      <c r="X51" s="949" t="s">
        <v>979</v>
      </c>
      <c r="Y51" s="949" t="s">
        <v>137</v>
      </c>
      <c r="Z51" s="949">
        <v>0</v>
      </c>
      <c r="AA51" s="949"/>
      <c r="AB51" s="949"/>
      <c r="AC51" s="949"/>
      <c r="AD51" s="949"/>
      <c r="AE51" s="949"/>
      <c r="AF51" s="949"/>
      <c r="AG51" s="949"/>
      <c r="AH51" s="949"/>
      <c r="AI51" s="949"/>
      <c r="AJ51" s="949"/>
      <c r="AK51" s="949"/>
      <c r="AL51" s="982"/>
    </row>
    <row r="52" spans="2:38" s="51" customFormat="1" ht="27.6" x14ac:dyDescent="0.3">
      <c r="B52" s="130" t="s">
        <v>1013</v>
      </c>
      <c r="C52" s="92" t="s">
        <v>1022</v>
      </c>
      <c r="D52" s="333"/>
      <c r="E52" s="1001">
        <v>0.65</v>
      </c>
      <c r="F52" s="333"/>
      <c r="G52" s="1001">
        <f>MIN(G27,0.3)</f>
        <v>0.19948994049305752</v>
      </c>
      <c r="H52" s="958" t="str">
        <f t="shared" ref="H52:H56" si="18">IF(ROUND(I52,2)=ROUND(AK52,2),"x","")</f>
        <v>x</v>
      </c>
      <c r="I52" s="203">
        <f t="shared" si="14"/>
        <v>0.84948994049305759</v>
      </c>
      <c r="J52" s="958" t="str">
        <f>IF(K52=AC52,"x","")</f>
        <v>x</v>
      </c>
      <c r="K52" s="203" t="s">
        <v>1016</v>
      </c>
      <c r="L52" s="958" t="str">
        <f>IF(M52=AA52,"x","")</f>
        <v>x</v>
      </c>
      <c r="M52" s="203" t="s">
        <v>1209</v>
      </c>
      <c r="N52" s="96"/>
      <c r="O52" s="364"/>
      <c r="P52" s="364"/>
      <c r="Q52" s="364"/>
      <c r="R52" s="364"/>
      <c r="S52" s="364"/>
      <c r="T52" s="364"/>
      <c r="U52" s="364"/>
      <c r="V52" s="949" t="s">
        <v>1013</v>
      </c>
      <c r="W52" s="949" t="s">
        <v>170</v>
      </c>
      <c r="X52" s="949" t="s">
        <v>1022</v>
      </c>
      <c r="Y52" s="949" t="s">
        <v>137</v>
      </c>
      <c r="Z52" s="949">
        <v>10586.7</v>
      </c>
      <c r="AA52" s="949" t="s">
        <v>1209</v>
      </c>
      <c r="AB52" s="949">
        <v>0</v>
      </c>
      <c r="AC52" s="949" t="s">
        <v>1016</v>
      </c>
      <c r="AD52" s="949">
        <v>3340.2</v>
      </c>
      <c r="AE52" s="949">
        <v>-99996</v>
      </c>
      <c r="AF52" s="949">
        <v>0</v>
      </c>
      <c r="AG52" s="949">
        <v>6881.36</v>
      </c>
      <c r="AH52" s="949">
        <v>0</v>
      </c>
      <c r="AI52" s="949">
        <v>2112</v>
      </c>
      <c r="AJ52" s="949">
        <v>8993.36</v>
      </c>
      <c r="AK52" s="949">
        <v>0.85</v>
      </c>
      <c r="AL52" s="982"/>
    </row>
    <row r="53" spans="2:38" s="51" customFormat="1" ht="14.4" x14ac:dyDescent="0.3">
      <c r="B53" s="130" t="s">
        <v>1021</v>
      </c>
      <c r="C53" s="245" t="s">
        <v>986</v>
      </c>
      <c r="D53" s="333"/>
      <c r="E53" s="1001">
        <v>0.55000000000000004</v>
      </c>
      <c r="F53" s="982" t="s">
        <v>173</v>
      </c>
      <c r="G53" s="1001" t="s">
        <v>173</v>
      </c>
      <c r="H53" s="958" t="str">
        <f t="shared" si="18"/>
        <v>x</v>
      </c>
      <c r="I53" s="203">
        <f t="shared" ref="I53:I56" si="19">E53</f>
        <v>0.55000000000000004</v>
      </c>
      <c r="J53" s="958" t="str">
        <f t="shared" ref="J53:J56" si="20">IF(K53=AC53,"x","")</f>
        <v>x</v>
      </c>
      <c r="K53" s="203" t="s">
        <v>1016</v>
      </c>
      <c r="L53" s="958" t="str">
        <f t="shared" ref="L53:L56" si="21">IF(M53=AA53,"x","")</f>
        <v>x</v>
      </c>
      <c r="M53" s="203" t="s">
        <v>1209</v>
      </c>
      <c r="N53" s="96"/>
      <c r="O53" s="364"/>
      <c r="P53" s="364"/>
      <c r="Q53" s="364"/>
      <c r="R53" s="364"/>
      <c r="S53" s="364"/>
      <c r="T53" s="364"/>
      <c r="U53" s="364"/>
      <c r="V53" s="949" t="s">
        <v>1021</v>
      </c>
      <c r="W53" s="949" t="s">
        <v>170</v>
      </c>
      <c r="X53" s="949" t="s">
        <v>986</v>
      </c>
      <c r="Y53" s="949" t="s">
        <v>137</v>
      </c>
      <c r="Z53" s="949">
        <v>2231.7600000000002</v>
      </c>
      <c r="AA53" s="949" t="s">
        <v>1209</v>
      </c>
      <c r="AB53" s="949">
        <v>0</v>
      </c>
      <c r="AC53" s="949" t="s">
        <v>1016</v>
      </c>
      <c r="AD53" s="949">
        <v>3340.2</v>
      </c>
      <c r="AE53" s="949">
        <v>-99996</v>
      </c>
      <c r="AF53" s="949">
        <v>0</v>
      </c>
      <c r="AG53" s="949">
        <v>1227.47</v>
      </c>
      <c r="AH53" s="949">
        <v>0</v>
      </c>
      <c r="AI53" s="949">
        <v>0</v>
      </c>
      <c r="AJ53" s="949">
        <v>1227.47</v>
      </c>
      <c r="AK53" s="949">
        <v>0.55000000000000004</v>
      </c>
      <c r="AL53" s="982"/>
    </row>
    <row r="54" spans="2:38" s="51" customFormat="1" ht="14.4" x14ac:dyDescent="0.3">
      <c r="B54" s="130" t="s">
        <v>1023</v>
      </c>
      <c r="C54" s="245" t="s">
        <v>986</v>
      </c>
      <c r="D54" s="333"/>
      <c r="E54" s="1001">
        <v>0.55000000000000004</v>
      </c>
      <c r="F54" s="982" t="s">
        <v>173</v>
      </c>
      <c r="G54" s="1001" t="s">
        <v>173</v>
      </c>
      <c r="H54" s="958" t="str">
        <f t="shared" si="18"/>
        <v>x</v>
      </c>
      <c r="I54" s="203">
        <f t="shared" si="19"/>
        <v>0.55000000000000004</v>
      </c>
      <c r="J54" s="958" t="str">
        <f t="shared" si="20"/>
        <v>x</v>
      </c>
      <c r="K54" s="203" t="s">
        <v>1016</v>
      </c>
      <c r="L54" s="958" t="str">
        <f t="shared" si="21"/>
        <v>x</v>
      </c>
      <c r="M54" s="203" t="s">
        <v>1209</v>
      </c>
      <c r="N54" s="96"/>
      <c r="O54" s="364"/>
      <c r="P54" s="364"/>
      <c r="Q54" s="364"/>
      <c r="R54" s="364"/>
      <c r="S54" s="364"/>
      <c r="T54" s="364"/>
      <c r="U54" s="364"/>
      <c r="V54" s="949" t="s">
        <v>1023</v>
      </c>
      <c r="W54" s="949" t="s">
        <v>170</v>
      </c>
      <c r="X54" s="949" t="s">
        <v>986</v>
      </c>
      <c r="Y54" s="949" t="s">
        <v>137</v>
      </c>
      <c r="Z54" s="949">
        <v>1412.9</v>
      </c>
      <c r="AA54" s="949" t="s">
        <v>1209</v>
      </c>
      <c r="AB54" s="949">
        <v>0</v>
      </c>
      <c r="AC54" s="949" t="s">
        <v>1016</v>
      </c>
      <c r="AD54" s="949">
        <v>3340.2</v>
      </c>
      <c r="AE54" s="949">
        <v>-99996</v>
      </c>
      <c r="AF54" s="949">
        <v>0</v>
      </c>
      <c r="AG54" s="949">
        <v>777.096</v>
      </c>
      <c r="AH54" s="949">
        <v>0</v>
      </c>
      <c r="AI54" s="949">
        <v>0</v>
      </c>
      <c r="AJ54" s="949">
        <v>777.096</v>
      </c>
      <c r="AK54" s="949">
        <v>0.55000000000000004</v>
      </c>
      <c r="AL54" s="982"/>
    </row>
    <row r="55" spans="2:38" s="51" customFormat="1" ht="14.4" x14ac:dyDescent="0.3">
      <c r="B55" s="130" t="s">
        <v>1024</v>
      </c>
      <c r="C55" s="245" t="s">
        <v>986</v>
      </c>
      <c r="D55" s="333"/>
      <c r="E55" s="1001">
        <v>0.55000000000000004</v>
      </c>
      <c r="F55" s="982" t="s">
        <v>173</v>
      </c>
      <c r="G55" s="1001" t="s">
        <v>173</v>
      </c>
      <c r="H55" s="958" t="str">
        <f t="shared" si="18"/>
        <v>x</v>
      </c>
      <c r="I55" s="203">
        <f t="shared" si="19"/>
        <v>0.55000000000000004</v>
      </c>
      <c r="J55" s="958" t="str">
        <f t="shared" si="20"/>
        <v>x</v>
      </c>
      <c r="K55" s="203" t="s">
        <v>1016</v>
      </c>
      <c r="L55" s="958" t="str">
        <f t="shared" si="21"/>
        <v>x</v>
      </c>
      <c r="M55" s="203" t="s">
        <v>1209</v>
      </c>
      <c r="N55" s="96"/>
      <c r="O55" s="364"/>
      <c r="P55" s="364"/>
      <c r="Q55" s="364"/>
      <c r="R55" s="364"/>
      <c r="S55" s="364"/>
      <c r="T55" s="364"/>
      <c r="U55" s="364"/>
      <c r="V55" s="949" t="s">
        <v>1024</v>
      </c>
      <c r="W55" s="949" t="s">
        <v>170</v>
      </c>
      <c r="X55" s="949" t="s">
        <v>986</v>
      </c>
      <c r="Y55" s="949" t="s">
        <v>137</v>
      </c>
      <c r="Z55" s="949">
        <v>2231.7600000000002</v>
      </c>
      <c r="AA55" s="949" t="s">
        <v>1209</v>
      </c>
      <c r="AB55" s="949">
        <v>0</v>
      </c>
      <c r="AC55" s="949" t="s">
        <v>1016</v>
      </c>
      <c r="AD55" s="949">
        <v>3340.2</v>
      </c>
      <c r="AE55" s="949">
        <v>-99996</v>
      </c>
      <c r="AF55" s="949">
        <v>0</v>
      </c>
      <c r="AG55" s="949">
        <v>1227.47</v>
      </c>
      <c r="AH55" s="949">
        <v>0</v>
      </c>
      <c r="AI55" s="949">
        <v>0</v>
      </c>
      <c r="AJ55" s="949">
        <v>1227.47</v>
      </c>
      <c r="AK55" s="949">
        <v>0.55000000000000004</v>
      </c>
      <c r="AL55" s="982"/>
    </row>
    <row r="56" spans="2:38" s="51" customFormat="1" ht="14.4" x14ac:dyDescent="0.3">
      <c r="B56" s="130" t="s">
        <v>1025</v>
      </c>
      <c r="C56" s="738" t="s">
        <v>915</v>
      </c>
      <c r="D56" s="333"/>
      <c r="E56" s="1001">
        <v>0.6</v>
      </c>
      <c r="F56" s="982" t="s">
        <v>173</v>
      </c>
      <c r="G56" s="1001" t="s">
        <v>173</v>
      </c>
      <c r="H56" s="958" t="str">
        <f t="shared" si="18"/>
        <v>x</v>
      </c>
      <c r="I56" s="203">
        <f t="shared" si="19"/>
        <v>0.6</v>
      </c>
      <c r="J56" s="958" t="str">
        <f t="shared" si="20"/>
        <v>x</v>
      </c>
      <c r="K56" s="203" t="s">
        <v>1016</v>
      </c>
      <c r="L56" s="958" t="str">
        <f t="shared" si="21"/>
        <v>x</v>
      </c>
      <c r="M56" s="203" t="s">
        <v>1096</v>
      </c>
      <c r="N56" s="96"/>
      <c r="O56" s="364"/>
      <c r="P56" s="364"/>
      <c r="Q56" s="364"/>
      <c r="R56" s="364"/>
      <c r="S56" s="364"/>
      <c r="T56" s="364"/>
      <c r="U56" s="364"/>
      <c r="V56" s="949" t="s">
        <v>1025</v>
      </c>
      <c r="W56" s="949" t="s">
        <v>170</v>
      </c>
      <c r="X56" s="949" t="s">
        <v>915</v>
      </c>
      <c r="Y56" s="949" t="s">
        <v>137</v>
      </c>
      <c r="Z56" s="949">
        <v>1412.8</v>
      </c>
      <c r="AA56" s="949" t="s">
        <v>1096</v>
      </c>
      <c r="AB56" s="949">
        <v>0</v>
      </c>
      <c r="AC56" s="949" t="s">
        <v>1016</v>
      </c>
      <c r="AD56" s="949">
        <v>3340.2</v>
      </c>
      <c r="AE56" s="949">
        <v>-99996</v>
      </c>
      <c r="AF56" s="949">
        <v>0</v>
      </c>
      <c r="AG56" s="949">
        <v>847.67899999999997</v>
      </c>
      <c r="AH56" s="949">
        <v>0</v>
      </c>
      <c r="AI56" s="949">
        <v>0</v>
      </c>
      <c r="AJ56" s="949">
        <v>847.67899999999997</v>
      </c>
      <c r="AK56" s="949">
        <v>0.6</v>
      </c>
      <c r="AL56" s="982"/>
    </row>
    <row r="57" spans="2:38" s="51" customFormat="1" ht="14.4" x14ac:dyDescent="0.3">
      <c r="B57" s="180" t="s">
        <v>1026</v>
      </c>
      <c r="C57" s="156"/>
      <c r="D57" s="982" t="s">
        <v>173</v>
      </c>
      <c r="E57" s="1002" t="s">
        <v>173</v>
      </c>
      <c r="F57" s="982" t="s">
        <v>173</v>
      </c>
      <c r="G57" s="1002" t="s">
        <v>173</v>
      </c>
      <c r="H57" s="325" t="s">
        <v>173</v>
      </c>
      <c r="I57" s="980" t="s">
        <v>173</v>
      </c>
      <c r="J57" s="325" t="s">
        <v>173</v>
      </c>
      <c r="K57" s="980" t="s">
        <v>173</v>
      </c>
      <c r="L57" s="325" t="s">
        <v>173</v>
      </c>
      <c r="M57" s="980" t="s">
        <v>173</v>
      </c>
      <c r="N57" s="96"/>
      <c r="O57" s="364"/>
      <c r="P57" s="364"/>
      <c r="Q57" s="364"/>
      <c r="R57" s="364"/>
      <c r="S57" s="364"/>
      <c r="T57" s="364"/>
      <c r="U57" s="364"/>
      <c r="V57" s="949" t="s">
        <v>1026</v>
      </c>
      <c r="W57" s="949" t="s">
        <v>983</v>
      </c>
      <c r="X57" s="949" t="s">
        <v>979</v>
      </c>
      <c r="Y57" s="949" t="s">
        <v>137</v>
      </c>
      <c r="Z57" s="949">
        <v>0</v>
      </c>
      <c r="AA57" s="949"/>
      <c r="AB57" s="949"/>
      <c r="AC57" s="949"/>
      <c r="AD57" s="949"/>
      <c r="AE57" s="949"/>
      <c r="AF57" s="949"/>
      <c r="AG57" s="949"/>
      <c r="AH57" s="949"/>
      <c r="AI57" s="949"/>
      <c r="AJ57" s="949"/>
      <c r="AK57" s="949"/>
      <c r="AL57" s="982"/>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AS60"/>
  <sheetViews>
    <sheetView zoomScaleNormal="100" workbookViewId="0">
      <selection activeCell="J8" sqref="J8"/>
    </sheetView>
  </sheetViews>
  <sheetFormatPr defaultColWidth="9.109375" defaultRowHeight="13.8" outlineLevelCol="1" x14ac:dyDescent="0.3"/>
  <cols>
    <col min="1" max="1" width="3.6640625" style="51" customWidth="1"/>
    <col min="2" max="2" width="22.109375" style="52" bestFit="1" customWidth="1"/>
    <col min="3" max="3" width="23.44140625" style="7" customWidth="1"/>
    <col min="4" max="4" width="2.6640625" style="113" customWidth="1"/>
    <col min="5" max="5" width="28.109375" style="19" bestFit="1" customWidth="1"/>
    <col min="6" max="6" width="2.6640625" style="113" customWidth="1"/>
    <col min="7" max="7" width="21.88671875" style="2" bestFit="1" customWidth="1"/>
    <col min="8" max="8" width="2.6640625" style="113" customWidth="1"/>
    <col min="9" max="9" width="20.6640625" style="2" customWidth="1"/>
    <col min="10" max="10" width="2.6640625" style="113" customWidth="1"/>
    <col min="11" max="11" width="19.109375" style="19" customWidth="1"/>
    <col min="12" max="12" width="2.6640625" style="113" customWidth="1"/>
    <col min="13" max="13" width="17.33203125" style="103" customWidth="1"/>
    <col min="14" max="14" width="2.6640625" style="113" customWidth="1"/>
    <col min="15" max="15" width="18.5546875" style="19" customWidth="1"/>
    <col min="16" max="16" width="2.6640625" style="113" customWidth="1"/>
    <col min="17" max="17" width="19.88671875" style="19" customWidth="1"/>
    <col min="18" max="18" width="2.6640625" style="19" customWidth="1"/>
    <col min="19" max="19" width="6" style="373" customWidth="1"/>
    <col min="20" max="20" width="9.33203125" style="19" customWidth="1" outlineLevel="1"/>
    <col min="21" max="21" width="9.33203125" style="373" customWidth="1" outlineLevel="1"/>
    <col min="22" max="45" width="9.109375" style="19" customWidth="1" outlineLevel="1"/>
    <col min="46" max="16384" width="9.109375" style="19"/>
  </cols>
  <sheetData>
    <row r="1" spans="1:42" x14ac:dyDescent="0.3">
      <c r="A1" s="91" t="s">
        <v>1213</v>
      </c>
      <c r="B1" s="74"/>
      <c r="C1" s="74"/>
      <c r="D1" s="74"/>
      <c r="E1" s="74"/>
      <c r="F1" s="74"/>
      <c r="G1" s="79"/>
      <c r="H1" s="74"/>
      <c r="I1" s="79"/>
      <c r="J1" s="74"/>
      <c r="K1" s="79"/>
      <c r="L1" s="74"/>
      <c r="M1" s="74"/>
      <c r="N1" s="74"/>
      <c r="O1" s="74"/>
      <c r="P1" s="74"/>
      <c r="Q1" s="74"/>
      <c r="R1" s="74"/>
      <c r="S1" s="74"/>
      <c r="T1" s="373"/>
      <c r="V1" s="373"/>
      <c r="W1" s="373"/>
      <c r="X1" s="373"/>
      <c r="Y1" s="373"/>
      <c r="Z1" s="373"/>
      <c r="AA1" s="373"/>
      <c r="AB1" s="373"/>
      <c r="AC1" s="373"/>
      <c r="AD1" s="373"/>
      <c r="AE1" s="373"/>
      <c r="AF1" s="373"/>
      <c r="AG1" s="373"/>
      <c r="AH1" s="373"/>
      <c r="AI1" s="373"/>
      <c r="AJ1" s="373"/>
      <c r="AK1" s="373"/>
      <c r="AL1" s="373"/>
      <c r="AM1" s="373"/>
      <c r="AN1" s="373"/>
      <c r="AO1" s="373"/>
      <c r="AP1" s="373"/>
    </row>
    <row r="2" spans="1:42" s="51" customFormat="1" x14ac:dyDescent="0.3">
      <c r="A2" s="364"/>
      <c r="B2" s="513" t="s">
        <v>0</v>
      </c>
      <c r="C2" s="513"/>
      <c r="D2" s="520"/>
      <c r="E2" s="513" t="s">
        <v>1</v>
      </c>
      <c r="F2" s="364"/>
      <c r="G2" s="72"/>
      <c r="H2" s="364"/>
      <c r="I2" s="72"/>
      <c r="J2" s="513"/>
      <c r="K2" s="516" t="s">
        <v>109</v>
      </c>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row>
    <row r="3" spans="1:42" s="51" customFormat="1" x14ac:dyDescent="0.3">
      <c r="A3" s="364"/>
      <c r="B3" s="364" t="s">
        <v>2</v>
      </c>
      <c r="C3" s="97" t="s">
        <v>59</v>
      </c>
      <c r="D3" s="364"/>
      <c r="E3" s="364" t="s">
        <v>3</v>
      </c>
      <c r="F3" s="364"/>
      <c r="G3" s="950" t="str">
        <f>'Documentation Main Sheet'!I2</f>
        <v>r6055</v>
      </c>
      <c r="H3" s="364"/>
      <c r="I3" s="399"/>
      <c r="J3" s="521"/>
      <c r="K3" s="364" t="s">
        <v>110</v>
      </c>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row>
    <row r="4" spans="1:42" s="51" customFormat="1" x14ac:dyDescent="0.3">
      <c r="A4" s="364"/>
      <c r="B4" s="364" t="s">
        <v>6</v>
      </c>
      <c r="C4" s="364" t="str">
        <f>C3&amp;".cibd19"</f>
        <v>030006-OffMed-Run13.cibd19</v>
      </c>
      <c r="D4" s="364"/>
      <c r="E4" s="364" t="s">
        <v>7</v>
      </c>
      <c r="F4" s="364"/>
      <c r="G4" s="364" t="str">
        <f>'Documentation Main Sheet'!I3</f>
        <v>Release package</v>
      </c>
      <c r="H4" s="364"/>
      <c r="I4" s="399"/>
      <c r="J4" s="994">
        <v>1</v>
      </c>
      <c r="K4" s="373" t="s">
        <v>111</v>
      </c>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row>
    <row r="5" spans="1:42" s="51" customFormat="1" x14ac:dyDescent="0.3">
      <c r="A5" s="364"/>
      <c r="B5" s="364" t="s">
        <v>9</v>
      </c>
      <c r="C5" s="364" t="s">
        <v>112</v>
      </c>
      <c r="D5" s="364"/>
      <c r="E5" s="364" t="s">
        <v>10</v>
      </c>
      <c r="F5" s="364"/>
      <c r="G5" s="364" t="str">
        <f>'Documentation Main Sheet'!I4</f>
        <v>CBECC-Com 2019.1.2 Release</v>
      </c>
      <c r="H5" s="364"/>
      <c r="I5" s="399"/>
      <c r="J5" s="991">
        <v>1</v>
      </c>
      <c r="K5" s="373" t="s">
        <v>111</v>
      </c>
      <c r="L5" s="364"/>
      <c r="M5" s="364"/>
      <c r="N5" s="364"/>
      <c r="O5" s="364"/>
      <c r="P5" s="68"/>
      <c r="Q5" s="68"/>
      <c r="R5" s="68"/>
      <c r="S5" s="68"/>
      <c r="T5" s="364"/>
      <c r="U5" s="364"/>
      <c r="V5" s="364"/>
      <c r="W5" s="364"/>
      <c r="X5" s="364"/>
      <c r="Y5" s="364"/>
      <c r="Z5" s="364"/>
      <c r="AA5" s="364"/>
      <c r="AB5" s="364"/>
      <c r="AC5" s="364"/>
      <c r="AD5" s="364"/>
      <c r="AE5" s="364"/>
      <c r="AF5" s="364"/>
      <c r="AG5" s="364"/>
      <c r="AH5" s="364"/>
      <c r="AI5" s="364"/>
      <c r="AJ5" s="364"/>
      <c r="AK5" s="364"/>
      <c r="AL5" s="364"/>
      <c r="AM5" s="364"/>
      <c r="AN5" s="364"/>
      <c r="AO5" s="364"/>
      <c r="AP5" s="364"/>
    </row>
    <row r="6" spans="1:42" s="51" customFormat="1" x14ac:dyDescent="0.3">
      <c r="A6" s="364"/>
      <c r="B6" s="364" t="s">
        <v>17</v>
      </c>
      <c r="C6" s="92" t="s">
        <v>35</v>
      </c>
      <c r="D6" s="364"/>
      <c r="E6" s="364" t="s">
        <v>12</v>
      </c>
      <c r="F6" s="364"/>
      <c r="G6" s="68">
        <f>'Documentation Main Sheet'!I5</f>
        <v>43754</v>
      </c>
      <c r="H6" s="364"/>
      <c r="I6" s="400"/>
      <c r="J6" s="524">
        <v>1</v>
      </c>
      <c r="K6" s="376" t="s">
        <v>113</v>
      </c>
      <c r="L6" s="83"/>
      <c r="M6" s="364"/>
      <c r="N6" s="83"/>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row>
    <row r="7" spans="1:42" s="51" customFormat="1" x14ac:dyDescent="0.3">
      <c r="A7" s="364"/>
      <c r="B7" s="364" t="s">
        <v>20</v>
      </c>
      <c r="C7" s="92" t="s">
        <v>57</v>
      </c>
      <c r="D7" s="364"/>
      <c r="E7" s="364" t="s">
        <v>13</v>
      </c>
      <c r="F7" s="364"/>
      <c r="G7" s="364" t="str">
        <f>'Documentation Main Sheet'!I6</f>
        <v>Jireh Peng</v>
      </c>
      <c r="H7" s="364"/>
      <c r="I7" s="72"/>
      <c r="J7" s="525">
        <v>1</v>
      </c>
      <c r="K7" s="373" t="s">
        <v>114</v>
      </c>
      <c r="L7" s="83"/>
      <c r="M7" s="364"/>
      <c r="N7" s="83"/>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row>
    <row r="8" spans="1:42" s="51" customFormat="1" x14ac:dyDescent="0.3">
      <c r="A8" s="364"/>
      <c r="B8" s="364" t="s">
        <v>19</v>
      </c>
      <c r="C8" s="92" t="s">
        <v>27</v>
      </c>
      <c r="D8" s="364"/>
      <c r="E8" s="364"/>
      <c r="F8" s="364"/>
      <c r="G8" s="376"/>
      <c r="H8" s="364"/>
      <c r="I8" s="376"/>
      <c r="J8" s="996">
        <v>1</v>
      </c>
      <c r="K8" s="364" t="s">
        <v>115</v>
      </c>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row>
    <row r="9" spans="1:42" s="51" customFormat="1" x14ac:dyDescent="0.3">
      <c r="A9" s="364"/>
      <c r="B9" s="364"/>
      <c r="C9" s="364"/>
      <c r="D9" s="364"/>
      <c r="E9" s="364"/>
      <c r="F9" s="364"/>
      <c r="G9" s="72"/>
      <c r="H9" s="364"/>
      <c r="I9" s="72"/>
      <c r="J9" s="364"/>
      <c r="K9" s="72"/>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row>
    <row r="10" spans="1:42" s="33" customFormat="1" x14ac:dyDescent="0.3">
      <c r="A10" s="283"/>
      <c r="B10" s="336" t="s">
        <v>134</v>
      </c>
      <c r="C10" s="283"/>
      <c r="D10" s="283"/>
      <c r="E10" s="283"/>
      <c r="F10" s="283"/>
      <c r="G10" s="283"/>
      <c r="H10" s="283"/>
      <c r="I10" s="283"/>
      <c r="J10" s="283"/>
      <c r="K10" s="283"/>
      <c r="L10" s="283"/>
      <c r="M10" s="283"/>
      <c r="N10" s="283"/>
      <c r="O10" s="283"/>
      <c r="P10" s="283"/>
      <c r="Q10" s="283"/>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row>
    <row r="11" spans="1:42" s="3" customFormat="1" ht="12.75" customHeight="1" x14ac:dyDescent="0.3">
      <c r="A11" s="77"/>
      <c r="B11" s="49" t="s">
        <v>922</v>
      </c>
      <c r="C11" s="89"/>
      <c r="D11" s="91"/>
      <c r="E11" s="89"/>
      <c r="F11" s="91"/>
      <c r="G11" s="89"/>
      <c r="H11" s="91"/>
      <c r="I11" s="89"/>
      <c r="J11" s="91"/>
      <c r="K11" s="89"/>
      <c r="L11" s="91"/>
      <c r="M11" s="89"/>
      <c r="N11" s="91"/>
      <c r="O11" s="89"/>
      <c r="P11" s="91"/>
      <c r="Q11" s="89"/>
      <c r="R11" s="96"/>
      <c r="S11" s="96"/>
      <c r="T11" s="89"/>
      <c r="U11" s="89"/>
      <c r="V11" s="89"/>
      <c r="W11" s="89"/>
      <c r="X11" s="89"/>
      <c r="Y11" s="89"/>
      <c r="Z11" s="369" t="s">
        <v>1081</v>
      </c>
      <c r="AA11" s="982"/>
      <c r="AB11" s="982"/>
      <c r="AC11" s="982"/>
      <c r="AD11" s="982"/>
      <c r="AE11" s="982"/>
      <c r="AF11" s="982"/>
      <c r="AG11" s="982"/>
      <c r="AH11" s="982"/>
      <c r="AI11" s="982"/>
      <c r="AJ11" s="982"/>
      <c r="AK11" s="982"/>
      <c r="AL11" s="982"/>
      <c r="AM11" s="982"/>
      <c r="AN11" s="982"/>
      <c r="AO11" s="982"/>
      <c r="AP11" s="982"/>
    </row>
    <row r="12" spans="1:42" s="3" customFormat="1" ht="14.4" x14ac:dyDescent="0.3">
      <c r="A12" s="89"/>
      <c r="B12" s="84" t="s">
        <v>870</v>
      </c>
      <c r="C12" s="89"/>
      <c r="D12" s="91"/>
      <c r="E12" s="89"/>
      <c r="F12" s="91"/>
      <c r="G12" s="89"/>
      <c r="H12" s="91"/>
      <c r="I12" s="89"/>
      <c r="J12" s="91"/>
      <c r="K12" s="89"/>
      <c r="L12" s="91"/>
      <c r="M12" s="89"/>
      <c r="N12" s="91"/>
      <c r="O12" s="89"/>
      <c r="P12" s="91"/>
      <c r="Q12" s="89"/>
      <c r="R12" s="96"/>
      <c r="S12" s="96"/>
      <c r="T12" s="89"/>
      <c r="U12" s="89"/>
      <c r="V12" s="89"/>
      <c r="W12" s="89"/>
      <c r="X12" s="89"/>
      <c r="Y12" s="89"/>
      <c r="Z12" s="982" t="s">
        <v>870</v>
      </c>
      <c r="AA12" s="982"/>
      <c r="AB12" s="982"/>
      <c r="AC12" s="982"/>
      <c r="AD12" s="982"/>
      <c r="AE12" s="982" t="s">
        <v>924</v>
      </c>
      <c r="AF12" s="982"/>
      <c r="AG12" s="982"/>
      <c r="AH12" s="982"/>
      <c r="AI12" s="982"/>
      <c r="AJ12" s="982"/>
      <c r="AK12" s="982"/>
      <c r="AL12" s="982"/>
      <c r="AM12" s="982" t="s">
        <v>925</v>
      </c>
      <c r="AN12" s="982"/>
      <c r="AO12" s="982"/>
      <c r="AP12" s="982"/>
    </row>
    <row r="13" spans="1:42" s="84" customFormat="1" ht="38.25" customHeight="1" x14ac:dyDescent="0.3">
      <c r="B13" s="115" t="s">
        <v>580</v>
      </c>
      <c r="C13" s="123" t="s">
        <v>52</v>
      </c>
      <c r="D13" s="274"/>
      <c r="E13" s="173" t="s">
        <v>1203</v>
      </c>
      <c r="F13" s="274"/>
      <c r="G13" s="117" t="s">
        <v>1214</v>
      </c>
      <c r="H13" s="226"/>
      <c r="I13" s="173" t="s">
        <v>1204</v>
      </c>
      <c r="J13" s="274"/>
      <c r="K13" s="117" t="s">
        <v>1215</v>
      </c>
      <c r="L13" s="274"/>
      <c r="M13" s="117" t="s">
        <v>1216</v>
      </c>
      <c r="N13" s="274"/>
      <c r="O13" s="117" t="s">
        <v>930</v>
      </c>
      <c r="P13" s="274"/>
      <c r="Q13" s="117" t="s">
        <v>1206</v>
      </c>
      <c r="R13" s="88"/>
      <c r="S13" s="88"/>
      <c r="Z13" s="982" t="s">
        <v>121</v>
      </c>
      <c r="AA13" s="982" t="s">
        <v>523</v>
      </c>
      <c r="AB13" s="982" t="s">
        <v>52</v>
      </c>
      <c r="AC13" s="982" t="s">
        <v>1082</v>
      </c>
      <c r="AD13" s="982" t="s">
        <v>896</v>
      </c>
      <c r="AE13" s="982" t="s">
        <v>1083</v>
      </c>
      <c r="AF13" s="982" t="s">
        <v>1084</v>
      </c>
      <c r="AG13" s="982" t="s">
        <v>956</v>
      </c>
      <c r="AH13" s="982" t="s">
        <v>957</v>
      </c>
      <c r="AI13" s="982" t="s">
        <v>1085</v>
      </c>
      <c r="AJ13" s="982" t="s">
        <v>1086</v>
      </c>
      <c r="AK13" s="982" t="s">
        <v>1087</v>
      </c>
      <c r="AL13" s="982" t="s">
        <v>1088</v>
      </c>
      <c r="AM13" s="982" t="s">
        <v>1089</v>
      </c>
      <c r="AN13" s="982" t="s">
        <v>956</v>
      </c>
      <c r="AO13" s="982" t="s">
        <v>957</v>
      </c>
      <c r="AP13" s="982" t="s">
        <v>1090</v>
      </c>
    </row>
    <row r="14" spans="1:42" s="51" customFormat="1" ht="15" thickBot="1" x14ac:dyDescent="0.35">
      <c r="A14" s="364"/>
      <c r="B14" s="211" t="s">
        <v>942</v>
      </c>
      <c r="C14" s="124"/>
      <c r="D14" s="107"/>
      <c r="E14" s="1003" t="s">
        <v>1207</v>
      </c>
      <c r="F14" s="107"/>
      <c r="G14" s="1003" t="s">
        <v>1207</v>
      </c>
      <c r="H14" s="218"/>
      <c r="I14" s="1003" t="s">
        <v>1207</v>
      </c>
      <c r="J14" s="107"/>
      <c r="K14" s="1003" t="s">
        <v>1207</v>
      </c>
      <c r="L14" s="107"/>
      <c r="M14" s="1000" t="s">
        <v>946</v>
      </c>
      <c r="N14" s="107"/>
      <c r="O14" s="1000" t="s">
        <v>947</v>
      </c>
      <c r="P14" s="107"/>
      <c r="Q14" s="108"/>
      <c r="R14" s="96"/>
      <c r="S14" s="96"/>
      <c r="T14" s="364"/>
      <c r="U14" s="364"/>
      <c r="V14" s="364"/>
      <c r="W14" s="364"/>
      <c r="X14" s="364"/>
      <c r="Y14" s="364"/>
      <c r="Z14" s="982"/>
      <c r="AA14" s="982"/>
      <c r="AB14" s="982"/>
      <c r="AC14" s="982"/>
      <c r="AD14" s="982" t="s">
        <v>966</v>
      </c>
      <c r="AE14" s="982"/>
      <c r="AF14" s="982" t="s">
        <v>1094</v>
      </c>
      <c r="AG14" s="982"/>
      <c r="AH14" s="982" t="s">
        <v>968</v>
      </c>
      <c r="AI14" s="982"/>
      <c r="AJ14" s="982" t="s">
        <v>1094</v>
      </c>
      <c r="AK14" s="982" t="s">
        <v>1094</v>
      </c>
      <c r="AL14" s="982" t="s">
        <v>1095</v>
      </c>
      <c r="AM14" s="982" t="s">
        <v>1094</v>
      </c>
      <c r="AN14" s="982"/>
      <c r="AO14" s="982" t="s">
        <v>968</v>
      </c>
      <c r="AP14" s="982" t="s">
        <v>1095</v>
      </c>
    </row>
    <row r="15" spans="1:42" s="51" customFormat="1" ht="42" thickTop="1" x14ac:dyDescent="0.3">
      <c r="A15" s="364"/>
      <c r="B15" s="130" t="s">
        <v>970</v>
      </c>
      <c r="C15" s="346" t="s">
        <v>1022</v>
      </c>
      <c r="D15" s="332"/>
      <c r="E15" s="1001">
        <f>6336/10586.7</f>
        <v>0.5984867805831845</v>
      </c>
      <c r="F15" s="982" t="s">
        <v>173</v>
      </c>
      <c r="G15" s="691" t="s">
        <v>173</v>
      </c>
      <c r="H15" s="332"/>
      <c r="I15" s="691">
        <f>ROUND(12704/10586.7,2)</f>
        <v>1.2</v>
      </c>
      <c r="J15" s="332"/>
      <c r="K15" s="691">
        <f>ROUND(1088/10586.7,2)</f>
        <v>0.1</v>
      </c>
      <c r="L15" s="958" t="str">
        <f>IF(M15=AL15,"X","")</f>
        <v>X</v>
      </c>
      <c r="M15" s="298">
        <f>ROUND(SUM(E15,G15,I15,K15),2)</f>
        <v>1.9</v>
      </c>
      <c r="N15" s="958" t="str">
        <f>IF(O15=AG15,"X","")</f>
        <v>X</v>
      </c>
      <c r="O15" s="298" t="s">
        <v>1016</v>
      </c>
      <c r="P15" s="958" t="str">
        <f>IF(Q15=AE15,"X","")</f>
        <v>X</v>
      </c>
      <c r="Q15" s="298" t="s">
        <v>1209</v>
      </c>
      <c r="R15" s="96"/>
      <c r="S15" s="96"/>
      <c r="T15" s="809"/>
      <c r="U15" s="809"/>
      <c r="V15" s="809"/>
      <c r="W15" s="809"/>
      <c r="X15" s="809"/>
      <c r="Y15" s="808" t="s">
        <v>1210</v>
      </c>
      <c r="Z15" s="949" t="s">
        <v>970</v>
      </c>
      <c r="AA15" s="949" t="s">
        <v>170</v>
      </c>
      <c r="AB15" s="949" t="s">
        <v>1022</v>
      </c>
      <c r="AC15" s="949" t="s">
        <v>137</v>
      </c>
      <c r="AD15" s="949">
        <v>10586.7</v>
      </c>
      <c r="AE15" s="949" t="s">
        <v>1209</v>
      </c>
      <c r="AF15" s="949">
        <v>20128</v>
      </c>
      <c r="AG15" s="949" t="s">
        <v>1016</v>
      </c>
      <c r="AH15" s="949">
        <v>3340.2</v>
      </c>
      <c r="AI15" s="949">
        <v>-99996</v>
      </c>
      <c r="AJ15" s="949">
        <v>0</v>
      </c>
      <c r="AK15" s="949">
        <v>20128</v>
      </c>
      <c r="AL15" s="949">
        <v>1.9</v>
      </c>
      <c r="AM15" s="982"/>
      <c r="AN15" s="982"/>
      <c r="AO15" s="982"/>
      <c r="AP15" s="982"/>
    </row>
    <row r="16" spans="1:42" s="51" customFormat="1" ht="14.4" x14ac:dyDescent="0.3">
      <c r="A16" s="364"/>
      <c r="B16" s="130" t="s">
        <v>981</v>
      </c>
      <c r="C16" s="945" t="s">
        <v>986</v>
      </c>
      <c r="D16" s="333"/>
      <c r="E16" s="1001">
        <f>896*2/2231.8</f>
        <v>0.80293933148131547</v>
      </c>
      <c r="F16" s="333"/>
      <c r="G16" s="691">
        <f>ROUND(224/2231.8,2)</f>
        <v>0.1</v>
      </c>
      <c r="H16" s="982" t="s">
        <v>173</v>
      </c>
      <c r="I16" s="691" t="s">
        <v>173</v>
      </c>
      <c r="J16" s="982" t="s">
        <v>173</v>
      </c>
      <c r="K16" s="691" t="s">
        <v>173</v>
      </c>
      <c r="L16" s="958" t="str">
        <f t="shared" ref="L16:L19" si="0">IF(M16=AL16,"X","")</f>
        <v>X</v>
      </c>
      <c r="M16" s="298">
        <f t="shared" ref="M16:M19" si="1">ROUND(SUM(E16,G16,I16,K16),2)</f>
        <v>0.9</v>
      </c>
      <c r="N16" s="958" t="str">
        <f t="shared" ref="N16:N19" si="2">IF(O16=AG16,"X","")</f>
        <v>X</v>
      </c>
      <c r="O16" s="298" t="s">
        <v>1016</v>
      </c>
      <c r="P16" s="958" t="str">
        <f t="shared" ref="P16:P19" si="3">IF(Q16=AE16,"X","")</f>
        <v>X</v>
      </c>
      <c r="Q16" s="298" t="s">
        <v>1209</v>
      </c>
      <c r="R16" s="96"/>
      <c r="S16" s="96"/>
      <c r="T16" s="364"/>
      <c r="U16" s="364"/>
      <c r="V16" s="364"/>
      <c r="W16" s="364"/>
      <c r="X16" s="364"/>
      <c r="Y16" s="364"/>
      <c r="Z16" s="949" t="s">
        <v>981</v>
      </c>
      <c r="AA16" s="949" t="s">
        <v>170</v>
      </c>
      <c r="AB16" s="949" t="s">
        <v>986</v>
      </c>
      <c r="AC16" s="949" t="s">
        <v>137</v>
      </c>
      <c r="AD16" s="949">
        <v>2231.7600000000002</v>
      </c>
      <c r="AE16" s="949" t="s">
        <v>1209</v>
      </c>
      <c r="AF16" s="949">
        <v>2016</v>
      </c>
      <c r="AG16" s="949" t="s">
        <v>1016</v>
      </c>
      <c r="AH16" s="949">
        <v>3340.2</v>
      </c>
      <c r="AI16" s="949">
        <v>-99996</v>
      </c>
      <c r="AJ16" s="949">
        <v>0</v>
      </c>
      <c r="AK16" s="949">
        <v>2016</v>
      </c>
      <c r="AL16" s="949">
        <v>0.9</v>
      </c>
      <c r="AM16" s="982"/>
      <c r="AN16" s="982"/>
      <c r="AO16" s="982"/>
      <c r="AP16" s="982"/>
    </row>
    <row r="17" spans="2:42" ht="14.4" x14ac:dyDescent="0.3">
      <c r="B17" s="130" t="s">
        <v>984</v>
      </c>
      <c r="C17" s="945" t="s">
        <v>986</v>
      </c>
      <c r="D17" s="333"/>
      <c r="E17" s="1001">
        <f>576*2/1412.9</f>
        <v>0.81534432727015349</v>
      </c>
      <c r="F17" s="333"/>
      <c r="G17" s="691">
        <f>ROUND(128/1412,2)</f>
        <v>0.09</v>
      </c>
      <c r="H17" s="982" t="s">
        <v>173</v>
      </c>
      <c r="I17" s="691" t="s">
        <v>173</v>
      </c>
      <c r="J17" s="982" t="s">
        <v>173</v>
      </c>
      <c r="K17" s="691" t="s">
        <v>173</v>
      </c>
      <c r="L17" s="958" t="str">
        <f t="shared" si="0"/>
        <v>X</v>
      </c>
      <c r="M17" s="298">
        <f t="shared" si="1"/>
        <v>0.91</v>
      </c>
      <c r="N17" s="958" t="str">
        <f t="shared" si="2"/>
        <v>X</v>
      </c>
      <c r="O17" s="298" t="s">
        <v>1016</v>
      </c>
      <c r="P17" s="958" t="str">
        <f t="shared" si="3"/>
        <v>X</v>
      </c>
      <c r="Q17" s="298" t="s">
        <v>1209</v>
      </c>
      <c r="R17" s="96"/>
      <c r="S17" s="96"/>
      <c r="T17" s="373"/>
      <c r="V17" s="373"/>
      <c r="W17" s="373"/>
      <c r="X17" s="373"/>
      <c r="Y17" s="373"/>
      <c r="Z17" s="949" t="s">
        <v>984</v>
      </c>
      <c r="AA17" s="949" t="s">
        <v>170</v>
      </c>
      <c r="AB17" s="949" t="s">
        <v>986</v>
      </c>
      <c r="AC17" s="949" t="s">
        <v>137</v>
      </c>
      <c r="AD17" s="949">
        <v>1412.9</v>
      </c>
      <c r="AE17" s="949" t="s">
        <v>1209</v>
      </c>
      <c r="AF17" s="949">
        <v>1280</v>
      </c>
      <c r="AG17" s="949" t="s">
        <v>1016</v>
      </c>
      <c r="AH17" s="949">
        <v>3340.2</v>
      </c>
      <c r="AI17" s="949">
        <v>-99996</v>
      </c>
      <c r="AJ17" s="949">
        <v>0</v>
      </c>
      <c r="AK17" s="949">
        <v>1280</v>
      </c>
      <c r="AL17" s="949">
        <v>0.91</v>
      </c>
      <c r="AM17" s="982"/>
      <c r="AN17" s="982"/>
      <c r="AO17" s="982"/>
      <c r="AP17" s="982"/>
    </row>
    <row r="18" spans="2:42" s="51" customFormat="1" ht="14.4" x14ac:dyDescent="0.3">
      <c r="B18" s="130" t="s">
        <v>987</v>
      </c>
      <c r="C18" s="945" t="s">
        <v>986</v>
      </c>
      <c r="D18" s="333"/>
      <c r="E18" s="1001">
        <f>896*2/2231.8</f>
        <v>0.80293933148131547</v>
      </c>
      <c r="F18" s="333"/>
      <c r="G18" s="691">
        <f>ROUND(224/2231.8,2)</f>
        <v>0.1</v>
      </c>
      <c r="H18" s="982" t="s">
        <v>173</v>
      </c>
      <c r="I18" s="691" t="s">
        <v>173</v>
      </c>
      <c r="J18" s="982" t="s">
        <v>173</v>
      </c>
      <c r="K18" s="691" t="s">
        <v>173</v>
      </c>
      <c r="L18" s="958" t="str">
        <f t="shared" si="0"/>
        <v>X</v>
      </c>
      <c r="M18" s="298">
        <f t="shared" si="1"/>
        <v>0.9</v>
      </c>
      <c r="N18" s="958" t="str">
        <f t="shared" si="2"/>
        <v>X</v>
      </c>
      <c r="O18" s="298" t="s">
        <v>1016</v>
      </c>
      <c r="P18" s="958" t="str">
        <f t="shared" si="3"/>
        <v>X</v>
      </c>
      <c r="Q18" s="298" t="s">
        <v>1209</v>
      </c>
      <c r="R18" s="96"/>
      <c r="S18" s="96"/>
      <c r="T18" s="364"/>
      <c r="U18" s="364"/>
      <c r="V18" s="364"/>
      <c r="W18" s="364"/>
      <c r="X18" s="364"/>
      <c r="Y18" s="364"/>
      <c r="Z18" s="949" t="s">
        <v>987</v>
      </c>
      <c r="AA18" s="949" t="s">
        <v>170</v>
      </c>
      <c r="AB18" s="949" t="s">
        <v>986</v>
      </c>
      <c r="AC18" s="949" t="s">
        <v>137</v>
      </c>
      <c r="AD18" s="949">
        <v>2231.7600000000002</v>
      </c>
      <c r="AE18" s="949" t="s">
        <v>1209</v>
      </c>
      <c r="AF18" s="949">
        <v>2016</v>
      </c>
      <c r="AG18" s="949" t="s">
        <v>1016</v>
      </c>
      <c r="AH18" s="949">
        <v>3340.2</v>
      </c>
      <c r="AI18" s="949">
        <v>-99996</v>
      </c>
      <c r="AJ18" s="949">
        <v>0</v>
      </c>
      <c r="AK18" s="949">
        <v>2016</v>
      </c>
      <c r="AL18" s="949">
        <v>0.9</v>
      </c>
      <c r="AM18" s="982"/>
      <c r="AN18" s="982"/>
      <c r="AO18" s="982"/>
      <c r="AP18" s="982"/>
    </row>
    <row r="19" spans="2:42" s="51" customFormat="1" ht="27.6" x14ac:dyDescent="0.3">
      <c r="B19" s="130" t="s">
        <v>989</v>
      </c>
      <c r="C19" s="946" t="s">
        <v>915</v>
      </c>
      <c r="D19" s="333"/>
      <c r="E19" s="1001">
        <v>0.8</v>
      </c>
      <c r="F19" s="982" t="s">
        <v>173</v>
      </c>
      <c r="G19" s="691" t="s">
        <v>173</v>
      </c>
      <c r="H19" s="982" t="s">
        <v>173</v>
      </c>
      <c r="I19" s="691" t="s">
        <v>173</v>
      </c>
      <c r="J19" s="982" t="s">
        <v>173</v>
      </c>
      <c r="K19" s="691" t="s">
        <v>173</v>
      </c>
      <c r="L19" s="958" t="str">
        <f t="shared" si="0"/>
        <v>X</v>
      </c>
      <c r="M19" s="298">
        <f t="shared" si="1"/>
        <v>0.8</v>
      </c>
      <c r="N19" s="958" t="str">
        <f t="shared" si="2"/>
        <v>X</v>
      </c>
      <c r="O19" s="298" t="s">
        <v>1016</v>
      </c>
      <c r="P19" s="958" t="str">
        <f t="shared" si="3"/>
        <v>X</v>
      </c>
      <c r="Q19" s="298" t="s">
        <v>1096</v>
      </c>
      <c r="R19" s="96"/>
      <c r="S19" s="96"/>
      <c r="T19" s="364"/>
      <c r="U19" s="364"/>
      <c r="V19" s="364"/>
      <c r="W19" s="364"/>
      <c r="X19" s="364"/>
      <c r="Y19" s="364"/>
      <c r="Z19" s="949" t="s">
        <v>989</v>
      </c>
      <c r="AA19" s="949" t="s">
        <v>170</v>
      </c>
      <c r="AB19" s="949" t="s">
        <v>915</v>
      </c>
      <c r="AC19" s="949" t="s">
        <v>137</v>
      </c>
      <c r="AD19" s="949">
        <v>1412.8</v>
      </c>
      <c r="AE19" s="949" t="s">
        <v>1096</v>
      </c>
      <c r="AF19" s="949">
        <v>1130.24</v>
      </c>
      <c r="AG19" s="949" t="s">
        <v>1016</v>
      </c>
      <c r="AH19" s="949">
        <v>3340.2</v>
      </c>
      <c r="AI19" s="949">
        <v>-99996</v>
      </c>
      <c r="AJ19" s="949">
        <v>0</v>
      </c>
      <c r="AK19" s="949">
        <v>1130.24</v>
      </c>
      <c r="AL19" s="949">
        <v>0.8</v>
      </c>
      <c r="AM19" s="982"/>
      <c r="AN19" s="982"/>
      <c r="AO19" s="982"/>
      <c r="AP19" s="982"/>
    </row>
    <row r="20" spans="2:42" s="51" customFormat="1" ht="14.4" x14ac:dyDescent="0.3">
      <c r="B20" s="130" t="s">
        <v>1211</v>
      </c>
      <c r="C20" s="209"/>
      <c r="D20" s="982" t="s">
        <v>173</v>
      </c>
      <c r="E20" s="1001" t="s">
        <v>173</v>
      </c>
      <c r="F20" s="982" t="s">
        <v>173</v>
      </c>
      <c r="G20" s="691" t="s">
        <v>173</v>
      </c>
      <c r="H20" s="982" t="s">
        <v>173</v>
      </c>
      <c r="I20" s="691" t="s">
        <v>173</v>
      </c>
      <c r="J20" s="982" t="s">
        <v>173</v>
      </c>
      <c r="K20" s="691" t="s">
        <v>173</v>
      </c>
      <c r="L20" s="324" t="s">
        <v>173</v>
      </c>
      <c r="M20" s="979" t="s">
        <v>173</v>
      </c>
      <c r="N20" s="324" t="s">
        <v>173</v>
      </c>
      <c r="O20" s="979" t="s">
        <v>173</v>
      </c>
      <c r="P20" s="324" t="s">
        <v>173</v>
      </c>
      <c r="Q20" s="979" t="s">
        <v>173</v>
      </c>
      <c r="R20" s="96"/>
      <c r="S20" s="96"/>
      <c r="T20" s="364"/>
      <c r="U20" s="364"/>
      <c r="V20" s="364"/>
      <c r="W20" s="364"/>
      <c r="X20" s="364"/>
      <c r="Y20" s="364"/>
      <c r="Z20" s="949" t="s">
        <v>1211</v>
      </c>
      <c r="AA20" s="949" t="s">
        <v>983</v>
      </c>
      <c r="AB20" s="949" t="s">
        <v>979</v>
      </c>
      <c r="AC20" s="949" t="s">
        <v>137</v>
      </c>
      <c r="AD20" s="949">
        <v>0</v>
      </c>
      <c r="AE20" s="949"/>
      <c r="AF20" s="949"/>
      <c r="AG20" s="949"/>
      <c r="AH20" s="949"/>
      <c r="AI20" s="949"/>
      <c r="AJ20" s="949"/>
      <c r="AK20" s="949"/>
      <c r="AL20" s="949"/>
      <c r="AM20" s="982"/>
      <c r="AN20" s="982"/>
      <c r="AO20" s="982"/>
      <c r="AP20" s="982"/>
    </row>
    <row r="21" spans="2:42" s="51" customFormat="1" ht="41.4" x14ac:dyDescent="0.3">
      <c r="B21" s="130" t="s">
        <v>990</v>
      </c>
      <c r="C21" s="152" t="s">
        <v>1022</v>
      </c>
      <c r="D21" s="333"/>
      <c r="E21" s="1001">
        <f>6336/10586.7</f>
        <v>0.5984867805831845</v>
      </c>
      <c r="F21" s="982" t="s">
        <v>173</v>
      </c>
      <c r="G21" s="691" t="s">
        <v>173</v>
      </c>
      <c r="H21" s="333"/>
      <c r="I21" s="691">
        <f>ROUND(12704/10586.7,2)</f>
        <v>1.2</v>
      </c>
      <c r="J21" s="333"/>
      <c r="K21" s="691">
        <f>ROUND(1088/10586.7,2)</f>
        <v>0.1</v>
      </c>
      <c r="L21" s="958" t="str">
        <f t="shared" ref="L21:L25" si="4">IF(M21=AL21,"X","")</f>
        <v>X</v>
      </c>
      <c r="M21" s="298">
        <f>ROUND(SUM(E21,G21,I21,K21),2)</f>
        <v>1.9</v>
      </c>
      <c r="N21" s="958" t="str">
        <f t="shared" ref="N21:N25" si="5">IF(O21=AG21,"X","")</f>
        <v>X</v>
      </c>
      <c r="O21" s="298" t="s">
        <v>1016</v>
      </c>
      <c r="P21" s="958" t="str">
        <f t="shared" ref="P21:P25" si="6">IF(Q21=AE21,"X","")</f>
        <v>X</v>
      </c>
      <c r="Q21" s="298" t="s">
        <v>1209</v>
      </c>
      <c r="R21" s="96"/>
      <c r="S21" s="96"/>
      <c r="T21" s="364"/>
      <c r="U21" s="364"/>
      <c r="V21" s="364"/>
      <c r="W21" s="364"/>
      <c r="X21" s="364"/>
      <c r="Y21" s="364"/>
      <c r="Z21" s="949" t="s">
        <v>990</v>
      </c>
      <c r="AA21" s="949" t="s">
        <v>170</v>
      </c>
      <c r="AB21" s="949" t="s">
        <v>1022</v>
      </c>
      <c r="AC21" s="949" t="s">
        <v>137</v>
      </c>
      <c r="AD21" s="949">
        <v>10586.7</v>
      </c>
      <c r="AE21" s="949" t="s">
        <v>1209</v>
      </c>
      <c r="AF21" s="949">
        <v>20128</v>
      </c>
      <c r="AG21" s="949" t="s">
        <v>1016</v>
      </c>
      <c r="AH21" s="949">
        <v>3340.2</v>
      </c>
      <c r="AI21" s="949">
        <v>-99996</v>
      </c>
      <c r="AJ21" s="949">
        <v>0</v>
      </c>
      <c r="AK21" s="949">
        <v>20128</v>
      </c>
      <c r="AL21" s="949">
        <v>1.9</v>
      </c>
      <c r="AM21" s="982"/>
      <c r="AN21" s="982"/>
      <c r="AO21" s="982"/>
      <c r="AP21" s="982"/>
    </row>
    <row r="22" spans="2:42" s="51" customFormat="1" ht="14.4" x14ac:dyDescent="0.3">
      <c r="B22" s="130" t="s">
        <v>1000</v>
      </c>
      <c r="C22" s="945" t="s">
        <v>986</v>
      </c>
      <c r="D22" s="333"/>
      <c r="E22" s="1001">
        <f>896*2/2231.8</f>
        <v>0.80293933148131547</v>
      </c>
      <c r="F22" s="333"/>
      <c r="G22" s="691">
        <f>ROUND(224/2231.8,2)</f>
        <v>0.1</v>
      </c>
      <c r="H22" s="982" t="s">
        <v>173</v>
      </c>
      <c r="I22" s="691" t="s">
        <v>173</v>
      </c>
      <c r="J22" s="982" t="s">
        <v>173</v>
      </c>
      <c r="K22" s="691" t="s">
        <v>173</v>
      </c>
      <c r="L22" s="958" t="str">
        <f t="shared" si="4"/>
        <v>X</v>
      </c>
      <c r="M22" s="298">
        <f t="shared" ref="M22:M25" si="7">ROUND(SUM(E22,G22,I22,K22),2)</f>
        <v>0.9</v>
      </c>
      <c r="N22" s="958" t="str">
        <f t="shared" si="5"/>
        <v>X</v>
      </c>
      <c r="O22" s="298" t="s">
        <v>1016</v>
      </c>
      <c r="P22" s="958" t="str">
        <f t="shared" si="6"/>
        <v>X</v>
      </c>
      <c r="Q22" s="298" t="s">
        <v>1209</v>
      </c>
      <c r="R22" s="96"/>
      <c r="S22" s="96"/>
      <c r="T22" s="364"/>
      <c r="U22" s="364"/>
      <c r="V22" s="364"/>
      <c r="W22" s="364"/>
      <c r="X22" s="364"/>
      <c r="Y22" s="364"/>
      <c r="Z22" s="949" t="s">
        <v>1000</v>
      </c>
      <c r="AA22" s="949" t="s">
        <v>170</v>
      </c>
      <c r="AB22" s="949" t="s">
        <v>986</v>
      </c>
      <c r="AC22" s="949" t="s">
        <v>137</v>
      </c>
      <c r="AD22" s="949">
        <v>2231.7600000000002</v>
      </c>
      <c r="AE22" s="949" t="s">
        <v>1209</v>
      </c>
      <c r="AF22" s="949">
        <v>2016</v>
      </c>
      <c r="AG22" s="949" t="s">
        <v>1016</v>
      </c>
      <c r="AH22" s="949">
        <v>3340.2</v>
      </c>
      <c r="AI22" s="949">
        <v>-99996</v>
      </c>
      <c r="AJ22" s="949">
        <v>0</v>
      </c>
      <c r="AK22" s="949">
        <v>2016</v>
      </c>
      <c r="AL22" s="949">
        <v>0.9</v>
      </c>
      <c r="AM22" s="982"/>
      <c r="AN22" s="982"/>
      <c r="AO22" s="982"/>
      <c r="AP22" s="982"/>
    </row>
    <row r="23" spans="2:42" s="51" customFormat="1" ht="14.4" x14ac:dyDescent="0.3">
      <c r="B23" s="130" t="s">
        <v>1001</v>
      </c>
      <c r="C23" s="945" t="s">
        <v>986</v>
      </c>
      <c r="D23" s="333"/>
      <c r="E23" s="1001">
        <f>576*2/1412.9</f>
        <v>0.81534432727015349</v>
      </c>
      <c r="F23" s="333"/>
      <c r="G23" s="691">
        <f>ROUND(128/1412,2)</f>
        <v>0.09</v>
      </c>
      <c r="H23" s="982" t="s">
        <v>173</v>
      </c>
      <c r="I23" s="691" t="s">
        <v>173</v>
      </c>
      <c r="J23" s="982" t="s">
        <v>173</v>
      </c>
      <c r="K23" s="691" t="s">
        <v>173</v>
      </c>
      <c r="L23" s="958" t="str">
        <f t="shared" si="4"/>
        <v>X</v>
      </c>
      <c r="M23" s="298">
        <f t="shared" si="7"/>
        <v>0.91</v>
      </c>
      <c r="N23" s="958" t="str">
        <f t="shared" si="5"/>
        <v>X</v>
      </c>
      <c r="O23" s="298" t="s">
        <v>1016</v>
      </c>
      <c r="P23" s="958" t="str">
        <f t="shared" si="6"/>
        <v>X</v>
      </c>
      <c r="Q23" s="298" t="s">
        <v>1209</v>
      </c>
      <c r="R23" s="96"/>
      <c r="S23" s="96"/>
      <c r="T23" s="364"/>
      <c r="U23" s="364"/>
      <c r="V23" s="364"/>
      <c r="W23" s="364"/>
      <c r="X23" s="364"/>
      <c r="Y23" s="364"/>
      <c r="Z23" s="949" t="s">
        <v>1001</v>
      </c>
      <c r="AA23" s="949" t="s">
        <v>170</v>
      </c>
      <c r="AB23" s="949" t="s">
        <v>986</v>
      </c>
      <c r="AC23" s="949" t="s">
        <v>137</v>
      </c>
      <c r="AD23" s="949">
        <v>1412.9</v>
      </c>
      <c r="AE23" s="949" t="s">
        <v>1209</v>
      </c>
      <c r="AF23" s="949">
        <v>1280</v>
      </c>
      <c r="AG23" s="949" t="s">
        <v>1016</v>
      </c>
      <c r="AH23" s="949">
        <v>3340.2</v>
      </c>
      <c r="AI23" s="949">
        <v>-99996</v>
      </c>
      <c r="AJ23" s="949">
        <v>0</v>
      </c>
      <c r="AK23" s="949">
        <v>1280</v>
      </c>
      <c r="AL23" s="949">
        <v>0.91</v>
      </c>
      <c r="AM23" s="982"/>
      <c r="AN23" s="982"/>
      <c r="AO23" s="982"/>
      <c r="AP23" s="982"/>
    </row>
    <row r="24" spans="2:42" s="51" customFormat="1" ht="14.4" x14ac:dyDescent="0.3">
      <c r="B24" s="130" t="s">
        <v>1002</v>
      </c>
      <c r="C24" s="945" t="s">
        <v>986</v>
      </c>
      <c r="D24" s="333"/>
      <c r="E24" s="1001">
        <f>896*2/2231.8</f>
        <v>0.80293933148131547</v>
      </c>
      <c r="F24" s="333"/>
      <c r="G24" s="691">
        <f>ROUND(224/2231.8,2)</f>
        <v>0.1</v>
      </c>
      <c r="H24" s="982" t="s">
        <v>173</v>
      </c>
      <c r="I24" s="691" t="s">
        <v>173</v>
      </c>
      <c r="J24" s="982" t="s">
        <v>173</v>
      </c>
      <c r="K24" s="691" t="s">
        <v>173</v>
      </c>
      <c r="L24" s="958" t="str">
        <f t="shared" si="4"/>
        <v>X</v>
      </c>
      <c r="M24" s="298">
        <f t="shared" si="7"/>
        <v>0.9</v>
      </c>
      <c r="N24" s="958" t="str">
        <f t="shared" si="5"/>
        <v>X</v>
      </c>
      <c r="O24" s="298" t="s">
        <v>1016</v>
      </c>
      <c r="P24" s="958" t="str">
        <f t="shared" si="6"/>
        <v>X</v>
      </c>
      <c r="Q24" s="298" t="s">
        <v>1209</v>
      </c>
      <c r="R24" s="96"/>
      <c r="S24" s="96"/>
      <c r="T24" s="364"/>
      <c r="U24" s="364"/>
      <c r="V24" s="364"/>
      <c r="W24" s="364"/>
      <c r="X24" s="364"/>
      <c r="Y24" s="364"/>
      <c r="Z24" s="949" t="s">
        <v>1002</v>
      </c>
      <c r="AA24" s="949" t="s">
        <v>170</v>
      </c>
      <c r="AB24" s="949" t="s">
        <v>986</v>
      </c>
      <c r="AC24" s="949" t="s">
        <v>137</v>
      </c>
      <c r="AD24" s="949">
        <v>2231.7600000000002</v>
      </c>
      <c r="AE24" s="949" t="s">
        <v>1209</v>
      </c>
      <c r="AF24" s="949">
        <v>2016</v>
      </c>
      <c r="AG24" s="949" t="s">
        <v>1016</v>
      </c>
      <c r="AH24" s="949">
        <v>3340.2</v>
      </c>
      <c r="AI24" s="949">
        <v>-99996</v>
      </c>
      <c r="AJ24" s="949">
        <v>0</v>
      </c>
      <c r="AK24" s="949">
        <v>2016</v>
      </c>
      <c r="AL24" s="949">
        <v>0.9</v>
      </c>
      <c r="AM24" s="982"/>
      <c r="AN24" s="982"/>
      <c r="AO24" s="982"/>
      <c r="AP24" s="982"/>
    </row>
    <row r="25" spans="2:42" s="51" customFormat="1" ht="27.6" x14ac:dyDescent="0.3">
      <c r="B25" s="130" t="s">
        <v>1003</v>
      </c>
      <c r="C25" s="946" t="s">
        <v>915</v>
      </c>
      <c r="D25" s="333"/>
      <c r="E25" s="1001">
        <v>0.8</v>
      </c>
      <c r="F25" s="982" t="s">
        <v>173</v>
      </c>
      <c r="G25" s="691" t="s">
        <v>173</v>
      </c>
      <c r="H25" s="982" t="s">
        <v>173</v>
      </c>
      <c r="I25" s="691" t="s">
        <v>173</v>
      </c>
      <c r="J25" s="982" t="s">
        <v>173</v>
      </c>
      <c r="K25" s="691" t="s">
        <v>173</v>
      </c>
      <c r="L25" s="958" t="str">
        <f t="shared" si="4"/>
        <v>X</v>
      </c>
      <c r="M25" s="298">
        <f t="shared" si="7"/>
        <v>0.8</v>
      </c>
      <c r="N25" s="958" t="str">
        <f t="shared" si="5"/>
        <v>X</v>
      </c>
      <c r="O25" s="298" t="s">
        <v>1016</v>
      </c>
      <c r="P25" s="958" t="str">
        <f t="shared" si="6"/>
        <v>X</v>
      </c>
      <c r="Q25" s="298" t="s">
        <v>1096</v>
      </c>
      <c r="R25" s="96"/>
      <c r="S25" s="96"/>
      <c r="T25" s="364"/>
      <c r="U25" s="364"/>
      <c r="V25" s="364"/>
      <c r="W25" s="364"/>
      <c r="X25" s="364"/>
      <c r="Y25" s="364"/>
      <c r="Z25" s="949" t="s">
        <v>1003</v>
      </c>
      <c r="AA25" s="949" t="s">
        <v>170</v>
      </c>
      <c r="AB25" s="949" t="s">
        <v>915</v>
      </c>
      <c r="AC25" s="949" t="s">
        <v>137</v>
      </c>
      <c r="AD25" s="949">
        <v>1412.8</v>
      </c>
      <c r="AE25" s="949" t="s">
        <v>1096</v>
      </c>
      <c r="AF25" s="949">
        <v>1130.24</v>
      </c>
      <c r="AG25" s="949" t="s">
        <v>1016</v>
      </c>
      <c r="AH25" s="949">
        <v>3340.2</v>
      </c>
      <c r="AI25" s="949">
        <v>-99996</v>
      </c>
      <c r="AJ25" s="949">
        <v>0</v>
      </c>
      <c r="AK25" s="949">
        <v>1130.24</v>
      </c>
      <c r="AL25" s="949">
        <v>0.8</v>
      </c>
      <c r="AM25" s="982"/>
      <c r="AN25" s="982"/>
      <c r="AO25" s="982"/>
      <c r="AP25" s="982"/>
    </row>
    <row r="26" spans="2:42" s="51" customFormat="1" ht="14.4" x14ac:dyDescent="0.3">
      <c r="B26" s="130" t="s">
        <v>998</v>
      </c>
      <c r="C26" s="152"/>
      <c r="D26" s="982" t="s">
        <v>173</v>
      </c>
      <c r="E26" s="1001" t="s">
        <v>173</v>
      </c>
      <c r="F26" s="982" t="s">
        <v>173</v>
      </c>
      <c r="G26" s="691" t="s">
        <v>173</v>
      </c>
      <c r="H26" s="982" t="s">
        <v>173</v>
      </c>
      <c r="I26" s="691" t="s">
        <v>173</v>
      </c>
      <c r="J26" s="982" t="s">
        <v>173</v>
      </c>
      <c r="K26" s="691" t="s">
        <v>173</v>
      </c>
      <c r="L26" s="324" t="s">
        <v>173</v>
      </c>
      <c r="M26" s="979" t="s">
        <v>173</v>
      </c>
      <c r="N26" s="324" t="s">
        <v>173</v>
      </c>
      <c r="O26" s="979" t="s">
        <v>173</v>
      </c>
      <c r="P26" s="324" t="s">
        <v>173</v>
      </c>
      <c r="Q26" s="979" t="s">
        <v>173</v>
      </c>
      <c r="R26" s="96"/>
      <c r="S26" s="96"/>
      <c r="T26" s="364"/>
      <c r="U26" s="364"/>
      <c r="V26" s="364"/>
      <c r="W26" s="364"/>
      <c r="X26" s="364"/>
      <c r="Y26" s="364"/>
      <c r="Z26" s="949" t="s">
        <v>998</v>
      </c>
      <c r="AA26" s="949" t="s">
        <v>983</v>
      </c>
      <c r="AB26" s="949" t="s">
        <v>979</v>
      </c>
      <c r="AC26" s="949" t="s">
        <v>137</v>
      </c>
      <c r="AD26" s="949">
        <v>0</v>
      </c>
      <c r="AE26" s="949"/>
      <c r="AF26" s="949"/>
      <c r="AG26" s="949"/>
      <c r="AH26" s="949"/>
      <c r="AI26" s="949"/>
      <c r="AJ26" s="949"/>
      <c r="AK26" s="949"/>
      <c r="AL26" s="949"/>
      <c r="AM26" s="982"/>
      <c r="AN26" s="982"/>
      <c r="AO26" s="982"/>
      <c r="AP26" s="982"/>
    </row>
    <row r="27" spans="2:42" s="51" customFormat="1" ht="41.4" x14ac:dyDescent="0.3">
      <c r="B27" s="130" t="s">
        <v>1013</v>
      </c>
      <c r="C27" s="152" t="s">
        <v>1022</v>
      </c>
      <c r="D27" s="333"/>
      <c r="E27" s="1001">
        <f>6336/10586.7</f>
        <v>0.5984867805831845</v>
      </c>
      <c r="F27" s="982" t="s">
        <v>173</v>
      </c>
      <c r="G27" s="691" t="s">
        <v>173</v>
      </c>
      <c r="H27" s="333"/>
      <c r="I27" s="691">
        <f>ROUND(12704/10586.7,2)</f>
        <v>1.2</v>
      </c>
      <c r="J27" s="333"/>
      <c r="K27" s="691">
        <f>ROUND(1088/10586.7,2)</f>
        <v>0.1</v>
      </c>
      <c r="L27" s="958" t="str">
        <f t="shared" ref="L27:L31" si="8">IF(M27=AL27,"X","")</f>
        <v>X</v>
      </c>
      <c r="M27" s="298">
        <f>ROUND(SUM(E27,G27,I27,K27),2)</f>
        <v>1.9</v>
      </c>
      <c r="N27" s="958" t="str">
        <f t="shared" ref="N27:N31" si="9">IF(O27=AG27,"X","")</f>
        <v>X</v>
      </c>
      <c r="O27" s="298" t="s">
        <v>1016</v>
      </c>
      <c r="P27" s="958" t="str">
        <f t="shared" ref="P27:P31" si="10">IF(Q27=AE27,"X","")</f>
        <v>X</v>
      </c>
      <c r="Q27" s="298" t="s">
        <v>1209</v>
      </c>
      <c r="R27" s="96"/>
      <c r="S27" s="96"/>
      <c r="T27" s="364"/>
      <c r="U27" s="364"/>
      <c r="V27" s="364"/>
      <c r="W27" s="364"/>
      <c r="X27" s="364"/>
      <c r="Y27" s="364"/>
      <c r="Z27" s="949" t="s">
        <v>1013</v>
      </c>
      <c r="AA27" s="949" t="s">
        <v>170</v>
      </c>
      <c r="AB27" s="949" t="s">
        <v>1022</v>
      </c>
      <c r="AC27" s="949" t="s">
        <v>137</v>
      </c>
      <c r="AD27" s="949">
        <v>10586.7</v>
      </c>
      <c r="AE27" s="949" t="s">
        <v>1209</v>
      </c>
      <c r="AF27" s="949">
        <v>20128</v>
      </c>
      <c r="AG27" s="949" t="s">
        <v>1016</v>
      </c>
      <c r="AH27" s="949">
        <v>3340.2</v>
      </c>
      <c r="AI27" s="949">
        <v>-99996</v>
      </c>
      <c r="AJ27" s="949">
        <v>0</v>
      </c>
      <c r="AK27" s="949">
        <v>20128</v>
      </c>
      <c r="AL27" s="949">
        <v>1.9</v>
      </c>
      <c r="AM27" s="982"/>
      <c r="AN27" s="982"/>
      <c r="AO27" s="982"/>
      <c r="AP27" s="982"/>
    </row>
    <row r="28" spans="2:42" s="51" customFormat="1" ht="14.4" x14ac:dyDescent="0.3">
      <c r="B28" s="130" t="s">
        <v>1021</v>
      </c>
      <c r="C28" s="945" t="s">
        <v>986</v>
      </c>
      <c r="D28" s="333"/>
      <c r="E28" s="1001">
        <f>896*2/2231.8</f>
        <v>0.80293933148131547</v>
      </c>
      <c r="F28" s="333"/>
      <c r="G28" s="691">
        <f>ROUND(224/2231.8,2)</f>
        <v>0.1</v>
      </c>
      <c r="H28" s="982" t="s">
        <v>173</v>
      </c>
      <c r="I28" s="691" t="s">
        <v>173</v>
      </c>
      <c r="J28" s="982" t="s">
        <v>173</v>
      </c>
      <c r="K28" s="691" t="s">
        <v>173</v>
      </c>
      <c r="L28" s="958" t="str">
        <f t="shared" si="8"/>
        <v>X</v>
      </c>
      <c r="M28" s="298">
        <f t="shared" ref="M28:M31" si="11">ROUND(SUM(E28,G28,I28,K28),2)</f>
        <v>0.9</v>
      </c>
      <c r="N28" s="958" t="str">
        <f t="shared" si="9"/>
        <v>X</v>
      </c>
      <c r="O28" s="298" t="s">
        <v>1016</v>
      </c>
      <c r="P28" s="958" t="str">
        <f t="shared" si="10"/>
        <v>X</v>
      </c>
      <c r="Q28" s="298" t="s">
        <v>1209</v>
      </c>
      <c r="R28" s="96"/>
      <c r="S28" s="96"/>
      <c r="T28" s="364"/>
      <c r="U28" s="364"/>
      <c r="V28" s="364"/>
      <c r="W28" s="364"/>
      <c r="X28" s="364"/>
      <c r="Y28" s="364"/>
      <c r="Z28" s="949" t="s">
        <v>1021</v>
      </c>
      <c r="AA28" s="949" t="s">
        <v>170</v>
      </c>
      <c r="AB28" s="949" t="s">
        <v>986</v>
      </c>
      <c r="AC28" s="949" t="s">
        <v>137</v>
      </c>
      <c r="AD28" s="949">
        <v>2231.7600000000002</v>
      </c>
      <c r="AE28" s="949" t="s">
        <v>1209</v>
      </c>
      <c r="AF28" s="949">
        <v>2016</v>
      </c>
      <c r="AG28" s="949" t="s">
        <v>1016</v>
      </c>
      <c r="AH28" s="949">
        <v>3340.2</v>
      </c>
      <c r="AI28" s="949">
        <v>-99996</v>
      </c>
      <c r="AJ28" s="949">
        <v>0</v>
      </c>
      <c r="AK28" s="949">
        <v>2016</v>
      </c>
      <c r="AL28" s="949">
        <v>0.9</v>
      </c>
      <c r="AM28" s="982"/>
      <c r="AN28" s="982"/>
      <c r="AO28" s="982"/>
      <c r="AP28" s="982"/>
    </row>
    <row r="29" spans="2:42" s="51" customFormat="1" ht="14.4" x14ac:dyDescent="0.3">
      <c r="B29" s="130" t="s">
        <v>1023</v>
      </c>
      <c r="C29" s="945" t="s">
        <v>986</v>
      </c>
      <c r="D29" s="333"/>
      <c r="E29" s="1001">
        <f>576*2/1412.9</f>
        <v>0.81534432727015349</v>
      </c>
      <c r="F29" s="333"/>
      <c r="G29" s="691">
        <f>ROUND(128/1412,2)</f>
        <v>0.09</v>
      </c>
      <c r="H29" s="982" t="s">
        <v>173</v>
      </c>
      <c r="I29" s="691" t="s">
        <v>173</v>
      </c>
      <c r="J29" s="982" t="s">
        <v>173</v>
      </c>
      <c r="K29" s="691" t="s">
        <v>173</v>
      </c>
      <c r="L29" s="958" t="str">
        <f t="shared" si="8"/>
        <v>X</v>
      </c>
      <c r="M29" s="298">
        <f t="shared" si="11"/>
        <v>0.91</v>
      </c>
      <c r="N29" s="958" t="str">
        <f t="shared" si="9"/>
        <v>X</v>
      </c>
      <c r="O29" s="298" t="s">
        <v>1016</v>
      </c>
      <c r="P29" s="958" t="str">
        <f t="shared" si="10"/>
        <v>X</v>
      </c>
      <c r="Q29" s="298" t="s">
        <v>1209</v>
      </c>
      <c r="R29" s="96"/>
      <c r="S29" s="96"/>
      <c r="T29" s="364"/>
      <c r="U29" s="364"/>
      <c r="V29" s="364"/>
      <c r="W29" s="364"/>
      <c r="X29" s="364"/>
      <c r="Y29" s="364"/>
      <c r="Z29" s="949" t="s">
        <v>1023</v>
      </c>
      <c r="AA29" s="949" t="s">
        <v>170</v>
      </c>
      <c r="AB29" s="949" t="s">
        <v>986</v>
      </c>
      <c r="AC29" s="949" t="s">
        <v>137</v>
      </c>
      <c r="AD29" s="949">
        <v>1412.9</v>
      </c>
      <c r="AE29" s="949" t="s">
        <v>1209</v>
      </c>
      <c r="AF29" s="949">
        <v>1280</v>
      </c>
      <c r="AG29" s="949" t="s">
        <v>1016</v>
      </c>
      <c r="AH29" s="949">
        <v>3340.2</v>
      </c>
      <c r="AI29" s="949">
        <v>-99996</v>
      </c>
      <c r="AJ29" s="949">
        <v>0</v>
      </c>
      <c r="AK29" s="949">
        <v>1280</v>
      </c>
      <c r="AL29" s="949">
        <v>0.91</v>
      </c>
      <c r="AM29" s="982"/>
      <c r="AN29" s="982"/>
      <c r="AO29" s="982"/>
      <c r="AP29" s="982"/>
    </row>
    <row r="30" spans="2:42" s="51" customFormat="1" ht="14.4" x14ac:dyDescent="0.3">
      <c r="B30" s="130" t="s">
        <v>1024</v>
      </c>
      <c r="C30" s="945" t="s">
        <v>986</v>
      </c>
      <c r="D30" s="333"/>
      <c r="E30" s="1001">
        <f>896*2/2231.8</f>
        <v>0.80293933148131547</v>
      </c>
      <c r="F30" s="333"/>
      <c r="G30" s="691">
        <f>ROUND(224/2231.8,2)</f>
        <v>0.1</v>
      </c>
      <c r="H30" s="982" t="s">
        <v>173</v>
      </c>
      <c r="I30" s="691" t="s">
        <v>173</v>
      </c>
      <c r="J30" s="982" t="s">
        <v>173</v>
      </c>
      <c r="K30" s="691" t="s">
        <v>173</v>
      </c>
      <c r="L30" s="958" t="str">
        <f t="shared" si="8"/>
        <v>X</v>
      </c>
      <c r="M30" s="298">
        <f t="shared" si="11"/>
        <v>0.9</v>
      </c>
      <c r="N30" s="958" t="str">
        <f t="shared" si="9"/>
        <v>X</v>
      </c>
      <c r="O30" s="298" t="s">
        <v>1016</v>
      </c>
      <c r="P30" s="958" t="str">
        <f t="shared" si="10"/>
        <v>X</v>
      </c>
      <c r="Q30" s="298" t="s">
        <v>1209</v>
      </c>
      <c r="R30" s="96"/>
      <c r="S30" s="96"/>
      <c r="T30" s="364"/>
      <c r="U30" s="364"/>
      <c r="V30" s="364"/>
      <c r="W30" s="364"/>
      <c r="X30" s="364"/>
      <c r="Y30" s="364"/>
      <c r="Z30" s="949" t="s">
        <v>1024</v>
      </c>
      <c r="AA30" s="949" t="s">
        <v>170</v>
      </c>
      <c r="AB30" s="949" t="s">
        <v>986</v>
      </c>
      <c r="AC30" s="949" t="s">
        <v>137</v>
      </c>
      <c r="AD30" s="949">
        <v>2231.7600000000002</v>
      </c>
      <c r="AE30" s="949" t="s">
        <v>1209</v>
      </c>
      <c r="AF30" s="949">
        <v>2016</v>
      </c>
      <c r="AG30" s="949" t="s">
        <v>1016</v>
      </c>
      <c r="AH30" s="949">
        <v>3340.2</v>
      </c>
      <c r="AI30" s="949">
        <v>-99996</v>
      </c>
      <c r="AJ30" s="949">
        <v>0</v>
      </c>
      <c r="AK30" s="949">
        <v>2016</v>
      </c>
      <c r="AL30" s="949">
        <v>0.9</v>
      </c>
      <c r="AM30" s="982"/>
      <c r="AN30" s="982"/>
      <c r="AO30" s="982"/>
      <c r="AP30" s="982"/>
    </row>
    <row r="31" spans="2:42" s="51" customFormat="1" ht="27.6" x14ac:dyDescent="0.3">
      <c r="B31" s="130" t="s">
        <v>1025</v>
      </c>
      <c r="C31" s="946" t="s">
        <v>915</v>
      </c>
      <c r="D31" s="333"/>
      <c r="E31" s="1001">
        <v>0.8</v>
      </c>
      <c r="F31" s="982" t="s">
        <v>173</v>
      </c>
      <c r="G31" s="691" t="s">
        <v>173</v>
      </c>
      <c r="H31" s="982" t="s">
        <v>173</v>
      </c>
      <c r="I31" s="691" t="s">
        <v>173</v>
      </c>
      <c r="J31" s="982" t="s">
        <v>173</v>
      </c>
      <c r="K31" s="691" t="s">
        <v>173</v>
      </c>
      <c r="L31" s="958" t="str">
        <f t="shared" si="8"/>
        <v>X</v>
      </c>
      <c r="M31" s="298">
        <f t="shared" si="11"/>
        <v>0.8</v>
      </c>
      <c r="N31" s="958" t="str">
        <f t="shared" si="9"/>
        <v>X</v>
      </c>
      <c r="O31" s="298" t="s">
        <v>1016</v>
      </c>
      <c r="P31" s="958" t="str">
        <f t="shared" si="10"/>
        <v>X</v>
      </c>
      <c r="Q31" s="298" t="s">
        <v>1096</v>
      </c>
      <c r="R31" s="96"/>
      <c r="S31" s="96"/>
      <c r="T31" s="364"/>
      <c r="U31" s="364"/>
      <c r="V31" s="364"/>
      <c r="W31" s="364"/>
      <c r="X31" s="364"/>
      <c r="Y31" s="364"/>
      <c r="Z31" s="949" t="s">
        <v>1025</v>
      </c>
      <c r="AA31" s="949" t="s">
        <v>170</v>
      </c>
      <c r="AB31" s="949" t="s">
        <v>915</v>
      </c>
      <c r="AC31" s="949" t="s">
        <v>137</v>
      </c>
      <c r="AD31" s="949">
        <v>1412.8</v>
      </c>
      <c r="AE31" s="949" t="s">
        <v>1096</v>
      </c>
      <c r="AF31" s="949">
        <v>1130.24</v>
      </c>
      <c r="AG31" s="949" t="s">
        <v>1016</v>
      </c>
      <c r="AH31" s="949">
        <v>3340.2</v>
      </c>
      <c r="AI31" s="949">
        <v>-99996</v>
      </c>
      <c r="AJ31" s="949">
        <v>0</v>
      </c>
      <c r="AK31" s="949">
        <v>1130.24</v>
      </c>
      <c r="AL31" s="949">
        <v>0.8</v>
      </c>
      <c r="AM31" s="982"/>
      <c r="AN31" s="982"/>
      <c r="AO31" s="982"/>
      <c r="AP31" s="982"/>
    </row>
    <row r="32" spans="2:42" s="51" customFormat="1" ht="14.4" x14ac:dyDescent="0.3">
      <c r="B32" s="180" t="s">
        <v>1026</v>
      </c>
      <c r="C32" s="156"/>
      <c r="D32" s="982" t="s">
        <v>173</v>
      </c>
      <c r="E32" s="693" t="s">
        <v>173</v>
      </c>
      <c r="F32" s="982" t="s">
        <v>173</v>
      </c>
      <c r="G32" s="693" t="s">
        <v>173</v>
      </c>
      <c r="H32" s="982" t="s">
        <v>173</v>
      </c>
      <c r="I32" s="693" t="s">
        <v>173</v>
      </c>
      <c r="J32" s="982" t="s">
        <v>173</v>
      </c>
      <c r="K32" s="693" t="s">
        <v>173</v>
      </c>
      <c r="L32" s="325" t="s">
        <v>173</v>
      </c>
      <c r="M32" s="265" t="s">
        <v>173</v>
      </c>
      <c r="N32" s="325" t="s">
        <v>173</v>
      </c>
      <c r="O32" s="265" t="s">
        <v>173</v>
      </c>
      <c r="P32" s="325" t="s">
        <v>173</v>
      </c>
      <c r="Q32" s="265" t="s">
        <v>173</v>
      </c>
      <c r="R32" s="96"/>
      <c r="S32" s="96"/>
      <c r="T32" s="364"/>
      <c r="U32" s="364"/>
      <c r="V32" s="364"/>
      <c r="W32" s="364"/>
      <c r="X32" s="364"/>
      <c r="Y32" s="364"/>
      <c r="Z32" s="97" t="s">
        <v>1026</v>
      </c>
      <c r="AA32" s="97" t="s">
        <v>983</v>
      </c>
      <c r="AB32" s="97" t="s">
        <v>979</v>
      </c>
      <c r="AC32" s="97" t="s">
        <v>137</v>
      </c>
      <c r="AD32" s="97">
        <v>0</v>
      </c>
      <c r="AE32" s="97"/>
      <c r="AF32" s="97"/>
      <c r="AG32" s="97"/>
      <c r="AH32" s="97"/>
      <c r="AI32" s="97"/>
      <c r="AJ32" s="97"/>
      <c r="AK32" s="97"/>
      <c r="AL32" s="97"/>
      <c r="AM32" s="364"/>
      <c r="AN32" s="364"/>
      <c r="AO32" s="364"/>
      <c r="AP32" s="364"/>
    </row>
    <row r="33" spans="1:45" s="51" customFormat="1" x14ac:dyDescent="0.3">
      <c r="A33" s="364"/>
      <c r="B33" s="84"/>
      <c r="C33" s="30"/>
      <c r="D33" s="364"/>
      <c r="E33" s="364"/>
      <c r="F33" s="364"/>
      <c r="G33" s="364"/>
      <c r="H33" s="364"/>
      <c r="I33" s="364"/>
      <c r="J33" s="364"/>
      <c r="K33" s="364"/>
      <c r="L33" s="364"/>
      <c r="M33" s="365"/>
      <c r="N33" s="364"/>
      <c r="O33" s="365"/>
      <c r="P33" s="96"/>
      <c r="Q33" s="96"/>
      <c r="R33" s="96"/>
      <c r="S33" s="96"/>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row>
    <row r="34" spans="1:45" s="51" customFormat="1" x14ac:dyDescent="0.3">
      <c r="A34" s="364"/>
      <c r="B34" s="92"/>
      <c r="C34" s="90"/>
      <c r="D34" s="364"/>
      <c r="E34" s="364"/>
      <c r="F34" s="364"/>
      <c r="G34" s="364"/>
      <c r="H34" s="364"/>
      <c r="I34" s="364"/>
      <c r="J34" s="364"/>
      <c r="K34" s="364"/>
      <c r="L34" s="364"/>
      <c r="M34" s="82"/>
      <c r="N34" s="364"/>
      <c r="O34" s="82"/>
      <c r="P34" s="364"/>
      <c r="Q34" s="82"/>
      <c r="R34" s="82"/>
      <c r="S34" s="82"/>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row>
    <row r="35" spans="1:45" s="13" customFormat="1" x14ac:dyDescent="0.3">
      <c r="A35" s="285"/>
      <c r="B35" s="337" t="s">
        <v>243</v>
      </c>
      <c r="C35" s="285"/>
      <c r="D35" s="285"/>
      <c r="E35" s="285"/>
      <c r="F35" s="285"/>
      <c r="G35" s="285"/>
      <c r="H35" s="285"/>
      <c r="I35" s="285"/>
      <c r="J35" s="285"/>
      <c r="K35" s="285"/>
      <c r="L35" s="285"/>
      <c r="M35" s="285"/>
      <c r="N35" s="285"/>
      <c r="O35" s="285"/>
      <c r="P35" s="285"/>
      <c r="Q35" s="285"/>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row>
    <row r="36" spans="1:45" s="3" customFormat="1" ht="14.4" x14ac:dyDescent="0.3">
      <c r="A36" s="78"/>
      <c r="B36" s="23" t="s">
        <v>922</v>
      </c>
      <c r="C36" s="89"/>
      <c r="D36" s="91"/>
      <c r="E36" s="89"/>
      <c r="F36" s="91"/>
      <c r="G36" s="89"/>
      <c r="H36" s="91"/>
      <c r="I36" s="89"/>
      <c r="J36" s="91"/>
      <c r="K36" s="89"/>
      <c r="L36" s="91"/>
      <c r="M36" s="89"/>
      <c r="N36" s="91"/>
      <c r="O36" s="89"/>
      <c r="P36" s="91"/>
      <c r="Q36" s="89"/>
      <c r="R36" s="96"/>
      <c r="S36" s="96"/>
      <c r="T36" s="89"/>
      <c r="U36" s="89"/>
      <c r="V36" s="89"/>
      <c r="W36" s="89"/>
      <c r="X36" s="89"/>
      <c r="Y36" s="89"/>
      <c r="Z36" s="369" t="s">
        <v>1081</v>
      </c>
      <c r="AA36" s="982"/>
      <c r="AB36" s="982"/>
      <c r="AC36" s="982"/>
      <c r="AD36" s="982"/>
      <c r="AE36" s="982"/>
      <c r="AF36" s="982"/>
      <c r="AG36" s="982"/>
      <c r="AH36" s="982"/>
      <c r="AI36" s="982"/>
      <c r="AJ36" s="982"/>
      <c r="AK36" s="982"/>
      <c r="AL36" s="982"/>
      <c r="AM36" s="982"/>
      <c r="AN36" s="982"/>
      <c r="AO36" s="982"/>
      <c r="AP36" s="982"/>
      <c r="AQ36" s="89"/>
      <c r="AR36" s="89"/>
      <c r="AS36" s="89"/>
    </row>
    <row r="37" spans="1:45" s="3" customFormat="1" ht="14.4" x14ac:dyDescent="0.3">
      <c r="A37" s="89"/>
      <c r="B37" s="84" t="s">
        <v>870</v>
      </c>
      <c r="C37" s="89"/>
      <c r="D37" s="91"/>
      <c r="E37" s="89"/>
      <c r="F37" s="91"/>
      <c r="G37" s="89"/>
      <c r="H37" s="91"/>
      <c r="I37" s="89"/>
      <c r="J37" s="91"/>
      <c r="K37" s="89"/>
      <c r="L37" s="91"/>
      <c r="M37" s="89"/>
      <c r="N37" s="91"/>
      <c r="O37" s="89"/>
      <c r="P37" s="91"/>
      <c r="Q37" s="89"/>
      <c r="R37" s="96"/>
      <c r="S37" s="96"/>
      <c r="T37" s="89"/>
      <c r="U37" s="89"/>
      <c r="V37" s="89"/>
      <c r="W37" s="89"/>
      <c r="X37" s="89"/>
      <c r="Y37" s="89"/>
      <c r="Z37" s="982" t="s">
        <v>870</v>
      </c>
      <c r="AA37" s="982"/>
      <c r="AB37" s="982"/>
      <c r="AC37" s="982"/>
      <c r="AD37" s="982"/>
      <c r="AE37" s="982" t="s">
        <v>924</v>
      </c>
      <c r="AF37" s="982"/>
      <c r="AG37" s="982"/>
      <c r="AH37" s="982"/>
      <c r="AI37" s="982"/>
      <c r="AJ37" s="982"/>
      <c r="AK37" s="982"/>
      <c r="AL37" s="982"/>
      <c r="AM37" s="982"/>
      <c r="AN37" s="982"/>
      <c r="AO37" s="982"/>
      <c r="AP37" s="982" t="s">
        <v>925</v>
      </c>
      <c r="AQ37" s="89"/>
      <c r="AR37" s="89"/>
      <c r="AS37" s="89"/>
    </row>
    <row r="38" spans="1:45" s="84" customFormat="1" ht="38.25" customHeight="1" x14ac:dyDescent="0.3">
      <c r="B38" s="115" t="s">
        <v>580</v>
      </c>
      <c r="C38" s="123" t="s">
        <v>52</v>
      </c>
      <c r="D38" s="274"/>
      <c r="E38" s="117" t="s">
        <v>1203</v>
      </c>
      <c r="F38" s="226"/>
      <c r="G38" s="173" t="s">
        <v>1214</v>
      </c>
      <c r="H38" s="274"/>
      <c r="I38" s="117" t="s">
        <v>1204</v>
      </c>
      <c r="J38" s="226"/>
      <c r="K38" s="173" t="s">
        <v>1215</v>
      </c>
      <c r="L38" s="274"/>
      <c r="M38" s="117" t="s">
        <v>1216</v>
      </c>
      <c r="N38" s="274"/>
      <c r="O38" s="117" t="s">
        <v>930</v>
      </c>
      <c r="P38" s="274"/>
      <c r="Q38" s="117" t="s">
        <v>1206</v>
      </c>
      <c r="R38" s="88"/>
      <c r="S38" s="88"/>
      <c r="Z38" s="982" t="s">
        <v>121</v>
      </c>
      <c r="AA38" s="982" t="s">
        <v>523</v>
      </c>
      <c r="AB38" s="982" t="s">
        <v>52</v>
      </c>
      <c r="AC38" s="982" t="s">
        <v>1082</v>
      </c>
      <c r="AD38" s="982" t="s">
        <v>896</v>
      </c>
      <c r="AE38" s="982" t="s">
        <v>1083</v>
      </c>
      <c r="AF38" s="982" t="s">
        <v>1084</v>
      </c>
      <c r="AG38" s="982" t="s">
        <v>956</v>
      </c>
      <c r="AH38" s="982" t="s">
        <v>957</v>
      </c>
      <c r="AI38" s="982" t="s">
        <v>1085</v>
      </c>
      <c r="AJ38" s="982" t="s">
        <v>1086</v>
      </c>
      <c r="AK38" s="982" t="s">
        <v>1091</v>
      </c>
      <c r="AL38" s="982" t="s">
        <v>1092</v>
      </c>
      <c r="AM38" s="982" t="s">
        <v>1093</v>
      </c>
      <c r="AN38" s="982" t="s">
        <v>1087</v>
      </c>
      <c r="AO38" s="982" t="s">
        <v>1088</v>
      </c>
      <c r="AP38" s="982" t="s">
        <v>1089</v>
      </c>
      <c r="AQ38" s="84" t="s">
        <v>956</v>
      </c>
      <c r="AR38" s="84" t="s">
        <v>957</v>
      </c>
      <c r="AS38" s="84" t="s">
        <v>1090</v>
      </c>
    </row>
    <row r="39" spans="1:45" s="109" customFormat="1" ht="15" thickBot="1" x14ac:dyDescent="0.35">
      <c r="A39" s="364"/>
      <c r="B39" s="211" t="s">
        <v>942</v>
      </c>
      <c r="C39" s="124"/>
      <c r="D39" s="107"/>
      <c r="E39" s="1003" t="s">
        <v>1207</v>
      </c>
      <c r="F39" s="107"/>
      <c r="G39" s="1003" t="s">
        <v>1207</v>
      </c>
      <c r="H39" s="107"/>
      <c r="I39" s="1003" t="s">
        <v>1207</v>
      </c>
      <c r="J39" s="107"/>
      <c r="K39" s="1003" t="s">
        <v>1207</v>
      </c>
      <c r="L39" s="107"/>
      <c r="M39" s="1000" t="s">
        <v>946</v>
      </c>
      <c r="N39" s="107"/>
      <c r="O39" s="1000" t="s">
        <v>947</v>
      </c>
      <c r="P39" s="107"/>
      <c r="Q39" s="108"/>
      <c r="R39" s="96"/>
      <c r="S39" s="96"/>
      <c r="T39" s="364"/>
      <c r="U39" s="364"/>
      <c r="V39" s="364"/>
      <c r="W39" s="364"/>
      <c r="X39" s="364"/>
      <c r="Y39" s="364"/>
      <c r="Z39" s="982"/>
      <c r="AA39" s="982"/>
      <c r="AB39" s="982"/>
      <c r="AC39" s="982"/>
      <c r="AD39" s="982" t="s">
        <v>966</v>
      </c>
      <c r="AE39" s="982"/>
      <c r="AF39" s="982" t="s">
        <v>1094</v>
      </c>
      <c r="AG39" s="982"/>
      <c r="AH39" s="982" t="s">
        <v>968</v>
      </c>
      <c r="AI39" s="982"/>
      <c r="AJ39" s="982" t="s">
        <v>1094</v>
      </c>
      <c r="AK39" s="982" t="s">
        <v>1094</v>
      </c>
      <c r="AL39" s="982" t="s">
        <v>1094</v>
      </c>
      <c r="AM39" s="982" t="s">
        <v>1094</v>
      </c>
      <c r="AN39" s="982" t="s">
        <v>1094</v>
      </c>
      <c r="AO39" s="982" t="s">
        <v>1095</v>
      </c>
      <c r="AP39" s="982" t="s">
        <v>1094</v>
      </c>
      <c r="AQ39" s="364"/>
      <c r="AR39" s="364" t="s">
        <v>968</v>
      </c>
      <c r="AS39" s="364" t="s">
        <v>1095</v>
      </c>
    </row>
    <row r="40" spans="1:45" s="51" customFormat="1" ht="42" thickTop="1" x14ac:dyDescent="0.3">
      <c r="A40" s="364"/>
      <c r="B40" s="130" t="s">
        <v>970</v>
      </c>
      <c r="C40" s="346" t="s">
        <v>1022</v>
      </c>
      <c r="D40" s="332"/>
      <c r="E40" s="1001">
        <v>0.65</v>
      </c>
      <c r="F40" s="982" t="s">
        <v>173</v>
      </c>
      <c r="G40" s="691" t="s">
        <v>173</v>
      </c>
      <c r="H40" s="332"/>
      <c r="I40" s="691">
        <f>MIN(0.4,I15)</f>
        <v>0.4</v>
      </c>
      <c r="J40" s="332"/>
      <c r="K40" s="691">
        <f>MIN(0.35,K15)</f>
        <v>0.1</v>
      </c>
      <c r="L40" s="958" t="str">
        <f>IF(M40=AO40,"X","")</f>
        <v>X</v>
      </c>
      <c r="M40" s="298">
        <f>E40+I40+K40</f>
        <v>1.1500000000000001</v>
      </c>
      <c r="N40" s="958" t="str">
        <f>IF(O40=AG40,"X","")</f>
        <v>X</v>
      </c>
      <c r="O40" s="298" t="s">
        <v>1016</v>
      </c>
      <c r="P40" s="958" t="str">
        <f>IF(Q40=AE40,"X","")</f>
        <v>X</v>
      </c>
      <c r="Q40" s="298" t="s">
        <v>1209</v>
      </c>
      <c r="R40" s="96"/>
      <c r="S40" s="96"/>
      <c r="T40" s="812"/>
      <c r="U40" s="812"/>
      <c r="V40" s="812"/>
      <c r="W40" s="812"/>
      <c r="X40" s="812"/>
      <c r="Y40" s="813" t="s">
        <v>1212</v>
      </c>
      <c r="Z40" s="949" t="s">
        <v>970</v>
      </c>
      <c r="AA40" s="949" t="s">
        <v>170</v>
      </c>
      <c r="AB40" s="949" t="s">
        <v>1022</v>
      </c>
      <c r="AC40" s="949" t="s">
        <v>137</v>
      </c>
      <c r="AD40" s="949">
        <v>10586.7</v>
      </c>
      <c r="AE40" s="949" t="s">
        <v>1209</v>
      </c>
      <c r="AF40" s="949">
        <v>0</v>
      </c>
      <c r="AG40" s="949" t="s">
        <v>1016</v>
      </c>
      <c r="AH40" s="949">
        <v>3340.2</v>
      </c>
      <c r="AI40" s="949">
        <v>-99996</v>
      </c>
      <c r="AJ40" s="949">
        <v>0</v>
      </c>
      <c r="AK40" s="949">
        <v>6881.36</v>
      </c>
      <c r="AL40" s="949">
        <v>0</v>
      </c>
      <c r="AM40" s="949">
        <v>5322.68</v>
      </c>
      <c r="AN40" s="949">
        <v>12204</v>
      </c>
      <c r="AO40" s="949">
        <v>1.1499999999999999</v>
      </c>
      <c r="AP40" s="949"/>
      <c r="AQ40" s="97">
        <v>0.65000047229070435</v>
      </c>
      <c r="AR40" s="364"/>
      <c r="AS40" s="364"/>
    </row>
    <row r="41" spans="1:45" s="51" customFormat="1" ht="14.4" x14ac:dyDescent="0.3">
      <c r="A41" s="364"/>
      <c r="B41" s="130" t="s">
        <v>981</v>
      </c>
      <c r="C41" s="945" t="s">
        <v>986</v>
      </c>
      <c r="D41" s="333"/>
      <c r="E41" s="1001">
        <v>0.55000000000000004</v>
      </c>
      <c r="F41" s="333"/>
      <c r="G41" s="691">
        <f>MIN(0.2,G16)</f>
        <v>0.1</v>
      </c>
      <c r="H41" s="982" t="s">
        <v>173</v>
      </c>
      <c r="I41" s="691" t="s">
        <v>173</v>
      </c>
      <c r="J41" s="982" t="s">
        <v>173</v>
      </c>
      <c r="K41" s="691" t="s">
        <v>173</v>
      </c>
      <c r="L41" s="958" t="str">
        <f t="shared" ref="L41:L56" si="12">IF(M41=AO41,"X","")</f>
        <v>X</v>
      </c>
      <c r="M41" s="298">
        <f>E41+G41</f>
        <v>0.65</v>
      </c>
      <c r="N41" s="958" t="str">
        <f t="shared" ref="N41:N44" si="13">IF(O41=AG41,"X","")</f>
        <v>X</v>
      </c>
      <c r="O41" s="298" t="s">
        <v>1016</v>
      </c>
      <c r="P41" s="958" t="str">
        <f t="shared" ref="P41:P44" si="14">IF(Q41=AE41,"X","")</f>
        <v>X</v>
      </c>
      <c r="Q41" s="298" t="s">
        <v>1209</v>
      </c>
      <c r="R41" s="96"/>
      <c r="S41" s="96"/>
      <c r="T41" s="364"/>
      <c r="U41" s="364"/>
      <c r="V41" s="364"/>
      <c r="W41" s="364"/>
      <c r="X41" s="364"/>
      <c r="Y41" s="364"/>
      <c r="Z41" s="949" t="s">
        <v>981</v>
      </c>
      <c r="AA41" s="949" t="s">
        <v>170</v>
      </c>
      <c r="AB41" s="949" t="s">
        <v>986</v>
      </c>
      <c r="AC41" s="949" t="s">
        <v>137</v>
      </c>
      <c r="AD41" s="949">
        <v>2231.7600000000002</v>
      </c>
      <c r="AE41" s="949" t="s">
        <v>1209</v>
      </c>
      <c r="AF41" s="949">
        <v>0</v>
      </c>
      <c r="AG41" s="949" t="s">
        <v>1016</v>
      </c>
      <c r="AH41" s="949">
        <v>3340.2</v>
      </c>
      <c r="AI41" s="949">
        <v>-99996</v>
      </c>
      <c r="AJ41" s="949">
        <v>0</v>
      </c>
      <c r="AK41" s="949">
        <v>1227.47</v>
      </c>
      <c r="AL41" s="949">
        <v>0</v>
      </c>
      <c r="AM41" s="949">
        <v>224</v>
      </c>
      <c r="AN41" s="949">
        <v>1451.47</v>
      </c>
      <c r="AO41" s="949">
        <v>0.65</v>
      </c>
      <c r="AP41" s="949"/>
      <c r="AQ41" s="97">
        <v>0.55000089615370829</v>
      </c>
      <c r="AR41" s="364"/>
      <c r="AS41" s="364"/>
    </row>
    <row r="42" spans="1:45" ht="14.4" x14ac:dyDescent="0.3">
      <c r="A42" s="364"/>
      <c r="B42" s="130" t="s">
        <v>984</v>
      </c>
      <c r="C42" s="945" t="s">
        <v>986</v>
      </c>
      <c r="D42" s="333"/>
      <c r="E42" s="1001">
        <v>0.55000000000000004</v>
      </c>
      <c r="F42" s="333"/>
      <c r="G42" s="691">
        <f t="shared" ref="G42:G43" si="15">MIN(0.2,G17)</f>
        <v>0.09</v>
      </c>
      <c r="H42" s="982" t="s">
        <v>173</v>
      </c>
      <c r="I42" s="691" t="s">
        <v>173</v>
      </c>
      <c r="J42" s="982" t="s">
        <v>173</v>
      </c>
      <c r="K42" s="691" t="s">
        <v>173</v>
      </c>
      <c r="L42" s="958" t="str">
        <f t="shared" si="12"/>
        <v>X</v>
      </c>
      <c r="M42" s="298">
        <f>E42+G42</f>
        <v>0.64</v>
      </c>
      <c r="N42" s="958" t="str">
        <f t="shared" si="13"/>
        <v>X</v>
      </c>
      <c r="O42" s="298" t="s">
        <v>1016</v>
      </c>
      <c r="P42" s="958" t="str">
        <f t="shared" si="14"/>
        <v>X</v>
      </c>
      <c r="Q42" s="298" t="s">
        <v>1209</v>
      </c>
      <c r="R42" s="96"/>
      <c r="S42" s="96"/>
      <c r="T42" s="373"/>
      <c r="V42" s="373"/>
      <c r="W42" s="373"/>
      <c r="X42" s="373"/>
      <c r="Y42" s="373"/>
      <c r="Z42" s="949" t="s">
        <v>984</v>
      </c>
      <c r="AA42" s="949" t="s">
        <v>170</v>
      </c>
      <c r="AB42" s="949" t="s">
        <v>986</v>
      </c>
      <c r="AC42" s="949" t="s">
        <v>137</v>
      </c>
      <c r="AD42" s="949">
        <v>1412.9</v>
      </c>
      <c r="AE42" s="949" t="s">
        <v>1209</v>
      </c>
      <c r="AF42" s="949">
        <v>0</v>
      </c>
      <c r="AG42" s="949" t="s">
        <v>1016</v>
      </c>
      <c r="AH42" s="949">
        <v>3340.2</v>
      </c>
      <c r="AI42" s="949">
        <v>-99996</v>
      </c>
      <c r="AJ42" s="949">
        <v>0</v>
      </c>
      <c r="AK42" s="949">
        <v>777.096</v>
      </c>
      <c r="AL42" s="949">
        <v>0</v>
      </c>
      <c r="AM42" s="949">
        <v>128</v>
      </c>
      <c r="AN42" s="949">
        <v>905.096</v>
      </c>
      <c r="AO42" s="949">
        <v>0.64</v>
      </c>
      <c r="AP42" s="949"/>
      <c r="AQ42" s="97">
        <v>0.55000070776417298</v>
      </c>
      <c r="AR42" s="373"/>
      <c r="AS42" s="373"/>
    </row>
    <row r="43" spans="1:45" s="51" customFormat="1" ht="14.4" x14ac:dyDescent="0.3">
      <c r="A43" s="364"/>
      <c r="B43" s="130" t="s">
        <v>987</v>
      </c>
      <c r="C43" s="945" t="s">
        <v>986</v>
      </c>
      <c r="D43" s="333"/>
      <c r="E43" s="1001">
        <v>0.55000000000000004</v>
      </c>
      <c r="F43" s="333"/>
      <c r="G43" s="691">
        <f t="shared" si="15"/>
        <v>0.1</v>
      </c>
      <c r="H43" s="982" t="s">
        <v>173</v>
      </c>
      <c r="I43" s="691" t="s">
        <v>173</v>
      </c>
      <c r="J43" s="982" t="s">
        <v>173</v>
      </c>
      <c r="K43" s="691" t="s">
        <v>173</v>
      </c>
      <c r="L43" s="958" t="str">
        <f t="shared" si="12"/>
        <v>X</v>
      </c>
      <c r="M43" s="298">
        <f>E43+G43</f>
        <v>0.65</v>
      </c>
      <c r="N43" s="958" t="str">
        <f t="shared" si="13"/>
        <v>X</v>
      </c>
      <c r="O43" s="298" t="s">
        <v>1016</v>
      </c>
      <c r="P43" s="958" t="str">
        <f t="shared" si="14"/>
        <v>X</v>
      </c>
      <c r="Q43" s="298" t="s">
        <v>1209</v>
      </c>
      <c r="R43" s="96"/>
      <c r="S43" s="96"/>
      <c r="T43" s="364"/>
      <c r="U43" s="364"/>
      <c r="V43" s="364"/>
      <c r="W43" s="364"/>
      <c r="X43" s="364"/>
      <c r="Y43" s="364"/>
      <c r="Z43" s="949" t="s">
        <v>987</v>
      </c>
      <c r="AA43" s="949" t="s">
        <v>170</v>
      </c>
      <c r="AB43" s="949" t="s">
        <v>986</v>
      </c>
      <c r="AC43" s="949" t="s">
        <v>137</v>
      </c>
      <c r="AD43" s="949">
        <v>2231.7600000000002</v>
      </c>
      <c r="AE43" s="949" t="s">
        <v>1209</v>
      </c>
      <c r="AF43" s="949">
        <v>0</v>
      </c>
      <c r="AG43" s="949" t="s">
        <v>1016</v>
      </c>
      <c r="AH43" s="949">
        <v>3340.2</v>
      </c>
      <c r="AI43" s="949">
        <v>-99996</v>
      </c>
      <c r="AJ43" s="949">
        <v>0</v>
      </c>
      <c r="AK43" s="949">
        <v>1227.47</v>
      </c>
      <c r="AL43" s="949">
        <v>0</v>
      </c>
      <c r="AM43" s="949">
        <v>224</v>
      </c>
      <c r="AN43" s="949">
        <v>1451.47</v>
      </c>
      <c r="AO43" s="949">
        <v>0.65</v>
      </c>
      <c r="AP43" s="949"/>
      <c r="AQ43" s="97">
        <v>0.55000089615370829</v>
      </c>
      <c r="AR43" s="364"/>
      <c r="AS43" s="364"/>
    </row>
    <row r="44" spans="1:45" s="51" customFormat="1" ht="27.6" x14ac:dyDescent="0.3">
      <c r="A44" s="364"/>
      <c r="B44" s="130" t="s">
        <v>989</v>
      </c>
      <c r="C44" s="946" t="s">
        <v>915</v>
      </c>
      <c r="D44" s="333"/>
      <c r="E44" s="1001">
        <v>0.6</v>
      </c>
      <c r="F44" s="982" t="s">
        <v>173</v>
      </c>
      <c r="G44" s="691" t="s">
        <v>173</v>
      </c>
      <c r="H44" s="982" t="s">
        <v>173</v>
      </c>
      <c r="I44" s="691" t="s">
        <v>173</v>
      </c>
      <c r="J44" s="982" t="s">
        <v>173</v>
      </c>
      <c r="K44" s="691" t="s">
        <v>173</v>
      </c>
      <c r="L44" s="958" t="str">
        <f t="shared" si="12"/>
        <v>X</v>
      </c>
      <c r="M44" s="298">
        <f>E44</f>
        <v>0.6</v>
      </c>
      <c r="N44" s="958" t="str">
        <f t="shared" si="13"/>
        <v>X</v>
      </c>
      <c r="O44" s="298" t="s">
        <v>1016</v>
      </c>
      <c r="P44" s="958" t="str">
        <f t="shared" si="14"/>
        <v>X</v>
      </c>
      <c r="Q44" s="298" t="s">
        <v>1096</v>
      </c>
      <c r="R44" s="96"/>
      <c r="S44" s="96"/>
      <c r="T44" s="364"/>
      <c r="U44" s="364"/>
      <c r="V44" s="364"/>
      <c r="W44" s="364"/>
      <c r="X44" s="364"/>
      <c r="Y44" s="364"/>
      <c r="Z44" s="949" t="s">
        <v>989</v>
      </c>
      <c r="AA44" s="949" t="s">
        <v>170</v>
      </c>
      <c r="AB44" s="949" t="s">
        <v>915</v>
      </c>
      <c r="AC44" s="949" t="s">
        <v>137</v>
      </c>
      <c r="AD44" s="949">
        <v>1412.8</v>
      </c>
      <c r="AE44" s="949" t="s">
        <v>1096</v>
      </c>
      <c r="AF44" s="949">
        <v>0</v>
      </c>
      <c r="AG44" s="949" t="s">
        <v>1016</v>
      </c>
      <c r="AH44" s="949">
        <v>3340.2</v>
      </c>
      <c r="AI44" s="949">
        <v>-99996</v>
      </c>
      <c r="AJ44" s="949">
        <v>0</v>
      </c>
      <c r="AK44" s="949">
        <v>847.67899999999997</v>
      </c>
      <c r="AL44" s="949">
        <v>0</v>
      </c>
      <c r="AM44" s="949">
        <v>0</v>
      </c>
      <c r="AN44" s="949">
        <v>847.67899999999997</v>
      </c>
      <c r="AO44" s="949">
        <v>0.6</v>
      </c>
      <c r="AP44" s="949"/>
      <c r="AQ44" s="97">
        <v>0.59999929218573045</v>
      </c>
      <c r="AR44" s="364"/>
      <c r="AS44" s="364"/>
    </row>
    <row r="45" spans="1:45" s="51" customFormat="1" ht="14.4" x14ac:dyDescent="0.3">
      <c r="A45" s="364"/>
      <c r="B45" s="130" t="s">
        <v>1211</v>
      </c>
      <c r="C45" s="209"/>
      <c r="D45" s="982" t="s">
        <v>173</v>
      </c>
      <c r="E45" s="1001" t="s">
        <v>173</v>
      </c>
      <c r="F45" s="982" t="s">
        <v>173</v>
      </c>
      <c r="G45" s="691" t="s">
        <v>173</v>
      </c>
      <c r="H45" s="982" t="s">
        <v>173</v>
      </c>
      <c r="I45" s="691" t="s">
        <v>173</v>
      </c>
      <c r="J45" s="982" t="s">
        <v>173</v>
      </c>
      <c r="K45" s="691" t="s">
        <v>173</v>
      </c>
      <c r="L45" s="323"/>
      <c r="M45" s="979" t="s">
        <v>173</v>
      </c>
      <c r="N45" s="324" t="s">
        <v>173</v>
      </c>
      <c r="O45" s="979" t="s">
        <v>173</v>
      </c>
      <c r="P45" s="324" t="s">
        <v>173</v>
      </c>
      <c r="Q45" s="979" t="s">
        <v>173</v>
      </c>
      <c r="R45" s="96"/>
      <c r="S45" s="96"/>
      <c r="T45" s="364"/>
      <c r="U45" s="364"/>
      <c r="V45" s="364"/>
      <c r="W45" s="364"/>
      <c r="X45" s="364"/>
      <c r="Y45" s="364"/>
      <c r="Z45" s="949" t="s">
        <v>1211</v>
      </c>
      <c r="AA45" s="949" t="s">
        <v>983</v>
      </c>
      <c r="AB45" s="949" t="s">
        <v>979</v>
      </c>
      <c r="AC45" s="949" t="s">
        <v>137</v>
      </c>
      <c r="AD45" s="949">
        <v>0</v>
      </c>
      <c r="AE45" s="949"/>
      <c r="AF45" s="949"/>
      <c r="AG45" s="949"/>
      <c r="AH45" s="949"/>
      <c r="AI45" s="949"/>
      <c r="AJ45" s="949"/>
      <c r="AK45" s="949"/>
      <c r="AL45" s="949"/>
      <c r="AM45" s="949"/>
      <c r="AN45" s="949"/>
      <c r="AO45" s="949"/>
      <c r="AP45" s="949"/>
      <c r="AQ45" s="97"/>
      <c r="AR45" s="364"/>
      <c r="AS45" s="364"/>
    </row>
    <row r="46" spans="1:45" s="51" customFormat="1" ht="41.4" x14ac:dyDescent="0.3">
      <c r="A46" s="364"/>
      <c r="B46" s="130" t="s">
        <v>990</v>
      </c>
      <c r="C46" s="947" t="s">
        <v>1022</v>
      </c>
      <c r="D46" s="333"/>
      <c r="E46" s="1001">
        <v>0.65</v>
      </c>
      <c r="F46" s="982" t="s">
        <v>173</v>
      </c>
      <c r="G46" s="691" t="s">
        <v>173</v>
      </c>
      <c r="H46" s="333"/>
      <c r="I46" s="691">
        <f>MIN(0.4,I21)</f>
        <v>0.4</v>
      </c>
      <c r="J46" s="333"/>
      <c r="K46" s="691">
        <f>MIN(0.35,K21)</f>
        <v>0.1</v>
      </c>
      <c r="L46" s="958" t="str">
        <f t="shared" si="12"/>
        <v>X</v>
      </c>
      <c r="M46" s="298">
        <f>E46+I46+K46</f>
        <v>1.1500000000000001</v>
      </c>
      <c r="N46" s="958" t="str">
        <f t="shared" ref="N46:N50" si="16">IF(O46=AG46,"X","")</f>
        <v>X</v>
      </c>
      <c r="O46" s="298" t="s">
        <v>1016</v>
      </c>
      <c r="P46" s="958" t="str">
        <f t="shared" ref="P46:P50" si="17">IF(Q46=AE46,"X","")</f>
        <v>X</v>
      </c>
      <c r="Q46" s="298" t="s">
        <v>1209</v>
      </c>
      <c r="R46" s="96"/>
      <c r="S46" s="96"/>
      <c r="T46" s="364"/>
      <c r="U46" s="364"/>
      <c r="V46" s="364"/>
      <c r="W46" s="364"/>
      <c r="X46" s="364"/>
      <c r="Y46" s="364"/>
      <c r="Z46" s="949" t="s">
        <v>990</v>
      </c>
      <c r="AA46" s="949" t="s">
        <v>170</v>
      </c>
      <c r="AB46" s="949" t="s">
        <v>1022</v>
      </c>
      <c r="AC46" s="949" t="s">
        <v>137</v>
      </c>
      <c r="AD46" s="949">
        <v>10586.7</v>
      </c>
      <c r="AE46" s="949" t="s">
        <v>1209</v>
      </c>
      <c r="AF46" s="949">
        <v>0</v>
      </c>
      <c r="AG46" s="949" t="s">
        <v>1016</v>
      </c>
      <c r="AH46" s="949">
        <v>3340.2</v>
      </c>
      <c r="AI46" s="949">
        <v>-99996</v>
      </c>
      <c r="AJ46" s="949">
        <v>0</v>
      </c>
      <c r="AK46" s="949">
        <v>6881.36</v>
      </c>
      <c r="AL46" s="949">
        <v>0</v>
      </c>
      <c r="AM46" s="949">
        <v>5322.68</v>
      </c>
      <c r="AN46" s="949">
        <v>12204</v>
      </c>
      <c r="AO46" s="949">
        <v>1.1499999999999999</v>
      </c>
      <c r="AP46" s="949"/>
      <c r="AQ46" s="97">
        <v>0.65000047229070435</v>
      </c>
      <c r="AR46" s="364"/>
      <c r="AS46" s="364"/>
    </row>
    <row r="47" spans="1:45" s="51" customFormat="1" ht="14.4" x14ac:dyDescent="0.3">
      <c r="A47" s="364"/>
      <c r="B47" s="130" t="s">
        <v>1000</v>
      </c>
      <c r="C47" s="945" t="s">
        <v>986</v>
      </c>
      <c r="D47" s="333"/>
      <c r="E47" s="1001">
        <v>0.55000000000000004</v>
      </c>
      <c r="F47" s="333"/>
      <c r="G47" s="691">
        <f>MIN(0.2,G22)</f>
        <v>0.1</v>
      </c>
      <c r="H47" s="982" t="s">
        <v>173</v>
      </c>
      <c r="I47" s="691" t="s">
        <v>173</v>
      </c>
      <c r="J47" s="982" t="s">
        <v>173</v>
      </c>
      <c r="K47" s="691" t="s">
        <v>173</v>
      </c>
      <c r="L47" s="958" t="str">
        <f t="shared" si="12"/>
        <v>X</v>
      </c>
      <c r="M47" s="298">
        <f>E47+G47</f>
        <v>0.65</v>
      </c>
      <c r="N47" s="958" t="str">
        <f t="shared" si="16"/>
        <v>X</v>
      </c>
      <c r="O47" s="298" t="s">
        <v>1016</v>
      </c>
      <c r="P47" s="958" t="str">
        <f t="shared" si="17"/>
        <v>X</v>
      </c>
      <c r="Q47" s="298" t="s">
        <v>1209</v>
      </c>
      <c r="R47" s="96"/>
      <c r="S47" s="96"/>
      <c r="T47" s="364"/>
      <c r="U47" s="364"/>
      <c r="V47" s="364"/>
      <c r="W47" s="364"/>
      <c r="X47" s="364"/>
      <c r="Y47" s="364"/>
      <c r="Z47" s="949" t="s">
        <v>1000</v>
      </c>
      <c r="AA47" s="949" t="s">
        <v>170</v>
      </c>
      <c r="AB47" s="949" t="s">
        <v>986</v>
      </c>
      <c r="AC47" s="949" t="s">
        <v>137</v>
      </c>
      <c r="AD47" s="949">
        <v>2231.7600000000002</v>
      </c>
      <c r="AE47" s="949" t="s">
        <v>1209</v>
      </c>
      <c r="AF47" s="949">
        <v>0</v>
      </c>
      <c r="AG47" s="949" t="s">
        <v>1016</v>
      </c>
      <c r="AH47" s="949">
        <v>3340.2</v>
      </c>
      <c r="AI47" s="949">
        <v>-99996</v>
      </c>
      <c r="AJ47" s="949">
        <v>0</v>
      </c>
      <c r="AK47" s="949">
        <v>1227.47</v>
      </c>
      <c r="AL47" s="949">
        <v>0</v>
      </c>
      <c r="AM47" s="949">
        <v>224</v>
      </c>
      <c r="AN47" s="949">
        <v>1451.47</v>
      </c>
      <c r="AO47" s="949">
        <v>0.65</v>
      </c>
      <c r="AP47" s="949"/>
      <c r="AQ47" s="97">
        <v>0.55000089615370829</v>
      </c>
      <c r="AR47" s="364"/>
      <c r="AS47" s="364"/>
    </row>
    <row r="48" spans="1:45" s="51" customFormat="1" ht="14.4" x14ac:dyDescent="0.3">
      <c r="A48" s="364"/>
      <c r="B48" s="130" t="s">
        <v>1001</v>
      </c>
      <c r="C48" s="945" t="s">
        <v>986</v>
      </c>
      <c r="D48" s="333"/>
      <c r="E48" s="1001">
        <v>0.55000000000000004</v>
      </c>
      <c r="F48" s="333"/>
      <c r="G48" s="691">
        <f t="shared" ref="G48:G49" si="18">MIN(0.2,G23)</f>
        <v>0.09</v>
      </c>
      <c r="H48" s="982" t="s">
        <v>173</v>
      </c>
      <c r="I48" s="691" t="s">
        <v>173</v>
      </c>
      <c r="J48" s="982" t="s">
        <v>173</v>
      </c>
      <c r="K48" s="691" t="s">
        <v>173</v>
      </c>
      <c r="L48" s="958" t="str">
        <f t="shared" si="12"/>
        <v>X</v>
      </c>
      <c r="M48" s="298">
        <f>E48+G48</f>
        <v>0.64</v>
      </c>
      <c r="N48" s="958" t="str">
        <f t="shared" si="16"/>
        <v>X</v>
      </c>
      <c r="O48" s="298" t="s">
        <v>1016</v>
      </c>
      <c r="P48" s="958" t="str">
        <f t="shared" si="17"/>
        <v>X</v>
      </c>
      <c r="Q48" s="298" t="s">
        <v>1209</v>
      </c>
      <c r="R48" s="96"/>
      <c r="S48" s="96"/>
      <c r="T48" s="364"/>
      <c r="U48" s="364"/>
      <c r="V48" s="364"/>
      <c r="W48" s="364"/>
      <c r="X48" s="364"/>
      <c r="Y48" s="364"/>
      <c r="Z48" s="949" t="s">
        <v>1001</v>
      </c>
      <c r="AA48" s="949" t="s">
        <v>170</v>
      </c>
      <c r="AB48" s="949" t="s">
        <v>986</v>
      </c>
      <c r="AC48" s="949" t="s">
        <v>137</v>
      </c>
      <c r="AD48" s="949">
        <v>1412.9</v>
      </c>
      <c r="AE48" s="949" t="s">
        <v>1209</v>
      </c>
      <c r="AF48" s="949">
        <v>0</v>
      </c>
      <c r="AG48" s="949" t="s">
        <v>1016</v>
      </c>
      <c r="AH48" s="949">
        <v>3340.2</v>
      </c>
      <c r="AI48" s="949">
        <v>-99996</v>
      </c>
      <c r="AJ48" s="949">
        <v>0</v>
      </c>
      <c r="AK48" s="949">
        <v>777.096</v>
      </c>
      <c r="AL48" s="949">
        <v>0</v>
      </c>
      <c r="AM48" s="949">
        <v>128</v>
      </c>
      <c r="AN48" s="949">
        <v>905.096</v>
      </c>
      <c r="AO48" s="949">
        <v>0.64</v>
      </c>
      <c r="AP48" s="949"/>
      <c r="AQ48" s="97">
        <v>0.55000070776417298</v>
      </c>
      <c r="AR48" s="364"/>
      <c r="AS48" s="364"/>
    </row>
    <row r="49" spans="2:43" s="51" customFormat="1" ht="14.4" x14ac:dyDescent="0.3">
      <c r="B49" s="130" t="s">
        <v>1002</v>
      </c>
      <c r="C49" s="945" t="s">
        <v>986</v>
      </c>
      <c r="D49" s="333"/>
      <c r="E49" s="1001">
        <v>0.55000000000000004</v>
      </c>
      <c r="F49" s="333"/>
      <c r="G49" s="691">
        <f t="shared" si="18"/>
        <v>0.1</v>
      </c>
      <c r="H49" s="982" t="s">
        <v>173</v>
      </c>
      <c r="I49" s="691" t="s">
        <v>173</v>
      </c>
      <c r="J49" s="982" t="s">
        <v>173</v>
      </c>
      <c r="K49" s="691" t="s">
        <v>173</v>
      </c>
      <c r="L49" s="958" t="str">
        <f t="shared" si="12"/>
        <v>X</v>
      </c>
      <c r="M49" s="298">
        <f>E49+G49</f>
        <v>0.65</v>
      </c>
      <c r="N49" s="958" t="str">
        <f t="shared" si="16"/>
        <v>X</v>
      </c>
      <c r="O49" s="298" t="s">
        <v>1016</v>
      </c>
      <c r="P49" s="958" t="str">
        <f t="shared" si="17"/>
        <v>X</v>
      </c>
      <c r="Q49" s="298" t="s">
        <v>1209</v>
      </c>
      <c r="R49" s="96"/>
      <c r="S49" s="96"/>
      <c r="T49" s="364"/>
      <c r="U49" s="364"/>
      <c r="V49" s="364"/>
      <c r="W49" s="364"/>
      <c r="X49" s="364"/>
      <c r="Y49" s="364"/>
      <c r="Z49" s="949" t="s">
        <v>1002</v>
      </c>
      <c r="AA49" s="949" t="s">
        <v>170</v>
      </c>
      <c r="AB49" s="949" t="s">
        <v>986</v>
      </c>
      <c r="AC49" s="949" t="s">
        <v>137</v>
      </c>
      <c r="AD49" s="949">
        <v>2231.7600000000002</v>
      </c>
      <c r="AE49" s="949" t="s">
        <v>1209</v>
      </c>
      <c r="AF49" s="949">
        <v>0</v>
      </c>
      <c r="AG49" s="949" t="s">
        <v>1016</v>
      </c>
      <c r="AH49" s="949">
        <v>3340.2</v>
      </c>
      <c r="AI49" s="949">
        <v>-99996</v>
      </c>
      <c r="AJ49" s="949">
        <v>0</v>
      </c>
      <c r="AK49" s="949">
        <v>1227.47</v>
      </c>
      <c r="AL49" s="949">
        <v>0</v>
      </c>
      <c r="AM49" s="949">
        <v>224</v>
      </c>
      <c r="AN49" s="949">
        <v>1451.47</v>
      </c>
      <c r="AO49" s="949">
        <v>0.65</v>
      </c>
      <c r="AP49" s="949"/>
      <c r="AQ49" s="97">
        <v>0.55000089615370829</v>
      </c>
    </row>
    <row r="50" spans="2:43" s="51" customFormat="1" ht="27.6" x14ac:dyDescent="0.3">
      <c r="B50" s="130" t="s">
        <v>1003</v>
      </c>
      <c r="C50" s="946" t="s">
        <v>915</v>
      </c>
      <c r="D50" s="333"/>
      <c r="E50" s="1001">
        <v>0.6</v>
      </c>
      <c r="F50" s="982" t="s">
        <v>173</v>
      </c>
      <c r="G50" s="691" t="s">
        <v>173</v>
      </c>
      <c r="H50" s="982" t="s">
        <v>173</v>
      </c>
      <c r="I50" s="691" t="s">
        <v>173</v>
      </c>
      <c r="J50" s="982" t="s">
        <v>173</v>
      </c>
      <c r="K50" s="691" t="s">
        <v>173</v>
      </c>
      <c r="L50" s="958" t="str">
        <f t="shared" si="12"/>
        <v>X</v>
      </c>
      <c r="M50" s="298">
        <f>E50</f>
        <v>0.6</v>
      </c>
      <c r="N50" s="958" t="str">
        <f t="shared" si="16"/>
        <v>X</v>
      </c>
      <c r="O50" s="298" t="s">
        <v>1016</v>
      </c>
      <c r="P50" s="958" t="str">
        <f t="shared" si="17"/>
        <v>X</v>
      </c>
      <c r="Q50" s="298" t="s">
        <v>1096</v>
      </c>
      <c r="R50" s="96"/>
      <c r="S50" s="96"/>
      <c r="T50" s="364"/>
      <c r="U50" s="364"/>
      <c r="V50" s="364"/>
      <c r="W50" s="364"/>
      <c r="X50" s="364"/>
      <c r="Y50" s="364"/>
      <c r="Z50" s="949" t="s">
        <v>1003</v>
      </c>
      <c r="AA50" s="949" t="s">
        <v>170</v>
      </c>
      <c r="AB50" s="949" t="s">
        <v>915</v>
      </c>
      <c r="AC50" s="949" t="s">
        <v>137</v>
      </c>
      <c r="AD50" s="949">
        <v>1412.8</v>
      </c>
      <c r="AE50" s="949" t="s">
        <v>1096</v>
      </c>
      <c r="AF50" s="949">
        <v>0</v>
      </c>
      <c r="AG50" s="949" t="s">
        <v>1016</v>
      </c>
      <c r="AH50" s="949">
        <v>3340.2</v>
      </c>
      <c r="AI50" s="949">
        <v>-99996</v>
      </c>
      <c r="AJ50" s="949">
        <v>0</v>
      </c>
      <c r="AK50" s="949">
        <v>847.67899999999997</v>
      </c>
      <c r="AL50" s="949">
        <v>0</v>
      </c>
      <c r="AM50" s="949">
        <v>0</v>
      </c>
      <c r="AN50" s="949">
        <v>847.67899999999997</v>
      </c>
      <c r="AO50" s="949">
        <v>0.6</v>
      </c>
      <c r="AP50" s="949"/>
      <c r="AQ50" s="97"/>
    </row>
    <row r="51" spans="2:43" s="51" customFormat="1" ht="14.4" x14ac:dyDescent="0.3">
      <c r="B51" s="130" t="s">
        <v>998</v>
      </c>
      <c r="C51" s="152"/>
      <c r="D51" s="982" t="s">
        <v>173</v>
      </c>
      <c r="E51" s="1001" t="s">
        <v>173</v>
      </c>
      <c r="F51" s="982" t="s">
        <v>173</v>
      </c>
      <c r="G51" s="691" t="s">
        <v>173</v>
      </c>
      <c r="H51" s="982" t="s">
        <v>173</v>
      </c>
      <c r="I51" s="691" t="s">
        <v>173</v>
      </c>
      <c r="J51" s="982" t="s">
        <v>173</v>
      </c>
      <c r="K51" s="691" t="s">
        <v>173</v>
      </c>
      <c r="L51" s="323"/>
      <c r="M51" s="979" t="s">
        <v>173</v>
      </c>
      <c r="N51" s="324" t="s">
        <v>173</v>
      </c>
      <c r="O51" s="979" t="s">
        <v>173</v>
      </c>
      <c r="P51" s="324" t="s">
        <v>173</v>
      </c>
      <c r="Q51" s="979" t="s">
        <v>173</v>
      </c>
      <c r="R51" s="96"/>
      <c r="S51" s="96"/>
      <c r="T51" s="364"/>
      <c r="U51" s="364"/>
      <c r="V51" s="364"/>
      <c r="W51" s="364"/>
      <c r="X51" s="364"/>
      <c r="Y51" s="364"/>
      <c r="Z51" s="949" t="s">
        <v>998</v>
      </c>
      <c r="AA51" s="949" t="s">
        <v>983</v>
      </c>
      <c r="AB51" s="949" t="s">
        <v>979</v>
      </c>
      <c r="AC51" s="949" t="s">
        <v>137</v>
      </c>
      <c r="AD51" s="949">
        <v>0</v>
      </c>
      <c r="AE51" s="949"/>
      <c r="AF51" s="949"/>
      <c r="AG51" s="949"/>
      <c r="AH51" s="949"/>
      <c r="AI51" s="949"/>
      <c r="AJ51" s="949"/>
      <c r="AK51" s="949"/>
      <c r="AL51" s="949"/>
      <c r="AM51" s="949"/>
      <c r="AN51" s="949"/>
      <c r="AO51" s="949"/>
      <c r="AP51" s="949"/>
      <c r="AQ51" s="97"/>
    </row>
    <row r="52" spans="2:43" s="51" customFormat="1" ht="41.4" x14ac:dyDescent="0.3">
      <c r="B52" s="130" t="s">
        <v>1013</v>
      </c>
      <c r="C52" s="152" t="s">
        <v>1022</v>
      </c>
      <c r="D52" s="333"/>
      <c r="E52" s="1001">
        <v>0.65</v>
      </c>
      <c r="F52" s="982" t="s">
        <v>173</v>
      </c>
      <c r="G52" s="691" t="s">
        <v>173</v>
      </c>
      <c r="H52" s="333"/>
      <c r="I52" s="691">
        <f>MIN(0.4,I27)</f>
        <v>0.4</v>
      </c>
      <c r="J52" s="333"/>
      <c r="K52" s="691">
        <f>MIN(0.35,K27)</f>
        <v>0.1</v>
      </c>
      <c r="L52" s="958" t="str">
        <f t="shared" si="12"/>
        <v>X</v>
      </c>
      <c r="M52" s="298">
        <f>E52+I52+K52</f>
        <v>1.1500000000000001</v>
      </c>
      <c r="N52" s="958" t="str">
        <f t="shared" ref="N52:N56" si="19">IF(O52=AG52,"X","")</f>
        <v>X</v>
      </c>
      <c r="O52" s="298" t="s">
        <v>1016</v>
      </c>
      <c r="P52" s="958" t="str">
        <f t="shared" ref="P52:P56" si="20">IF(Q52=AE52,"X","")</f>
        <v>X</v>
      </c>
      <c r="Q52" s="298" t="s">
        <v>1209</v>
      </c>
      <c r="R52" s="96"/>
      <c r="S52" s="96"/>
      <c r="T52" s="364"/>
      <c r="U52" s="364"/>
      <c r="V52" s="364"/>
      <c r="W52" s="364"/>
      <c r="X52" s="364"/>
      <c r="Y52" s="364"/>
      <c r="Z52" s="949" t="s">
        <v>1013</v>
      </c>
      <c r="AA52" s="949" t="s">
        <v>170</v>
      </c>
      <c r="AB52" s="949" t="s">
        <v>1022</v>
      </c>
      <c r="AC52" s="949" t="s">
        <v>137</v>
      </c>
      <c r="AD52" s="949">
        <v>10586.7</v>
      </c>
      <c r="AE52" s="949" t="s">
        <v>1209</v>
      </c>
      <c r="AF52" s="949">
        <v>0</v>
      </c>
      <c r="AG52" s="949" t="s">
        <v>1016</v>
      </c>
      <c r="AH52" s="949">
        <v>3340.2</v>
      </c>
      <c r="AI52" s="949">
        <v>-99996</v>
      </c>
      <c r="AJ52" s="949">
        <v>0</v>
      </c>
      <c r="AK52" s="949">
        <v>6881.36</v>
      </c>
      <c r="AL52" s="949">
        <v>0</v>
      </c>
      <c r="AM52" s="949">
        <v>5322.68</v>
      </c>
      <c r="AN52" s="949">
        <v>12204</v>
      </c>
      <c r="AO52" s="949">
        <v>1.1499999999999999</v>
      </c>
      <c r="AP52" s="949"/>
      <c r="AQ52" s="97">
        <v>0.65000047229070435</v>
      </c>
    </row>
    <row r="53" spans="2:43" s="51" customFormat="1" ht="14.4" x14ac:dyDescent="0.3">
      <c r="B53" s="130" t="s">
        <v>1021</v>
      </c>
      <c r="C53" s="945" t="s">
        <v>986</v>
      </c>
      <c r="D53" s="333"/>
      <c r="E53" s="1001">
        <v>0.55000000000000004</v>
      </c>
      <c r="F53" s="333"/>
      <c r="G53" s="691">
        <f>MIN(0.2,G28)</f>
        <v>0.1</v>
      </c>
      <c r="H53" s="982" t="s">
        <v>173</v>
      </c>
      <c r="I53" s="691" t="s">
        <v>173</v>
      </c>
      <c r="J53" s="982" t="s">
        <v>173</v>
      </c>
      <c r="K53" s="691" t="s">
        <v>173</v>
      </c>
      <c r="L53" s="958" t="str">
        <f t="shared" si="12"/>
        <v>X</v>
      </c>
      <c r="M53" s="298">
        <f>E53+G53</f>
        <v>0.65</v>
      </c>
      <c r="N53" s="958" t="str">
        <f t="shared" si="19"/>
        <v>X</v>
      </c>
      <c r="O53" s="298" t="s">
        <v>1016</v>
      </c>
      <c r="P53" s="958" t="str">
        <f t="shared" si="20"/>
        <v>X</v>
      </c>
      <c r="Q53" s="298" t="s">
        <v>1209</v>
      </c>
      <c r="R53" s="96"/>
      <c r="S53" s="96"/>
      <c r="T53" s="364"/>
      <c r="U53" s="364"/>
      <c r="V53" s="364"/>
      <c r="W53" s="364"/>
      <c r="X53" s="364"/>
      <c r="Y53" s="364"/>
      <c r="Z53" s="949" t="s">
        <v>1021</v>
      </c>
      <c r="AA53" s="949" t="s">
        <v>170</v>
      </c>
      <c r="AB53" s="949" t="s">
        <v>986</v>
      </c>
      <c r="AC53" s="949" t="s">
        <v>137</v>
      </c>
      <c r="AD53" s="949">
        <v>2231.7600000000002</v>
      </c>
      <c r="AE53" s="949" t="s">
        <v>1209</v>
      </c>
      <c r="AF53" s="949">
        <v>0</v>
      </c>
      <c r="AG53" s="949" t="s">
        <v>1016</v>
      </c>
      <c r="AH53" s="949">
        <v>3340.2</v>
      </c>
      <c r="AI53" s="949">
        <v>-99996</v>
      </c>
      <c r="AJ53" s="949">
        <v>0</v>
      </c>
      <c r="AK53" s="949">
        <v>1227.47</v>
      </c>
      <c r="AL53" s="949">
        <v>0</v>
      </c>
      <c r="AM53" s="949">
        <v>224</v>
      </c>
      <c r="AN53" s="949">
        <v>1451.47</v>
      </c>
      <c r="AO53" s="949">
        <v>0.65</v>
      </c>
      <c r="AP53" s="949"/>
      <c r="AQ53" s="97">
        <v>0.55000089615370829</v>
      </c>
    </row>
    <row r="54" spans="2:43" s="51" customFormat="1" ht="14.4" x14ac:dyDescent="0.3">
      <c r="B54" s="130" t="s">
        <v>1023</v>
      </c>
      <c r="C54" s="945" t="s">
        <v>986</v>
      </c>
      <c r="D54" s="333"/>
      <c r="E54" s="1001">
        <v>0.55000000000000004</v>
      </c>
      <c r="F54" s="333"/>
      <c r="G54" s="691">
        <f t="shared" ref="G54:G55" si="21">MIN(0.2,G29)</f>
        <v>0.09</v>
      </c>
      <c r="H54" s="982" t="s">
        <v>173</v>
      </c>
      <c r="I54" s="691" t="s">
        <v>173</v>
      </c>
      <c r="J54" s="982" t="s">
        <v>173</v>
      </c>
      <c r="K54" s="691" t="s">
        <v>173</v>
      </c>
      <c r="L54" s="958" t="str">
        <f t="shared" si="12"/>
        <v>X</v>
      </c>
      <c r="M54" s="298">
        <f>E54+G54</f>
        <v>0.64</v>
      </c>
      <c r="N54" s="958" t="str">
        <f t="shared" si="19"/>
        <v>X</v>
      </c>
      <c r="O54" s="298" t="s">
        <v>1016</v>
      </c>
      <c r="P54" s="958" t="str">
        <f t="shared" si="20"/>
        <v>X</v>
      </c>
      <c r="Q54" s="298" t="s">
        <v>1209</v>
      </c>
      <c r="R54" s="96"/>
      <c r="S54" s="96"/>
      <c r="T54" s="364"/>
      <c r="U54" s="364"/>
      <c r="V54" s="364"/>
      <c r="W54" s="364"/>
      <c r="X54" s="364"/>
      <c r="Y54" s="364"/>
      <c r="Z54" s="949" t="s">
        <v>1023</v>
      </c>
      <c r="AA54" s="949" t="s">
        <v>170</v>
      </c>
      <c r="AB54" s="949" t="s">
        <v>986</v>
      </c>
      <c r="AC54" s="949" t="s">
        <v>137</v>
      </c>
      <c r="AD54" s="949">
        <v>1412.9</v>
      </c>
      <c r="AE54" s="949" t="s">
        <v>1209</v>
      </c>
      <c r="AF54" s="949">
        <v>0</v>
      </c>
      <c r="AG54" s="949" t="s">
        <v>1016</v>
      </c>
      <c r="AH54" s="949">
        <v>3340.2</v>
      </c>
      <c r="AI54" s="949">
        <v>-99996</v>
      </c>
      <c r="AJ54" s="949">
        <v>0</v>
      </c>
      <c r="AK54" s="949">
        <v>777.096</v>
      </c>
      <c r="AL54" s="949">
        <v>0</v>
      </c>
      <c r="AM54" s="949">
        <v>128</v>
      </c>
      <c r="AN54" s="949">
        <v>905.096</v>
      </c>
      <c r="AO54" s="949">
        <v>0.64</v>
      </c>
      <c r="AP54" s="949"/>
      <c r="AQ54" s="97">
        <v>0.55000070776417298</v>
      </c>
    </row>
    <row r="55" spans="2:43" s="51" customFormat="1" ht="14.4" x14ac:dyDescent="0.3">
      <c r="B55" s="130" t="s">
        <v>1024</v>
      </c>
      <c r="C55" s="945" t="s">
        <v>986</v>
      </c>
      <c r="D55" s="333"/>
      <c r="E55" s="1001">
        <v>0.55000000000000004</v>
      </c>
      <c r="F55" s="333"/>
      <c r="G55" s="691">
        <f t="shared" si="21"/>
        <v>0.1</v>
      </c>
      <c r="H55" s="982" t="s">
        <v>173</v>
      </c>
      <c r="I55" s="691" t="s">
        <v>173</v>
      </c>
      <c r="J55" s="982" t="s">
        <v>173</v>
      </c>
      <c r="K55" s="691" t="s">
        <v>173</v>
      </c>
      <c r="L55" s="958" t="str">
        <f t="shared" si="12"/>
        <v>X</v>
      </c>
      <c r="M55" s="298">
        <f>E55+G55</f>
        <v>0.65</v>
      </c>
      <c r="N55" s="958" t="str">
        <f t="shared" si="19"/>
        <v>X</v>
      </c>
      <c r="O55" s="298" t="s">
        <v>1016</v>
      </c>
      <c r="P55" s="958" t="str">
        <f t="shared" si="20"/>
        <v>X</v>
      </c>
      <c r="Q55" s="298" t="s">
        <v>1209</v>
      </c>
      <c r="R55" s="96"/>
      <c r="S55" s="96"/>
      <c r="T55" s="364"/>
      <c r="U55" s="364"/>
      <c r="V55" s="364"/>
      <c r="W55" s="364"/>
      <c r="X55" s="364"/>
      <c r="Y55" s="364"/>
      <c r="Z55" s="949" t="s">
        <v>1024</v>
      </c>
      <c r="AA55" s="949" t="s">
        <v>170</v>
      </c>
      <c r="AB55" s="949" t="s">
        <v>986</v>
      </c>
      <c r="AC55" s="949" t="s">
        <v>137</v>
      </c>
      <c r="AD55" s="949">
        <v>2231.7600000000002</v>
      </c>
      <c r="AE55" s="949" t="s">
        <v>1209</v>
      </c>
      <c r="AF55" s="949">
        <v>0</v>
      </c>
      <c r="AG55" s="949" t="s">
        <v>1016</v>
      </c>
      <c r="AH55" s="949">
        <v>3340.2</v>
      </c>
      <c r="AI55" s="949">
        <v>-99996</v>
      </c>
      <c r="AJ55" s="949">
        <v>0</v>
      </c>
      <c r="AK55" s="949">
        <v>1227.47</v>
      </c>
      <c r="AL55" s="949">
        <v>0</v>
      </c>
      <c r="AM55" s="949">
        <v>224</v>
      </c>
      <c r="AN55" s="949">
        <v>1451.47</v>
      </c>
      <c r="AO55" s="949">
        <v>0.65</v>
      </c>
      <c r="AP55" s="949"/>
      <c r="AQ55" s="97">
        <v>0.55000089615370829</v>
      </c>
    </row>
    <row r="56" spans="2:43" s="51" customFormat="1" ht="27.6" x14ac:dyDescent="0.3">
      <c r="B56" s="130" t="s">
        <v>1025</v>
      </c>
      <c r="C56" s="946" t="s">
        <v>915</v>
      </c>
      <c r="D56" s="333"/>
      <c r="E56" s="1001">
        <v>0.6</v>
      </c>
      <c r="F56" s="982" t="s">
        <v>173</v>
      </c>
      <c r="G56" s="691" t="s">
        <v>173</v>
      </c>
      <c r="H56" s="982" t="s">
        <v>173</v>
      </c>
      <c r="I56" s="691" t="s">
        <v>173</v>
      </c>
      <c r="J56" s="982" t="s">
        <v>173</v>
      </c>
      <c r="K56" s="691" t="s">
        <v>173</v>
      </c>
      <c r="L56" s="958" t="str">
        <f t="shared" si="12"/>
        <v>X</v>
      </c>
      <c r="M56" s="298">
        <f>E56</f>
        <v>0.6</v>
      </c>
      <c r="N56" s="958" t="str">
        <f t="shared" si="19"/>
        <v>X</v>
      </c>
      <c r="O56" s="298" t="s">
        <v>1016</v>
      </c>
      <c r="P56" s="958" t="str">
        <f t="shared" si="20"/>
        <v>X</v>
      </c>
      <c r="Q56" s="298" t="s">
        <v>1096</v>
      </c>
      <c r="R56" s="96"/>
      <c r="S56" s="96"/>
      <c r="T56" s="364"/>
      <c r="U56" s="364"/>
      <c r="V56" s="364"/>
      <c r="W56" s="364"/>
      <c r="X56" s="364"/>
      <c r="Y56" s="364"/>
      <c r="Z56" s="949" t="s">
        <v>1025</v>
      </c>
      <c r="AA56" s="949" t="s">
        <v>170</v>
      </c>
      <c r="AB56" s="949" t="s">
        <v>915</v>
      </c>
      <c r="AC56" s="949" t="s">
        <v>137</v>
      </c>
      <c r="AD56" s="949">
        <v>1412.8</v>
      </c>
      <c r="AE56" s="949" t="s">
        <v>1096</v>
      </c>
      <c r="AF56" s="949">
        <v>0</v>
      </c>
      <c r="AG56" s="949" t="s">
        <v>1016</v>
      </c>
      <c r="AH56" s="949">
        <v>3340.2</v>
      </c>
      <c r="AI56" s="949">
        <v>-99996</v>
      </c>
      <c r="AJ56" s="949">
        <v>0</v>
      </c>
      <c r="AK56" s="949">
        <v>847.67899999999997</v>
      </c>
      <c r="AL56" s="949">
        <v>0</v>
      </c>
      <c r="AM56" s="949">
        <v>0</v>
      </c>
      <c r="AN56" s="949">
        <v>847.67899999999997</v>
      </c>
      <c r="AO56" s="949">
        <v>0.6</v>
      </c>
      <c r="AP56" s="949"/>
      <c r="AQ56" s="97"/>
    </row>
    <row r="57" spans="2:43" s="51" customFormat="1" ht="14.4" x14ac:dyDescent="0.3">
      <c r="B57" s="180" t="s">
        <v>1026</v>
      </c>
      <c r="C57" s="162"/>
      <c r="D57" s="982" t="s">
        <v>173</v>
      </c>
      <c r="E57" s="693" t="s">
        <v>173</v>
      </c>
      <c r="F57" s="982" t="s">
        <v>173</v>
      </c>
      <c r="G57" s="693" t="s">
        <v>173</v>
      </c>
      <c r="H57" s="982" t="s">
        <v>173</v>
      </c>
      <c r="I57" s="693" t="s">
        <v>173</v>
      </c>
      <c r="J57" s="982" t="s">
        <v>173</v>
      </c>
      <c r="K57" s="693" t="s">
        <v>173</v>
      </c>
      <c r="L57" s="325" t="s">
        <v>173</v>
      </c>
      <c r="M57" s="265" t="s">
        <v>173</v>
      </c>
      <c r="N57" s="325" t="s">
        <v>173</v>
      </c>
      <c r="O57" s="265" t="s">
        <v>173</v>
      </c>
      <c r="P57" s="325" t="s">
        <v>173</v>
      </c>
      <c r="Q57" s="265" t="s">
        <v>173</v>
      </c>
      <c r="R57" s="96"/>
      <c r="S57" s="96"/>
      <c r="T57" s="364"/>
      <c r="U57" s="364"/>
      <c r="V57" s="364"/>
      <c r="W57" s="364"/>
      <c r="X57" s="364"/>
      <c r="Y57" s="364"/>
      <c r="Z57" s="97" t="s">
        <v>1026</v>
      </c>
      <c r="AA57" s="97" t="s">
        <v>983</v>
      </c>
      <c r="AB57" s="97" t="s">
        <v>979</v>
      </c>
      <c r="AC57" s="97" t="s">
        <v>137</v>
      </c>
      <c r="AD57" s="97">
        <v>0</v>
      </c>
      <c r="AE57" s="97"/>
      <c r="AF57" s="97"/>
      <c r="AG57" s="97"/>
      <c r="AH57" s="97"/>
      <c r="AI57" s="97"/>
      <c r="AJ57" s="97"/>
      <c r="AK57" s="97"/>
      <c r="AL57" s="97"/>
      <c r="AM57" s="97"/>
      <c r="AN57" s="97"/>
      <c r="AO57" s="97"/>
      <c r="AP57" s="97"/>
      <c r="AQ57" s="97"/>
    </row>
    <row r="60" spans="2:43" x14ac:dyDescent="0.3">
      <c r="B60" s="92"/>
      <c r="C60" s="366"/>
      <c r="D60" s="373"/>
      <c r="E60" s="373"/>
      <c r="F60" s="373"/>
      <c r="G60" s="367"/>
      <c r="H60" s="373"/>
      <c r="I60" s="367"/>
      <c r="J60" s="373"/>
      <c r="K60" s="373"/>
      <c r="L60" s="373"/>
      <c r="M60" s="373"/>
      <c r="N60" s="373"/>
      <c r="O60" s="373"/>
      <c r="P60" s="373"/>
      <c r="Q60" s="373"/>
      <c r="R60" s="373"/>
      <c r="T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row>
  </sheetData>
  <conditionalFormatting sqref="F15 F26:F27 F32">
    <cfRule type="uniqueValues" dxfId="3" priority="7"/>
  </conditionalFormatting>
  <conditionalFormatting sqref="F20:F21">
    <cfRule type="uniqueValues" dxfId="2" priority="5"/>
  </conditionalFormatting>
  <conditionalFormatting sqref="F40 F51:F52 F57">
    <cfRule type="uniqueValues" dxfId="1" priority="2"/>
  </conditionalFormatting>
  <conditionalFormatting sqref="F45:F46">
    <cfRule type="uniqueValues" dxfId="0" priority="1"/>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AR58"/>
  <sheetViews>
    <sheetView zoomScaleNormal="100" workbookViewId="0">
      <selection activeCell="H12" sqref="H12"/>
    </sheetView>
  </sheetViews>
  <sheetFormatPr defaultColWidth="9.109375" defaultRowHeight="13.8" outlineLevelCol="1" x14ac:dyDescent="0.3"/>
  <cols>
    <col min="1" max="1" width="3.6640625" style="51" customWidth="1"/>
    <col min="2" max="2" width="22.109375" style="52" bestFit="1" customWidth="1"/>
    <col min="3" max="3" width="23.44140625" style="7" customWidth="1"/>
    <col min="4" max="4" width="2.6640625" style="113" customWidth="1"/>
    <col min="5" max="5" width="28.109375" style="19" bestFit="1" customWidth="1"/>
    <col min="6" max="6" width="2.6640625" style="113" customWidth="1"/>
    <col min="7" max="7" width="20.109375" style="67" customWidth="1"/>
    <col min="8" max="8" width="2.6640625" style="113" customWidth="1"/>
    <col min="9" max="9" width="23.33203125" style="73" bestFit="1" customWidth="1"/>
    <col min="10" max="10" width="2.6640625" style="113" customWidth="1"/>
    <col min="11" max="11" width="20.109375" style="73" customWidth="1"/>
    <col min="12" max="12" width="2.6640625" style="113" customWidth="1"/>
    <col min="13" max="13" width="20.109375" style="2" customWidth="1"/>
    <col min="14" max="14" width="2.6640625" style="113" customWidth="1"/>
    <col min="15" max="15" width="20.6640625" style="2" customWidth="1"/>
    <col min="16" max="16" width="2.88671875" style="7" customWidth="1"/>
    <col min="17" max="17" width="13.109375" style="19" customWidth="1" outlineLevel="1"/>
    <col min="18" max="44" width="9.109375" style="19" outlineLevel="1"/>
    <col min="45" max="16384" width="9.109375" style="19"/>
  </cols>
  <sheetData>
    <row r="1" spans="1:40" x14ac:dyDescent="0.3">
      <c r="A1" s="74"/>
      <c r="B1" s="74"/>
      <c r="C1" s="74"/>
      <c r="D1" s="74"/>
      <c r="E1" s="74"/>
      <c r="F1" s="74"/>
      <c r="G1" s="79"/>
      <c r="H1" s="74"/>
      <c r="I1" s="79"/>
      <c r="J1" s="74"/>
      <c r="K1" s="79"/>
      <c r="L1" s="74"/>
      <c r="M1" s="79"/>
      <c r="N1" s="74"/>
      <c r="O1" s="79"/>
      <c r="P1" s="74"/>
      <c r="Q1" s="373"/>
      <c r="R1" s="373"/>
      <c r="S1" s="373"/>
      <c r="T1" s="373"/>
      <c r="U1" s="373"/>
      <c r="V1" s="373"/>
      <c r="W1" s="373"/>
      <c r="X1" s="373"/>
      <c r="Y1" s="373"/>
      <c r="Z1" s="373"/>
      <c r="AA1" s="373"/>
      <c r="AB1" s="373"/>
      <c r="AC1" s="373"/>
      <c r="AD1" s="373"/>
      <c r="AE1" s="373"/>
      <c r="AF1" s="373"/>
      <c r="AG1" s="373"/>
      <c r="AH1" s="373"/>
      <c r="AI1" s="373"/>
      <c r="AJ1" s="373"/>
      <c r="AK1" s="373"/>
      <c r="AL1" s="373"/>
      <c r="AM1" s="373"/>
      <c r="AN1" s="373"/>
    </row>
    <row r="2" spans="1:40" s="51" customFormat="1" x14ac:dyDescent="0.3">
      <c r="A2" s="364"/>
      <c r="B2" s="513" t="s">
        <v>0</v>
      </c>
      <c r="C2" s="513"/>
      <c r="D2" s="520"/>
      <c r="E2" s="513" t="s">
        <v>1</v>
      </c>
      <c r="F2" s="364"/>
      <c r="G2" s="72"/>
      <c r="H2" s="364"/>
      <c r="I2" s="72"/>
      <c r="J2" s="513"/>
      <c r="K2" s="516" t="s">
        <v>109</v>
      </c>
      <c r="L2" s="364"/>
      <c r="M2" s="72"/>
      <c r="N2" s="364"/>
      <c r="O2" s="72"/>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row>
    <row r="3" spans="1:40" s="51" customFormat="1" x14ac:dyDescent="0.3">
      <c r="A3" s="364"/>
      <c r="B3" s="364" t="s">
        <v>2</v>
      </c>
      <c r="C3" s="66" t="s">
        <v>60</v>
      </c>
      <c r="D3" s="364"/>
      <c r="E3" s="364" t="s">
        <v>3</v>
      </c>
      <c r="F3" s="364"/>
      <c r="G3" s="950" t="str">
        <f>'Documentation Main Sheet'!I2</f>
        <v>r6055</v>
      </c>
      <c r="H3" s="364"/>
      <c r="I3" s="399"/>
      <c r="J3" s="142"/>
      <c r="K3" s="364" t="s">
        <v>318</v>
      </c>
      <c r="L3" s="364"/>
      <c r="M3" s="72"/>
      <c r="N3" s="364"/>
      <c r="O3" s="72"/>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row>
    <row r="4" spans="1:40" s="51" customFormat="1" x14ac:dyDescent="0.3">
      <c r="A4" s="364"/>
      <c r="B4" s="364" t="s">
        <v>6</v>
      </c>
      <c r="C4" s="364" t="str">
        <f>C3&amp;".cibd19"</f>
        <v>020006-OffSml-Run14.cibd19</v>
      </c>
      <c r="D4" s="364"/>
      <c r="E4" s="364" t="s">
        <v>7</v>
      </c>
      <c r="F4" s="364"/>
      <c r="G4" s="364" t="str">
        <f>'Documentation Main Sheet'!I3</f>
        <v>Release package</v>
      </c>
      <c r="H4" s="364"/>
      <c r="I4" s="399"/>
      <c r="J4" s="521"/>
      <c r="K4" s="364" t="s">
        <v>110</v>
      </c>
      <c r="L4" s="364"/>
      <c r="M4" s="72"/>
      <c r="N4" s="364"/>
      <c r="O4" s="72"/>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row>
    <row r="5" spans="1:40" s="51" customFormat="1" x14ac:dyDescent="0.3">
      <c r="A5" s="364"/>
      <c r="B5" s="364" t="s">
        <v>9</v>
      </c>
      <c r="C5" s="364" t="s">
        <v>112</v>
      </c>
      <c r="D5" s="364"/>
      <c r="E5" s="364" t="s">
        <v>10</v>
      </c>
      <c r="F5" s="364"/>
      <c r="G5" s="364" t="str">
        <f>'Documentation Main Sheet'!I4</f>
        <v>CBECC-Com 2019.1.2 Release</v>
      </c>
      <c r="H5" s="364"/>
      <c r="I5" s="399"/>
      <c r="J5" s="991">
        <v>1</v>
      </c>
      <c r="K5" s="373" t="s">
        <v>111</v>
      </c>
      <c r="L5" s="364"/>
      <c r="M5" s="72"/>
      <c r="N5" s="364"/>
      <c r="O5" s="72"/>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row>
    <row r="6" spans="1:40" s="51" customFormat="1" x14ac:dyDescent="0.3">
      <c r="A6" s="364"/>
      <c r="B6" s="364" t="s">
        <v>17</v>
      </c>
      <c r="C6" s="92" t="s">
        <v>25</v>
      </c>
      <c r="D6" s="364"/>
      <c r="E6" s="364" t="s">
        <v>12</v>
      </c>
      <c r="F6" s="364"/>
      <c r="G6" s="68">
        <f>'Documentation Main Sheet'!I5</f>
        <v>43754</v>
      </c>
      <c r="H6" s="364"/>
      <c r="I6" s="400"/>
      <c r="J6" s="526">
        <v>1</v>
      </c>
      <c r="K6" s="376" t="s">
        <v>113</v>
      </c>
      <c r="L6" s="364"/>
      <c r="M6" s="72"/>
      <c r="N6" s="364"/>
      <c r="O6" s="72"/>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row>
    <row r="7" spans="1:40" s="51" customFormat="1" x14ac:dyDescent="0.3">
      <c r="A7" s="364"/>
      <c r="B7" s="364" t="s">
        <v>20</v>
      </c>
      <c r="C7" s="92" t="s">
        <v>57</v>
      </c>
      <c r="D7" s="364"/>
      <c r="E7" s="364" t="s">
        <v>13</v>
      </c>
      <c r="F7" s="364"/>
      <c r="G7" s="364" t="str">
        <f>'Documentation Main Sheet'!I6</f>
        <v>Jireh Peng</v>
      </c>
      <c r="H7" s="364"/>
      <c r="I7" s="399"/>
      <c r="J7" s="527">
        <v>1</v>
      </c>
      <c r="K7" s="373" t="s">
        <v>114</v>
      </c>
      <c r="L7" s="364"/>
      <c r="M7" s="72"/>
      <c r="N7" s="364"/>
      <c r="O7" s="72"/>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row>
    <row r="8" spans="1:40" s="51" customFormat="1" x14ac:dyDescent="0.3">
      <c r="A8" s="364"/>
      <c r="B8" s="364" t="s">
        <v>19</v>
      </c>
      <c r="C8" s="92" t="s">
        <v>27</v>
      </c>
      <c r="D8" s="364"/>
      <c r="E8" s="364"/>
      <c r="F8" s="364"/>
      <c r="G8" s="364"/>
      <c r="H8" s="373"/>
      <c r="I8" s="72"/>
      <c r="J8" s="996">
        <v>1</v>
      </c>
      <c r="K8" s="364" t="s">
        <v>115</v>
      </c>
      <c r="L8" s="364"/>
      <c r="M8" s="72"/>
      <c r="N8" s="364"/>
      <c r="O8" s="376"/>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row>
    <row r="9" spans="1:40" s="51" customFormat="1" x14ac:dyDescent="0.3">
      <c r="A9" s="364"/>
      <c r="B9" s="364"/>
      <c r="C9" s="364"/>
      <c r="D9" s="364"/>
      <c r="E9" s="364"/>
      <c r="F9" s="364"/>
      <c r="G9" s="72"/>
      <c r="H9" s="364"/>
      <c r="I9" s="72"/>
      <c r="J9" s="364"/>
      <c r="K9" s="72"/>
      <c r="L9" s="364"/>
      <c r="M9" s="72"/>
      <c r="N9" s="364"/>
      <c r="O9" s="72"/>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row>
    <row r="10" spans="1:40" s="33" customFormat="1" ht="14.4" x14ac:dyDescent="0.3">
      <c r="A10" s="283"/>
      <c r="B10" s="336" t="s">
        <v>134</v>
      </c>
      <c r="C10" s="283"/>
      <c r="D10" s="283"/>
      <c r="E10" s="283"/>
      <c r="F10" s="283"/>
      <c r="G10" s="283"/>
      <c r="H10" s="283"/>
      <c r="I10" s="283"/>
      <c r="J10" s="283"/>
      <c r="K10" s="283"/>
      <c r="L10" s="283"/>
      <c r="M10" s="283"/>
      <c r="N10" s="283"/>
      <c r="O10" s="283"/>
      <c r="P10" s="364"/>
      <c r="Q10" s="96"/>
      <c r="R10" s="96"/>
      <c r="S10" s="96"/>
      <c r="T10" s="96"/>
      <c r="U10" s="96"/>
      <c r="V10" s="96"/>
      <c r="W10" s="96"/>
      <c r="X10" s="369" t="s">
        <v>1081</v>
      </c>
      <c r="Y10" s="982"/>
      <c r="Z10" s="982"/>
      <c r="AA10" s="982"/>
      <c r="AB10" s="982"/>
      <c r="AC10" s="982"/>
      <c r="AD10" s="982"/>
      <c r="AE10" s="982"/>
      <c r="AF10" s="982"/>
      <c r="AG10" s="982"/>
      <c r="AH10" s="982"/>
      <c r="AI10" s="982"/>
      <c r="AJ10" s="982"/>
      <c r="AK10" s="982"/>
      <c r="AL10" s="982"/>
      <c r="AM10" s="982"/>
      <c r="AN10" s="982"/>
    </row>
    <row r="11" spans="1:40" s="3" customFormat="1" ht="12.75" customHeight="1" x14ac:dyDescent="0.3">
      <c r="A11" s="77"/>
      <c r="B11" s="49" t="s">
        <v>922</v>
      </c>
      <c r="C11" s="89"/>
      <c r="D11" s="91"/>
      <c r="E11" s="89"/>
      <c r="F11" s="91"/>
      <c r="G11" s="89"/>
      <c r="H11" s="91"/>
      <c r="I11" s="89"/>
      <c r="J11" s="91"/>
      <c r="K11" s="89"/>
      <c r="L11" s="91"/>
      <c r="M11" s="89"/>
      <c r="N11" s="91"/>
      <c r="O11" s="89"/>
      <c r="P11" s="364"/>
      <c r="Q11" s="89"/>
      <c r="R11" s="89"/>
      <c r="S11" s="89"/>
      <c r="T11" s="89"/>
      <c r="U11" s="89"/>
      <c r="V11" s="89"/>
      <c r="W11" s="89"/>
      <c r="X11" s="982" t="s">
        <v>870</v>
      </c>
      <c r="Y11" s="982"/>
      <c r="Z11" s="982"/>
      <c r="AA11" s="982"/>
      <c r="AB11" s="982"/>
      <c r="AC11" s="982" t="s">
        <v>924</v>
      </c>
      <c r="AD11" s="982"/>
      <c r="AE11" s="982"/>
      <c r="AF11" s="982"/>
      <c r="AG11" s="982"/>
      <c r="AH11" s="982"/>
      <c r="AI11" s="982"/>
      <c r="AJ11" s="982"/>
      <c r="AK11" s="982" t="s">
        <v>925</v>
      </c>
      <c r="AL11" s="982"/>
      <c r="AM11" s="982"/>
      <c r="AN11" s="982"/>
    </row>
    <row r="12" spans="1:40" s="3" customFormat="1" ht="14.4" x14ac:dyDescent="0.3">
      <c r="A12" s="89"/>
      <c r="B12" s="84" t="s">
        <v>870</v>
      </c>
      <c r="C12" s="89"/>
      <c r="D12" s="91"/>
      <c r="E12" s="89"/>
      <c r="F12" s="91"/>
      <c r="G12" s="89"/>
      <c r="H12" s="91">
        <v>10</v>
      </c>
      <c r="I12" s="89"/>
      <c r="J12" s="373">
        <v>11</v>
      </c>
      <c r="K12" s="89"/>
      <c r="L12" s="91"/>
      <c r="M12" s="89"/>
      <c r="N12" s="91"/>
      <c r="O12" s="89"/>
      <c r="P12" s="93"/>
      <c r="Q12" s="89"/>
      <c r="R12" s="89"/>
      <c r="S12" s="89"/>
      <c r="T12" s="89"/>
      <c r="U12" s="89"/>
      <c r="V12" s="89"/>
      <c r="W12" s="89"/>
      <c r="X12" s="982" t="s">
        <v>121</v>
      </c>
      <c r="Y12" s="982" t="s">
        <v>523</v>
      </c>
      <c r="Z12" s="982" t="s">
        <v>52</v>
      </c>
      <c r="AA12" s="982" t="s">
        <v>1082</v>
      </c>
      <c r="AB12" s="982" t="s">
        <v>896</v>
      </c>
      <c r="AC12" s="982" t="s">
        <v>1083</v>
      </c>
      <c r="AD12" s="982" t="s">
        <v>1084</v>
      </c>
      <c r="AE12" s="982" t="s">
        <v>956</v>
      </c>
      <c r="AF12" s="982" t="s">
        <v>957</v>
      </c>
      <c r="AG12" s="982" t="s">
        <v>1085</v>
      </c>
      <c r="AH12" s="982" t="s">
        <v>1086</v>
      </c>
      <c r="AI12" s="982" t="s">
        <v>1087</v>
      </c>
      <c r="AJ12" s="982" t="s">
        <v>1088</v>
      </c>
      <c r="AK12" s="982" t="s">
        <v>1089</v>
      </c>
      <c r="AL12" s="982" t="s">
        <v>956</v>
      </c>
      <c r="AM12" s="982" t="s">
        <v>957</v>
      </c>
      <c r="AN12" s="982" t="s">
        <v>1090</v>
      </c>
    </row>
    <row r="13" spans="1:40" s="84" customFormat="1" ht="41.4" x14ac:dyDescent="0.3">
      <c r="B13" s="115" t="s">
        <v>580</v>
      </c>
      <c r="C13" s="123" t="s">
        <v>52</v>
      </c>
      <c r="D13" s="274"/>
      <c r="E13" s="117" t="s">
        <v>1217</v>
      </c>
      <c r="F13" s="226"/>
      <c r="G13" s="173" t="s">
        <v>1218</v>
      </c>
      <c r="H13" s="274"/>
      <c r="I13" s="117" t="s">
        <v>1219</v>
      </c>
      <c r="J13" s="274"/>
      <c r="K13" s="117" t="s">
        <v>1220</v>
      </c>
      <c r="L13" s="274"/>
      <c r="M13" s="117" t="s">
        <v>1221</v>
      </c>
      <c r="N13" s="274"/>
      <c r="O13" s="117" t="s">
        <v>1222</v>
      </c>
      <c r="P13" s="86"/>
      <c r="X13" s="982"/>
      <c r="Y13" s="982"/>
      <c r="Z13" s="982"/>
      <c r="AA13" s="982"/>
      <c r="AB13" s="982" t="s">
        <v>966</v>
      </c>
      <c r="AC13" s="982"/>
      <c r="AD13" s="982" t="s">
        <v>1094</v>
      </c>
      <c r="AE13" s="982"/>
      <c r="AF13" s="982" t="s">
        <v>968</v>
      </c>
      <c r="AG13" s="982"/>
      <c r="AH13" s="982" t="s">
        <v>1094</v>
      </c>
      <c r="AI13" s="982" t="s">
        <v>1094</v>
      </c>
      <c r="AJ13" s="982" t="s">
        <v>1095</v>
      </c>
      <c r="AK13" s="982" t="s">
        <v>1094</v>
      </c>
      <c r="AL13" s="982"/>
      <c r="AM13" s="982" t="s">
        <v>968</v>
      </c>
      <c r="AN13" s="982" t="s">
        <v>1095</v>
      </c>
    </row>
    <row r="14" spans="1:40" s="51" customFormat="1" ht="15" thickBot="1" x14ac:dyDescent="0.35">
      <c r="A14" s="364"/>
      <c r="B14" s="211" t="s">
        <v>942</v>
      </c>
      <c r="C14" s="208" t="s">
        <v>588</v>
      </c>
      <c r="D14" s="107"/>
      <c r="E14" s="1000" t="s">
        <v>1223</v>
      </c>
      <c r="F14" s="218"/>
      <c r="G14" s="208" t="s">
        <v>1224</v>
      </c>
      <c r="H14" s="107"/>
      <c r="I14" s="1000" t="s">
        <v>1225</v>
      </c>
      <c r="J14" s="107"/>
      <c r="K14" s="1000" t="s">
        <v>1226</v>
      </c>
      <c r="L14" s="107"/>
      <c r="M14" s="1000" t="s">
        <v>1227</v>
      </c>
      <c r="N14" s="107"/>
      <c r="O14" s="1000" t="s">
        <v>1228</v>
      </c>
      <c r="P14" s="82"/>
      <c r="Q14" s="809"/>
      <c r="R14" s="809"/>
      <c r="S14" s="809"/>
      <c r="T14" s="809"/>
      <c r="U14" s="809"/>
      <c r="V14" s="809"/>
      <c r="W14" s="808" t="s">
        <v>1210</v>
      </c>
      <c r="X14" s="949" t="s">
        <v>169</v>
      </c>
      <c r="Y14" s="949" t="s">
        <v>170</v>
      </c>
      <c r="Z14" s="949" t="s">
        <v>915</v>
      </c>
      <c r="AA14" s="949" t="s">
        <v>137</v>
      </c>
      <c r="AB14" s="949">
        <v>1221.17</v>
      </c>
      <c r="AC14" s="949" t="s">
        <v>1096</v>
      </c>
      <c r="AD14" s="949">
        <v>1152</v>
      </c>
      <c r="AE14" s="949" t="s">
        <v>961</v>
      </c>
      <c r="AF14" s="949">
        <v>2253.1</v>
      </c>
      <c r="AG14" s="949">
        <v>-99996</v>
      </c>
      <c r="AH14" s="949">
        <v>57.6</v>
      </c>
      <c r="AI14" s="949">
        <v>1094.4000000000001</v>
      </c>
      <c r="AJ14" s="949">
        <v>0.9</v>
      </c>
      <c r="AK14" s="982"/>
      <c r="AL14" s="982"/>
      <c r="AM14" s="982"/>
      <c r="AN14" s="982"/>
    </row>
    <row r="15" spans="1:40" s="51" customFormat="1" ht="28.2" thickTop="1" x14ac:dyDescent="0.3">
      <c r="A15" s="364"/>
      <c r="B15" s="130" t="s">
        <v>169</v>
      </c>
      <c r="C15" s="72" t="s">
        <v>915</v>
      </c>
      <c r="D15" s="332"/>
      <c r="E15" s="691">
        <v>1152</v>
      </c>
      <c r="F15" s="329"/>
      <c r="G15" s="913">
        <v>1094.4000000000001</v>
      </c>
      <c r="H15" s="958" t="str">
        <f>IF(I15=VLOOKUP($B15,$Y$25:$AI$33,H$12,FALSE),"x","")</f>
        <v>x</v>
      </c>
      <c r="I15" s="202" t="s">
        <v>1229</v>
      </c>
      <c r="J15" s="958" t="str">
        <f>IF(K15=VLOOKUP($B15,$Y$25:$AI$33,J$12,FALSE),"x","")</f>
        <v>x</v>
      </c>
      <c r="K15" s="202">
        <v>0.05</v>
      </c>
      <c r="L15" s="958" t="str">
        <f>IF(ROUND(M15,2)=ROUND(AJ14,2),"x","")</f>
        <v>x</v>
      </c>
      <c r="M15" s="202">
        <v>0.9</v>
      </c>
      <c r="N15" s="958" t="str">
        <f>IF(O15=AE14,"x","")</f>
        <v>x</v>
      </c>
      <c r="O15" s="202" t="s">
        <v>961</v>
      </c>
      <c r="P15" s="365"/>
      <c r="Q15" s="364"/>
      <c r="R15" s="364"/>
      <c r="S15" s="364"/>
      <c r="T15" s="364"/>
      <c r="U15" s="364"/>
      <c r="V15" s="364"/>
      <c r="W15" s="364"/>
      <c r="X15" s="949" t="s">
        <v>289</v>
      </c>
      <c r="Y15" s="949" t="s">
        <v>170</v>
      </c>
      <c r="Z15" s="949" t="s">
        <v>915</v>
      </c>
      <c r="AA15" s="949" t="s">
        <v>137</v>
      </c>
      <c r="AB15" s="949">
        <v>724.41099999999994</v>
      </c>
      <c r="AC15" s="949" t="s">
        <v>1096</v>
      </c>
      <c r="AD15" s="949">
        <v>640</v>
      </c>
      <c r="AE15" s="949" t="s">
        <v>961</v>
      </c>
      <c r="AF15" s="949">
        <v>2253.1</v>
      </c>
      <c r="AG15" s="949">
        <v>-99996</v>
      </c>
      <c r="AH15" s="949">
        <v>32</v>
      </c>
      <c r="AI15" s="949">
        <v>608</v>
      </c>
      <c r="AJ15" s="949">
        <v>0.84</v>
      </c>
      <c r="AK15" s="982"/>
      <c r="AL15" s="982"/>
      <c r="AM15" s="982"/>
      <c r="AN15" s="982"/>
    </row>
    <row r="16" spans="1:40" s="51" customFormat="1" ht="27.6" x14ac:dyDescent="0.3">
      <c r="A16" s="364"/>
      <c r="B16" s="130" t="s">
        <v>289</v>
      </c>
      <c r="C16" s="72" t="s">
        <v>915</v>
      </c>
      <c r="D16" s="333"/>
      <c r="E16" s="691">
        <v>640</v>
      </c>
      <c r="F16" s="330"/>
      <c r="G16" s="1005">
        <v>608</v>
      </c>
      <c r="H16" s="958" t="str">
        <f t="shared" ref="H16:J19" si="0">IF(I16=VLOOKUP($B16,$Y$25:$AI$33,H$12,FALSE),"x","")</f>
        <v>x</v>
      </c>
      <c r="I16" s="202" t="s">
        <v>1229</v>
      </c>
      <c r="J16" s="958" t="str">
        <f t="shared" si="0"/>
        <v>x</v>
      </c>
      <c r="K16" s="202">
        <v>0.05</v>
      </c>
      <c r="L16" s="958" t="str">
        <f t="shared" ref="L16:L19" si="1">IF(ROUND(M16,2)=ROUND(AJ15,2),"x","")</f>
        <v>x</v>
      </c>
      <c r="M16" s="202">
        <v>0.84</v>
      </c>
      <c r="N16" s="958" t="str">
        <f t="shared" ref="N16:N19" si="2">IF(O16=AE15,"x","")</f>
        <v>x</v>
      </c>
      <c r="O16" s="202" t="s">
        <v>961</v>
      </c>
      <c r="P16" s="75"/>
      <c r="Q16" s="364"/>
      <c r="R16" s="364"/>
      <c r="S16" s="364"/>
      <c r="T16" s="364"/>
      <c r="U16" s="364"/>
      <c r="V16" s="364"/>
      <c r="W16" s="364"/>
      <c r="X16" s="949" t="s">
        <v>291</v>
      </c>
      <c r="Y16" s="949" t="s">
        <v>170</v>
      </c>
      <c r="Z16" s="949" t="s">
        <v>915</v>
      </c>
      <c r="AA16" s="949" t="s">
        <v>137</v>
      </c>
      <c r="AB16" s="949">
        <v>1221.17</v>
      </c>
      <c r="AC16" s="949" t="s">
        <v>1096</v>
      </c>
      <c r="AD16" s="949">
        <v>1152</v>
      </c>
      <c r="AE16" s="949" t="s">
        <v>961</v>
      </c>
      <c r="AF16" s="949">
        <v>2253.1</v>
      </c>
      <c r="AG16" s="949">
        <v>-99996</v>
      </c>
      <c r="AH16" s="949">
        <v>57.6</v>
      </c>
      <c r="AI16" s="949">
        <v>1094.4000000000001</v>
      </c>
      <c r="AJ16" s="949">
        <v>0.9</v>
      </c>
      <c r="AK16" s="982"/>
      <c r="AL16" s="982"/>
      <c r="AM16" s="982"/>
      <c r="AN16" s="982"/>
    </row>
    <row r="17" spans="1:41" ht="27.6" x14ac:dyDescent="0.3">
      <c r="A17" s="364"/>
      <c r="B17" s="130" t="s">
        <v>291</v>
      </c>
      <c r="C17" s="72" t="s">
        <v>915</v>
      </c>
      <c r="D17" s="333"/>
      <c r="E17" s="691">
        <v>1152</v>
      </c>
      <c r="F17" s="330"/>
      <c r="G17" s="1005">
        <v>1094.4000000000001</v>
      </c>
      <c r="H17" s="958" t="str">
        <f t="shared" si="0"/>
        <v>x</v>
      </c>
      <c r="I17" s="202" t="s">
        <v>1229</v>
      </c>
      <c r="J17" s="958" t="str">
        <f t="shared" si="0"/>
        <v>x</v>
      </c>
      <c r="K17" s="202">
        <v>0.05</v>
      </c>
      <c r="L17" s="958" t="str">
        <f t="shared" si="1"/>
        <v>x</v>
      </c>
      <c r="M17" s="202">
        <v>0.9</v>
      </c>
      <c r="N17" s="958" t="str">
        <f t="shared" si="2"/>
        <v>x</v>
      </c>
      <c r="O17" s="202" t="s">
        <v>961</v>
      </c>
      <c r="P17" s="365"/>
      <c r="Q17" s="364"/>
      <c r="R17" s="373"/>
      <c r="S17" s="373"/>
      <c r="T17" s="373"/>
      <c r="U17" s="373"/>
      <c r="V17" s="373"/>
      <c r="W17" s="373"/>
      <c r="X17" s="949" t="s">
        <v>293</v>
      </c>
      <c r="Y17" s="949" t="s">
        <v>170</v>
      </c>
      <c r="Z17" s="949" t="s">
        <v>915</v>
      </c>
      <c r="AA17" s="949" t="s">
        <v>137</v>
      </c>
      <c r="AB17" s="949">
        <v>724.41099999999994</v>
      </c>
      <c r="AC17" s="949" t="s">
        <v>1096</v>
      </c>
      <c r="AD17" s="949">
        <v>640</v>
      </c>
      <c r="AE17" s="949" t="s">
        <v>961</v>
      </c>
      <c r="AF17" s="949">
        <v>2253.1</v>
      </c>
      <c r="AG17" s="949">
        <v>-99996</v>
      </c>
      <c r="AH17" s="949">
        <v>32</v>
      </c>
      <c r="AI17" s="949">
        <v>608</v>
      </c>
      <c r="AJ17" s="949">
        <v>0.84</v>
      </c>
      <c r="AK17" s="982"/>
      <c r="AL17" s="982"/>
      <c r="AM17" s="982"/>
      <c r="AN17" s="982"/>
      <c r="AO17" s="373"/>
    </row>
    <row r="18" spans="1:41" s="51" customFormat="1" ht="27.6" x14ac:dyDescent="0.3">
      <c r="A18" s="364"/>
      <c r="B18" s="130" t="s">
        <v>293</v>
      </c>
      <c r="C18" s="72" t="s">
        <v>915</v>
      </c>
      <c r="D18" s="333"/>
      <c r="E18" s="691">
        <v>640</v>
      </c>
      <c r="F18" s="330"/>
      <c r="G18" s="1005">
        <v>608</v>
      </c>
      <c r="H18" s="958" t="str">
        <f t="shared" si="0"/>
        <v>x</v>
      </c>
      <c r="I18" s="202" t="s">
        <v>1229</v>
      </c>
      <c r="J18" s="958" t="str">
        <f t="shared" si="0"/>
        <v>x</v>
      </c>
      <c r="K18" s="202">
        <v>0.05</v>
      </c>
      <c r="L18" s="958" t="str">
        <f t="shared" si="1"/>
        <v>x</v>
      </c>
      <c r="M18" s="202">
        <v>0.84</v>
      </c>
      <c r="N18" s="958" t="str">
        <f t="shared" si="2"/>
        <v>x</v>
      </c>
      <c r="O18" s="202" t="s">
        <v>961</v>
      </c>
      <c r="P18" s="365"/>
      <c r="Q18" s="364"/>
      <c r="R18" s="364"/>
      <c r="S18" s="364"/>
      <c r="T18" s="364"/>
      <c r="U18" s="364"/>
      <c r="V18" s="364"/>
      <c r="W18" s="364"/>
      <c r="X18" s="949" t="s">
        <v>1230</v>
      </c>
      <c r="Y18" s="949" t="s">
        <v>170</v>
      </c>
      <c r="Z18" s="949" t="s">
        <v>915</v>
      </c>
      <c r="AA18" s="949" t="s">
        <v>137</v>
      </c>
      <c r="AB18" s="949">
        <v>1610.9</v>
      </c>
      <c r="AC18" s="949" t="s">
        <v>1096</v>
      </c>
      <c r="AD18" s="949">
        <v>1408</v>
      </c>
      <c r="AE18" s="949" t="s">
        <v>961</v>
      </c>
      <c r="AF18" s="949">
        <v>2253.1</v>
      </c>
      <c r="AG18" s="949">
        <v>-99996</v>
      </c>
      <c r="AH18" s="949">
        <v>70.400000000000006</v>
      </c>
      <c r="AI18" s="949">
        <v>1337.6</v>
      </c>
      <c r="AJ18" s="949">
        <v>0.83</v>
      </c>
      <c r="AK18" s="982"/>
      <c r="AL18" s="982"/>
      <c r="AM18" s="982"/>
      <c r="AN18" s="982"/>
      <c r="AO18" s="364"/>
    </row>
    <row r="19" spans="1:41" s="51" customFormat="1" ht="27.6" x14ac:dyDescent="0.3">
      <c r="A19" s="364"/>
      <c r="B19" s="877" t="s">
        <v>1230</v>
      </c>
      <c r="C19" s="190" t="s">
        <v>915</v>
      </c>
      <c r="D19" s="334"/>
      <c r="E19" s="693">
        <v>1408</v>
      </c>
      <c r="F19" s="331"/>
      <c r="G19" s="1006">
        <v>1337.6</v>
      </c>
      <c r="H19" s="952" t="str">
        <f t="shared" si="0"/>
        <v>x</v>
      </c>
      <c r="I19" s="204" t="s">
        <v>1229</v>
      </c>
      <c r="J19" s="952" t="str">
        <f t="shared" si="0"/>
        <v>x</v>
      </c>
      <c r="K19" s="204">
        <v>0.05</v>
      </c>
      <c r="L19" s="952" t="str">
        <f t="shared" si="1"/>
        <v>x</v>
      </c>
      <c r="M19" s="204">
        <v>0.83</v>
      </c>
      <c r="N19" s="952" t="str">
        <f t="shared" si="2"/>
        <v>x</v>
      </c>
      <c r="O19" s="204" t="s">
        <v>961</v>
      </c>
      <c r="P19" s="365"/>
      <c r="Q19" s="364"/>
      <c r="R19" s="364"/>
      <c r="S19" s="364"/>
      <c r="T19" s="364"/>
      <c r="U19" s="364"/>
      <c r="V19" s="364"/>
      <c r="W19" s="364"/>
      <c r="X19" s="949" t="s">
        <v>138</v>
      </c>
      <c r="Y19" s="949" t="s">
        <v>140</v>
      </c>
      <c r="Z19" s="949" t="s">
        <v>979</v>
      </c>
      <c r="AA19" s="949" t="s">
        <v>137</v>
      </c>
      <c r="AB19" s="949">
        <v>0</v>
      </c>
      <c r="AC19" s="949"/>
      <c r="AD19" s="949"/>
      <c r="AE19" s="949"/>
      <c r="AF19" s="949"/>
      <c r="AG19" s="949"/>
      <c r="AH19" s="949"/>
      <c r="AI19" s="949"/>
      <c r="AJ19" s="949"/>
      <c r="AK19" s="982"/>
      <c r="AL19" s="982"/>
      <c r="AM19" s="982"/>
      <c r="AN19" s="982"/>
      <c r="AO19" s="364"/>
    </row>
    <row r="20" spans="1:41" s="51" customFormat="1" x14ac:dyDescent="0.3">
      <c r="A20" s="364"/>
      <c r="B20" s="364"/>
      <c r="C20" s="30"/>
      <c r="D20" s="364"/>
      <c r="E20" s="364"/>
      <c r="F20" s="364"/>
      <c r="G20" s="364"/>
      <c r="H20" s="364"/>
      <c r="I20" s="364"/>
      <c r="J20" s="364"/>
      <c r="K20" s="364"/>
      <c r="L20" s="364"/>
      <c r="M20" s="364"/>
      <c r="N20" s="364"/>
      <c r="O20" s="364"/>
      <c r="P20" s="82"/>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row>
    <row r="21" spans="1:41" s="51" customFormat="1" ht="14.4" x14ac:dyDescent="0.3">
      <c r="A21" s="90"/>
      <c r="B21" s="90"/>
      <c r="C21" s="90"/>
      <c r="D21" s="364"/>
      <c r="E21" s="364"/>
      <c r="F21" s="364"/>
      <c r="G21" s="364"/>
      <c r="H21" s="364"/>
      <c r="I21" s="364"/>
      <c r="J21" s="364"/>
      <c r="K21" s="364"/>
      <c r="L21" s="364"/>
      <c r="M21" s="364"/>
      <c r="N21" s="364"/>
      <c r="O21" s="364"/>
      <c r="P21" s="82"/>
      <c r="Q21" s="364"/>
      <c r="R21" s="364"/>
      <c r="S21" s="364"/>
      <c r="T21" s="364"/>
      <c r="U21" s="364"/>
      <c r="V21" s="364"/>
      <c r="W21" s="364"/>
      <c r="X21" s="369" t="s">
        <v>1231</v>
      </c>
      <c r="Y21" s="982"/>
      <c r="Z21" s="982"/>
      <c r="AA21" s="982"/>
      <c r="AB21" s="982"/>
      <c r="AC21" s="982"/>
      <c r="AD21" s="982"/>
      <c r="AE21" s="982"/>
      <c r="AF21" s="982"/>
      <c r="AG21" s="982"/>
      <c r="AH21" s="982"/>
      <c r="AI21" s="982"/>
      <c r="AJ21" s="982"/>
      <c r="AK21" s="982"/>
      <c r="AL21" s="982"/>
      <c r="AM21" s="982"/>
      <c r="AN21" s="982"/>
      <c r="AO21" s="982"/>
    </row>
    <row r="22" spans="1:41" s="13" customFormat="1" ht="14.4" x14ac:dyDescent="0.3">
      <c r="A22" s="93"/>
      <c r="B22" s="93"/>
      <c r="C22" s="93"/>
      <c r="D22" s="93"/>
      <c r="E22" s="93"/>
      <c r="F22" s="93"/>
      <c r="G22" s="93"/>
      <c r="H22" s="93"/>
      <c r="I22" s="93"/>
      <c r="J22" s="93"/>
      <c r="K22" s="93"/>
      <c r="L22" s="93"/>
      <c r="M22" s="93"/>
      <c r="N22" s="93"/>
      <c r="O22" s="93"/>
      <c r="P22" s="93"/>
      <c r="Q22" s="93"/>
      <c r="R22" s="93"/>
      <c r="S22" s="93"/>
      <c r="T22" s="93"/>
      <c r="U22" s="93"/>
      <c r="V22" s="93"/>
      <c r="W22" s="93"/>
      <c r="X22" s="982"/>
      <c r="Y22" s="982" t="s">
        <v>870</v>
      </c>
      <c r="Z22" s="982"/>
      <c r="AA22" s="982"/>
      <c r="AB22" s="982"/>
      <c r="AC22" s="982"/>
      <c r="AD22" s="982" t="s">
        <v>924</v>
      </c>
      <c r="AE22" s="982"/>
      <c r="AF22" s="982"/>
      <c r="AG22" s="982"/>
      <c r="AH22" s="982"/>
      <c r="AI22" s="982"/>
      <c r="AJ22" s="982"/>
      <c r="AK22" s="982"/>
      <c r="AL22" s="982"/>
      <c r="AM22" s="982"/>
      <c r="AN22" s="982"/>
      <c r="AO22" s="982"/>
    </row>
    <row r="23" spans="1:41" s="3" customFormat="1" ht="14.4" x14ac:dyDescent="0.3">
      <c r="A23" s="89"/>
      <c r="B23" s="89"/>
      <c r="C23" s="89"/>
      <c r="D23" s="89"/>
      <c r="E23" s="89"/>
      <c r="F23" s="89"/>
      <c r="G23" s="89"/>
      <c r="H23" s="89"/>
      <c r="I23" s="89"/>
      <c r="J23" s="89"/>
      <c r="K23" s="89"/>
      <c r="L23" s="89"/>
      <c r="M23" s="89"/>
      <c r="N23" s="89"/>
      <c r="O23" s="89"/>
      <c r="P23" s="93"/>
      <c r="Q23" s="89"/>
      <c r="R23" s="89"/>
      <c r="S23" s="89"/>
      <c r="T23" s="89"/>
      <c r="U23" s="89"/>
      <c r="V23" s="89"/>
      <c r="W23" s="89"/>
      <c r="X23" s="982" t="s">
        <v>121</v>
      </c>
      <c r="Y23" s="982" t="s">
        <v>121</v>
      </c>
      <c r="Z23" s="982" t="s">
        <v>52</v>
      </c>
      <c r="AA23" s="982" t="s">
        <v>896</v>
      </c>
      <c r="AB23" s="982" t="s">
        <v>1232</v>
      </c>
      <c r="AC23" s="982" t="s">
        <v>1206</v>
      </c>
      <c r="AD23" s="982" t="s">
        <v>956</v>
      </c>
      <c r="AE23" s="982" t="s">
        <v>1233</v>
      </c>
      <c r="AF23" s="982" t="s">
        <v>1084</v>
      </c>
      <c r="AG23" s="982" t="s">
        <v>1087</v>
      </c>
      <c r="AH23" s="982" t="s">
        <v>1219</v>
      </c>
      <c r="AI23" s="982" t="s">
        <v>1234</v>
      </c>
      <c r="AJ23" s="982" t="s">
        <v>1235</v>
      </c>
      <c r="AK23" s="982" t="s">
        <v>1236</v>
      </c>
      <c r="AL23" s="982" t="s">
        <v>1237</v>
      </c>
      <c r="AM23" s="982" t="s">
        <v>1238</v>
      </c>
      <c r="AN23" s="982" t="s">
        <v>1239</v>
      </c>
      <c r="AO23" s="982"/>
    </row>
    <row r="24" spans="1:41" s="3" customFormat="1" ht="14.4" x14ac:dyDescent="0.3">
      <c r="A24" s="89"/>
      <c r="B24" s="89"/>
      <c r="C24" s="89"/>
      <c r="D24" s="89"/>
      <c r="E24" s="89"/>
      <c r="F24" s="89"/>
      <c r="G24" s="89"/>
      <c r="H24" s="89"/>
      <c r="I24" s="89"/>
      <c r="J24" s="89"/>
      <c r="K24" s="89"/>
      <c r="L24" s="89"/>
      <c r="M24" s="89"/>
      <c r="N24" s="89"/>
      <c r="O24" s="89"/>
      <c r="P24" s="93"/>
      <c r="Q24" s="89"/>
      <c r="R24" s="89"/>
      <c r="S24" s="89"/>
      <c r="T24" s="89"/>
      <c r="U24" s="89"/>
      <c r="V24" s="89"/>
      <c r="W24" s="89"/>
      <c r="X24" s="982"/>
      <c r="Y24" s="982"/>
      <c r="Z24" s="982"/>
      <c r="AA24" s="982"/>
      <c r="AB24" s="982" t="s">
        <v>966</v>
      </c>
      <c r="AC24" s="982" t="s">
        <v>1240</v>
      </c>
      <c r="AD24" s="982"/>
      <c r="AE24" s="982"/>
      <c r="AF24" s="982" t="s">
        <v>968</v>
      </c>
      <c r="AG24" s="982" t="s">
        <v>1094</v>
      </c>
      <c r="AH24" s="982" t="s">
        <v>1094</v>
      </c>
      <c r="AI24" s="982"/>
      <c r="AJ24" s="982" t="s">
        <v>855</v>
      </c>
      <c r="AK24" s="982" t="s">
        <v>1094</v>
      </c>
      <c r="AL24" s="982"/>
      <c r="AM24" s="982"/>
      <c r="AN24" s="982" t="s">
        <v>1240</v>
      </c>
      <c r="AO24" s="982" t="s">
        <v>966</v>
      </c>
    </row>
    <row r="25" spans="1:41" s="84" customFormat="1" ht="14.4" x14ac:dyDescent="0.3">
      <c r="P25" s="86"/>
      <c r="Q25" s="811"/>
      <c r="R25" s="811"/>
      <c r="S25" s="811"/>
      <c r="T25" s="811"/>
      <c r="U25" s="811"/>
      <c r="V25" s="811"/>
      <c r="W25" s="808" t="s">
        <v>1241</v>
      </c>
      <c r="X25" s="949" t="s">
        <v>1242</v>
      </c>
      <c r="Y25" s="949" t="s">
        <v>169</v>
      </c>
      <c r="Z25" s="949" t="s">
        <v>915</v>
      </c>
      <c r="AA25" s="949">
        <v>1221.17</v>
      </c>
      <c r="AB25" s="949">
        <v>10.006600000000001</v>
      </c>
      <c r="AC25" s="949" t="s">
        <v>1096</v>
      </c>
      <c r="AD25" s="949"/>
      <c r="AE25" s="949">
        <v>0</v>
      </c>
      <c r="AF25" s="949">
        <v>1024</v>
      </c>
      <c r="AG25" s="949">
        <v>972.8</v>
      </c>
      <c r="AH25" s="949" t="s">
        <v>1229</v>
      </c>
      <c r="AI25" s="949">
        <v>0.05</v>
      </c>
      <c r="AJ25" s="949">
        <v>51.2</v>
      </c>
      <c r="AK25" s="949" t="s">
        <v>1243</v>
      </c>
      <c r="AL25" s="949" t="s">
        <v>1243</v>
      </c>
      <c r="AM25" s="949">
        <v>0</v>
      </c>
      <c r="AN25" s="949">
        <v>0</v>
      </c>
      <c r="AO25" s="982"/>
    </row>
    <row r="26" spans="1:41" s="109" customFormat="1" ht="14.4" x14ac:dyDescent="0.3">
      <c r="A26" s="364"/>
      <c r="B26" s="364"/>
      <c r="C26" s="364"/>
      <c r="D26" s="364"/>
      <c r="E26" s="364"/>
      <c r="F26" s="364"/>
      <c r="G26" s="364"/>
      <c r="H26" s="364"/>
      <c r="I26" s="364"/>
      <c r="J26" s="364"/>
      <c r="K26" s="364"/>
      <c r="L26" s="364"/>
      <c r="M26" s="364"/>
      <c r="N26" s="364"/>
      <c r="O26" s="364"/>
      <c r="P26" s="82"/>
      <c r="Q26" s="364"/>
      <c r="R26" s="364"/>
      <c r="S26" s="364"/>
      <c r="T26" s="364"/>
      <c r="U26" s="364"/>
      <c r="V26" s="364"/>
      <c r="W26" s="364"/>
      <c r="X26" s="949" t="s">
        <v>1244</v>
      </c>
      <c r="Y26" s="949" t="s">
        <v>169</v>
      </c>
      <c r="Z26" s="949" t="s">
        <v>915</v>
      </c>
      <c r="AA26" s="949">
        <v>1221.17</v>
      </c>
      <c r="AB26" s="949">
        <v>10.006600000000001</v>
      </c>
      <c r="AC26" s="949" t="s">
        <v>1096</v>
      </c>
      <c r="AD26" s="949"/>
      <c r="AE26" s="949">
        <v>0</v>
      </c>
      <c r="AF26" s="949">
        <v>128</v>
      </c>
      <c r="AG26" s="949">
        <v>121.6</v>
      </c>
      <c r="AH26" s="949" t="s">
        <v>1229</v>
      </c>
      <c r="AI26" s="949">
        <v>0.05</v>
      </c>
      <c r="AJ26" s="949">
        <v>6.4</v>
      </c>
      <c r="AK26" s="949" t="s">
        <v>1243</v>
      </c>
      <c r="AL26" s="949" t="s">
        <v>1243</v>
      </c>
      <c r="AM26" s="949">
        <v>0</v>
      </c>
      <c r="AN26" s="949">
        <v>0</v>
      </c>
      <c r="AO26" s="982"/>
    </row>
    <row r="27" spans="1:41" s="51" customFormat="1" ht="14.4" x14ac:dyDescent="0.3">
      <c r="A27" s="364"/>
      <c r="B27" s="364"/>
      <c r="C27" s="364"/>
      <c r="D27" s="364"/>
      <c r="E27" s="364"/>
      <c r="F27" s="364"/>
      <c r="G27" s="364"/>
      <c r="H27" s="364"/>
      <c r="I27" s="364"/>
      <c r="J27" s="364"/>
      <c r="K27" s="364"/>
      <c r="L27" s="364"/>
      <c r="M27" s="364"/>
      <c r="N27" s="364"/>
      <c r="O27" s="364"/>
      <c r="P27" s="75"/>
      <c r="Q27" s="364"/>
      <c r="R27" s="364"/>
      <c r="S27" s="364"/>
      <c r="T27" s="364"/>
      <c r="U27" s="364"/>
      <c r="V27" s="364"/>
      <c r="W27" s="364"/>
      <c r="X27" s="949" t="s">
        <v>1245</v>
      </c>
      <c r="Y27" s="949" t="s">
        <v>289</v>
      </c>
      <c r="Z27" s="949" t="s">
        <v>915</v>
      </c>
      <c r="AA27" s="949">
        <v>724.41099999999994</v>
      </c>
      <c r="AB27" s="949">
        <v>10.006600000000001</v>
      </c>
      <c r="AC27" s="949" t="s">
        <v>1096</v>
      </c>
      <c r="AD27" s="949"/>
      <c r="AE27" s="949">
        <v>0</v>
      </c>
      <c r="AF27" s="949">
        <v>512</v>
      </c>
      <c r="AG27" s="949">
        <v>486.4</v>
      </c>
      <c r="AH27" s="949" t="s">
        <v>1229</v>
      </c>
      <c r="AI27" s="949">
        <v>0.05</v>
      </c>
      <c r="AJ27" s="949">
        <v>25.6</v>
      </c>
      <c r="AK27" s="949" t="s">
        <v>1243</v>
      </c>
      <c r="AL27" s="949" t="s">
        <v>1243</v>
      </c>
      <c r="AM27" s="949">
        <v>0</v>
      </c>
      <c r="AN27" s="949">
        <v>0</v>
      </c>
      <c r="AO27" s="982"/>
    </row>
    <row r="28" spans="1:41" ht="14.4" x14ac:dyDescent="0.3">
      <c r="A28" s="364"/>
      <c r="B28" s="92"/>
      <c r="C28" s="366"/>
      <c r="D28" s="373"/>
      <c r="E28" s="373"/>
      <c r="F28" s="373"/>
      <c r="G28" s="367"/>
      <c r="H28" s="373"/>
      <c r="I28" s="367"/>
      <c r="J28" s="373"/>
      <c r="K28" s="367"/>
      <c r="L28" s="373"/>
      <c r="M28" s="367"/>
      <c r="N28" s="373"/>
      <c r="O28" s="367"/>
      <c r="P28" s="365"/>
      <c r="Q28" s="373"/>
      <c r="R28" s="373"/>
      <c r="S28" s="373"/>
      <c r="T28" s="373"/>
      <c r="U28" s="373"/>
      <c r="V28" s="373"/>
      <c r="W28" s="373"/>
      <c r="X28" s="949" t="s">
        <v>1246</v>
      </c>
      <c r="Y28" s="949" t="s">
        <v>289</v>
      </c>
      <c r="Z28" s="949" t="s">
        <v>915</v>
      </c>
      <c r="AA28" s="949">
        <v>724.41099999999994</v>
      </c>
      <c r="AB28" s="949">
        <v>10.006600000000001</v>
      </c>
      <c r="AC28" s="949" t="s">
        <v>1096</v>
      </c>
      <c r="AD28" s="949"/>
      <c r="AE28" s="949">
        <v>0</v>
      </c>
      <c r="AF28" s="949">
        <v>128</v>
      </c>
      <c r="AG28" s="949">
        <v>121.6</v>
      </c>
      <c r="AH28" s="949" t="s">
        <v>1229</v>
      </c>
      <c r="AI28" s="949">
        <v>0.05</v>
      </c>
      <c r="AJ28" s="949">
        <v>6.4</v>
      </c>
      <c r="AK28" s="949" t="s">
        <v>1243</v>
      </c>
      <c r="AL28" s="949" t="s">
        <v>1243</v>
      </c>
      <c r="AM28" s="949">
        <v>0</v>
      </c>
      <c r="AN28" s="949">
        <v>0</v>
      </c>
      <c r="AO28" s="982"/>
    </row>
    <row r="29" spans="1:41" s="51" customFormat="1" ht="14.4" x14ac:dyDescent="0.3">
      <c r="A29" s="364"/>
      <c r="B29" s="364"/>
      <c r="C29" s="364"/>
      <c r="D29" s="364"/>
      <c r="E29" s="364"/>
      <c r="F29" s="364"/>
      <c r="G29" s="364"/>
      <c r="H29" s="364"/>
      <c r="I29" s="364"/>
      <c r="J29" s="364"/>
      <c r="K29" s="364"/>
      <c r="L29" s="364"/>
      <c r="M29" s="364"/>
      <c r="N29" s="364"/>
      <c r="O29" s="364"/>
      <c r="P29" s="365"/>
      <c r="Q29" s="364"/>
      <c r="R29" s="364"/>
      <c r="S29" s="364"/>
      <c r="T29" s="364"/>
      <c r="U29" s="364"/>
      <c r="V29" s="364"/>
      <c r="W29" s="364"/>
      <c r="X29" s="949" t="s">
        <v>1247</v>
      </c>
      <c r="Y29" s="949" t="s">
        <v>291</v>
      </c>
      <c r="Z29" s="949" t="s">
        <v>915</v>
      </c>
      <c r="AA29" s="949">
        <v>1221.17</v>
      </c>
      <c r="AB29" s="949">
        <v>10.006600000000001</v>
      </c>
      <c r="AC29" s="949" t="s">
        <v>1096</v>
      </c>
      <c r="AD29" s="949"/>
      <c r="AE29" s="949">
        <v>0</v>
      </c>
      <c r="AF29" s="949">
        <v>1024</v>
      </c>
      <c r="AG29" s="949">
        <v>972.8</v>
      </c>
      <c r="AH29" s="949" t="s">
        <v>1229</v>
      </c>
      <c r="AI29" s="949">
        <v>0.05</v>
      </c>
      <c r="AJ29" s="949">
        <v>51.2</v>
      </c>
      <c r="AK29" s="949" t="s">
        <v>1243</v>
      </c>
      <c r="AL29" s="949" t="s">
        <v>1243</v>
      </c>
      <c r="AM29" s="949">
        <v>0</v>
      </c>
      <c r="AN29" s="949">
        <v>0</v>
      </c>
      <c r="AO29" s="982"/>
    </row>
    <row r="30" spans="1:41" s="51" customFormat="1" ht="14.4" x14ac:dyDescent="0.3">
      <c r="A30" s="364"/>
      <c r="B30" s="364"/>
      <c r="C30" s="364"/>
      <c r="D30" s="364"/>
      <c r="E30" s="364"/>
      <c r="F30" s="364"/>
      <c r="G30" s="364"/>
      <c r="H30" s="364"/>
      <c r="I30" s="364"/>
      <c r="J30" s="364"/>
      <c r="K30" s="364"/>
      <c r="L30" s="364"/>
      <c r="M30" s="364"/>
      <c r="N30" s="364"/>
      <c r="O30" s="364"/>
      <c r="P30" s="365"/>
      <c r="Q30" s="364"/>
      <c r="R30" s="364"/>
      <c r="S30" s="364"/>
      <c r="T30" s="364"/>
      <c r="U30" s="364"/>
      <c r="V30" s="364"/>
      <c r="W30" s="364"/>
      <c r="X30" s="949" t="s">
        <v>1248</v>
      </c>
      <c r="Y30" s="949" t="s">
        <v>291</v>
      </c>
      <c r="Z30" s="949" t="s">
        <v>915</v>
      </c>
      <c r="AA30" s="949">
        <v>1221.17</v>
      </c>
      <c r="AB30" s="949">
        <v>10.006600000000001</v>
      </c>
      <c r="AC30" s="949" t="s">
        <v>1096</v>
      </c>
      <c r="AD30" s="949"/>
      <c r="AE30" s="949">
        <v>0</v>
      </c>
      <c r="AF30" s="949">
        <v>128</v>
      </c>
      <c r="AG30" s="949">
        <v>121.6</v>
      </c>
      <c r="AH30" s="949" t="s">
        <v>1229</v>
      </c>
      <c r="AI30" s="949">
        <v>0.05</v>
      </c>
      <c r="AJ30" s="949">
        <v>6.4</v>
      </c>
      <c r="AK30" s="949" t="s">
        <v>1243</v>
      </c>
      <c r="AL30" s="949" t="s">
        <v>1243</v>
      </c>
      <c r="AM30" s="949">
        <v>0</v>
      </c>
      <c r="AN30" s="949">
        <v>0</v>
      </c>
      <c r="AO30" s="982"/>
    </row>
    <row r="31" spans="1:41" s="51" customFormat="1" ht="14.4" x14ac:dyDescent="0.3">
      <c r="A31" s="364"/>
      <c r="B31" s="364"/>
      <c r="C31" s="364"/>
      <c r="D31" s="364"/>
      <c r="E31" s="364"/>
      <c r="F31" s="364"/>
      <c r="G31" s="364"/>
      <c r="H31" s="364"/>
      <c r="I31" s="364"/>
      <c r="J31" s="364"/>
      <c r="K31" s="364"/>
      <c r="L31" s="364"/>
      <c r="M31" s="364"/>
      <c r="N31" s="364"/>
      <c r="O31" s="364"/>
      <c r="P31" s="365"/>
      <c r="Q31" s="364"/>
      <c r="R31" s="364"/>
      <c r="S31" s="364"/>
      <c r="T31" s="364"/>
      <c r="U31" s="364"/>
      <c r="V31" s="364"/>
      <c r="W31" s="364"/>
      <c r="X31" s="949" t="s">
        <v>1249</v>
      </c>
      <c r="Y31" s="949" t="s">
        <v>293</v>
      </c>
      <c r="Z31" s="949" t="s">
        <v>915</v>
      </c>
      <c r="AA31" s="949">
        <v>724.41099999999994</v>
      </c>
      <c r="AB31" s="949">
        <v>10.006600000000001</v>
      </c>
      <c r="AC31" s="949" t="s">
        <v>1096</v>
      </c>
      <c r="AD31" s="949"/>
      <c r="AE31" s="949">
        <v>0</v>
      </c>
      <c r="AF31" s="949">
        <v>512</v>
      </c>
      <c r="AG31" s="949">
        <v>486.4</v>
      </c>
      <c r="AH31" s="949" t="s">
        <v>1229</v>
      </c>
      <c r="AI31" s="949">
        <v>0.05</v>
      </c>
      <c r="AJ31" s="949">
        <v>25.6</v>
      </c>
      <c r="AK31" s="949" t="s">
        <v>1243</v>
      </c>
      <c r="AL31" s="949" t="s">
        <v>1243</v>
      </c>
      <c r="AM31" s="949">
        <v>0</v>
      </c>
      <c r="AN31" s="949">
        <v>0</v>
      </c>
      <c r="AO31" s="982"/>
    </row>
    <row r="32" spans="1:41" ht="14.4" x14ac:dyDescent="0.3">
      <c r="A32" s="364"/>
      <c r="B32" s="92"/>
      <c r="C32" s="366"/>
      <c r="D32" s="373"/>
      <c r="E32" s="373"/>
      <c r="F32" s="373"/>
      <c r="G32" s="367"/>
      <c r="H32" s="373"/>
      <c r="I32" s="367"/>
      <c r="J32" s="373"/>
      <c r="K32" s="367"/>
      <c r="L32" s="373"/>
      <c r="M32" s="367"/>
      <c r="N32" s="373"/>
      <c r="O32" s="367"/>
      <c r="P32" s="366"/>
      <c r="Q32" s="373"/>
      <c r="R32" s="373"/>
      <c r="S32" s="373"/>
      <c r="T32" s="373"/>
      <c r="U32" s="373"/>
      <c r="V32" s="373"/>
      <c r="W32" s="373"/>
      <c r="X32" s="949" t="s">
        <v>1250</v>
      </c>
      <c r="Y32" s="949" t="s">
        <v>293</v>
      </c>
      <c r="Z32" s="949" t="s">
        <v>915</v>
      </c>
      <c r="AA32" s="949">
        <v>724.41099999999994</v>
      </c>
      <c r="AB32" s="949">
        <v>10.006600000000001</v>
      </c>
      <c r="AC32" s="949" t="s">
        <v>1096</v>
      </c>
      <c r="AD32" s="949"/>
      <c r="AE32" s="949">
        <v>0</v>
      </c>
      <c r="AF32" s="949">
        <v>128</v>
      </c>
      <c r="AG32" s="949">
        <v>121.6</v>
      </c>
      <c r="AH32" s="949" t="s">
        <v>1229</v>
      </c>
      <c r="AI32" s="949">
        <v>0.05</v>
      </c>
      <c r="AJ32" s="949">
        <v>6.4</v>
      </c>
      <c r="AK32" s="949" t="s">
        <v>1243</v>
      </c>
      <c r="AL32" s="949" t="s">
        <v>1243</v>
      </c>
      <c r="AM32" s="949">
        <v>0</v>
      </c>
      <c r="AN32" s="949">
        <v>0</v>
      </c>
      <c r="AO32" s="982"/>
    </row>
    <row r="33" spans="1:43" ht="14.4" x14ac:dyDescent="0.3">
      <c r="A33" s="364"/>
      <c r="B33" s="92"/>
      <c r="C33" s="366"/>
      <c r="D33" s="373"/>
      <c r="E33" s="373"/>
      <c r="F33" s="373"/>
      <c r="G33" s="367"/>
      <c r="H33" s="373"/>
      <c r="I33" s="367"/>
      <c r="J33" s="373"/>
      <c r="K33" s="367"/>
      <c r="L33" s="373"/>
      <c r="M33" s="367"/>
      <c r="N33" s="373"/>
      <c r="O33" s="367"/>
      <c r="P33" s="366"/>
      <c r="Q33" s="373"/>
      <c r="R33" s="373"/>
      <c r="S33" s="373"/>
      <c r="T33" s="373"/>
      <c r="U33" s="373"/>
      <c r="V33" s="373"/>
      <c r="W33" s="373"/>
      <c r="X33" s="949" t="s">
        <v>1251</v>
      </c>
      <c r="Y33" s="949" t="s">
        <v>1230</v>
      </c>
      <c r="Z33" s="949" t="s">
        <v>915</v>
      </c>
      <c r="AA33" s="949">
        <v>1610.9</v>
      </c>
      <c r="AB33" s="949">
        <v>10.006600000000001</v>
      </c>
      <c r="AC33" s="949" t="s">
        <v>1096</v>
      </c>
      <c r="AD33" s="949"/>
      <c r="AE33" s="949">
        <v>0</v>
      </c>
      <c r="AF33" s="949">
        <v>1408</v>
      </c>
      <c r="AG33" s="949">
        <v>1337.6</v>
      </c>
      <c r="AH33" s="949" t="s">
        <v>1229</v>
      </c>
      <c r="AI33" s="949">
        <v>0.05</v>
      </c>
      <c r="AJ33" s="949">
        <v>70.400000000000006</v>
      </c>
      <c r="AK33" s="949" t="s">
        <v>1243</v>
      </c>
      <c r="AL33" s="949" t="s">
        <v>1243</v>
      </c>
      <c r="AM33" s="949">
        <v>0</v>
      </c>
      <c r="AN33" s="949">
        <v>0</v>
      </c>
      <c r="AO33" s="982"/>
      <c r="AP33" s="373"/>
      <c r="AQ33" s="373"/>
    </row>
    <row r="35" spans="1:43" ht="14.4" x14ac:dyDescent="0.3">
      <c r="A35" s="285"/>
      <c r="B35" s="337" t="s">
        <v>243</v>
      </c>
      <c r="C35" s="285"/>
      <c r="D35" s="285"/>
      <c r="E35" s="285"/>
      <c r="F35" s="285"/>
      <c r="G35" s="285"/>
      <c r="H35" s="285"/>
      <c r="I35" s="285"/>
      <c r="J35" s="285"/>
      <c r="K35" s="285"/>
      <c r="L35" s="285"/>
      <c r="M35" s="285"/>
      <c r="N35" s="285"/>
      <c r="O35" s="285"/>
      <c r="P35" s="366"/>
      <c r="Q35" s="96"/>
      <c r="R35" s="96"/>
      <c r="S35" s="96"/>
      <c r="T35" s="96"/>
      <c r="U35" s="96"/>
      <c r="V35" s="96"/>
      <c r="W35" s="96"/>
      <c r="X35" s="369" t="s">
        <v>1081</v>
      </c>
      <c r="Y35" s="982"/>
      <c r="Z35" s="982"/>
      <c r="AA35" s="982"/>
      <c r="AB35" s="982"/>
      <c r="AC35" s="982"/>
      <c r="AD35" s="982"/>
      <c r="AE35" s="982"/>
      <c r="AF35" s="982"/>
      <c r="AG35" s="982"/>
      <c r="AH35" s="982"/>
      <c r="AI35" s="982"/>
      <c r="AJ35" s="982"/>
      <c r="AK35" s="982"/>
      <c r="AL35" s="982"/>
      <c r="AM35" s="982"/>
      <c r="AN35" s="982"/>
      <c r="AO35" s="96"/>
      <c r="AP35" s="373"/>
      <c r="AQ35" s="373"/>
    </row>
    <row r="36" spans="1:43" ht="14.4" x14ac:dyDescent="0.3">
      <c r="A36" s="78"/>
      <c r="B36" s="50" t="s">
        <v>922</v>
      </c>
      <c r="C36" s="89"/>
      <c r="D36" s="91"/>
      <c r="E36" s="89"/>
      <c r="F36" s="91"/>
      <c r="G36" s="89"/>
      <c r="H36" s="91"/>
      <c r="I36" s="89"/>
      <c r="J36" s="91"/>
      <c r="K36" s="89"/>
      <c r="L36" s="91"/>
      <c r="M36" s="89"/>
      <c r="N36" s="91"/>
      <c r="O36" s="89"/>
      <c r="P36" s="366"/>
      <c r="Q36" s="89"/>
      <c r="R36" s="89"/>
      <c r="S36" s="89"/>
      <c r="T36" s="89"/>
      <c r="U36" s="89"/>
      <c r="V36" s="89"/>
      <c r="W36" s="89"/>
      <c r="X36" s="982" t="s">
        <v>870</v>
      </c>
      <c r="Y36" s="982"/>
      <c r="Z36" s="982"/>
      <c r="AA36" s="982"/>
      <c r="AB36" s="982"/>
      <c r="AC36" s="982" t="s">
        <v>924</v>
      </c>
      <c r="AD36" s="982"/>
      <c r="AE36" s="982"/>
      <c r="AF36" s="982"/>
      <c r="AG36" s="982"/>
      <c r="AH36" s="982"/>
      <c r="AI36" s="982"/>
      <c r="AJ36" s="982"/>
      <c r="AK36" s="982"/>
      <c r="AL36" s="982"/>
      <c r="AM36" s="982"/>
      <c r="AN36" s="982" t="s">
        <v>925</v>
      </c>
      <c r="AO36" s="89"/>
      <c r="AP36" s="373"/>
      <c r="AQ36" s="373"/>
    </row>
    <row r="37" spans="1:43" ht="14.4" x14ac:dyDescent="0.3">
      <c r="A37" s="89"/>
      <c r="B37" s="84" t="s">
        <v>870</v>
      </c>
      <c r="C37" s="89"/>
      <c r="D37" s="91"/>
      <c r="E37" s="89"/>
      <c r="F37" s="91"/>
      <c r="G37" s="89"/>
      <c r="H37" s="91"/>
      <c r="I37" s="89"/>
      <c r="J37" s="91"/>
      <c r="K37" s="89"/>
      <c r="L37" s="91"/>
      <c r="M37" s="89"/>
      <c r="N37" s="91"/>
      <c r="O37" s="89"/>
      <c r="P37" s="366"/>
      <c r="Q37" s="89"/>
      <c r="R37" s="89"/>
      <c r="S37" s="89"/>
      <c r="T37" s="89"/>
      <c r="U37" s="89"/>
      <c r="V37" s="89"/>
      <c r="W37" s="89"/>
      <c r="X37" s="982" t="s">
        <v>121</v>
      </c>
      <c r="Y37" s="982" t="s">
        <v>523</v>
      </c>
      <c r="Z37" s="982" t="s">
        <v>52</v>
      </c>
      <c r="AA37" s="982" t="s">
        <v>1082</v>
      </c>
      <c r="AB37" s="982" t="s">
        <v>896</v>
      </c>
      <c r="AC37" s="982" t="s">
        <v>1083</v>
      </c>
      <c r="AD37" s="982" t="s">
        <v>1084</v>
      </c>
      <c r="AE37" s="982" t="s">
        <v>956</v>
      </c>
      <c r="AF37" s="982" t="s">
        <v>957</v>
      </c>
      <c r="AG37" s="982" t="s">
        <v>1085</v>
      </c>
      <c r="AH37" s="982" t="s">
        <v>1086</v>
      </c>
      <c r="AI37" s="982" t="s">
        <v>1091</v>
      </c>
      <c r="AJ37" s="982" t="s">
        <v>1092</v>
      </c>
      <c r="AK37" s="982" t="s">
        <v>1093</v>
      </c>
      <c r="AL37" s="982" t="s">
        <v>1087</v>
      </c>
      <c r="AM37" s="982" t="s">
        <v>1088</v>
      </c>
      <c r="AN37" s="982" t="s">
        <v>1089</v>
      </c>
      <c r="AO37" s="373" t="s">
        <v>956</v>
      </c>
      <c r="AP37" s="373" t="s">
        <v>957</v>
      </c>
      <c r="AQ37" s="373" t="s">
        <v>1090</v>
      </c>
    </row>
    <row r="38" spans="1:43" ht="41.4" x14ac:dyDescent="0.3">
      <c r="A38" s="84"/>
      <c r="B38" s="115" t="s">
        <v>580</v>
      </c>
      <c r="C38" s="123" t="s">
        <v>52</v>
      </c>
      <c r="D38" s="274"/>
      <c r="E38" s="117" t="s">
        <v>1217</v>
      </c>
      <c r="F38" s="226"/>
      <c r="G38" s="173" t="s">
        <v>1218</v>
      </c>
      <c r="H38" s="274"/>
      <c r="I38" s="117" t="s">
        <v>1219</v>
      </c>
      <c r="J38" s="226"/>
      <c r="K38" s="173" t="s">
        <v>1220</v>
      </c>
      <c r="L38" s="274"/>
      <c r="M38" s="117" t="s">
        <v>1221</v>
      </c>
      <c r="N38" s="274"/>
      <c r="O38" s="117" t="s">
        <v>1222</v>
      </c>
      <c r="P38" s="366"/>
      <c r="Q38" s="84"/>
      <c r="R38" s="84"/>
      <c r="S38" s="84"/>
      <c r="T38" s="84"/>
      <c r="U38" s="84"/>
      <c r="V38" s="84"/>
      <c r="W38" s="84"/>
      <c r="X38" s="982"/>
      <c r="Y38" s="982"/>
      <c r="Z38" s="982"/>
      <c r="AA38" s="982"/>
      <c r="AB38" s="982" t="s">
        <v>966</v>
      </c>
      <c r="AC38" s="982"/>
      <c r="AD38" s="982" t="s">
        <v>1094</v>
      </c>
      <c r="AE38" s="982"/>
      <c r="AF38" s="982" t="s">
        <v>968</v>
      </c>
      <c r="AG38" s="982"/>
      <c r="AH38" s="982" t="s">
        <v>1094</v>
      </c>
      <c r="AI38" s="982" t="s">
        <v>1094</v>
      </c>
      <c r="AJ38" s="982" t="s">
        <v>1094</v>
      </c>
      <c r="AK38" s="982" t="s">
        <v>1094</v>
      </c>
      <c r="AL38" s="982" t="s">
        <v>1094</v>
      </c>
      <c r="AM38" s="982" t="s">
        <v>1095</v>
      </c>
      <c r="AN38" s="982" t="s">
        <v>1094</v>
      </c>
      <c r="AO38" s="84"/>
      <c r="AP38" s="373" t="s">
        <v>968</v>
      </c>
      <c r="AQ38" s="373" t="s">
        <v>1095</v>
      </c>
    </row>
    <row r="39" spans="1:43" ht="15" thickBot="1" x14ac:dyDescent="0.35">
      <c r="A39" s="364"/>
      <c r="B39" s="211" t="s">
        <v>942</v>
      </c>
      <c r="C39" s="208" t="s">
        <v>588</v>
      </c>
      <c r="D39" s="107"/>
      <c r="E39" s="1000" t="s">
        <v>1223</v>
      </c>
      <c r="F39" s="218"/>
      <c r="G39" s="208" t="s">
        <v>1224</v>
      </c>
      <c r="H39" s="107"/>
      <c r="I39" s="1000" t="s">
        <v>1225</v>
      </c>
      <c r="J39" s="218"/>
      <c r="K39" s="208" t="s">
        <v>1226</v>
      </c>
      <c r="L39" s="107"/>
      <c r="M39" s="1000" t="s">
        <v>1227</v>
      </c>
      <c r="N39" s="107"/>
      <c r="O39" s="1000" t="s">
        <v>1228</v>
      </c>
      <c r="P39" s="366"/>
      <c r="Q39" s="812"/>
      <c r="R39" s="812"/>
      <c r="S39" s="812"/>
      <c r="T39" s="812"/>
      <c r="U39" s="812"/>
      <c r="V39" s="812"/>
      <c r="W39" s="813" t="s">
        <v>1212</v>
      </c>
      <c r="X39" s="949" t="s">
        <v>169</v>
      </c>
      <c r="Y39" s="949" t="s">
        <v>170</v>
      </c>
      <c r="Z39" s="949" t="s">
        <v>915</v>
      </c>
      <c r="AA39" s="949" t="s">
        <v>137</v>
      </c>
      <c r="AB39" s="949">
        <v>1221.17</v>
      </c>
      <c r="AC39" s="949" t="s">
        <v>1096</v>
      </c>
      <c r="AD39" s="949">
        <v>0</v>
      </c>
      <c r="AE39" s="949" t="s">
        <v>961</v>
      </c>
      <c r="AF39" s="949">
        <v>2253.1</v>
      </c>
      <c r="AG39" s="949">
        <v>-99996</v>
      </c>
      <c r="AH39" s="949">
        <v>0</v>
      </c>
      <c r="AI39" s="949">
        <v>732.7</v>
      </c>
      <c r="AJ39" s="949">
        <v>0</v>
      </c>
      <c r="AK39" s="949">
        <v>0</v>
      </c>
      <c r="AL39" s="949">
        <v>732.7</v>
      </c>
      <c r="AM39" s="949">
        <v>0.6</v>
      </c>
      <c r="AN39" s="982"/>
      <c r="AO39" s="364"/>
      <c r="AP39" s="373"/>
      <c r="AQ39" s="373"/>
    </row>
    <row r="40" spans="1:43" ht="28.2" thickTop="1" x14ac:dyDescent="0.3">
      <c r="A40" s="364"/>
      <c r="B40" s="130" t="s">
        <v>169</v>
      </c>
      <c r="C40" s="72" t="s">
        <v>915</v>
      </c>
      <c r="D40" s="324" t="s">
        <v>173</v>
      </c>
      <c r="E40" s="262" t="s">
        <v>173</v>
      </c>
      <c r="F40" s="76" t="s">
        <v>173</v>
      </c>
      <c r="G40" s="76" t="s">
        <v>173</v>
      </c>
      <c r="H40" s="324" t="s">
        <v>173</v>
      </c>
      <c r="I40" s="262" t="s">
        <v>173</v>
      </c>
      <c r="J40" s="76" t="s">
        <v>173</v>
      </c>
      <c r="K40" s="76" t="s">
        <v>173</v>
      </c>
      <c r="L40" s="958" t="str">
        <f>IF(ROUND(M40,2)=ROUND(AM39,2),"x","")</f>
        <v>x</v>
      </c>
      <c r="M40" s="202">
        <v>0.6</v>
      </c>
      <c r="N40" s="958" t="str">
        <f>IF(O40=AE39,"x","")</f>
        <v>x</v>
      </c>
      <c r="O40" s="202" t="s">
        <v>961</v>
      </c>
      <c r="P40" s="366"/>
      <c r="Q40" s="364"/>
      <c r="R40" s="364"/>
      <c r="S40" s="364"/>
      <c r="T40" s="364"/>
      <c r="U40" s="364"/>
      <c r="V40" s="364"/>
      <c r="W40" s="364"/>
      <c r="X40" s="949" t="s">
        <v>289</v>
      </c>
      <c r="Y40" s="949" t="s">
        <v>170</v>
      </c>
      <c r="Z40" s="949" t="s">
        <v>915</v>
      </c>
      <c r="AA40" s="949" t="s">
        <v>137</v>
      </c>
      <c r="AB40" s="949">
        <v>724.41099999999994</v>
      </c>
      <c r="AC40" s="949" t="s">
        <v>1096</v>
      </c>
      <c r="AD40" s="949">
        <v>0</v>
      </c>
      <c r="AE40" s="949" t="s">
        <v>961</v>
      </c>
      <c r="AF40" s="949">
        <v>2253.1</v>
      </c>
      <c r="AG40" s="949">
        <v>-99996</v>
      </c>
      <c r="AH40" s="949">
        <v>0</v>
      </c>
      <c r="AI40" s="949">
        <v>434.64699999999999</v>
      </c>
      <c r="AJ40" s="949">
        <v>0</v>
      </c>
      <c r="AK40" s="949">
        <v>0</v>
      </c>
      <c r="AL40" s="949">
        <v>434.64699999999999</v>
      </c>
      <c r="AM40" s="949">
        <v>0.6</v>
      </c>
      <c r="AN40" s="982"/>
      <c r="AO40" s="364"/>
      <c r="AP40" s="373"/>
      <c r="AQ40" s="373"/>
    </row>
    <row r="41" spans="1:43" ht="27.6" x14ac:dyDescent="0.3">
      <c r="A41" s="364"/>
      <c r="B41" s="130" t="s">
        <v>289</v>
      </c>
      <c r="C41" s="72" t="s">
        <v>915</v>
      </c>
      <c r="D41" s="324" t="s">
        <v>173</v>
      </c>
      <c r="E41" s="262" t="s">
        <v>173</v>
      </c>
      <c r="F41" s="76" t="s">
        <v>173</v>
      </c>
      <c r="G41" s="76" t="s">
        <v>173</v>
      </c>
      <c r="H41" s="324" t="s">
        <v>173</v>
      </c>
      <c r="I41" s="262" t="s">
        <v>173</v>
      </c>
      <c r="J41" s="76" t="s">
        <v>173</v>
      </c>
      <c r="K41" s="76" t="s">
        <v>173</v>
      </c>
      <c r="L41" s="958" t="str">
        <f t="shared" ref="L41:L43" si="3">IF(ROUND(M41,2)=ROUND(AM40,2),"x","")</f>
        <v>x</v>
      </c>
      <c r="M41" s="202">
        <v>0.6</v>
      </c>
      <c r="N41" s="958" t="str">
        <f t="shared" ref="N41:N44" si="4">IF(O41=AE40,"x","")</f>
        <v>x</v>
      </c>
      <c r="O41" s="202" t="s">
        <v>961</v>
      </c>
      <c r="P41" s="366"/>
      <c r="Q41" s="364"/>
      <c r="R41" s="364"/>
      <c r="S41" s="364"/>
      <c r="T41" s="364"/>
      <c r="U41" s="364"/>
      <c r="V41" s="364"/>
      <c r="W41" s="364"/>
      <c r="X41" s="949" t="s">
        <v>291</v>
      </c>
      <c r="Y41" s="949" t="s">
        <v>170</v>
      </c>
      <c r="Z41" s="949" t="s">
        <v>915</v>
      </c>
      <c r="AA41" s="949" t="s">
        <v>137</v>
      </c>
      <c r="AB41" s="949">
        <v>1221.17</v>
      </c>
      <c r="AC41" s="949" t="s">
        <v>1096</v>
      </c>
      <c r="AD41" s="949">
        <v>0</v>
      </c>
      <c r="AE41" s="949" t="s">
        <v>961</v>
      </c>
      <c r="AF41" s="949">
        <v>2253.1</v>
      </c>
      <c r="AG41" s="949">
        <v>-99996</v>
      </c>
      <c r="AH41" s="949">
        <v>0</v>
      </c>
      <c r="AI41" s="949">
        <v>732.7</v>
      </c>
      <c r="AJ41" s="949">
        <v>0</v>
      </c>
      <c r="AK41" s="949">
        <v>0</v>
      </c>
      <c r="AL41" s="949">
        <v>732.7</v>
      </c>
      <c r="AM41" s="949">
        <v>0.6</v>
      </c>
      <c r="AN41" s="982"/>
      <c r="AO41" s="364"/>
      <c r="AP41" s="373"/>
      <c r="AQ41" s="373"/>
    </row>
    <row r="42" spans="1:43" ht="27.6" x14ac:dyDescent="0.3">
      <c r="A42" s="364"/>
      <c r="B42" s="130" t="s">
        <v>291</v>
      </c>
      <c r="C42" s="72" t="s">
        <v>915</v>
      </c>
      <c r="D42" s="324" t="s">
        <v>173</v>
      </c>
      <c r="E42" s="262" t="s">
        <v>173</v>
      </c>
      <c r="F42" s="76" t="s">
        <v>173</v>
      </c>
      <c r="G42" s="76" t="s">
        <v>173</v>
      </c>
      <c r="H42" s="324" t="s">
        <v>173</v>
      </c>
      <c r="I42" s="262" t="s">
        <v>173</v>
      </c>
      <c r="J42" s="76" t="s">
        <v>173</v>
      </c>
      <c r="K42" s="76" t="s">
        <v>173</v>
      </c>
      <c r="L42" s="958" t="str">
        <f t="shared" si="3"/>
        <v>x</v>
      </c>
      <c r="M42" s="202">
        <v>0.6</v>
      </c>
      <c r="N42" s="958" t="str">
        <f t="shared" si="4"/>
        <v>x</v>
      </c>
      <c r="O42" s="202" t="s">
        <v>961</v>
      </c>
      <c r="P42" s="366"/>
      <c r="Q42" s="364"/>
      <c r="R42" s="373"/>
      <c r="S42" s="373"/>
      <c r="T42" s="373"/>
      <c r="U42" s="373"/>
      <c r="V42" s="373"/>
      <c r="W42" s="373"/>
      <c r="X42" s="949" t="s">
        <v>293</v>
      </c>
      <c r="Y42" s="949" t="s">
        <v>170</v>
      </c>
      <c r="Z42" s="949" t="s">
        <v>915</v>
      </c>
      <c r="AA42" s="949" t="s">
        <v>137</v>
      </c>
      <c r="AB42" s="949">
        <v>724.41099999999994</v>
      </c>
      <c r="AC42" s="949" t="s">
        <v>1096</v>
      </c>
      <c r="AD42" s="949">
        <v>0</v>
      </c>
      <c r="AE42" s="949" t="s">
        <v>961</v>
      </c>
      <c r="AF42" s="949">
        <v>2253.1</v>
      </c>
      <c r="AG42" s="949">
        <v>-99996</v>
      </c>
      <c r="AH42" s="949">
        <v>0</v>
      </c>
      <c r="AI42" s="949">
        <v>434.64699999999999</v>
      </c>
      <c r="AJ42" s="949">
        <v>0</v>
      </c>
      <c r="AK42" s="949">
        <v>0</v>
      </c>
      <c r="AL42" s="949">
        <v>434.64699999999999</v>
      </c>
      <c r="AM42" s="949">
        <v>0.6</v>
      </c>
      <c r="AN42" s="982"/>
      <c r="AO42" s="373"/>
      <c r="AP42" s="373"/>
      <c r="AQ42" s="373"/>
    </row>
    <row r="43" spans="1:43" ht="27.6" x14ac:dyDescent="0.3">
      <c r="A43" s="364"/>
      <c r="B43" s="130" t="s">
        <v>293</v>
      </c>
      <c r="C43" s="72" t="s">
        <v>915</v>
      </c>
      <c r="D43" s="324" t="s">
        <v>173</v>
      </c>
      <c r="E43" s="262" t="s">
        <v>173</v>
      </c>
      <c r="F43" s="76" t="s">
        <v>173</v>
      </c>
      <c r="G43" s="76" t="s">
        <v>173</v>
      </c>
      <c r="H43" s="324" t="s">
        <v>173</v>
      </c>
      <c r="I43" s="262" t="s">
        <v>173</v>
      </c>
      <c r="J43" s="76" t="s">
        <v>173</v>
      </c>
      <c r="K43" s="76" t="s">
        <v>173</v>
      </c>
      <c r="L43" s="958" t="str">
        <f t="shared" si="3"/>
        <v>x</v>
      </c>
      <c r="M43" s="202">
        <v>0.6</v>
      </c>
      <c r="N43" s="958" t="str">
        <f t="shared" si="4"/>
        <v>x</v>
      </c>
      <c r="O43" s="202" t="s">
        <v>961</v>
      </c>
      <c r="P43" s="366"/>
      <c r="Q43" s="364"/>
      <c r="R43" s="364"/>
      <c r="S43" s="364"/>
      <c r="T43" s="364"/>
      <c r="U43" s="364"/>
      <c r="V43" s="364"/>
      <c r="W43" s="364"/>
      <c r="X43" s="949" t="s">
        <v>1230</v>
      </c>
      <c r="Y43" s="949" t="s">
        <v>170</v>
      </c>
      <c r="Z43" s="949" t="s">
        <v>915</v>
      </c>
      <c r="AA43" s="949" t="s">
        <v>137</v>
      </c>
      <c r="AB43" s="949">
        <v>1610.9</v>
      </c>
      <c r="AC43" s="949" t="s">
        <v>1096</v>
      </c>
      <c r="AD43" s="949">
        <v>0</v>
      </c>
      <c r="AE43" s="949" t="s">
        <v>961</v>
      </c>
      <c r="AF43" s="949">
        <v>2253.1</v>
      </c>
      <c r="AG43" s="949">
        <v>-99996</v>
      </c>
      <c r="AH43" s="949">
        <v>0</v>
      </c>
      <c r="AI43" s="949">
        <v>966.54</v>
      </c>
      <c r="AJ43" s="949">
        <v>0</v>
      </c>
      <c r="AK43" s="949">
        <v>0</v>
      </c>
      <c r="AL43" s="949">
        <v>966.54</v>
      </c>
      <c r="AM43" s="949">
        <v>0.6</v>
      </c>
      <c r="AN43" s="982"/>
      <c r="AO43" s="364"/>
      <c r="AP43" s="373"/>
      <c r="AQ43" s="373"/>
    </row>
    <row r="44" spans="1:43" ht="27.6" x14ac:dyDescent="0.3">
      <c r="A44" s="364"/>
      <c r="B44" s="877" t="s">
        <v>1230</v>
      </c>
      <c r="C44" s="190" t="s">
        <v>915</v>
      </c>
      <c r="D44" s="325" t="s">
        <v>173</v>
      </c>
      <c r="E44" s="265" t="s">
        <v>173</v>
      </c>
      <c r="F44" s="263" t="s">
        <v>173</v>
      </c>
      <c r="G44" s="263" t="s">
        <v>173</v>
      </c>
      <c r="H44" s="325" t="s">
        <v>173</v>
      </c>
      <c r="I44" s="265" t="s">
        <v>173</v>
      </c>
      <c r="J44" s="263" t="s">
        <v>173</v>
      </c>
      <c r="K44" s="263" t="s">
        <v>173</v>
      </c>
      <c r="L44" s="952" t="str">
        <f>IF(ROUND(M44,2)=ROUND(AM43,2),"x","")</f>
        <v>x</v>
      </c>
      <c r="M44" s="204">
        <v>0.6</v>
      </c>
      <c r="N44" s="952" t="str">
        <f t="shared" si="4"/>
        <v>x</v>
      </c>
      <c r="O44" s="204" t="s">
        <v>961</v>
      </c>
      <c r="P44" s="366"/>
      <c r="Q44" s="364"/>
      <c r="R44" s="364"/>
      <c r="S44" s="364"/>
      <c r="T44" s="364"/>
      <c r="U44" s="364"/>
      <c r="V44" s="364"/>
      <c r="W44" s="364"/>
      <c r="X44" s="949" t="s">
        <v>138</v>
      </c>
      <c r="Y44" s="949" t="s">
        <v>140</v>
      </c>
      <c r="Z44" s="949" t="s">
        <v>979</v>
      </c>
      <c r="AA44" s="949" t="s">
        <v>137</v>
      </c>
      <c r="AB44" s="949">
        <v>0</v>
      </c>
      <c r="AC44" s="949"/>
      <c r="AD44" s="949"/>
      <c r="AE44" s="949"/>
      <c r="AF44" s="949"/>
      <c r="AG44" s="949"/>
      <c r="AH44" s="949"/>
      <c r="AI44" s="949"/>
      <c r="AJ44" s="949"/>
      <c r="AK44" s="949"/>
      <c r="AL44" s="949"/>
      <c r="AM44" s="949"/>
      <c r="AN44" s="982"/>
      <c r="AO44" s="364"/>
      <c r="AP44" s="373"/>
      <c r="AQ44" s="373"/>
    </row>
    <row r="45" spans="1:43" x14ac:dyDescent="0.3">
      <c r="A45" s="364"/>
      <c r="B45" s="92"/>
      <c r="C45" s="366"/>
      <c r="D45" s="373"/>
      <c r="E45" s="373"/>
      <c r="F45" s="373"/>
      <c r="G45" s="367"/>
      <c r="H45" s="373"/>
      <c r="I45" s="367"/>
      <c r="J45" s="373"/>
      <c r="K45" s="367"/>
      <c r="L45" s="373"/>
      <c r="M45" s="367"/>
      <c r="N45" s="373"/>
      <c r="O45" s="367"/>
      <c r="P45" s="366"/>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73"/>
      <c r="AQ45" s="373"/>
    </row>
    <row r="46" spans="1:43" x14ac:dyDescent="0.3">
      <c r="A46" s="364"/>
      <c r="B46" s="92"/>
      <c r="C46" s="366"/>
      <c r="D46" s="373"/>
      <c r="E46" s="373"/>
      <c r="F46" s="373"/>
      <c r="G46" s="367"/>
      <c r="H46" s="373"/>
      <c r="I46" s="367"/>
      <c r="J46" s="373"/>
      <c r="K46" s="367"/>
      <c r="L46" s="373"/>
      <c r="M46" s="367"/>
      <c r="N46" s="373"/>
      <c r="O46" s="367"/>
      <c r="P46" s="366"/>
      <c r="Q46" s="364"/>
      <c r="R46" s="364"/>
      <c r="S46" s="364"/>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row>
    <row r="47" spans="1:43" x14ac:dyDescent="0.3">
      <c r="A47" s="364"/>
      <c r="B47" s="92"/>
      <c r="C47" s="366"/>
      <c r="D47" s="373"/>
      <c r="E47" s="373"/>
      <c r="F47" s="373"/>
      <c r="G47" s="367"/>
      <c r="H47" s="373"/>
      <c r="I47" s="367"/>
      <c r="J47" s="373"/>
      <c r="K47" s="367"/>
      <c r="L47" s="373"/>
      <c r="M47" s="367"/>
      <c r="N47" s="373"/>
      <c r="O47" s="367"/>
      <c r="P47" s="366"/>
      <c r="Q47" s="93"/>
      <c r="R47" s="93"/>
      <c r="S47" s="9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row>
    <row r="48" spans="1:43" x14ac:dyDescent="0.3">
      <c r="A48" s="364"/>
      <c r="B48" s="92"/>
      <c r="C48" s="366"/>
      <c r="D48" s="373"/>
      <c r="E48" s="373"/>
      <c r="F48" s="373"/>
      <c r="G48" s="367"/>
      <c r="H48" s="373"/>
      <c r="I48" s="367"/>
      <c r="J48" s="373"/>
      <c r="K48" s="367"/>
      <c r="L48" s="373"/>
      <c r="M48" s="367"/>
      <c r="N48" s="373"/>
      <c r="O48" s="367"/>
      <c r="P48" s="366"/>
      <c r="Q48" s="89"/>
      <c r="R48" s="89"/>
      <c r="S48" s="89"/>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row>
    <row r="49" spans="16:41" x14ac:dyDescent="0.3">
      <c r="P49" s="366"/>
      <c r="Q49" s="89"/>
      <c r="R49" s="89"/>
      <c r="S49" s="89"/>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row>
    <row r="50" spans="16:41" x14ac:dyDescent="0.3">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row>
    <row r="51" spans="16:41" x14ac:dyDescent="0.3">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row>
    <row r="52" spans="16:41" x14ac:dyDescent="0.3">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7"/>
    </row>
    <row r="53" spans="16:41" x14ac:dyDescent="0.3">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row>
    <row r="54" spans="16:41" x14ac:dyDescent="0.3">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row>
    <row r="55" spans="16:41" x14ac:dyDescent="0.3">
      <c r="P55" s="367"/>
      <c r="Q55" s="367"/>
      <c r="R55" s="367"/>
      <c r="S55" s="367"/>
      <c r="T55" s="367"/>
      <c r="U55" s="367"/>
      <c r="V55" s="367"/>
      <c r="W55" s="367"/>
      <c r="X55" s="367"/>
      <c r="Y55" s="367"/>
      <c r="Z55" s="367"/>
      <c r="AA55" s="367"/>
      <c r="AB55" s="367"/>
      <c r="AC55" s="367"/>
      <c r="AD55" s="367"/>
      <c r="AE55" s="367"/>
      <c r="AF55" s="367"/>
      <c r="AG55" s="367"/>
      <c r="AH55" s="367"/>
      <c r="AI55" s="367"/>
      <c r="AJ55" s="367"/>
      <c r="AK55" s="367"/>
      <c r="AL55" s="367"/>
      <c r="AM55" s="367"/>
      <c r="AN55" s="367"/>
      <c r="AO55" s="367"/>
    </row>
    <row r="56" spans="16:41" x14ac:dyDescent="0.3">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row>
    <row r="57" spans="16:41" x14ac:dyDescent="0.3">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row>
    <row r="58" spans="16:41" x14ac:dyDescent="0.3">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row>
  </sheetData>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sheetPr>
  <dimension ref="A1:EW55"/>
  <sheetViews>
    <sheetView zoomScaleNormal="100" workbookViewId="0">
      <selection activeCell="J8" sqref="J8"/>
    </sheetView>
  </sheetViews>
  <sheetFormatPr defaultColWidth="9.109375" defaultRowHeight="13.8" outlineLevelCol="1" x14ac:dyDescent="0.3"/>
  <cols>
    <col min="1" max="1" width="3.6640625" style="54" customWidth="1"/>
    <col min="2" max="2" width="18.6640625" style="55" customWidth="1"/>
    <col min="3" max="3" width="35.109375" style="7" bestFit="1" customWidth="1"/>
    <col min="4" max="4" width="2.6640625" style="113" customWidth="1"/>
    <col min="5" max="5" width="25.5546875" style="19" customWidth="1"/>
    <col min="6" max="6" width="2.6640625" style="113" customWidth="1"/>
    <col min="7" max="7" width="24.109375" style="2" bestFit="1" customWidth="1"/>
    <col min="8" max="8" width="2.6640625" style="113" customWidth="1"/>
    <col min="9" max="9" width="26.88671875" style="2" bestFit="1" customWidth="1"/>
    <col min="10" max="10" width="2.6640625" style="113" customWidth="1"/>
    <col min="11" max="11" width="26.44140625" style="19" bestFit="1" customWidth="1"/>
    <col min="12" max="12" width="2.6640625" style="113" customWidth="1"/>
    <col min="13" max="13" width="25.33203125" style="19" bestFit="1" customWidth="1"/>
    <col min="14" max="14" width="2.6640625" style="19" customWidth="1"/>
    <col min="15" max="15" width="2.6640625" style="113" customWidth="1"/>
    <col min="16" max="57" width="9.109375" style="19" outlineLevel="1"/>
    <col min="58" max="16384" width="9.109375" style="19"/>
  </cols>
  <sheetData>
    <row r="1" spans="1:153" x14ac:dyDescent="0.3">
      <c r="A1" s="74"/>
      <c r="B1" s="91" t="s">
        <v>1252</v>
      </c>
      <c r="C1" s="74"/>
      <c r="D1" s="74"/>
      <c r="E1" s="74"/>
      <c r="F1" s="74"/>
      <c r="G1" s="79"/>
      <c r="H1" s="74"/>
      <c r="I1" s="79"/>
      <c r="J1" s="74"/>
      <c r="K1" s="79"/>
      <c r="L1" s="74"/>
      <c r="M1" s="74"/>
      <c r="N1" s="82"/>
      <c r="O1" s="82"/>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c r="EH1" s="373"/>
      <c r="EI1" s="373"/>
      <c r="EJ1" s="373"/>
      <c r="EK1" s="373"/>
      <c r="EL1" s="373"/>
      <c r="EM1" s="373"/>
      <c r="EN1" s="373"/>
      <c r="EO1" s="373"/>
      <c r="EP1" s="373"/>
      <c r="EQ1" s="373"/>
      <c r="ER1" s="373"/>
      <c r="ES1" s="373"/>
      <c r="ET1" s="373"/>
      <c r="EU1" s="373"/>
      <c r="EV1" s="373"/>
      <c r="EW1" s="373"/>
    </row>
    <row r="2" spans="1:153" s="54" customFormat="1" x14ac:dyDescent="0.3">
      <c r="A2" s="364"/>
      <c r="B2" s="513" t="s">
        <v>0</v>
      </c>
      <c r="C2" s="513"/>
      <c r="D2" s="520"/>
      <c r="E2" s="513" t="s">
        <v>1</v>
      </c>
      <c r="F2" s="364"/>
      <c r="G2" s="72"/>
      <c r="H2" s="364"/>
      <c r="I2" s="72"/>
      <c r="J2" s="513"/>
      <c r="K2" s="516" t="s">
        <v>109</v>
      </c>
      <c r="L2" s="74"/>
      <c r="M2" s="74"/>
      <c r="N2" s="82"/>
      <c r="O2" s="82"/>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c r="DC2" s="364"/>
      <c r="DD2" s="364"/>
      <c r="DE2" s="364"/>
      <c r="DF2" s="364"/>
      <c r="DG2" s="364"/>
      <c r="DH2" s="364"/>
      <c r="DI2" s="364"/>
      <c r="DJ2" s="364"/>
      <c r="DK2" s="364"/>
      <c r="DL2" s="364"/>
      <c r="DM2" s="364"/>
      <c r="DN2" s="364"/>
      <c r="DO2" s="364"/>
      <c r="DP2" s="364"/>
      <c r="DQ2" s="364"/>
      <c r="DR2" s="364"/>
      <c r="DS2" s="364"/>
      <c r="DT2" s="364"/>
      <c r="DU2" s="364"/>
      <c r="DV2" s="364"/>
      <c r="DW2" s="364"/>
      <c r="DX2" s="364"/>
      <c r="DY2" s="364"/>
      <c r="DZ2" s="364"/>
      <c r="EA2" s="364"/>
      <c r="EB2" s="364"/>
      <c r="EC2" s="364"/>
      <c r="ED2" s="364"/>
      <c r="EE2" s="364"/>
      <c r="EF2" s="364"/>
      <c r="EG2" s="364"/>
      <c r="EH2" s="364"/>
      <c r="EI2" s="364"/>
      <c r="EJ2" s="364"/>
      <c r="EK2" s="364"/>
      <c r="EL2" s="364"/>
      <c r="EM2" s="364"/>
      <c r="EN2" s="364"/>
      <c r="EO2" s="364"/>
      <c r="EP2" s="364"/>
      <c r="EQ2" s="364"/>
      <c r="ER2" s="364"/>
      <c r="ES2" s="364"/>
      <c r="ET2" s="364"/>
      <c r="EU2" s="364"/>
      <c r="EV2" s="364"/>
      <c r="EW2" s="364"/>
    </row>
    <row r="3" spans="1:153" s="54" customFormat="1" x14ac:dyDescent="0.3">
      <c r="A3" s="364"/>
      <c r="B3" s="364" t="s">
        <v>2</v>
      </c>
      <c r="C3" s="97" t="s">
        <v>62</v>
      </c>
      <c r="D3" s="364"/>
      <c r="E3" s="364" t="s">
        <v>3</v>
      </c>
      <c r="F3" s="364"/>
      <c r="G3" s="950" t="str">
        <f>'Documentation Main Sheet'!I2</f>
        <v>r6055</v>
      </c>
      <c r="H3" s="364"/>
      <c r="I3" s="399"/>
      <c r="J3" s="521"/>
      <c r="K3" s="364" t="s">
        <v>110</v>
      </c>
      <c r="L3" s="74"/>
      <c r="M3" s="74"/>
      <c r="N3" s="82"/>
      <c r="O3" s="82"/>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c r="DC3" s="364"/>
      <c r="DD3" s="364"/>
      <c r="DE3" s="364"/>
      <c r="DF3" s="364"/>
      <c r="DG3" s="364"/>
      <c r="DH3" s="364"/>
      <c r="DI3" s="364"/>
      <c r="DJ3" s="364"/>
      <c r="DK3" s="364"/>
      <c r="DL3" s="364"/>
      <c r="DM3" s="364"/>
      <c r="DN3" s="364"/>
      <c r="DO3" s="364"/>
      <c r="DP3" s="364"/>
      <c r="DQ3" s="364"/>
      <c r="DR3" s="364"/>
      <c r="DS3" s="364"/>
      <c r="DT3" s="364"/>
      <c r="DU3" s="364"/>
      <c r="DV3" s="364"/>
      <c r="DW3" s="364"/>
      <c r="DX3" s="364"/>
      <c r="DY3" s="364"/>
      <c r="DZ3" s="364"/>
      <c r="EA3" s="364"/>
      <c r="EB3" s="364"/>
      <c r="EC3" s="364"/>
      <c r="ED3" s="364"/>
      <c r="EE3" s="364"/>
      <c r="EF3" s="364"/>
      <c r="EG3" s="364"/>
      <c r="EH3" s="364"/>
      <c r="EI3" s="364"/>
      <c r="EJ3" s="364"/>
      <c r="EK3" s="364"/>
      <c r="EL3" s="364"/>
      <c r="EM3" s="364"/>
      <c r="EN3" s="364"/>
      <c r="EO3" s="364"/>
      <c r="EP3" s="364"/>
      <c r="EQ3" s="364"/>
      <c r="ER3" s="364"/>
      <c r="ES3" s="364"/>
      <c r="ET3" s="364"/>
      <c r="EU3" s="364"/>
      <c r="EV3" s="364"/>
      <c r="EW3" s="364"/>
    </row>
    <row r="4" spans="1:153" s="54" customFormat="1" x14ac:dyDescent="0.3">
      <c r="A4" s="364"/>
      <c r="B4" s="364" t="s">
        <v>6</v>
      </c>
      <c r="C4" s="364" t="str">
        <f>C3&amp;".cibd19"</f>
        <v>080006-Whse-Run15.cibd19</v>
      </c>
      <c r="D4" s="364"/>
      <c r="E4" s="364" t="s">
        <v>7</v>
      </c>
      <c r="F4" s="364"/>
      <c r="G4" s="364" t="str">
        <f>'Documentation Main Sheet'!I3</f>
        <v>Release package</v>
      </c>
      <c r="H4" s="364"/>
      <c r="I4" s="399"/>
      <c r="J4" s="994">
        <v>1</v>
      </c>
      <c r="K4" s="373" t="s">
        <v>111</v>
      </c>
      <c r="L4" s="74"/>
      <c r="M4" s="74"/>
      <c r="N4" s="82"/>
      <c r="O4" s="82"/>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c r="DC4" s="364"/>
      <c r="DD4" s="364"/>
      <c r="DE4" s="364"/>
      <c r="DF4" s="364"/>
      <c r="DG4" s="364"/>
      <c r="DH4" s="364"/>
      <c r="DI4" s="364"/>
      <c r="DJ4" s="364"/>
      <c r="DK4" s="364"/>
      <c r="DL4" s="364"/>
      <c r="DM4" s="364"/>
      <c r="DN4" s="364"/>
      <c r="DO4" s="364"/>
      <c r="DP4" s="364"/>
      <c r="DQ4" s="364"/>
      <c r="DR4" s="364"/>
      <c r="DS4" s="364"/>
      <c r="DT4" s="364"/>
      <c r="DU4" s="364"/>
      <c r="DV4" s="364"/>
      <c r="DW4" s="364"/>
      <c r="DX4" s="364"/>
      <c r="DY4" s="364"/>
      <c r="DZ4" s="364"/>
      <c r="EA4" s="364"/>
      <c r="EB4" s="364"/>
      <c r="EC4" s="364"/>
      <c r="ED4" s="364"/>
      <c r="EE4" s="364"/>
      <c r="EF4" s="364"/>
      <c r="EG4" s="364"/>
      <c r="EH4" s="364"/>
      <c r="EI4" s="364"/>
      <c r="EJ4" s="364"/>
      <c r="EK4" s="364"/>
      <c r="EL4" s="364"/>
      <c r="EM4" s="364"/>
      <c r="EN4" s="364"/>
      <c r="EO4" s="364"/>
      <c r="EP4" s="364"/>
      <c r="EQ4" s="364"/>
      <c r="ER4" s="364"/>
      <c r="ES4" s="364"/>
      <c r="ET4" s="364"/>
      <c r="EU4" s="364"/>
      <c r="EV4" s="364"/>
      <c r="EW4" s="364"/>
    </row>
    <row r="5" spans="1:153" s="54" customFormat="1" x14ac:dyDescent="0.3">
      <c r="A5" s="364"/>
      <c r="B5" s="364" t="s">
        <v>9</v>
      </c>
      <c r="C5" s="364" t="s">
        <v>112</v>
      </c>
      <c r="D5" s="364"/>
      <c r="E5" s="364" t="s">
        <v>10</v>
      </c>
      <c r="F5" s="364"/>
      <c r="G5" s="364" t="str">
        <f>'Documentation Main Sheet'!I4</f>
        <v>CBECC-Com 2019.1.2 Release</v>
      </c>
      <c r="H5" s="364"/>
      <c r="I5" s="399"/>
      <c r="J5" s="991">
        <v>1</v>
      </c>
      <c r="K5" s="373" t="s">
        <v>111</v>
      </c>
      <c r="L5" s="74"/>
      <c r="M5" s="74"/>
      <c r="N5" s="82"/>
      <c r="O5" s="82"/>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64"/>
      <c r="DN5" s="364"/>
      <c r="DO5" s="364"/>
      <c r="DP5" s="364"/>
      <c r="DQ5" s="364"/>
      <c r="DR5" s="364"/>
      <c r="DS5" s="364"/>
      <c r="DT5" s="364"/>
      <c r="DU5" s="364"/>
      <c r="DV5" s="364"/>
      <c r="DW5" s="364"/>
      <c r="DX5" s="364"/>
      <c r="DY5" s="364"/>
      <c r="DZ5" s="364"/>
      <c r="EA5" s="364"/>
      <c r="EB5" s="364"/>
      <c r="EC5" s="364"/>
      <c r="ED5" s="364"/>
      <c r="EE5" s="364"/>
      <c r="EF5" s="364"/>
      <c r="EG5" s="364"/>
      <c r="EH5" s="364"/>
      <c r="EI5" s="364"/>
      <c r="EJ5" s="364"/>
      <c r="EK5" s="364"/>
      <c r="EL5" s="364"/>
      <c r="EM5" s="364"/>
      <c r="EN5" s="364"/>
      <c r="EO5" s="364"/>
      <c r="EP5" s="364"/>
      <c r="EQ5" s="364"/>
      <c r="ER5" s="364"/>
      <c r="ES5" s="364"/>
      <c r="ET5" s="364"/>
      <c r="EU5" s="364"/>
      <c r="EV5" s="364"/>
      <c r="EW5" s="364"/>
    </row>
    <row r="6" spans="1:153" s="54" customFormat="1" x14ac:dyDescent="0.3">
      <c r="A6" s="364"/>
      <c r="B6" s="364" t="s">
        <v>17</v>
      </c>
      <c r="C6" s="92" t="s">
        <v>43</v>
      </c>
      <c r="D6" s="364"/>
      <c r="E6" s="364" t="s">
        <v>12</v>
      </c>
      <c r="F6" s="364"/>
      <c r="G6" s="68">
        <f>'Documentation Main Sheet'!I5</f>
        <v>43754</v>
      </c>
      <c r="H6" s="364"/>
      <c r="I6" s="400"/>
      <c r="J6" s="524">
        <v>1</v>
      </c>
      <c r="K6" s="376" t="s">
        <v>113</v>
      </c>
      <c r="L6" s="74"/>
      <c r="M6" s="74"/>
      <c r="N6" s="82"/>
      <c r="O6" s="82"/>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c r="BW6" s="364"/>
      <c r="BX6" s="364"/>
      <c r="BY6" s="364"/>
      <c r="BZ6" s="364"/>
      <c r="CA6" s="364"/>
      <c r="CB6" s="364"/>
      <c r="CC6" s="364"/>
      <c r="CD6" s="364"/>
      <c r="CE6" s="364"/>
      <c r="CF6" s="364"/>
      <c r="CG6" s="364"/>
      <c r="CH6" s="364"/>
      <c r="CI6" s="364"/>
      <c r="CJ6" s="364"/>
      <c r="CK6" s="364"/>
      <c r="CL6" s="364"/>
      <c r="CM6" s="364"/>
      <c r="CN6" s="364"/>
      <c r="CO6" s="364"/>
      <c r="CP6" s="364"/>
      <c r="CQ6" s="364"/>
      <c r="CR6" s="364"/>
      <c r="CS6" s="364"/>
      <c r="CT6" s="364"/>
      <c r="CU6" s="364"/>
      <c r="CV6" s="364"/>
      <c r="CW6" s="364"/>
      <c r="CX6" s="364"/>
      <c r="CY6" s="364"/>
      <c r="CZ6" s="364"/>
      <c r="DA6" s="364"/>
      <c r="DB6" s="364"/>
      <c r="DC6" s="364"/>
      <c r="DD6" s="364"/>
      <c r="DE6" s="364"/>
      <c r="DF6" s="364"/>
      <c r="DG6" s="364"/>
      <c r="DH6" s="364"/>
      <c r="DI6" s="364"/>
      <c r="DJ6" s="364"/>
      <c r="DK6" s="364"/>
      <c r="DL6" s="364"/>
      <c r="DM6" s="364"/>
      <c r="DN6" s="364"/>
      <c r="DO6" s="364"/>
      <c r="DP6" s="364"/>
      <c r="DQ6" s="364"/>
      <c r="DR6" s="364"/>
      <c r="DS6" s="364"/>
      <c r="DT6" s="364"/>
      <c r="DU6" s="364"/>
      <c r="DV6" s="364"/>
      <c r="DW6" s="364"/>
      <c r="DX6" s="364"/>
      <c r="DY6" s="364"/>
      <c r="DZ6" s="364"/>
      <c r="EA6" s="364"/>
      <c r="EB6" s="364"/>
      <c r="EC6" s="364"/>
      <c r="ED6" s="364"/>
      <c r="EE6" s="364"/>
      <c r="EF6" s="364"/>
      <c r="EG6" s="364"/>
      <c r="EH6" s="364"/>
      <c r="EI6" s="364"/>
      <c r="EJ6" s="364"/>
      <c r="EK6" s="364"/>
      <c r="EL6" s="364"/>
      <c r="EM6" s="364"/>
      <c r="EN6" s="364"/>
      <c r="EO6" s="364"/>
      <c r="EP6" s="364"/>
      <c r="EQ6" s="364"/>
      <c r="ER6" s="364"/>
      <c r="ES6" s="364"/>
      <c r="ET6" s="364"/>
      <c r="EU6" s="364"/>
      <c r="EV6" s="364"/>
      <c r="EW6" s="364"/>
    </row>
    <row r="7" spans="1:153" s="54" customFormat="1" x14ac:dyDescent="0.3">
      <c r="A7" s="364"/>
      <c r="B7" s="364" t="s">
        <v>20</v>
      </c>
      <c r="C7" s="92" t="s">
        <v>63</v>
      </c>
      <c r="D7" s="364"/>
      <c r="E7" s="364" t="s">
        <v>13</v>
      </c>
      <c r="F7" s="364"/>
      <c r="G7" s="364" t="str">
        <f>'Documentation Main Sheet'!I6</f>
        <v>Jireh Peng</v>
      </c>
      <c r="H7" s="364"/>
      <c r="I7" s="72"/>
      <c r="J7" s="525">
        <v>1</v>
      </c>
      <c r="K7" s="373" t="s">
        <v>114</v>
      </c>
      <c r="L7" s="74"/>
      <c r="M7" s="74"/>
      <c r="N7" s="82"/>
      <c r="O7" s="82"/>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c r="CT7" s="364"/>
      <c r="CU7" s="364"/>
      <c r="CV7" s="364"/>
      <c r="CW7" s="364"/>
      <c r="CX7" s="364"/>
      <c r="CY7" s="364"/>
      <c r="CZ7" s="364"/>
      <c r="DA7" s="364"/>
      <c r="DB7" s="364"/>
      <c r="DC7" s="364"/>
      <c r="DD7" s="364"/>
      <c r="DE7" s="364"/>
      <c r="DF7" s="364"/>
      <c r="DG7" s="364"/>
      <c r="DH7" s="364"/>
      <c r="DI7" s="364"/>
      <c r="DJ7" s="364"/>
      <c r="DK7" s="364"/>
      <c r="DL7" s="364"/>
      <c r="DM7" s="364"/>
      <c r="DN7" s="364"/>
      <c r="DO7" s="364"/>
      <c r="DP7" s="364"/>
      <c r="DQ7" s="364"/>
      <c r="DR7" s="364"/>
      <c r="DS7" s="364"/>
      <c r="DT7" s="364"/>
      <c r="DU7" s="364"/>
      <c r="DV7" s="364"/>
      <c r="DW7" s="364"/>
      <c r="DX7" s="364"/>
      <c r="DY7" s="364"/>
      <c r="DZ7" s="364"/>
      <c r="EA7" s="364"/>
      <c r="EB7" s="364"/>
      <c r="EC7" s="364"/>
      <c r="ED7" s="364"/>
      <c r="EE7" s="364"/>
      <c r="EF7" s="364"/>
      <c r="EG7" s="364"/>
      <c r="EH7" s="364"/>
      <c r="EI7" s="364"/>
      <c r="EJ7" s="364"/>
      <c r="EK7" s="364"/>
      <c r="EL7" s="364"/>
      <c r="EM7" s="364"/>
      <c r="EN7" s="364"/>
      <c r="EO7" s="364"/>
      <c r="EP7" s="364"/>
      <c r="EQ7" s="364"/>
      <c r="ER7" s="364"/>
      <c r="ES7" s="364"/>
      <c r="ET7" s="364"/>
      <c r="EU7" s="364"/>
      <c r="EV7" s="364"/>
      <c r="EW7" s="364"/>
    </row>
    <row r="8" spans="1:153" s="54" customFormat="1" x14ac:dyDescent="0.3">
      <c r="A8" s="364"/>
      <c r="B8" s="364" t="s">
        <v>19</v>
      </c>
      <c r="C8" s="92" t="s">
        <v>27</v>
      </c>
      <c r="D8" s="364"/>
      <c r="E8" s="364"/>
      <c r="F8" s="364"/>
      <c r="G8" s="376"/>
      <c r="H8" s="364"/>
      <c r="I8" s="376"/>
      <c r="J8" s="996">
        <v>1</v>
      </c>
      <c r="K8" s="364" t="s">
        <v>115</v>
      </c>
      <c r="L8" s="364"/>
      <c r="M8" s="364"/>
      <c r="N8" s="82"/>
      <c r="O8" s="82"/>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4"/>
      <c r="BZ8" s="364"/>
      <c r="CA8" s="364"/>
      <c r="CB8" s="364"/>
      <c r="CC8" s="364"/>
      <c r="CD8" s="364"/>
      <c r="CE8" s="364"/>
      <c r="CF8" s="364"/>
      <c r="CG8" s="364"/>
      <c r="CH8" s="364"/>
      <c r="CI8" s="364"/>
      <c r="CJ8" s="364"/>
      <c r="CK8" s="364"/>
      <c r="CL8" s="364"/>
      <c r="CM8" s="364"/>
      <c r="CN8" s="364"/>
      <c r="CO8" s="364"/>
      <c r="CP8" s="364"/>
      <c r="CQ8" s="364"/>
      <c r="CR8" s="364"/>
      <c r="CS8" s="364"/>
      <c r="CT8" s="364"/>
      <c r="CU8" s="364"/>
      <c r="CV8" s="364"/>
      <c r="CW8" s="364"/>
      <c r="CX8" s="364"/>
      <c r="CY8" s="364"/>
      <c r="CZ8" s="364"/>
      <c r="DA8" s="364"/>
      <c r="DB8" s="364"/>
      <c r="DC8" s="364"/>
      <c r="DD8" s="364"/>
      <c r="DE8" s="364"/>
      <c r="DF8" s="364"/>
      <c r="DG8" s="364"/>
      <c r="DH8" s="364"/>
      <c r="DI8" s="364"/>
      <c r="DJ8" s="364"/>
      <c r="DK8" s="364"/>
      <c r="DL8" s="364"/>
      <c r="DM8" s="364"/>
      <c r="DN8" s="364"/>
      <c r="DO8" s="364"/>
      <c r="DP8" s="364"/>
      <c r="DQ8" s="364"/>
      <c r="DR8" s="364"/>
      <c r="DS8" s="364"/>
      <c r="DT8" s="364"/>
      <c r="DU8" s="364"/>
      <c r="DV8" s="364"/>
      <c r="DW8" s="364"/>
      <c r="DX8" s="364"/>
      <c r="DY8" s="364"/>
      <c r="DZ8" s="364"/>
      <c r="EA8" s="364"/>
      <c r="EB8" s="364"/>
      <c r="EC8" s="364"/>
      <c r="ED8" s="364"/>
      <c r="EE8" s="364"/>
      <c r="EF8" s="364"/>
      <c r="EG8" s="364"/>
      <c r="EH8" s="364"/>
      <c r="EI8" s="364"/>
      <c r="EJ8" s="364"/>
      <c r="EK8" s="364"/>
      <c r="EL8" s="364"/>
      <c r="EM8" s="364"/>
      <c r="EN8" s="364"/>
      <c r="EO8" s="364"/>
      <c r="EP8" s="364"/>
      <c r="EQ8" s="364"/>
      <c r="ER8" s="364"/>
      <c r="ES8" s="364"/>
      <c r="ET8" s="364"/>
      <c r="EU8" s="364"/>
      <c r="EV8" s="364"/>
      <c r="EW8" s="364"/>
    </row>
    <row r="9" spans="1:153" s="54" customFormat="1" x14ac:dyDescent="0.3">
      <c r="A9" s="364"/>
      <c r="B9" s="364"/>
      <c r="C9" s="364"/>
      <c r="D9" s="364"/>
      <c r="E9" s="364"/>
      <c r="F9" s="364"/>
      <c r="G9" s="72"/>
      <c r="H9" s="364"/>
      <c r="I9" s="72"/>
      <c r="J9" s="364"/>
      <c r="K9" s="364"/>
      <c r="L9" s="364"/>
      <c r="M9" s="364"/>
      <c r="N9" s="82"/>
      <c r="O9" s="82"/>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c r="CQ9" s="364"/>
      <c r="CR9" s="364"/>
      <c r="CS9" s="364"/>
      <c r="CT9" s="364"/>
      <c r="CU9" s="364"/>
      <c r="CV9" s="364"/>
      <c r="CW9" s="364"/>
      <c r="CX9" s="364"/>
      <c r="CY9" s="364"/>
      <c r="CZ9" s="364"/>
      <c r="DA9" s="364"/>
      <c r="DB9" s="364"/>
      <c r="DC9" s="364"/>
      <c r="DD9" s="364"/>
      <c r="DE9" s="364"/>
      <c r="DF9" s="364"/>
      <c r="DG9" s="364"/>
      <c r="DH9" s="364"/>
      <c r="DI9" s="364"/>
      <c r="DJ9" s="364"/>
      <c r="DK9" s="364"/>
      <c r="DL9" s="364"/>
      <c r="DM9" s="364"/>
      <c r="DN9" s="364"/>
      <c r="DO9" s="364"/>
      <c r="DP9" s="364"/>
      <c r="DQ9" s="364"/>
      <c r="DR9" s="364"/>
      <c r="DS9" s="364"/>
      <c r="DT9" s="364"/>
      <c r="DU9" s="364"/>
      <c r="DV9" s="364"/>
      <c r="DW9" s="364"/>
      <c r="DX9" s="364"/>
      <c r="DY9" s="364"/>
      <c r="DZ9" s="364"/>
      <c r="EA9" s="364"/>
      <c r="EB9" s="364"/>
      <c r="EC9" s="364"/>
      <c r="ED9" s="364"/>
      <c r="EE9" s="364"/>
      <c r="EF9" s="364"/>
      <c r="EG9" s="364"/>
      <c r="EH9" s="364"/>
      <c r="EI9" s="364"/>
      <c r="EJ9" s="364"/>
      <c r="EK9" s="364"/>
      <c r="EL9" s="364"/>
      <c r="EM9" s="364"/>
      <c r="EN9" s="364"/>
      <c r="EO9" s="364"/>
      <c r="EP9" s="364"/>
      <c r="EQ9" s="364"/>
      <c r="ER9" s="364"/>
      <c r="ES9" s="364"/>
      <c r="ET9" s="364"/>
      <c r="EU9" s="364"/>
      <c r="EV9" s="364"/>
      <c r="EW9" s="364"/>
    </row>
    <row r="10" spans="1:153" s="33" customFormat="1" ht="14.4" x14ac:dyDescent="0.3">
      <c r="A10" s="283"/>
      <c r="B10" s="336" t="s">
        <v>134</v>
      </c>
      <c r="C10" s="283"/>
      <c r="D10" s="283"/>
      <c r="E10" s="283"/>
      <c r="F10" s="283"/>
      <c r="G10" s="283"/>
      <c r="H10" s="283"/>
      <c r="I10" s="283"/>
      <c r="J10" s="283"/>
      <c r="K10" s="283"/>
      <c r="L10" s="283"/>
      <c r="M10" s="283"/>
      <c r="N10" s="82"/>
      <c r="O10" s="82"/>
      <c r="P10" s="96"/>
      <c r="Q10" s="96"/>
      <c r="R10" s="96"/>
      <c r="S10" s="982"/>
      <c r="T10" s="982"/>
      <c r="U10" s="982"/>
      <c r="V10" s="982"/>
      <c r="W10" s="96"/>
      <c r="X10" s="982"/>
      <c r="Y10" s="982"/>
      <c r="Z10" s="982"/>
      <c r="AA10" s="982"/>
      <c r="AB10" s="982"/>
      <c r="AC10" s="982"/>
      <c r="AD10" s="982"/>
      <c r="AE10" s="982"/>
      <c r="AF10" s="982"/>
      <c r="AG10" s="982"/>
      <c r="AH10" s="982"/>
      <c r="AI10" s="982"/>
      <c r="AJ10" s="982"/>
      <c r="AK10" s="982"/>
      <c r="AL10" s="982"/>
      <c r="AM10" s="982"/>
      <c r="AN10" s="982"/>
      <c r="AO10" s="982"/>
      <c r="AP10" s="982"/>
      <c r="AQ10" s="982"/>
      <c r="AR10" s="982"/>
      <c r="AS10" s="982"/>
      <c r="AT10" s="982"/>
      <c r="AU10" s="982"/>
      <c r="AV10" s="982"/>
      <c r="AW10" s="982"/>
      <c r="AX10" s="982"/>
      <c r="AY10" s="982"/>
      <c r="AZ10" s="982"/>
      <c r="BA10" s="982"/>
      <c r="BB10" s="982"/>
      <c r="BC10" s="982"/>
      <c r="BD10" s="982"/>
      <c r="BE10" s="982"/>
      <c r="BF10" s="982"/>
      <c r="BG10" s="982"/>
      <c r="BH10" s="982"/>
      <c r="BI10" s="982"/>
      <c r="BJ10" s="982"/>
      <c r="BK10" s="982"/>
      <c r="BL10" s="982"/>
      <c r="BM10" s="982"/>
      <c r="BN10" s="982"/>
      <c r="BO10" s="982"/>
      <c r="BP10" s="982"/>
      <c r="BQ10" s="982"/>
      <c r="BR10" s="982"/>
      <c r="BS10" s="982"/>
      <c r="BT10" s="982"/>
      <c r="BU10" s="982"/>
      <c r="BV10" s="982"/>
      <c r="BW10" s="982"/>
      <c r="BX10" s="982"/>
      <c r="BY10" s="982"/>
      <c r="BZ10" s="982"/>
      <c r="CA10" s="982"/>
      <c r="CB10" s="982"/>
      <c r="CC10" s="982"/>
      <c r="CD10" s="982"/>
      <c r="CE10" s="982"/>
      <c r="CF10" s="982"/>
      <c r="CG10" s="982"/>
      <c r="CH10" s="982"/>
      <c r="CI10" s="982"/>
      <c r="CJ10" s="982"/>
      <c r="CK10" s="982"/>
      <c r="CL10" s="982"/>
      <c r="CM10" s="982"/>
      <c r="CN10" s="982"/>
      <c r="CO10" s="982"/>
      <c r="CP10" s="982"/>
      <c r="CQ10" s="982"/>
      <c r="CR10" s="982"/>
      <c r="CS10" s="982"/>
      <c r="CT10" s="982"/>
      <c r="CU10" s="982"/>
      <c r="CV10" s="982"/>
      <c r="CW10" s="982"/>
      <c r="CX10" s="982"/>
      <c r="CY10" s="982"/>
      <c r="CZ10" s="982"/>
      <c r="DA10" s="982"/>
      <c r="DB10" s="982"/>
      <c r="DC10" s="982"/>
      <c r="DD10" s="982"/>
      <c r="DE10" s="982"/>
      <c r="DF10" s="982"/>
      <c r="DG10" s="982"/>
      <c r="DH10" s="982"/>
      <c r="DI10" s="982"/>
      <c r="DJ10" s="982"/>
      <c r="DK10" s="982"/>
      <c r="DL10" s="982"/>
      <c r="DM10" s="982"/>
      <c r="DN10" s="982"/>
      <c r="DO10" s="982"/>
      <c r="DP10" s="982"/>
      <c r="DQ10" s="982"/>
      <c r="DR10" s="982"/>
      <c r="DS10" s="982"/>
      <c r="DT10" s="982"/>
      <c r="DU10" s="982"/>
      <c r="DV10" s="982"/>
      <c r="DW10" s="982"/>
      <c r="DX10" s="982"/>
      <c r="DY10" s="982"/>
      <c r="DZ10" s="982"/>
      <c r="EA10" s="982"/>
      <c r="EB10" s="982"/>
      <c r="EC10" s="982"/>
      <c r="ED10" s="982"/>
      <c r="EE10" s="982"/>
      <c r="EF10" s="982"/>
      <c r="EG10" s="982"/>
      <c r="EH10" s="982"/>
      <c r="EI10" s="982"/>
      <c r="EJ10" s="982"/>
      <c r="EK10" s="982"/>
      <c r="EL10" s="982"/>
      <c r="EM10" s="982"/>
      <c r="EN10" s="982"/>
      <c r="EO10" s="982"/>
      <c r="EP10" s="982"/>
      <c r="EQ10" s="982"/>
      <c r="ER10" s="982"/>
      <c r="ES10" s="982"/>
      <c r="ET10" s="982"/>
      <c r="EU10" s="982"/>
      <c r="EV10" s="982"/>
      <c r="EW10" s="982"/>
    </row>
    <row r="11" spans="1:153" s="3" customFormat="1" ht="14.4" x14ac:dyDescent="0.3">
      <c r="A11" s="27"/>
      <c r="B11" s="29" t="s">
        <v>64</v>
      </c>
      <c r="C11" s="89"/>
      <c r="D11" s="91"/>
      <c r="E11" s="89"/>
      <c r="F11" s="91"/>
      <c r="G11" s="89"/>
      <c r="H11" s="91"/>
      <c r="I11" s="89"/>
      <c r="J11" s="91"/>
      <c r="K11" s="96"/>
      <c r="L11" s="91"/>
      <c r="M11" s="96"/>
      <c r="N11" s="82"/>
      <c r="O11" s="82"/>
      <c r="P11" s="89"/>
      <c r="Q11" s="89"/>
      <c r="R11" s="89"/>
      <c r="S11" s="982"/>
      <c r="T11" s="982"/>
      <c r="U11" s="982"/>
      <c r="V11" s="982"/>
      <c r="W11" s="369" t="s">
        <v>883</v>
      </c>
      <c r="X11" s="982"/>
      <c r="Y11" s="982"/>
      <c r="Z11" s="982"/>
      <c r="AA11" s="982"/>
      <c r="AB11" s="982"/>
      <c r="AC11" s="982"/>
      <c r="AD11" s="982"/>
      <c r="AE11" s="982"/>
      <c r="AF11" s="982"/>
      <c r="AG11" s="982"/>
      <c r="AH11" s="982"/>
      <c r="AI11" s="982"/>
      <c r="AJ11" s="982"/>
      <c r="AK11" s="982"/>
      <c r="AL11" s="982"/>
      <c r="AM11" s="982"/>
      <c r="AN11" s="982"/>
      <c r="AO11" s="982"/>
      <c r="AP11" s="982"/>
      <c r="AQ11" s="982"/>
      <c r="AR11" s="982"/>
      <c r="AS11" s="982"/>
      <c r="AT11" s="982"/>
      <c r="AU11" s="982"/>
      <c r="AV11" s="982"/>
      <c r="AW11" s="982"/>
      <c r="AX11" s="982"/>
      <c r="AY11" s="982"/>
      <c r="AZ11" s="982"/>
      <c r="BA11" s="982"/>
      <c r="BB11" s="982"/>
      <c r="BC11" s="982"/>
      <c r="BD11" s="982"/>
      <c r="BE11" s="982"/>
      <c r="BF11" s="982"/>
      <c r="BG11" s="982"/>
      <c r="BH11" s="982"/>
      <c r="BI11" s="982"/>
      <c r="BJ11" s="982"/>
      <c r="BK11" s="982"/>
      <c r="BL11" s="982"/>
      <c r="BM11" s="982"/>
      <c r="BN11" s="982"/>
      <c r="BO11" s="982"/>
      <c r="BP11" s="982"/>
      <c r="BQ11" s="982"/>
      <c r="BR11" s="982"/>
      <c r="BS11" s="982"/>
      <c r="BT11" s="982"/>
      <c r="BU11" s="982"/>
      <c r="BV11" s="982"/>
      <c r="BW11" s="982"/>
      <c r="BX11" s="982"/>
      <c r="BY11" s="982"/>
      <c r="BZ11" s="982"/>
      <c r="CA11" s="982"/>
      <c r="CB11" s="982"/>
      <c r="CC11" s="982"/>
      <c r="CD11" s="982"/>
      <c r="CE11" s="982"/>
      <c r="CF11" s="982"/>
      <c r="CG11" s="982"/>
      <c r="CH11" s="982"/>
      <c r="CI11" s="982"/>
      <c r="CJ11" s="982"/>
      <c r="CK11" s="982"/>
      <c r="CL11" s="982"/>
      <c r="CM11" s="982"/>
      <c r="CN11" s="982"/>
      <c r="CO11" s="982"/>
      <c r="CP11" s="982"/>
      <c r="CQ11" s="982"/>
      <c r="CR11" s="982"/>
      <c r="CS11" s="982"/>
      <c r="CT11" s="982"/>
      <c r="CU11" s="982"/>
      <c r="CV11" s="982"/>
      <c r="CW11" s="982"/>
      <c r="CX11" s="982"/>
      <c r="CY11" s="982"/>
      <c r="CZ11" s="982"/>
      <c r="DA11" s="982"/>
      <c r="DB11" s="982"/>
      <c r="DC11" s="982"/>
      <c r="DD11" s="982"/>
      <c r="DE11" s="982"/>
      <c r="DF11" s="982"/>
      <c r="DG11" s="982"/>
      <c r="DH11" s="982"/>
      <c r="DI11" s="982"/>
      <c r="DJ11" s="982"/>
      <c r="DK11" s="982"/>
      <c r="DL11" s="982"/>
      <c r="DM11" s="982"/>
      <c r="DN11" s="982"/>
      <c r="DO11" s="982"/>
      <c r="DP11" s="982"/>
      <c r="DQ11" s="982"/>
      <c r="DR11" s="982"/>
      <c r="DS11" s="982"/>
      <c r="DT11" s="982"/>
      <c r="DU11" s="982"/>
      <c r="DV11" s="982"/>
      <c r="DW11" s="982"/>
      <c r="DX11" s="982"/>
      <c r="DY11" s="982"/>
      <c r="DZ11" s="982"/>
      <c r="EA11" s="982"/>
      <c r="EB11" s="982"/>
      <c r="EC11" s="982"/>
      <c r="ED11" s="982"/>
      <c r="EE11" s="982"/>
      <c r="EF11" s="982"/>
      <c r="EG11" s="982"/>
      <c r="EH11" s="982"/>
      <c r="EI11" s="982"/>
      <c r="EJ11" s="982"/>
      <c r="EK11" s="982"/>
      <c r="EL11" s="982"/>
      <c r="EM11" s="982"/>
      <c r="EN11" s="982"/>
      <c r="EO11" s="982"/>
      <c r="EP11" s="982"/>
      <c r="EQ11" s="982"/>
      <c r="ER11" s="982"/>
      <c r="ES11" s="982"/>
      <c r="ET11" s="982"/>
      <c r="EU11" s="982"/>
      <c r="EV11" s="982"/>
      <c r="EW11" s="982"/>
    </row>
    <row r="12" spans="1:153" s="13" customFormat="1" ht="12.75" customHeight="1" x14ac:dyDescent="0.3">
      <c r="A12" s="93"/>
      <c r="B12" s="84" t="s">
        <v>870</v>
      </c>
      <c r="C12" s="93"/>
      <c r="D12" s="58"/>
      <c r="E12" s="58"/>
      <c r="F12" s="60"/>
      <c r="G12" s="60"/>
      <c r="H12" s="60"/>
      <c r="I12" s="60"/>
      <c r="J12" s="60"/>
      <c r="K12" s="60"/>
      <c r="L12" s="60"/>
      <c r="M12" s="60"/>
      <c r="N12" s="82"/>
      <c r="O12" s="82"/>
      <c r="P12" s="93"/>
      <c r="Q12" s="93"/>
      <c r="R12" s="93"/>
      <c r="S12" s="982"/>
      <c r="T12" s="982"/>
      <c r="U12" s="982"/>
      <c r="V12" s="982"/>
      <c r="W12" s="982" t="s">
        <v>870</v>
      </c>
      <c r="X12" s="982"/>
      <c r="Y12" s="982"/>
      <c r="Z12" s="982"/>
      <c r="AA12" s="982"/>
      <c r="AB12" s="982"/>
      <c r="AC12" s="982"/>
      <c r="AD12" s="982"/>
      <c r="AE12" s="982" t="s">
        <v>889</v>
      </c>
      <c r="AF12" s="982"/>
      <c r="AG12" s="982"/>
      <c r="AH12" s="982"/>
      <c r="AI12" s="982"/>
      <c r="AJ12" s="982"/>
      <c r="AK12" s="982"/>
      <c r="AL12" s="982" t="s">
        <v>890</v>
      </c>
      <c r="AM12" s="982"/>
      <c r="AN12" s="982"/>
      <c r="AO12" s="982"/>
      <c r="AP12" s="982"/>
      <c r="AQ12" s="982"/>
      <c r="AR12" s="982"/>
      <c r="AS12" s="982"/>
      <c r="AT12" s="982"/>
      <c r="AU12" s="982"/>
      <c r="AV12" s="982" t="s">
        <v>891</v>
      </c>
      <c r="AW12" s="982"/>
      <c r="AX12" s="982"/>
      <c r="AY12" s="982"/>
      <c r="AZ12" s="982"/>
      <c r="BA12" s="982"/>
      <c r="BB12" s="982"/>
      <c r="BC12" s="982"/>
      <c r="BD12" s="982"/>
      <c r="BE12" s="982"/>
      <c r="BF12" s="982"/>
      <c r="BG12" s="982"/>
      <c r="BH12" s="982"/>
      <c r="BI12" s="982"/>
      <c r="BJ12" s="982"/>
      <c r="BK12" s="982"/>
      <c r="BL12" s="982"/>
      <c r="BM12" s="982"/>
      <c r="BN12" s="982"/>
      <c r="BO12" s="982"/>
      <c r="BP12" s="982"/>
      <c r="BQ12" s="982"/>
      <c r="BR12" s="982"/>
      <c r="BS12" s="982"/>
      <c r="BT12" s="982"/>
      <c r="BU12" s="982"/>
      <c r="BV12" s="982"/>
      <c r="BW12" s="982"/>
      <c r="BX12" s="982"/>
      <c r="BY12" s="982"/>
      <c r="BZ12" s="982"/>
      <c r="CA12" s="982"/>
      <c r="CB12" s="982"/>
      <c r="CC12" s="982"/>
      <c r="CD12" s="982"/>
      <c r="CE12" s="982"/>
      <c r="CF12" s="982"/>
      <c r="CG12" s="982"/>
      <c r="CH12" s="982"/>
      <c r="CI12" s="982"/>
      <c r="CJ12" s="982"/>
      <c r="CK12" s="982"/>
      <c r="CL12" s="982"/>
      <c r="CM12" s="982"/>
      <c r="CN12" s="982"/>
      <c r="CO12" s="982"/>
      <c r="CP12" s="982"/>
      <c r="CQ12" s="982"/>
      <c r="CR12" s="982"/>
      <c r="CS12" s="982"/>
      <c r="CT12" s="982"/>
      <c r="CU12" s="982"/>
      <c r="CV12" s="982"/>
      <c r="CW12" s="982"/>
      <c r="CX12" s="982"/>
      <c r="CY12" s="982"/>
      <c r="CZ12" s="982"/>
      <c r="DA12" s="982"/>
      <c r="DB12" s="982"/>
      <c r="DC12" s="982"/>
      <c r="DD12" s="982"/>
      <c r="DE12" s="982"/>
      <c r="DF12" s="982"/>
      <c r="DG12" s="982"/>
      <c r="DH12" s="982"/>
      <c r="DI12" s="982"/>
      <c r="DJ12" s="982"/>
      <c r="DK12" s="982"/>
      <c r="DL12" s="982"/>
      <c r="DM12" s="982"/>
      <c r="DN12" s="982"/>
      <c r="DO12" s="982"/>
      <c r="DP12" s="982"/>
      <c r="DQ12" s="982"/>
      <c r="DR12" s="982"/>
      <c r="DS12" s="982"/>
      <c r="DT12" s="982"/>
      <c r="DU12" s="982"/>
      <c r="DV12" s="982"/>
      <c r="DW12" s="982"/>
      <c r="DX12" s="982"/>
      <c r="DY12" s="982"/>
      <c r="DZ12" s="982"/>
      <c r="EA12" s="982"/>
      <c r="EB12" s="982"/>
      <c r="EC12" s="982"/>
      <c r="ED12" s="982"/>
      <c r="EE12" s="982"/>
      <c r="EF12" s="982"/>
      <c r="EG12" s="982"/>
      <c r="EH12" s="982"/>
      <c r="EI12" s="982"/>
      <c r="EJ12" s="982"/>
      <c r="EK12" s="982"/>
      <c r="EL12" s="982"/>
      <c r="EM12" s="982"/>
      <c r="EN12" s="982"/>
      <c r="EO12" s="982"/>
      <c r="EP12" s="982"/>
      <c r="EQ12" s="982"/>
      <c r="ER12" s="982"/>
      <c r="ES12" s="982"/>
      <c r="ET12" s="982"/>
      <c r="EU12" s="982"/>
      <c r="EV12" s="982"/>
      <c r="EW12" s="982"/>
    </row>
    <row r="13" spans="1:153" s="84" customFormat="1" ht="41.4" x14ac:dyDescent="0.3">
      <c r="B13" s="115" t="s">
        <v>580</v>
      </c>
      <c r="C13" s="123" t="s">
        <v>52</v>
      </c>
      <c r="D13" s="274"/>
      <c r="E13" s="268" t="s">
        <v>885</v>
      </c>
      <c r="F13" s="279"/>
      <c r="G13" s="279" t="s">
        <v>1253</v>
      </c>
      <c r="H13" s="270"/>
      <c r="I13" s="268" t="s">
        <v>1254</v>
      </c>
      <c r="J13" s="270"/>
      <c r="K13" s="268" t="s">
        <v>1255</v>
      </c>
      <c r="L13" s="270"/>
      <c r="M13" s="268" t="s">
        <v>1256</v>
      </c>
      <c r="N13" s="82"/>
      <c r="O13" s="82"/>
      <c r="S13" s="982"/>
      <c r="T13" s="982"/>
      <c r="U13" s="982"/>
      <c r="V13" s="982"/>
      <c r="W13" s="982" t="s">
        <v>121</v>
      </c>
      <c r="X13" s="982" t="s">
        <v>52</v>
      </c>
      <c r="Y13" s="982" t="s">
        <v>896</v>
      </c>
      <c r="Z13" s="982" t="s">
        <v>897</v>
      </c>
      <c r="AA13" s="982" t="s">
        <v>898</v>
      </c>
      <c r="AB13" s="982" t="s">
        <v>899</v>
      </c>
      <c r="AC13" s="982" t="s">
        <v>900</v>
      </c>
      <c r="AD13" s="982" t="s">
        <v>901</v>
      </c>
      <c r="AE13" s="982" t="s">
        <v>902</v>
      </c>
      <c r="AF13" s="982" t="s">
        <v>903</v>
      </c>
      <c r="AG13" s="982" t="s">
        <v>904</v>
      </c>
      <c r="AH13" s="982" t="s">
        <v>905</v>
      </c>
      <c r="AI13" s="982" t="s">
        <v>906</v>
      </c>
      <c r="AJ13" s="982" t="s">
        <v>907</v>
      </c>
      <c r="AK13" s="982"/>
      <c r="AL13" s="982" t="s">
        <v>908</v>
      </c>
      <c r="AM13" s="982" t="s">
        <v>909</v>
      </c>
      <c r="AN13" s="982" t="s">
        <v>910</v>
      </c>
      <c r="AO13" s="982" t="s">
        <v>902</v>
      </c>
      <c r="AP13" s="982" t="s">
        <v>903</v>
      </c>
      <c r="AQ13" s="982" t="s">
        <v>904</v>
      </c>
      <c r="AR13" s="982" t="s">
        <v>905</v>
      </c>
      <c r="AS13" s="982" t="s">
        <v>906</v>
      </c>
      <c r="AT13" s="982" t="s">
        <v>907</v>
      </c>
      <c r="AU13" s="982"/>
      <c r="AV13" s="982" t="s">
        <v>908</v>
      </c>
      <c r="AW13" s="982" t="s">
        <v>909</v>
      </c>
      <c r="AX13" s="982" t="s">
        <v>910</v>
      </c>
      <c r="AY13" s="982" t="s">
        <v>902</v>
      </c>
      <c r="AZ13" s="982" t="s">
        <v>903</v>
      </c>
      <c r="BA13" s="982" t="s">
        <v>904</v>
      </c>
      <c r="BB13" s="982" t="s">
        <v>905</v>
      </c>
      <c r="BC13" s="982" t="s">
        <v>906</v>
      </c>
      <c r="BD13" s="982" t="s">
        <v>907</v>
      </c>
      <c r="BE13" s="982"/>
      <c r="BF13" s="982"/>
      <c r="BG13" s="982"/>
      <c r="BH13" s="982"/>
      <c r="BI13" s="982"/>
      <c r="BJ13" s="982"/>
      <c r="BK13" s="982"/>
      <c r="BL13" s="982"/>
      <c r="BM13" s="982"/>
      <c r="BN13" s="982"/>
      <c r="BO13" s="982"/>
      <c r="BP13" s="982"/>
      <c r="BQ13" s="982"/>
      <c r="BR13" s="982"/>
      <c r="BS13" s="982"/>
      <c r="BT13" s="982"/>
      <c r="BU13" s="982"/>
      <c r="BV13" s="982"/>
      <c r="BW13" s="982"/>
      <c r="BX13" s="982"/>
      <c r="BY13" s="982"/>
      <c r="BZ13" s="982"/>
      <c r="CA13" s="982"/>
      <c r="CB13" s="982"/>
      <c r="CC13" s="982"/>
      <c r="CD13" s="982"/>
      <c r="CE13" s="982"/>
      <c r="CF13" s="982"/>
      <c r="CG13" s="982"/>
      <c r="CH13" s="982"/>
      <c r="CI13" s="982"/>
      <c r="CJ13" s="982"/>
      <c r="CK13" s="982"/>
      <c r="CL13" s="982"/>
      <c r="CM13" s="982"/>
      <c r="CN13" s="982"/>
      <c r="CO13" s="982"/>
      <c r="CP13" s="982"/>
      <c r="CQ13" s="982"/>
      <c r="CR13" s="982"/>
      <c r="CS13" s="982"/>
      <c r="CT13" s="982"/>
      <c r="CU13" s="982"/>
      <c r="CV13" s="982"/>
      <c r="CW13" s="982"/>
      <c r="CX13" s="982"/>
      <c r="CY13" s="982"/>
      <c r="CZ13" s="982"/>
      <c r="DA13" s="982"/>
      <c r="DB13" s="982"/>
      <c r="DC13" s="982"/>
      <c r="DD13" s="982"/>
      <c r="DE13" s="982"/>
      <c r="DF13" s="982"/>
      <c r="DG13" s="982"/>
      <c r="DH13" s="982"/>
      <c r="DI13" s="982"/>
      <c r="DJ13" s="982"/>
      <c r="DK13" s="982"/>
      <c r="DL13" s="982"/>
      <c r="DM13" s="982"/>
      <c r="DN13" s="982"/>
      <c r="DO13" s="982"/>
      <c r="DP13" s="982"/>
      <c r="DQ13" s="982"/>
      <c r="DR13" s="982"/>
      <c r="DS13" s="982"/>
      <c r="DT13" s="982"/>
      <c r="DU13" s="982"/>
      <c r="DV13" s="982"/>
      <c r="DW13" s="982"/>
      <c r="DX13" s="982"/>
      <c r="DY13" s="982"/>
      <c r="DZ13" s="982"/>
      <c r="EA13" s="982"/>
      <c r="EB13" s="982"/>
      <c r="EC13" s="982"/>
      <c r="ED13" s="982"/>
      <c r="EE13" s="982"/>
      <c r="EF13" s="982"/>
      <c r="EG13" s="982"/>
      <c r="EH13" s="982"/>
      <c r="EI13" s="982"/>
      <c r="EJ13" s="982"/>
      <c r="EK13" s="982"/>
      <c r="EL13" s="982"/>
      <c r="EM13" s="982"/>
      <c r="EN13" s="982"/>
      <c r="EO13" s="982"/>
      <c r="EP13" s="982"/>
      <c r="EQ13" s="982"/>
      <c r="ER13" s="982"/>
      <c r="ES13" s="982"/>
      <c r="ET13" s="982"/>
      <c r="EU13" s="982"/>
      <c r="EV13" s="982"/>
      <c r="EW13" s="982"/>
    </row>
    <row r="14" spans="1:153" s="82" customFormat="1" ht="15" thickBot="1" x14ac:dyDescent="0.35">
      <c r="B14" s="211" t="s">
        <v>942</v>
      </c>
      <c r="C14" s="218"/>
      <c r="D14" s="107"/>
      <c r="E14" s="1000" t="s">
        <v>892</v>
      </c>
      <c r="F14" s="218"/>
      <c r="G14" s="208" t="s">
        <v>1257</v>
      </c>
      <c r="H14" s="107"/>
      <c r="I14" s="1000" t="s">
        <v>1258</v>
      </c>
      <c r="J14" s="107"/>
      <c r="K14" s="1000" t="s">
        <v>1259</v>
      </c>
      <c r="L14" s="107"/>
      <c r="M14" s="1000" t="s">
        <v>1260</v>
      </c>
      <c r="S14" s="982"/>
      <c r="T14" s="982"/>
      <c r="U14" s="982"/>
      <c r="V14" s="982"/>
      <c r="W14" s="982"/>
      <c r="X14" s="982"/>
      <c r="Y14" s="982" t="s">
        <v>966</v>
      </c>
      <c r="Z14" s="982"/>
      <c r="AA14" s="982" t="s">
        <v>966</v>
      </c>
      <c r="AB14" s="982"/>
      <c r="AC14" s="982"/>
      <c r="AD14" s="982"/>
      <c r="AE14" s="982" t="s">
        <v>966</v>
      </c>
      <c r="AF14" s="982" t="s">
        <v>1094</v>
      </c>
      <c r="AG14" s="982" t="s">
        <v>1124</v>
      </c>
      <c r="AH14" s="982" t="s">
        <v>1125</v>
      </c>
      <c r="AI14" s="982"/>
      <c r="AJ14" s="982" t="s">
        <v>1125</v>
      </c>
      <c r="AK14" s="982"/>
      <c r="AL14" s="982"/>
      <c r="AM14" s="982"/>
      <c r="AN14" s="982"/>
      <c r="AO14" s="982" t="s">
        <v>966</v>
      </c>
      <c r="AP14" s="982" t="s">
        <v>1094</v>
      </c>
      <c r="AQ14" s="982" t="s">
        <v>1124</v>
      </c>
      <c r="AR14" s="982" t="s">
        <v>1125</v>
      </c>
      <c r="AS14" s="982"/>
      <c r="AT14" s="982" t="s">
        <v>1125</v>
      </c>
      <c r="AU14" s="982"/>
      <c r="AV14" s="982"/>
      <c r="AW14" s="982"/>
      <c r="AX14" s="982"/>
      <c r="AY14" s="982" t="s">
        <v>966</v>
      </c>
      <c r="AZ14" s="982" t="s">
        <v>1094</v>
      </c>
      <c r="BA14" s="982" t="s">
        <v>1124</v>
      </c>
      <c r="BB14" s="982" t="s">
        <v>1125</v>
      </c>
      <c r="BC14" s="982"/>
      <c r="BD14" s="982" t="s">
        <v>1125</v>
      </c>
      <c r="BE14" s="982"/>
      <c r="BF14" s="982"/>
      <c r="BG14" s="982"/>
      <c r="BH14" s="982"/>
      <c r="BI14" s="982"/>
      <c r="BJ14" s="982"/>
      <c r="BK14" s="982"/>
      <c r="BL14" s="982"/>
      <c r="BM14" s="982"/>
      <c r="BN14" s="982"/>
      <c r="BO14" s="982"/>
      <c r="BP14" s="982"/>
      <c r="BQ14" s="982"/>
      <c r="BR14" s="982"/>
      <c r="BS14" s="982"/>
      <c r="BT14" s="982"/>
      <c r="BU14" s="982"/>
      <c r="BV14" s="982"/>
      <c r="BW14" s="982"/>
      <c r="BX14" s="982"/>
      <c r="BY14" s="982"/>
      <c r="BZ14" s="982"/>
      <c r="CA14" s="982"/>
      <c r="CB14" s="982"/>
      <c r="CC14" s="982"/>
      <c r="CD14" s="982"/>
      <c r="CE14" s="982"/>
      <c r="CF14" s="982"/>
      <c r="CG14" s="982"/>
      <c r="CH14" s="982"/>
      <c r="CI14" s="982"/>
      <c r="CJ14" s="982"/>
      <c r="CK14" s="982"/>
      <c r="CL14" s="982"/>
      <c r="CM14" s="982"/>
      <c r="CN14" s="982"/>
      <c r="CO14" s="982"/>
      <c r="CP14" s="982"/>
      <c r="CQ14" s="982"/>
      <c r="CR14" s="982"/>
      <c r="CS14" s="982"/>
      <c r="CT14" s="982"/>
      <c r="CU14" s="982"/>
      <c r="CV14" s="982"/>
      <c r="CW14" s="982"/>
      <c r="CX14" s="982"/>
      <c r="CY14" s="982"/>
      <c r="CZ14" s="982"/>
      <c r="DA14" s="982"/>
      <c r="DB14" s="982"/>
      <c r="DC14" s="982"/>
      <c r="DD14" s="982"/>
      <c r="DE14" s="982"/>
      <c r="DF14" s="982"/>
      <c r="DG14" s="982"/>
      <c r="DH14" s="982"/>
      <c r="DI14" s="982"/>
      <c r="DJ14" s="982"/>
      <c r="DK14" s="982"/>
      <c r="DL14" s="982"/>
      <c r="DM14" s="982"/>
      <c r="DN14" s="982"/>
      <c r="DO14" s="982"/>
      <c r="DP14" s="982"/>
      <c r="DQ14" s="982"/>
      <c r="DR14" s="982"/>
      <c r="DS14" s="982"/>
      <c r="DT14" s="982"/>
      <c r="DU14" s="982"/>
      <c r="DV14" s="982"/>
      <c r="DW14" s="982"/>
      <c r="DX14" s="982"/>
      <c r="DY14" s="982"/>
      <c r="DZ14" s="982"/>
      <c r="EA14" s="982"/>
      <c r="EB14" s="982"/>
      <c r="EC14" s="982"/>
      <c r="ED14" s="982"/>
      <c r="EE14" s="982"/>
      <c r="EF14" s="982"/>
      <c r="EG14" s="982"/>
      <c r="EH14" s="982"/>
      <c r="EI14" s="982"/>
      <c r="EJ14" s="982"/>
      <c r="EK14" s="982"/>
      <c r="EL14" s="982"/>
      <c r="EM14" s="982"/>
      <c r="EN14" s="982"/>
      <c r="EO14" s="982"/>
      <c r="EP14" s="982"/>
      <c r="EQ14" s="982"/>
      <c r="ER14" s="982"/>
      <c r="ES14" s="982"/>
      <c r="ET14" s="982"/>
      <c r="EU14" s="982"/>
      <c r="EV14" s="982"/>
      <c r="EW14" s="982"/>
    </row>
    <row r="15" spans="1:153" s="54" customFormat="1" ht="15" thickTop="1" x14ac:dyDescent="0.3">
      <c r="A15" s="364"/>
      <c r="B15" s="130" t="s">
        <v>911</v>
      </c>
      <c r="C15" s="92" t="s">
        <v>915</v>
      </c>
      <c r="D15" s="958" t="str">
        <f>IF(E15=Z15,"x","")</f>
        <v>x</v>
      </c>
      <c r="E15" s="202" t="s">
        <v>913</v>
      </c>
      <c r="F15" s="913" t="s">
        <v>173</v>
      </c>
      <c r="G15" s="913" t="s">
        <v>173</v>
      </c>
      <c r="H15" s="690" t="s">
        <v>173</v>
      </c>
      <c r="I15" s="691" t="s">
        <v>173</v>
      </c>
      <c r="J15" s="690" t="s">
        <v>173</v>
      </c>
      <c r="K15" s="691" t="s">
        <v>173</v>
      </c>
      <c r="L15" s="690" t="s">
        <v>173</v>
      </c>
      <c r="M15" s="691" t="s">
        <v>173</v>
      </c>
      <c r="N15" s="82"/>
      <c r="O15" s="82"/>
      <c r="P15" s="809"/>
      <c r="Q15" s="809"/>
      <c r="R15" s="809"/>
      <c r="S15" s="809"/>
      <c r="T15" s="809"/>
      <c r="U15" s="809"/>
      <c r="V15" s="808" t="s">
        <v>1261</v>
      </c>
      <c r="W15" s="949" t="s">
        <v>911</v>
      </c>
      <c r="X15" s="949" t="s">
        <v>915</v>
      </c>
      <c r="Y15" s="949">
        <v>2549.75</v>
      </c>
      <c r="Z15" s="949" t="s">
        <v>913</v>
      </c>
      <c r="AA15" s="949">
        <v>0</v>
      </c>
      <c r="AB15" s="949">
        <v>0.2</v>
      </c>
      <c r="AC15" s="949">
        <v>0.2</v>
      </c>
      <c r="AD15" s="949">
        <v>-99996</v>
      </c>
      <c r="AE15" s="949">
        <v>0</v>
      </c>
      <c r="AF15" s="949">
        <v>0</v>
      </c>
      <c r="AG15" s="949">
        <v>0</v>
      </c>
      <c r="AH15" s="949">
        <v>287.5</v>
      </c>
      <c r="AI15" s="949">
        <v>-99996</v>
      </c>
      <c r="AJ15" s="949">
        <v>287.5</v>
      </c>
      <c r="AK15" s="949"/>
      <c r="AL15" s="949">
        <v>-8.0029400000000006</v>
      </c>
      <c r="AM15" s="949">
        <v>-21.169</v>
      </c>
      <c r="AN15" s="949">
        <v>2.5</v>
      </c>
      <c r="AO15" s="949">
        <v>538.66700000000003</v>
      </c>
      <c r="AP15" s="949">
        <v>150</v>
      </c>
      <c r="AQ15" s="949">
        <v>7.3536599999999994E-2</v>
      </c>
      <c r="AR15" s="949">
        <v>400</v>
      </c>
      <c r="AS15" s="949">
        <v>-99996</v>
      </c>
      <c r="AT15" s="949">
        <v>400</v>
      </c>
      <c r="AU15" s="949"/>
      <c r="AV15" s="949">
        <v>-16.0059</v>
      </c>
      <c r="AW15" s="949">
        <v>-8.8295700000000004</v>
      </c>
      <c r="AX15" s="949">
        <v>2.5</v>
      </c>
      <c r="AY15" s="949">
        <v>421.33300000000003</v>
      </c>
      <c r="AZ15" s="949">
        <v>0</v>
      </c>
      <c r="BA15" s="949">
        <v>0</v>
      </c>
      <c r="BB15" s="949">
        <v>287.5</v>
      </c>
      <c r="BC15" s="949">
        <v>-99996</v>
      </c>
      <c r="BD15" s="949">
        <v>1150</v>
      </c>
      <c r="BE15" s="982"/>
      <c r="BF15" s="982"/>
      <c r="BG15" s="982"/>
      <c r="BH15" s="982"/>
      <c r="BI15" s="982"/>
      <c r="BJ15" s="982"/>
      <c r="BK15" s="982"/>
      <c r="BL15" s="982"/>
      <c r="BM15" s="982"/>
      <c r="BN15" s="982"/>
      <c r="BO15" s="982"/>
      <c r="BP15" s="982"/>
      <c r="BQ15" s="982"/>
      <c r="BR15" s="982"/>
      <c r="BS15" s="982"/>
      <c r="BT15" s="982"/>
      <c r="BU15" s="982"/>
      <c r="BV15" s="982"/>
      <c r="BW15" s="982"/>
      <c r="BX15" s="982"/>
      <c r="BY15" s="982"/>
      <c r="BZ15" s="982"/>
      <c r="CA15" s="982"/>
      <c r="CB15" s="982"/>
      <c r="CC15" s="982"/>
      <c r="CD15" s="982"/>
      <c r="CE15" s="982"/>
      <c r="CF15" s="982"/>
      <c r="CG15" s="982"/>
      <c r="CH15" s="982"/>
      <c r="CI15" s="982"/>
      <c r="CJ15" s="982"/>
      <c r="CK15" s="982"/>
      <c r="CL15" s="982"/>
      <c r="CM15" s="982"/>
      <c r="CN15" s="982"/>
      <c r="CO15" s="982"/>
      <c r="CP15" s="982"/>
      <c r="CQ15" s="982"/>
      <c r="CR15" s="982"/>
      <c r="CS15" s="982"/>
      <c r="CT15" s="982"/>
      <c r="CU15" s="982"/>
      <c r="CV15" s="982"/>
      <c r="CW15" s="982"/>
      <c r="CX15" s="982"/>
      <c r="CY15" s="982"/>
      <c r="CZ15" s="982"/>
      <c r="DA15" s="982"/>
      <c r="DB15" s="982"/>
      <c r="DC15" s="982"/>
      <c r="DD15" s="982"/>
      <c r="DE15" s="982"/>
      <c r="DF15" s="982"/>
      <c r="DG15" s="982"/>
      <c r="DH15" s="982"/>
      <c r="DI15" s="982"/>
      <c r="DJ15" s="982"/>
      <c r="DK15" s="982"/>
      <c r="DL15" s="982"/>
      <c r="DM15" s="982"/>
      <c r="DN15" s="982"/>
      <c r="DO15" s="982"/>
      <c r="DP15" s="982"/>
      <c r="DQ15" s="982"/>
      <c r="DR15" s="982"/>
      <c r="DS15" s="982"/>
      <c r="DT15" s="982"/>
      <c r="DU15" s="982"/>
      <c r="DV15" s="982"/>
      <c r="DW15" s="982"/>
      <c r="DX15" s="982"/>
      <c r="DY15" s="982"/>
      <c r="DZ15" s="982"/>
      <c r="EA15" s="982"/>
      <c r="EB15" s="982"/>
      <c r="EC15" s="982"/>
      <c r="ED15" s="982"/>
      <c r="EE15" s="982"/>
      <c r="EF15" s="982"/>
      <c r="EG15" s="982"/>
      <c r="EH15" s="982"/>
      <c r="EI15" s="982"/>
      <c r="EJ15" s="982"/>
      <c r="EK15" s="982"/>
      <c r="EL15" s="982"/>
      <c r="EM15" s="982"/>
      <c r="EN15" s="982"/>
      <c r="EO15" s="982"/>
      <c r="EP15" s="982"/>
      <c r="EQ15" s="982"/>
      <c r="ER15" s="982"/>
      <c r="ES15" s="982"/>
      <c r="ET15" s="982"/>
      <c r="EU15" s="982"/>
      <c r="EV15" s="982"/>
      <c r="EW15" s="982"/>
    </row>
    <row r="16" spans="1:153" s="54" customFormat="1" ht="27.6" x14ac:dyDescent="0.3">
      <c r="A16" s="364"/>
      <c r="B16" s="130" t="s">
        <v>916</v>
      </c>
      <c r="C16" s="92" t="s">
        <v>918</v>
      </c>
      <c r="D16" s="958" t="str">
        <f t="shared" ref="D16:D17" si="0">IF(E16=Z16,"x","")</f>
        <v>x</v>
      </c>
      <c r="E16" s="202" t="s">
        <v>913</v>
      </c>
      <c r="F16" s="118" t="s">
        <v>1262</v>
      </c>
      <c r="G16" s="1008">
        <v>10730.4</v>
      </c>
      <c r="H16" s="958" t="str">
        <f>IF(I16=AF16,"x","")</f>
        <v>x</v>
      </c>
      <c r="I16" s="361">
        <v>5000</v>
      </c>
      <c r="J16" s="958" t="str">
        <f>IF(K16=AH16,"x","")</f>
        <v>x</v>
      </c>
      <c r="K16" s="361">
        <v>250</v>
      </c>
      <c r="L16" s="958" t="str">
        <f>IF(M16=AJ16,"x","")</f>
        <v>x</v>
      </c>
      <c r="M16" s="361">
        <v>250</v>
      </c>
      <c r="N16" s="82"/>
      <c r="O16" s="82"/>
      <c r="P16" s="364"/>
      <c r="Q16" s="364"/>
      <c r="R16" s="364"/>
      <c r="S16" s="982"/>
      <c r="T16" s="982"/>
      <c r="U16" s="982"/>
      <c r="V16" s="982"/>
      <c r="W16" s="949" t="s">
        <v>916</v>
      </c>
      <c r="X16" s="949" t="s">
        <v>918</v>
      </c>
      <c r="Y16" s="949">
        <v>14998.6</v>
      </c>
      <c r="Z16" s="949" t="s">
        <v>913</v>
      </c>
      <c r="AA16" s="949">
        <v>0</v>
      </c>
      <c r="AB16" s="949">
        <v>0.2</v>
      </c>
      <c r="AC16" s="949">
        <v>0.2</v>
      </c>
      <c r="AD16" s="949">
        <v>-99996</v>
      </c>
      <c r="AE16" s="949">
        <v>10730.4</v>
      </c>
      <c r="AF16" s="949">
        <v>5000</v>
      </c>
      <c r="AG16" s="949">
        <v>0.74081200000000003</v>
      </c>
      <c r="AH16" s="949">
        <v>250</v>
      </c>
      <c r="AI16" s="949">
        <v>-99996</v>
      </c>
      <c r="AJ16" s="949">
        <v>250</v>
      </c>
      <c r="AK16" s="949"/>
      <c r="AL16" s="949">
        <v>-99996</v>
      </c>
      <c r="AM16" s="949">
        <v>-99996</v>
      </c>
      <c r="AN16" s="949">
        <v>-99996</v>
      </c>
      <c r="AO16" s="949">
        <v>0</v>
      </c>
      <c r="AP16" s="949">
        <v>0</v>
      </c>
      <c r="AQ16" s="949">
        <v>0</v>
      </c>
      <c r="AR16" s="949">
        <v>175</v>
      </c>
      <c r="AS16" s="949">
        <v>-99996</v>
      </c>
      <c r="AT16" s="949">
        <v>262.5</v>
      </c>
      <c r="AU16" s="949"/>
      <c r="AV16" s="949">
        <v>-99996</v>
      </c>
      <c r="AW16" s="949">
        <v>-99996</v>
      </c>
      <c r="AX16" s="949">
        <v>-99996</v>
      </c>
      <c r="AY16" s="949">
        <v>0</v>
      </c>
      <c r="AZ16" s="949">
        <v>0</v>
      </c>
      <c r="BA16" s="949">
        <v>0</v>
      </c>
      <c r="BB16" s="949">
        <v>175</v>
      </c>
      <c r="BC16" s="949">
        <v>-99996</v>
      </c>
      <c r="BD16" s="949">
        <v>350</v>
      </c>
      <c r="BE16" s="982"/>
      <c r="BF16" s="982"/>
      <c r="BG16" s="982"/>
      <c r="BH16" s="982"/>
      <c r="BI16" s="982"/>
      <c r="BJ16" s="982"/>
      <c r="BK16" s="982"/>
      <c r="BL16" s="982"/>
      <c r="BM16" s="982"/>
      <c r="BN16" s="982"/>
      <c r="BO16" s="982"/>
      <c r="BP16" s="982"/>
      <c r="BQ16" s="982"/>
      <c r="BR16" s="982"/>
      <c r="BS16" s="982"/>
      <c r="BT16" s="982"/>
      <c r="BU16" s="982"/>
      <c r="BV16" s="982"/>
      <c r="BW16" s="982"/>
      <c r="BX16" s="982"/>
      <c r="BY16" s="982"/>
      <c r="BZ16" s="982"/>
      <c r="CA16" s="982"/>
      <c r="CB16" s="982"/>
      <c r="CC16" s="982"/>
      <c r="CD16" s="982"/>
      <c r="CE16" s="982"/>
      <c r="CF16" s="982"/>
      <c r="CG16" s="982"/>
      <c r="CH16" s="982"/>
      <c r="CI16" s="982"/>
      <c r="CJ16" s="982"/>
      <c r="CK16" s="982"/>
      <c r="CL16" s="982"/>
      <c r="CM16" s="982"/>
      <c r="CN16" s="982"/>
      <c r="CO16" s="982"/>
      <c r="CP16" s="982"/>
      <c r="CQ16" s="982"/>
      <c r="CR16" s="982"/>
      <c r="CS16" s="982"/>
      <c r="CT16" s="982"/>
      <c r="CU16" s="982"/>
      <c r="CV16" s="982"/>
      <c r="CW16" s="982"/>
      <c r="CX16" s="982"/>
      <c r="CY16" s="982"/>
      <c r="CZ16" s="982"/>
      <c r="DA16" s="982"/>
      <c r="DB16" s="982"/>
      <c r="DC16" s="982"/>
      <c r="DD16" s="982"/>
      <c r="DE16" s="982"/>
      <c r="DF16" s="982"/>
      <c r="DG16" s="982"/>
      <c r="DH16" s="982"/>
      <c r="DI16" s="982"/>
      <c r="DJ16" s="982"/>
      <c r="DK16" s="982"/>
      <c r="DL16" s="982"/>
      <c r="DM16" s="982"/>
      <c r="DN16" s="982"/>
      <c r="DO16" s="982"/>
      <c r="DP16" s="982"/>
      <c r="DQ16" s="982"/>
      <c r="DR16" s="982"/>
      <c r="DS16" s="982"/>
      <c r="DT16" s="982"/>
      <c r="DU16" s="982"/>
      <c r="DV16" s="982"/>
      <c r="DW16" s="982"/>
      <c r="DX16" s="982"/>
      <c r="DY16" s="982"/>
      <c r="DZ16" s="982"/>
      <c r="EA16" s="982"/>
      <c r="EB16" s="982"/>
      <c r="EC16" s="982"/>
      <c r="ED16" s="982"/>
      <c r="EE16" s="982"/>
      <c r="EF16" s="982"/>
      <c r="EG16" s="982"/>
      <c r="EH16" s="982"/>
      <c r="EI16" s="982"/>
      <c r="EJ16" s="982"/>
      <c r="EK16" s="982"/>
      <c r="EL16" s="982"/>
      <c r="EM16" s="982"/>
      <c r="EN16" s="982"/>
      <c r="EO16" s="982"/>
      <c r="EP16" s="982"/>
      <c r="EQ16" s="982"/>
      <c r="ER16" s="982"/>
      <c r="ES16" s="982"/>
      <c r="ET16" s="982"/>
      <c r="EU16" s="982"/>
      <c r="EV16" s="982"/>
      <c r="EW16" s="982"/>
    </row>
    <row r="17" spans="2:153" ht="27.6" x14ac:dyDescent="0.3">
      <c r="B17" s="180" t="s">
        <v>919</v>
      </c>
      <c r="C17" s="156" t="s">
        <v>918</v>
      </c>
      <c r="D17" s="952" t="str">
        <f t="shared" si="0"/>
        <v>x</v>
      </c>
      <c r="E17" s="204" t="s">
        <v>913</v>
      </c>
      <c r="F17" s="118" t="s">
        <v>1262</v>
      </c>
      <c r="G17" s="1009">
        <v>34302</v>
      </c>
      <c r="H17" s="952" t="str">
        <f>IF(I17=AF17,"x","")</f>
        <v>x</v>
      </c>
      <c r="I17" s="396">
        <v>15000</v>
      </c>
      <c r="J17" s="952" t="str">
        <f>IF(K17=AH17,"x","")</f>
        <v>x</v>
      </c>
      <c r="K17" s="396">
        <v>250</v>
      </c>
      <c r="L17" s="952" t="str">
        <f>IF(M17=AJ17,"x","")</f>
        <v>x</v>
      </c>
      <c r="M17" s="396">
        <v>250</v>
      </c>
      <c r="N17" s="82"/>
      <c r="O17" s="82"/>
      <c r="P17" s="364"/>
      <c r="Q17" s="373"/>
      <c r="R17" s="373"/>
      <c r="S17" s="982"/>
      <c r="T17" s="982"/>
      <c r="U17" s="982"/>
      <c r="V17" s="982"/>
      <c r="W17" s="949" t="s">
        <v>919</v>
      </c>
      <c r="X17" s="949" t="s">
        <v>918</v>
      </c>
      <c r="Y17" s="949">
        <v>34496.699999999997</v>
      </c>
      <c r="Z17" s="949" t="s">
        <v>913</v>
      </c>
      <c r="AA17" s="949">
        <v>0</v>
      </c>
      <c r="AB17" s="949">
        <v>0.2</v>
      </c>
      <c r="AC17" s="949">
        <v>0.2</v>
      </c>
      <c r="AD17" s="949">
        <v>-99996</v>
      </c>
      <c r="AE17" s="949">
        <v>34302</v>
      </c>
      <c r="AF17" s="949">
        <v>15000</v>
      </c>
      <c r="AG17" s="949">
        <v>0.966275</v>
      </c>
      <c r="AH17" s="949">
        <v>250</v>
      </c>
      <c r="AI17" s="949">
        <v>-99996</v>
      </c>
      <c r="AJ17" s="949">
        <v>250</v>
      </c>
      <c r="AK17" s="949"/>
      <c r="AL17" s="949">
        <v>-99996</v>
      </c>
      <c r="AM17" s="949">
        <v>-99996</v>
      </c>
      <c r="AN17" s="949">
        <v>-99996</v>
      </c>
      <c r="AO17" s="949">
        <v>0</v>
      </c>
      <c r="AP17" s="949">
        <v>0</v>
      </c>
      <c r="AQ17" s="949">
        <v>0</v>
      </c>
      <c r="AR17" s="949">
        <v>175</v>
      </c>
      <c r="AS17" s="949">
        <v>-99996</v>
      </c>
      <c r="AT17" s="949">
        <v>262.5</v>
      </c>
      <c r="AU17" s="949"/>
      <c r="AV17" s="949">
        <v>-99996</v>
      </c>
      <c r="AW17" s="949">
        <v>-99996</v>
      </c>
      <c r="AX17" s="949">
        <v>-99996</v>
      </c>
      <c r="AY17" s="949">
        <v>0</v>
      </c>
      <c r="AZ17" s="949">
        <v>0</v>
      </c>
      <c r="BA17" s="949">
        <v>0</v>
      </c>
      <c r="BB17" s="949">
        <v>175</v>
      </c>
      <c r="BC17" s="949">
        <v>-99996</v>
      </c>
      <c r="BD17" s="949">
        <v>350</v>
      </c>
      <c r="BE17" s="982"/>
      <c r="BF17" s="982"/>
      <c r="BG17" s="982"/>
      <c r="BH17" s="982"/>
      <c r="BI17" s="982"/>
      <c r="BJ17" s="982"/>
      <c r="BK17" s="982"/>
      <c r="BL17" s="982"/>
      <c r="BM17" s="982"/>
      <c r="BN17" s="982"/>
      <c r="BO17" s="982"/>
      <c r="BP17" s="982"/>
      <c r="BQ17" s="982"/>
      <c r="BR17" s="982"/>
      <c r="BS17" s="982"/>
      <c r="BT17" s="982"/>
      <c r="BU17" s="982"/>
      <c r="BV17" s="982"/>
      <c r="BW17" s="982"/>
      <c r="BX17" s="982"/>
      <c r="BY17" s="982"/>
      <c r="BZ17" s="982"/>
      <c r="CA17" s="982"/>
      <c r="CB17" s="982"/>
      <c r="CC17" s="982"/>
      <c r="CD17" s="982"/>
      <c r="CE17" s="982"/>
      <c r="CF17" s="982"/>
      <c r="CG17" s="982"/>
      <c r="CH17" s="982"/>
      <c r="CI17" s="982"/>
      <c r="CJ17" s="982"/>
      <c r="CK17" s="982"/>
      <c r="CL17" s="982"/>
      <c r="CM17" s="982"/>
      <c r="CN17" s="982"/>
      <c r="CO17" s="982"/>
      <c r="CP17" s="982"/>
      <c r="CQ17" s="982"/>
      <c r="CR17" s="982"/>
      <c r="CS17" s="982"/>
      <c r="CT17" s="982"/>
      <c r="CU17" s="982"/>
      <c r="CV17" s="982"/>
      <c r="CW17" s="982"/>
      <c r="CX17" s="982"/>
      <c r="CY17" s="982"/>
      <c r="CZ17" s="982"/>
      <c r="DA17" s="982"/>
      <c r="DB17" s="982"/>
      <c r="DC17" s="982"/>
      <c r="DD17" s="982"/>
      <c r="DE17" s="982"/>
      <c r="DF17" s="982"/>
      <c r="DG17" s="982"/>
      <c r="DH17" s="982"/>
      <c r="DI17" s="982"/>
      <c r="DJ17" s="982"/>
      <c r="DK17" s="982"/>
      <c r="DL17" s="982"/>
      <c r="DM17" s="982"/>
      <c r="DN17" s="982"/>
      <c r="DO17" s="982"/>
      <c r="DP17" s="982"/>
      <c r="DQ17" s="982"/>
      <c r="DR17" s="982"/>
      <c r="DS17" s="982"/>
      <c r="DT17" s="982"/>
      <c r="DU17" s="982"/>
      <c r="DV17" s="982"/>
      <c r="DW17" s="982"/>
      <c r="DX17" s="982"/>
      <c r="DY17" s="982"/>
      <c r="DZ17" s="982"/>
      <c r="EA17" s="982"/>
      <c r="EB17" s="982"/>
      <c r="EC17" s="982"/>
      <c r="ED17" s="982"/>
      <c r="EE17" s="982"/>
      <c r="EF17" s="982"/>
      <c r="EG17" s="982"/>
      <c r="EH17" s="982"/>
      <c r="EI17" s="982"/>
      <c r="EJ17" s="982"/>
      <c r="EK17" s="982"/>
      <c r="EL17" s="982"/>
      <c r="EM17" s="982"/>
      <c r="EN17" s="982"/>
      <c r="EO17" s="982"/>
      <c r="EP17" s="982"/>
      <c r="EQ17" s="982"/>
      <c r="ER17" s="982"/>
      <c r="ES17" s="982"/>
      <c r="ET17" s="982"/>
      <c r="EU17" s="982"/>
      <c r="EV17" s="982"/>
      <c r="EW17" s="982"/>
    </row>
    <row r="18" spans="2:153" s="54" customFormat="1" ht="14.4" x14ac:dyDescent="0.3">
      <c r="B18" s="84"/>
      <c r="C18" s="30"/>
      <c r="D18" s="364"/>
      <c r="E18" s="364"/>
      <c r="F18" s="364"/>
      <c r="G18" s="364"/>
      <c r="H18" s="364"/>
      <c r="I18" s="364"/>
      <c r="J18" s="96"/>
      <c r="K18" s="96"/>
      <c r="L18" s="96"/>
      <c r="M18" s="96"/>
      <c r="N18" s="82"/>
      <c r="O18" s="82"/>
      <c r="P18" s="364"/>
      <c r="Q18" s="364"/>
      <c r="R18" s="364"/>
      <c r="S18" s="982"/>
      <c r="T18" s="982"/>
      <c r="U18" s="982"/>
      <c r="V18" s="982"/>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c r="BE18" s="982"/>
      <c r="BF18" s="982"/>
      <c r="BG18" s="982"/>
      <c r="BH18" s="982"/>
      <c r="BI18" s="982"/>
      <c r="BJ18" s="982"/>
      <c r="BK18" s="982"/>
      <c r="BL18" s="982"/>
      <c r="BM18" s="982"/>
      <c r="BN18" s="982"/>
      <c r="BO18" s="982"/>
      <c r="BP18" s="982"/>
      <c r="BQ18" s="982"/>
      <c r="BR18" s="982"/>
      <c r="BS18" s="982"/>
      <c r="BT18" s="982"/>
      <c r="BU18" s="982"/>
      <c r="BV18" s="982"/>
      <c r="BW18" s="982"/>
      <c r="BX18" s="982"/>
      <c r="BY18" s="982"/>
      <c r="BZ18" s="982"/>
      <c r="CA18" s="982"/>
      <c r="CB18" s="982"/>
      <c r="CC18" s="982"/>
      <c r="CD18" s="982"/>
      <c r="CE18" s="982"/>
      <c r="CF18" s="982"/>
      <c r="CG18" s="982"/>
      <c r="CH18" s="982"/>
      <c r="CI18" s="982"/>
      <c r="CJ18" s="982"/>
      <c r="CK18" s="982"/>
      <c r="CL18" s="982"/>
      <c r="CM18" s="982"/>
      <c r="CN18" s="982"/>
      <c r="CO18" s="982"/>
      <c r="CP18" s="982"/>
      <c r="CQ18" s="982"/>
      <c r="CR18" s="982"/>
      <c r="CS18" s="982"/>
      <c r="CT18" s="982"/>
      <c r="CU18" s="982"/>
      <c r="CV18" s="982"/>
      <c r="CW18" s="982"/>
      <c r="CX18" s="982"/>
      <c r="CY18" s="982"/>
      <c r="CZ18" s="982"/>
      <c r="DA18" s="982"/>
      <c r="DB18" s="982"/>
      <c r="DC18" s="982"/>
      <c r="DD18" s="982"/>
      <c r="DE18" s="982"/>
      <c r="DF18" s="982"/>
      <c r="DG18" s="982"/>
      <c r="DH18" s="982"/>
      <c r="DI18" s="982"/>
      <c r="DJ18" s="982"/>
      <c r="DK18" s="982"/>
      <c r="DL18" s="982"/>
      <c r="DM18" s="982"/>
      <c r="DN18" s="982"/>
      <c r="DO18" s="982"/>
      <c r="DP18" s="982"/>
      <c r="DQ18" s="982"/>
      <c r="DR18" s="982"/>
      <c r="DS18" s="982"/>
      <c r="DT18" s="982"/>
      <c r="DU18" s="982"/>
      <c r="DV18" s="982"/>
      <c r="DW18" s="982"/>
      <c r="DX18" s="982"/>
      <c r="DY18" s="982"/>
      <c r="DZ18" s="982"/>
      <c r="EA18" s="982"/>
      <c r="EB18" s="982"/>
      <c r="EC18" s="982"/>
      <c r="ED18" s="982"/>
      <c r="EE18" s="982"/>
      <c r="EF18" s="982"/>
      <c r="EG18" s="982"/>
      <c r="EH18" s="982"/>
      <c r="EI18" s="982"/>
      <c r="EJ18" s="982"/>
      <c r="EK18" s="982"/>
      <c r="EL18" s="982"/>
      <c r="EM18" s="982"/>
      <c r="EN18" s="982"/>
      <c r="EO18" s="982"/>
      <c r="EP18" s="982"/>
      <c r="EQ18" s="982"/>
      <c r="ER18" s="982"/>
      <c r="ES18" s="982"/>
      <c r="ET18" s="982"/>
      <c r="EU18" s="982"/>
      <c r="EV18" s="982"/>
      <c r="EW18" s="982"/>
    </row>
    <row r="19" spans="2:153" s="109" customFormat="1" ht="14.4" x14ac:dyDescent="0.3">
      <c r="B19" s="84"/>
      <c r="C19" s="30"/>
      <c r="D19" s="59"/>
      <c r="E19" s="59"/>
      <c r="F19" s="59"/>
      <c r="G19" s="59"/>
      <c r="H19" s="59"/>
      <c r="I19" s="59"/>
      <c r="J19" s="59"/>
      <c r="K19" s="59"/>
      <c r="L19" s="96"/>
      <c r="M19" s="96"/>
      <c r="N19" s="82"/>
      <c r="O19" s="82"/>
      <c r="P19" s="364"/>
      <c r="Q19" s="364"/>
      <c r="R19" s="364"/>
      <c r="S19" s="982"/>
      <c r="T19" s="982"/>
      <c r="U19" s="982"/>
      <c r="V19" s="982"/>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c r="BE19" s="982"/>
      <c r="BF19" s="982"/>
      <c r="BG19" s="982"/>
      <c r="BH19" s="982"/>
      <c r="BI19" s="982"/>
      <c r="BJ19" s="982"/>
      <c r="BK19" s="982"/>
      <c r="BL19" s="982"/>
      <c r="BM19" s="982"/>
      <c r="BN19" s="982"/>
      <c r="BO19" s="982"/>
      <c r="BP19" s="982"/>
      <c r="BQ19" s="982"/>
      <c r="BR19" s="982"/>
      <c r="BS19" s="982"/>
      <c r="BT19" s="982"/>
      <c r="BU19" s="982"/>
      <c r="BV19" s="982"/>
      <c r="BW19" s="982"/>
      <c r="BX19" s="982"/>
      <c r="BY19" s="982"/>
      <c r="BZ19" s="982"/>
      <c r="CA19" s="982"/>
      <c r="CB19" s="982"/>
      <c r="CC19" s="982"/>
      <c r="CD19" s="982"/>
      <c r="CE19" s="982"/>
      <c r="CF19" s="982"/>
      <c r="CG19" s="982"/>
      <c r="CH19" s="982"/>
      <c r="CI19" s="982"/>
      <c r="CJ19" s="982"/>
      <c r="CK19" s="982"/>
      <c r="CL19" s="982"/>
      <c r="CM19" s="982"/>
      <c r="CN19" s="982"/>
      <c r="CO19" s="982"/>
      <c r="CP19" s="982"/>
      <c r="CQ19" s="982"/>
      <c r="CR19" s="982"/>
      <c r="CS19" s="982"/>
      <c r="CT19" s="982"/>
      <c r="CU19" s="982"/>
      <c r="CV19" s="982"/>
      <c r="CW19" s="982"/>
      <c r="CX19" s="982"/>
      <c r="CY19" s="982"/>
      <c r="CZ19" s="982"/>
      <c r="DA19" s="982"/>
      <c r="DB19" s="982"/>
      <c r="DC19" s="982"/>
      <c r="DD19" s="982"/>
      <c r="DE19" s="982"/>
      <c r="DF19" s="982"/>
      <c r="DG19" s="982"/>
      <c r="DH19" s="982"/>
      <c r="DI19" s="982"/>
      <c r="DJ19" s="982"/>
      <c r="DK19" s="982"/>
      <c r="DL19" s="982"/>
      <c r="DM19" s="982"/>
      <c r="DN19" s="982"/>
      <c r="DO19" s="982"/>
      <c r="DP19" s="982"/>
      <c r="DQ19" s="982"/>
      <c r="DR19" s="982"/>
      <c r="DS19" s="982"/>
      <c r="DT19" s="982"/>
      <c r="DU19" s="982"/>
      <c r="DV19" s="982"/>
      <c r="DW19" s="982"/>
      <c r="DX19" s="982"/>
      <c r="DY19" s="982"/>
      <c r="DZ19" s="982"/>
      <c r="EA19" s="982"/>
      <c r="EB19" s="982"/>
      <c r="EC19" s="982"/>
      <c r="ED19" s="982"/>
      <c r="EE19" s="982"/>
      <c r="EF19" s="982"/>
      <c r="EG19" s="982"/>
      <c r="EH19" s="982"/>
      <c r="EI19" s="982"/>
      <c r="EJ19" s="982"/>
      <c r="EK19" s="982"/>
      <c r="EL19" s="982"/>
      <c r="EM19" s="982"/>
      <c r="EN19" s="982"/>
      <c r="EO19" s="982"/>
      <c r="EP19" s="982"/>
      <c r="EQ19" s="982"/>
      <c r="ER19" s="982"/>
      <c r="ES19" s="982"/>
      <c r="ET19" s="982"/>
      <c r="EU19" s="982"/>
      <c r="EV19" s="982"/>
      <c r="EW19" s="982"/>
    </row>
    <row r="20" spans="2:153" s="109" customFormat="1" ht="41.4" x14ac:dyDescent="0.3">
      <c r="B20" s="115" t="s">
        <v>580</v>
      </c>
      <c r="C20" s="123" t="s">
        <v>52</v>
      </c>
      <c r="D20" s="274"/>
      <c r="E20" s="173" t="s">
        <v>1263</v>
      </c>
      <c r="F20" s="270"/>
      <c r="G20" s="268" t="s">
        <v>1254</v>
      </c>
      <c r="H20" s="270"/>
      <c r="I20" s="268" t="s">
        <v>1255</v>
      </c>
      <c r="J20" s="270"/>
      <c r="K20" s="268" t="s">
        <v>1264</v>
      </c>
      <c r="L20" s="96"/>
      <c r="M20" s="96"/>
      <c r="N20" s="82"/>
      <c r="O20" s="82"/>
      <c r="P20" s="364"/>
      <c r="Q20" s="364"/>
      <c r="R20" s="364"/>
      <c r="S20" s="982"/>
      <c r="T20" s="982"/>
      <c r="U20" s="982"/>
      <c r="V20" s="982"/>
      <c r="W20" s="982"/>
      <c r="X20" s="982"/>
      <c r="Y20" s="982"/>
      <c r="Z20" s="982"/>
      <c r="AA20" s="982"/>
      <c r="AB20" s="982"/>
      <c r="AC20" s="982"/>
      <c r="AD20" s="982"/>
      <c r="AE20" s="982"/>
      <c r="AF20" s="982"/>
      <c r="AG20" s="982"/>
      <c r="AH20" s="982"/>
      <c r="AI20" s="982"/>
      <c r="AJ20" s="982"/>
      <c r="AK20" s="982"/>
      <c r="AL20" s="982"/>
      <c r="AM20" s="982"/>
      <c r="AN20" s="982"/>
      <c r="AO20" s="982"/>
      <c r="AP20" s="982"/>
      <c r="AQ20" s="982"/>
      <c r="AR20" s="982"/>
      <c r="AS20" s="982"/>
      <c r="AT20" s="982"/>
      <c r="AU20" s="982"/>
      <c r="AV20" s="982"/>
      <c r="AW20" s="982"/>
      <c r="AX20" s="982"/>
      <c r="AY20" s="982"/>
      <c r="AZ20" s="982"/>
      <c r="BA20" s="982"/>
      <c r="BB20" s="982"/>
      <c r="BC20" s="982"/>
      <c r="BD20" s="982"/>
      <c r="BE20" s="982"/>
      <c r="BF20" s="982"/>
      <c r="BG20" s="982"/>
      <c r="BH20" s="982"/>
      <c r="BI20" s="982"/>
      <c r="BJ20" s="982"/>
      <c r="BK20" s="982"/>
      <c r="BL20" s="982"/>
      <c r="BM20" s="982"/>
      <c r="BN20" s="982"/>
      <c r="BO20" s="982"/>
      <c r="BP20" s="982"/>
      <c r="BQ20" s="982"/>
      <c r="BR20" s="982"/>
      <c r="BS20" s="982"/>
      <c r="BT20" s="982"/>
      <c r="BU20" s="982"/>
      <c r="BV20" s="982"/>
      <c r="BW20" s="982"/>
      <c r="BX20" s="982"/>
      <c r="BY20" s="982"/>
      <c r="BZ20" s="982"/>
      <c r="CA20" s="982"/>
      <c r="CB20" s="982"/>
      <c r="CC20" s="982"/>
      <c r="CD20" s="982"/>
      <c r="CE20" s="982"/>
      <c r="CF20" s="982"/>
      <c r="CG20" s="982"/>
      <c r="CH20" s="982"/>
      <c r="CI20" s="982"/>
      <c r="CJ20" s="982"/>
      <c r="CK20" s="982"/>
      <c r="CL20" s="982"/>
      <c r="CM20" s="982"/>
      <c r="CN20" s="982"/>
      <c r="CO20" s="982"/>
      <c r="CP20" s="982"/>
      <c r="CQ20" s="982"/>
      <c r="CR20" s="982"/>
      <c r="CS20" s="982"/>
      <c r="CT20" s="982"/>
      <c r="CU20" s="982"/>
      <c r="CV20" s="982"/>
      <c r="CW20" s="982"/>
      <c r="CX20" s="982"/>
      <c r="CY20" s="982"/>
      <c r="CZ20" s="982"/>
      <c r="DA20" s="982"/>
      <c r="DB20" s="982"/>
      <c r="DC20" s="982"/>
      <c r="DD20" s="982"/>
      <c r="DE20" s="982"/>
      <c r="DF20" s="982"/>
      <c r="DG20" s="982"/>
      <c r="DH20" s="982"/>
      <c r="DI20" s="982"/>
      <c r="DJ20" s="982"/>
      <c r="DK20" s="982"/>
      <c r="DL20" s="982"/>
      <c r="DM20" s="982"/>
      <c r="DN20" s="982"/>
      <c r="DO20" s="982"/>
      <c r="DP20" s="982"/>
      <c r="DQ20" s="982"/>
      <c r="DR20" s="982"/>
      <c r="DS20" s="982"/>
      <c r="DT20" s="982"/>
      <c r="DU20" s="982"/>
      <c r="DV20" s="982"/>
      <c r="DW20" s="982"/>
      <c r="DX20" s="982"/>
      <c r="DY20" s="982"/>
      <c r="DZ20" s="982"/>
      <c r="EA20" s="982"/>
      <c r="EB20" s="982"/>
      <c r="EC20" s="982"/>
      <c r="ED20" s="982"/>
      <c r="EE20" s="982"/>
      <c r="EF20" s="982"/>
      <c r="EG20" s="982"/>
      <c r="EH20" s="982"/>
      <c r="EI20" s="982"/>
      <c r="EJ20" s="982"/>
      <c r="EK20" s="982"/>
      <c r="EL20" s="982"/>
      <c r="EM20" s="982"/>
      <c r="EN20" s="982"/>
      <c r="EO20" s="982"/>
      <c r="EP20" s="982"/>
      <c r="EQ20" s="982"/>
      <c r="ER20" s="982"/>
      <c r="ES20" s="982"/>
      <c r="ET20" s="982"/>
      <c r="EU20" s="982"/>
      <c r="EV20" s="982"/>
      <c r="EW20" s="982"/>
    </row>
    <row r="21" spans="2:153" s="109" customFormat="1" ht="14.4" thickBot="1" x14ac:dyDescent="0.35">
      <c r="B21" s="211" t="s">
        <v>942</v>
      </c>
      <c r="C21" s="218"/>
      <c r="D21" s="107"/>
      <c r="E21" s="208" t="s">
        <v>1265</v>
      </c>
      <c r="F21" s="107"/>
      <c r="G21" s="1000" t="s">
        <v>1266</v>
      </c>
      <c r="H21" s="107"/>
      <c r="I21" s="1000" t="s">
        <v>1267</v>
      </c>
      <c r="J21" s="107"/>
      <c r="K21" s="1000" t="s">
        <v>1268</v>
      </c>
      <c r="L21" s="96"/>
      <c r="M21" s="96"/>
      <c r="N21" s="82"/>
      <c r="O21" s="82"/>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4"/>
      <c r="BL21" s="364"/>
      <c r="BM21" s="364"/>
      <c r="BN21" s="364"/>
      <c r="BO21" s="364"/>
      <c r="BP21" s="364"/>
      <c r="BQ21" s="364"/>
      <c r="BR21" s="364"/>
      <c r="BS21" s="364"/>
      <c r="BT21" s="364"/>
      <c r="BU21" s="364"/>
      <c r="BV21" s="364"/>
      <c r="BW21" s="364"/>
      <c r="BX21" s="364"/>
      <c r="BY21" s="364"/>
      <c r="BZ21" s="364"/>
      <c r="CA21" s="364"/>
      <c r="CB21" s="364"/>
      <c r="CC21" s="364"/>
      <c r="CD21" s="364"/>
      <c r="CE21" s="364"/>
      <c r="CF21" s="364"/>
      <c r="CG21" s="364"/>
      <c r="CH21" s="364"/>
      <c r="CI21" s="364"/>
      <c r="CJ21" s="364"/>
      <c r="CK21" s="364"/>
      <c r="CL21" s="364"/>
      <c r="CM21" s="364"/>
      <c r="CN21" s="364"/>
      <c r="CO21" s="364"/>
      <c r="CP21" s="364"/>
      <c r="CQ21" s="364"/>
      <c r="CR21" s="364"/>
      <c r="CS21" s="364"/>
      <c r="CT21" s="364"/>
      <c r="CU21" s="364"/>
      <c r="CV21" s="364"/>
      <c r="CW21" s="364"/>
      <c r="CX21" s="364"/>
      <c r="CY21" s="364"/>
      <c r="CZ21" s="364"/>
      <c r="DA21" s="364"/>
      <c r="DB21" s="364"/>
      <c r="DC21" s="364"/>
      <c r="DD21" s="364"/>
      <c r="DE21" s="364"/>
      <c r="DF21" s="364"/>
      <c r="DG21" s="364"/>
      <c r="DH21" s="364"/>
      <c r="DI21" s="364"/>
      <c r="DJ21" s="364"/>
      <c r="DK21" s="364"/>
      <c r="DL21" s="364"/>
      <c r="DM21" s="364"/>
      <c r="DN21" s="364"/>
      <c r="DO21" s="364"/>
      <c r="DP21" s="364"/>
      <c r="DQ21" s="364"/>
      <c r="DR21" s="364"/>
      <c r="DS21" s="364"/>
      <c r="DT21" s="364"/>
      <c r="DU21" s="364"/>
      <c r="DV21" s="364"/>
      <c r="DW21" s="364"/>
      <c r="DX21" s="364"/>
      <c r="DY21" s="364"/>
      <c r="DZ21" s="364"/>
      <c r="EA21" s="364"/>
      <c r="EB21" s="364"/>
      <c r="EC21" s="364"/>
      <c r="ED21" s="364"/>
      <c r="EE21" s="364"/>
      <c r="EF21" s="364"/>
      <c r="EG21" s="364"/>
      <c r="EH21" s="364"/>
      <c r="EI21" s="364"/>
      <c r="EJ21" s="364"/>
      <c r="EK21" s="364"/>
      <c r="EL21" s="364"/>
      <c r="EM21" s="364"/>
      <c r="EN21" s="364"/>
      <c r="EO21" s="364"/>
      <c r="EP21" s="364"/>
      <c r="EQ21" s="364"/>
      <c r="ER21" s="364"/>
      <c r="ES21" s="364"/>
      <c r="ET21" s="364"/>
      <c r="EU21" s="364"/>
      <c r="EV21" s="364"/>
      <c r="EW21" s="364"/>
    </row>
    <row r="22" spans="2:153" s="109" customFormat="1" ht="15" thickTop="1" x14ac:dyDescent="0.3">
      <c r="B22" s="130" t="s">
        <v>911</v>
      </c>
      <c r="C22" s="92" t="s">
        <v>915</v>
      </c>
      <c r="D22" s="118" t="s">
        <v>1262</v>
      </c>
      <c r="E22" s="1008">
        <v>538.66700000000003</v>
      </c>
      <c r="F22" s="958" t="str">
        <f>IF(G22=AP15,"x","")</f>
        <v>x</v>
      </c>
      <c r="G22" s="360">
        <v>150</v>
      </c>
      <c r="H22" s="958" t="str">
        <f>IF(I22=AR15,"x","")</f>
        <v>x</v>
      </c>
      <c r="I22" s="360">
        <v>400</v>
      </c>
      <c r="J22" s="958" t="str">
        <f>IF(K22=AT15,"x","")</f>
        <v>x</v>
      </c>
      <c r="K22" s="360">
        <v>400</v>
      </c>
      <c r="L22" s="96"/>
      <c r="M22" s="96"/>
      <c r="N22" s="82"/>
      <c r="O22" s="82"/>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c r="BD22" s="364"/>
      <c r="BE22" s="364"/>
      <c r="BF22" s="364"/>
      <c r="BG22" s="364"/>
      <c r="BH22" s="364"/>
      <c r="BI22" s="364"/>
      <c r="BJ22" s="364"/>
      <c r="BK22" s="364"/>
      <c r="BL22" s="364"/>
      <c r="BM22" s="364"/>
      <c r="BN22" s="364"/>
      <c r="BO22" s="364"/>
      <c r="BP22" s="364"/>
      <c r="BQ22" s="364"/>
      <c r="BR22" s="364"/>
      <c r="BS22" s="364"/>
      <c r="BT22" s="364"/>
      <c r="BU22" s="364"/>
      <c r="BV22" s="364"/>
      <c r="BW22" s="364"/>
      <c r="BX22" s="364"/>
      <c r="BY22" s="364"/>
      <c r="BZ22" s="364"/>
      <c r="CA22" s="364"/>
      <c r="CB22" s="364"/>
      <c r="CC22" s="364"/>
      <c r="CD22" s="364"/>
      <c r="CE22" s="364"/>
      <c r="CF22" s="364"/>
      <c r="CG22" s="364"/>
      <c r="CH22" s="364"/>
      <c r="CI22" s="364"/>
      <c r="CJ22" s="364"/>
      <c r="CK22" s="364"/>
      <c r="CL22" s="364"/>
      <c r="CM22" s="364"/>
      <c r="CN22" s="364"/>
      <c r="CO22" s="364"/>
      <c r="CP22" s="364"/>
      <c r="CQ22" s="364"/>
      <c r="CR22" s="364"/>
      <c r="CS22" s="364"/>
      <c r="CT22" s="364"/>
      <c r="CU22" s="364"/>
      <c r="CV22" s="364"/>
      <c r="CW22" s="364"/>
      <c r="CX22" s="364"/>
      <c r="CY22" s="364"/>
      <c r="CZ22" s="364"/>
      <c r="DA22" s="364"/>
      <c r="DB22" s="364"/>
      <c r="DC22" s="364"/>
      <c r="DD22" s="364"/>
      <c r="DE22" s="364"/>
      <c r="DF22" s="364"/>
      <c r="DG22" s="364"/>
      <c r="DH22" s="364"/>
      <c r="DI22" s="364"/>
      <c r="DJ22" s="364"/>
      <c r="DK22" s="364"/>
      <c r="DL22" s="364"/>
      <c r="DM22" s="364"/>
      <c r="DN22" s="364"/>
      <c r="DO22" s="364"/>
      <c r="DP22" s="364"/>
      <c r="DQ22" s="364"/>
      <c r="DR22" s="364"/>
      <c r="DS22" s="364"/>
      <c r="DT22" s="364"/>
      <c r="DU22" s="364"/>
      <c r="DV22" s="364"/>
      <c r="DW22" s="364"/>
      <c r="DX22" s="364"/>
      <c r="DY22" s="364"/>
      <c r="DZ22" s="364"/>
      <c r="EA22" s="364"/>
      <c r="EB22" s="364"/>
      <c r="EC22" s="364"/>
      <c r="ED22" s="364"/>
      <c r="EE22" s="364"/>
      <c r="EF22" s="364"/>
      <c r="EG22" s="364"/>
      <c r="EH22" s="364"/>
      <c r="EI22" s="364"/>
      <c r="EJ22" s="364"/>
      <c r="EK22" s="364"/>
      <c r="EL22" s="364"/>
      <c r="EM22" s="364"/>
      <c r="EN22" s="364"/>
      <c r="EO22" s="364"/>
      <c r="EP22" s="364"/>
      <c r="EQ22" s="364"/>
      <c r="ER22" s="364"/>
      <c r="ES22" s="364"/>
      <c r="ET22" s="364"/>
      <c r="EU22" s="364"/>
      <c r="EV22" s="364"/>
      <c r="EW22" s="364"/>
    </row>
    <row r="23" spans="2:153" s="109" customFormat="1" ht="27.6" x14ac:dyDescent="0.3">
      <c r="B23" s="130" t="s">
        <v>916</v>
      </c>
      <c r="C23" s="92" t="s">
        <v>918</v>
      </c>
      <c r="D23" s="690" t="s">
        <v>173</v>
      </c>
      <c r="E23" s="913" t="s">
        <v>173</v>
      </c>
      <c r="F23" s="690" t="s">
        <v>173</v>
      </c>
      <c r="G23" s="691" t="s">
        <v>173</v>
      </c>
      <c r="H23" s="690" t="s">
        <v>173</v>
      </c>
      <c r="I23" s="691" t="s">
        <v>173</v>
      </c>
      <c r="J23" s="690" t="s">
        <v>173</v>
      </c>
      <c r="K23" s="691" t="s">
        <v>173</v>
      </c>
      <c r="L23" s="96"/>
      <c r="M23" s="96"/>
      <c r="N23" s="82"/>
      <c r="O23" s="82"/>
      <c r="P23" s="364"/>
      <c r="Q23" s="364"/>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4"/>
      <c r="AZ23" s="364"/>
      <c r="BA23" s="364"/>
      <c r="BB23" s="364"/>
      <c r="BC23" s="364"/>
      <c r="BD23" s="364"/>
      <c r="BE23" s="364"/>
      <c r="BF23" s="364"/>
      <c r="BG23" s="364"/>
      <c r="BH23" s="364"/>
      <c r="BI23" s="364"/>
      <c r="BJ23" s="364"/>
      <c r="BK23" s="364"/>
      <c r="BL23" s="364"/>
      <c r="BM23" s="364"/>
      <c r="BN23" s="364"/>
      <c r="BO23" s="364"/>
      <c r="BP23" s="364"/>
      <c r="BQ23" s="364"/>
      <c r="BR23" s="364"/>
      <c r="BS23" s="364"/>
      <c r="BT23" s="364"/>
      <c r="BU23" s="364"/>
      <c r="BV23" s="364"/>
      <c r="BW23" s="364"/>
      <c r="BX23" s="364"/>
      <c r="BY23" s="364"/>
      <c r="BZ23" s="364"/>
      <c r="CA23" s="364"/>
      <c r="CB23" s="364"/>
      <c r="CC23" s="364"/>
      <c r="CD23" s="364"/>
      <c r="CE23" s="364"/>
      <c r="CF23" s="364"/>
      <c r="CG23" s="364"/>
      <c r="CH23" s="364"/>
      <c r="CI23" s="364"/>
      <c r="CJ23" s="364"/>
      <c r="CK23" s="364"/>
      <c r="CL23" s="364"/>
      <c r="CM23" s="364"/>
      <c r="CN23" s="364"/>
      <c r="CO23" s="364"/>
      <c r="CP23" s="364"/>
      <c r="CQ23" s="364"/>
      <c r="CR23" s="364"/>
      <c r="CS23" s="364"/>
      <c r="CT23" s="364"/>
      <c r="CU23" s="364"/>
      <c r="CV23" s="364"/>
      <c r="CW23" s="364"/>
      <c r="CX23" s="364"/>
      <c r="CY23" s="364"/>
      <c r="CZ23" s="364"/>
      <c r="DA23" s="364"/>
      <c r="DB23" s="364"/>
      <c r="DC23" s="364"/>
      <c r="DD23" s="364"/>
      <c r="DE23" s="364"/>
      <c r="DF23" s="364"/>
      <c r="DG23" s="364"/>
      <c r="DH23" s="364"/>
      <c r="DI23" s="364"/>
      <c r="DJ23" s="364"/>
      <c r="DK23" s="364"/>
      <c r="DL23" s="364"/>
      <c r="DM23" s="364"/>
      <c r="DN23" s="364"/>
      <c r="DO23" s="364"/>
      <c r="DP23" s="364"/>
      <c r="DQ23" s="364"/>
      <c r="DR23" s="364"/>
      <c r="DS23" s="364"/>
      <c r="DT23" s="364"/>
      <c r="DU23" s="364"/>
      <c r="DV23" s="364"/>
      <c r="DW23" s="364"/>
      <c r="DX23" s="364"/>
      <c r="DY23" s="364"/>
      <c r="DZ23" s="364"/>
      <c r="EA23" s="364"/>
      <c r="EB23" s="364"/>
      <c r="EC23" s="364"/>
      <c r="ED23" s="364"/>
      <c r="EE23" s="364"/>
      <c r="EF23" s="364"/>
      <c r="EG23" s="364"/>
      <c r="EH23" s="364"/>
      <c r="EI23" s="364"/>
      <c r="EJ23" s="364"/>
      <c r="EK23" s="364"/>
      <c r="EL23" s="364"/>
      <c r="EM23" s="364"/>
      <c r="EN23" s="364"/>
      <c r="EO23" s="364"/>
      <c r="EP23" s="364"/>
      <c r="EQ23" s="364"/>
      <c r="ER23" s="364"/>
      <c r="ES23" s="364"/>
      <c r="ET23" s="364"/>
      <c r="EU23" s="364"/>
      <c r="EV23" s="364"/>
      <c r="EW23" s="364"/>
    </row>
    <row r="24" spans="2:153" s="109" customFormat="1" ht="27.6" x14ac:dyDescent="0.3">
      <c r="B24" s="180" t="s">
        <v>919</v>
      </c>
      <c r="C24" s="156" t="s">
        <v>918</v>
      </c>
      <c r="D24" s="692" t="s">
        <v>173</v>
      </c>
      <c r="E24" s="1010" t="s">
        <v>173</v>
      </c>
      <c r="F24" s="692" t="s">
        <v>173</v>
      </c>
      <c r="G24" s="693" t="s">
        <v>173</v>
      </c>
      <c r="H24" s="692" t="s">
        <v>173</v>
      </c>
      <c r="I24" s="693" t="s">
        <v>173</v>
      </c>
      <c r="J24" s="692" t="s">
        <v>173</v>
      </c>
      <c r="K24" s="693" t="s">
        <v>173</v>
      </c>
      <c r="L24" s="96"/>
      <c r="M24" s="96"/>
      <c r="N24" s="82"/>
      <c r="O24" s="82"/>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364"/>
      <c r="AZ24" s="364"/>
      <c r="BA24" s="364"/>
      <c r="BB24" s="364"/>
      <c r="BC24" s="364"/>
      <c r="BD24" s="364"/>
      <c r="BE24" s="364"/>
      <c r="BF24" s="364"/>
      <c r="BG24" s="364"/>
      <c r="BH24" s="364"/>
      <c r="BI24" s="364"/>
      <c r="BJ24" s="364"/>
      <c r="BK24" s="364"/>
      <c r="BL24" s="364"/>
      <c r="BM24" s="364"/>
      <c r="BN24" s="364"/>
      <c r="BO24" s="364"/>
      <c r="BP24" s="364"/>
      <c r="BQ24" s="364"/>
      <c r="BR24" s="364"/>
      <c r="BS24" s="364"/>
      <c r="BT24" s="364"/>
      <c r="BU24" s="364"/>
      <c r="BV24" s="364"/>
      <c r="BW24" s="364"/>
      <c r="BX24" s="364"/>
      <c r="BY24" s="364"/>
      <c r="BZ24" s="364"/>
      <c r="CA24" s="364"/>
      <c r="CB24" s="364"/>
      <c r="CC24" s="364"/>
      <c r="CD24" s="364"/>
      <c r="CE24" s="364"/>
      <c r="CF24" s="364"/>
      <c r="CG24" s="364"/>
      <c r="CH24" s="364"/>
      <c r="CI24" s="364"/>
      <c r="CJ24" s="364"/>
      <c r="CK24" s="364"/>
      <c r="CL24" s="364"/>
      <c r="CM24" s="364"/>
      <c r="CN24" s="364"/>
      <c r="CO24" s="364"/>
      <c r="CP24" s="364"/>
      <c r="CQ24" s="364"/>
      <c r="CR24" s="364"/>
      <c r="CS24" s="364"/>
      <c r="CT24" s="364"/>
      <c r="CU24" s="364"/>
      <c r="CV24" s="364"/>
      <c r="CW24" s="364"/>
      <c r="CX24" s="364"/>
      <c r="CY24" s="364"/>
      <c r="CZ24" s="364"/>
      <c r="DA24" s="364"/>
      <c r="DB24" s="364"/>
      <c r="DC24" s="364"/>
      <c r="DD24" s="364"/>
      <c r="DE24" s="364"/>
      <c r="DF24" s="364"/>
      <c r="DG24" s="364"/>
      <c r="DH24" s="364"/>
      <c r="DI24" s="364"/>
      <c r="DJ24" s="364"/>
      <c r="DK24" s="364"/>
      <c r="DL24" s="364"/>
      <c r="DM24" s="364"/>
      <c r="DN24" s="364"/>
      <c r="DO24" s="364"/>
      <c r="DP24" s="364"/>
      <c r="DQ24" s="364"/>
      <c r="DR24" s="364"/>
      <c r="DS24" s="364"/>
      <c r="DT24" s="364"/>
      <c r="DU24" s="364"/>
      <c r="DV24" s="364"/>
      <c r="DW24" s="364"/>
      <c r="DX24" s="364"/>
      <c r="DY24" s="364"/>
      <c r="DZ24" s="364"/>
      <c r="EA24" s="364"/>
      <c r="EB24" s="364"/>
      <c r="EC24" s="364"/>
      <c r="ED24" s="364"/>
      <c r="EE24" s="364"/>
      <c r="EF24" s="364"/>
      <c r="EG24" s="364"/>
      <c r="EH24" s="364"/>
      <c r="EI24" s="364"/>
      <c r="EJ24" s="364"/>
      <c r="EK24" s="364"/>
      <c r="EL24" s="364"/>
      <c r="EM24" s="364"/>
      <c r="EN24" s="364"/>
      <c r="EO24" s="364"/>
      <c r="EP24" s="364"/>
      <c r="EQ24" s="364"/>
      <c r="ER24" s="364"/>
      <c r="ES24" s="364"/>
      <c r="ET24" s="364"/>
      <c r="EU24" s="364"/>
      <c r="EV24" s="364"/>
      <c r="EW24" s="364"/>
    </row>
    <row r="25" spans="2:153" s="109" customFormat="1" x14ac:dyDescent="0.3">
      <c r="B25" s="84"/>
      <c r="C25" s="30"/>
      <c r="D25" s="364"/>
      <c r="E25" s="364"/>
      <c r="F25" s="364"/>
      <c r="G25" s="364"/>
      <c r="H25" s="364"/>
      <c r="I25" s="364"/>
      <c r="J25" s="96"/>
      <c r="K25" s="96"/>
      <c r="L25" s="96"/>
      <c r="M25" s="96"/>
      <c r="N25" s="82"/>
      <c r="O25" s="82"/>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364"/>
      <c r="AZ25" s="364"/>
      <c r="BA25" s="364"/>
      <c r="BB25" s="364"/>
      <c r="BC25" s="364"/>
      <c r="BD25" s="364"/>
      <c r="BE25" s="364"/>
      <c r="BF25" s="364"/>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4"/>
      <c r="CH25" s="364"/>
      <c r="CI25" s="364"/>
      <c r="CJ25" s="364"/>
      <c r="CK25" s="364"/>
      <c r="CL25" s="364"/>
      <c r="CM25" s="364"/>
      <c r="CN25" s="364"/>
      <c r="CO25" s="364"/>
      <c r="CP25" s="364"/>
      <c r="CQ25" s="364"/>
      <c r="CR25" s="364"/>
      <c r="CS25" s="364"/>
      <c r="CT25" s="364"/>
      <c r="CU25" s="364"/>
      <c r="CV25" s="364"/>
      <c r="CW25" s="364"/>
      <c r="CX25" s="364"/>
      <c r="CY25" s="364"/>
      <c r="CZ25" s="364"/>
      <c r="DA25" s="364"/>
      <c r="DB25" s="364"/>
      <c r="DC25" s="364"/>
      <c r="DD25" s="364"/>
      <c r="DE25" s="364"/>
      <c r="DF25" s="364"/>
      <c r="DG25" s="364"/>
      <c r="DH25" s="364"/>
      <c r="DI25" s="364"/>
      <c r="DJ25" s="364"/>
      <c r="DK25" s="364"/>
      <c r="DL25" s="364"/>
      <c r="DM25" s="364"/>
      <c r="DN25" s="364"/>
      <c r="DO25" s="364"/>
      <c r="DP25" s="364"/>
      <c r="DQ25" s="364"/>
      <c r="DR25" s="364"/>
      <c r="DS25" s="364"/>
      <c r="DT25" s="364"/>
      <c r="DU25" s="364"/>
      <c r="DV25" s="364"/>
      <c r="DW25" s="364"/>
      <c r="DX25" s="364"/>
      <c r="DY25" s="364"/>
      <c r="DZ25" s="364"/>
      <c r="EA25" s="364"/>
      <c r="EB25" s="364"/>
      <c r="EC25" s="364"/>
      <c r="ED25" s="364"/>
      <c r="EE25" s="364"/>
      <c r="EF25" s="364"/>
      <c r="EG25" s="364"/>
      <c r="EH25" s="364"/>
      <c r="EI25" s="364"/>
      <c r="EJ25" s="364"/>
      <c r="EK25" s="364"/>
      <c r="EL25" s="364"/>
      <c r="EM25" s="364"/>
      <c r="EN25" s="364"/>
      <c r="EO25" s="364"/>
      <c r="EP25" s="364"/>
      <c r="EQ25" s="364"/>
      <c r="ER25" s="364"/>
      <c r="ES25" s="364"/>
      <c r="ET25" s="364"/>
      <c r="EU25" s="364"/>
      <c r="EV25" s="364"/>
      <c r="EW25" s="364"/>
    </row>
    <row r="26" spans="2:153" s="109" customFormat="1" ht="41.4" x14ac:dyDescent="0.3">
      <c r="B26" s="115" t="s">
        <v>580</v>
      </c>
      <c r="C26" s="123" t="s">
        <v>52</v>
      </c>
      <c r="D26" s="274"/>
      <c r="E26" s="117" t="s">
        <v>1269</v>
      </c>
      <c r="F26" s="226"/>
      <c r="G26" s="173" t="s">
        <v>1254</v>
      </c>
      <c r="H26" s="274"/>
      <c r="I26" s="117" t="s">
        <v>1255</v>
      </c>
      <c r="J26" s="226"/>
      <c r="K26" s="117" t="s">
        <v>1256</v>
      </c>
      <c r="L26" s="96"/>
      <c r="M26" s="96"/>
      <c r="N26" s="82"/>
      <c r="O26" s="82"/>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c r="BM26" s="364"/>
      <c r="BN26" s="364"/>
      <c r="BO26" s="364"/>
      <c r="BP26" s="364"/>
      <c r="BQ26" s="364"/>
      <c r="BR26" s="364"/>
      <c r="BS26" s="364"/>
      <c r="BT26" s="364"/>
      <c r="BU26" s="364"/>
      <c r="BV26" s="364"/>
      <c r="BW26" s="364"/>
      <c r="BX26" s="364"/>
      <c r="BY26" s="364"/>
      <c r="BZ26" s="364"/>
      <c r="CA26" s="364"/>
      <c r="CB26" s="364"/>
      <c r="CC26" s="364"/>
      <c r="CD26" s="364"/>
      <c r="CE26" s="364"/>
      <c r="CF26" s="364"/>
      <c r="CG26" s="364"/>
      <c r="CH26" s="364"/>
      <c r="CI26" s="364"/>
      <c r="CJ26" s="364"/>
      <c r="CK26" s="364"/>
      <c r="CL26" s="364"/>
      <c r="CM26" s="364"/>
      <c r="CN26" s="364"/>
      <c r="CO26" s="364"/>
      <c r="CP26" s="364"/>
      <c r="CQ26" s="364"/>
      <c r="CR26" s="364"/>
      <c r="CS26" s="364"/>
      <c r="CT26" s="364"/>
      <c r="CU26" s="364"/>
      <c r="CV26" s="364"/>
      <c r="CW26" s="364"/>
      <c r="CX26" s="364"/>
      <c r="CY26" s="364"/>
      <c r="CZ26" s="364"/>
      <c r="DA26" s="364"/>
      <c r="DB26" s="364"/>
      <c r="DC26" s="364"/>
      <c r="DD26" s="364"/>
      <c r="DE26" s="364"/>
      <c r="DF26" s="364"/>
      <c r="DG26" s="364"/>
      <c r="DH26" s="364"/>
      <c r="DI26" s="364"/>
      <c r="DJ26" s="364"/>
      <c r="DK26" s="364"/>
      <c r="DL26" s="364"/>
      <c r="DM26" s="364"/>
      <c r="DN26" s="364"/>
      <c r="DO26" s="364"/>
      <c r="DP26" s="364"/>
      <c r="DQ26" s="364"/>
      <c r="DR26" s="364"/>
      <c r="DS26" s="364"/>
      <c r="DT26" s="364"/>
      <c r="DU26" s="364"/>
      <c r="DV26" s="364"/>
      <c r="DW26" s="364"/>
      <c r="DX26" s="364"/>
      <c r="DY26" s="364"/>
      <c r="DZ26" s="364"/>
      <c r="EA26" s="364"/>
      <c r="EB26" s="364"/>
      <c r="EC26" s="364"/>
      <c r="ED26" s="364"/>
      <c r="EE26" s="364"/>
      <c r="EF26" s="364"/>
      <c r="EG26" s="364"/>
      <c r="EH26" s="364"/>
      <c r="EI26" s="364"/>
      <c r="EJ26" s="364"/>
      <c r="EK26" s="364"/>
      <c r="EL26" s="364"/>
      <c r="EM26" s="364"/>
      <c r="EN26" s="364"/>
      <c r="EO26" s="364"/>
      <c r="EP26" s="364"/>
      <c r="EQ26" s="364"/>
      <c r="ER26" s="364"/>
      <c r="ES26" s="364"/>
      <c r="ET26" s="364"/>
      <c r="EU26" s="364"/>
      <c r="EV26" s="364"/>
      <c r="EW26" s="364"/>
    </row>
    <row r="27" spans="2:153" s="109" customFormat="1" ht="14.4" thickBot="1" x14ac:dyDescent="0.35">
      <c r="B27" s="211" t="s">
        <v>942</v>
      </c>
      <c r="C27" s="218"/>
      <c r="D27" s="107"/>
      <c r="E27" s="1000" t="s">
        <v>1270</v>
      </c>
      <c r="F27" s="218"/>
      <c r="G27" s="208" t="s">
        <v>1271</v>
      </c>
      <c r="H27" s="107"/>
      <c r="I27" s="1000" t="s">
        <v>1272</v>
      </c>
      <c r="J27" s="218"/>
      <c r="K27" s="1000" t="s">
        <v>1273</v>
      </c>
      <c r="L27" s="96"/>
      <c r="M27" s="96"/>
      <c r="N27" s="82"/>
      <c r="O27" s="82"/>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364"/>
      <c r="BC27" s="364"/>
      <c r="BD27" s="364"/>
      <c r="BE27" s="364"/>
      <c r="BF27" s="364"/>
      <c r="BG27" s="364"/>
      <c r="BH27" s="364"/>
      <c r="BI27" s="364"/>
      <c r="BJ27" s="364"/>
      <c r="BK27" s="364"/>
      <c r="BL27" s="364"/>
      <c r="BM27" s="364"/>
      <c r="BN27" s="364"/>
      <c r="BO27" s="364"/>
      <c r="BP27" s="364"/>
      <c r="BQ27" s="364"/>
      <c r="BR27" s="364"/>
      <c r="BS27" s="364"/>
      <c r="BT27" s="364"/>
      <c r="BU27" s="364"/>
      <c r="BV27" s="364"/>
      <c r="BW27" s="364"/>
      <c r="BX27" s="364"/>
      <c r="BY27" s="364"/>
      <c r="BZ27" s="364"/>
      <c r="CA27" s="364"/>
      <c r="CB27" s="364"/>
      <c r="CC27" s="364"/>
      <c r="CD27" s="364"/>
      <c r="CE27" s="364"/>
      <c r="CF27" s="364"/>
      <c r="CG27" s="364"/>
      <c r="CH27" s="364"/>
      <c r="CI27" s="364"/>
      <c r="CJ27" s="364"/>
      <c r="CK27" s="364"/>
      <c r="CL27" s="364"/>
      <c r="CM27" s="364"/>
      <c r="CN27" s="364"/>
      <c r="CO27" s="364"/>
      <c r="CP27" s="364"/>
      <c r="CQ27" s="364"/>
      <c r="CR27" s="364"/>
      <c r="CS27" s="364"/>
      <c r="CT27" s="364"/>
      <c r="CU27" s="364"/>
      <c r="CV27" s="364"/>
      <c r="CW27" s="364"/>
      <c r="CX27" s="364"/>
      <c r="CY27" s="364"/>
      <c r="CZ27" s="364"/>
      <c r="DA27" s="364"/>
      <c r="DB27" s="364"/>
      <c r="DC27" s="364"/>
      <c r="DD27" s="364"/>
      <c r="DE27" s="364"/>
      <c r="DF27" s="364"/>
      <c r="DG27" s="364"/>
      <c r="DH27" s="364"/>
      <c r="DI27" s="364"/>
      <c r="DJ27" s="364"/>
      <c r="DK27" s="364"/>
      <c r="DL27" s="364"/>
      <c r="DM27" s="364"/>
      <c r="DN27" s="364"/>
      <c r="DO27" s="364"/>
      <c r="DP27" s="364"/>
      <c r="DQ27" s="364"/>
      <c r="DR27" s="364"/>
      <c r="DS27" s="364"/>
      <c r="DT27" s="364"/>
      <c r="DU27" s="364"/>
      <c r="DV27" s="364"/>
      <c r="DW27" s="364"/>
      <c r="DX27" s="364"/>
      <c r="DY27" s="364"/>
      <c r="DZ27" s="364"/>
      <c r="EA27" s="364"/>
      <c r="EB27" s="364"/>
      <c r="EC27" s="364"/>
      <c r="ED27" s="364"/>
      <c r="EE27" s="364"/>
      <c r="EF27" s="364"/>
      <c r="EG27" s="364"/>
      <c r="EH27" s="364"/>
      <c r="EI27" s="364"/>
      <c r="EJ27" s="364"/>
      <c r="EK27" s="364"/>
      <c r="EL27" s="364"/>
      <c r="EM27" s="364"/>
      <c r="EN27" s="364"/>
      <c r="EO27" s="364"/>
      <c r="EP27" s="364"/>
      <c r="EQ27" s="364"/>
      <c r="ER27" s="364"/>
      <c r="ES27" s="364"/>
      <c r="ET27" s="364"/>
      <c r="EU27" s="364"/>
      <c r="EV27" s="364"/>
      <c r="EW27" s="364"/>
    </row>
    <row r="28" spans="2:153" s="109" customFormat="1" ht="15" thickTop="1" x14ac:dyDescent="0.3">
      <c r="B28" s="130" t="s">
        <v>911</v>
      </c>
      <c r="C28" s="92" t="s">
        <v>915</v>
      </c>
      <c r="D28" s="118" t="s">
        <v>1262</v>
      </c>
      <c r="E28" s="691">
        <v>421.33</v>
      </c>
      <c r="F28" s="913" t="s">
        <v>173</v>
      </c>
      <c r="G28" s="913" t="s">
        <v>173</v>
      </c>
      <c r="H28" s="690" t="s">
        <v>173</v>
      </c>
      <c r="I28" s="691" t="s">
        <v>173</v>
      </c>
      <c r="J28" s="913" t="s">
        <v>173</v>
      </c>
      <c r="K28" s="691" t="s">
        <v>173</v>
      </c>
      <c r="L28" s="96"/>
      <c r="M28" s="96"/>
      <c r="N28" s="82"/>
      <c r="O28" s="82"/>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4"/>
      <c r="BH28" s="364"/>
      <c r="BI28" s="364"/>
      <c r="BJ28" s="364"/>
      <c r="BK28" s="364"/>
      <c r="BL28" s="364"/>
      <c r="BM28" s="364"/>
      <c r="BN28" s="364"/>
      <c r="BO28" s="364"/>
      <c r="BP28" s="364"/>
      <c r="BQ28" s="364"/>
      <c r="BR28" s="364"/>
      <c r="BS28" s="364"/>
      <c r="BT28" s="364"/>
      <c r="BU28" s="364"/>
      <c r="BV28" s="364"/>
      <c r="BW28" s="364"/>
      <c r="BX28" s="364"/>
      <c r="BY28" s="364"/>
      <c r="BZ28" s="364"/>
      <c r="CA28" s="364"/>
      <c r="CB28" s="364"/>
      <c r="CC28" s="364"/>
      <c r="CD28" s="364"/>
      <c r="CE28" s="364"/>
      <c r="CF28" s="364"/>
      <c r="CG28" s="364"/>
      <c r="CH28" s="364"/>
      <c r="CI28" s="364"/>
      <c r="CJ28" s="364"/>
      <c r="CK28" s="364"/>
      <c r="CL28" s="364"/>
      <c r="CM28" s="364"/>
      <c r="CN28" s="364"/>
      <c r="CO28" s="364"/>
      <c r="CP28" s="364"/>
      <c r="CQ28" s="364"/>
      <c r="CR28" s="364"/>
      <c r="CS28" s="364"/>
      <c r="CT28" s="364"/>
      <c r="CU28" s="364"/>
      <c r="CV28" s="364"/>
      <c r="CW28" s="364"/>
      <c r="CX28" s="364"/>
      <c r="CY28" s="364"/>
      <c r="CZ28" s="364"/>
      <c r="DA28" s="364"/>
      <c r="DB28" s="364"/>
      <c r="DC28" s="364"/>
      <c r="DD28" s="364"/>
      <c r="DE28" s="364"/>
      <c r="DF28" s="364"/>
      <c r="DG28" s="364"/>
      <c r="DH28" s="364"/>
      <c r="DI28" s="364"/>
      <c r="DJ28" s="364"/>
      <c r="DK28" s="364"/>
      <c r="DL28" s="364"/>
      <c r="DM28" s="364"/>
      <c r="DN28" s="364"/>
      <c r="DO28" s="364"/>
      <c r="DP28" s="364"/>
      <c r="DQ28" s="364"/>
      <c r="DR28" s="364"/>
      <c r="DS28" s="364"/>
      <c r="DT28" s="364"/>
      <c r="DU28" s="364"/>
      <c r="DV28" s="364"/>
      <c r="DW28" s="364"/>
      <c r="DX28" s="364"/>
      <c r="DY28" s="364"/>
      <c r="DZ28" s="364"/>
      <c r="EA28" s="364"/>
      <c r="EB28" s="364"/>
      <c r="EC28" s="364"/>
      <c r="ED28" s="364"/>
      <c r="EE28" s="364"/>
      <c r="EF28" s="364"/>
      <c r="EG28" s="364"/>
      <c r="EH28" s="364"/>
      <c r="EI28" s="364"/>
      <c r="EJ28" s="364"/>
      <c r="EK28" s="364"/>
      <c r="EL28" s="364"/>
      <c r="EM28" s="364"/>
      <c r="EN28" s="364"/>
      <c r="EO28" s="364"/>
      <c r="EP28" s="364"/>
      <c r="EQ28" s="364"/>
      <c r="ER28" s="364"/>
      <c r="ES28" s="364"/>
      <c r="ET28" s="364"/>
      <c r="EU28" s="364"/>
      <c r="EV28" s="364"/>
      <c r="EW28" s="364"/>
    </row>
    <row r="29" spans="2:153" s="109" customFormat="1" ht="27.6" x14ac:dyDescent="0.3">
      <c r="B29" s="130" t="s">
        <v>916</v>
      </c>
      <c r="C29" s="92" t="s">
        <v>918</v>
      </c>
      <c r="D29" s="690" t="s">
        <v>173</v>
      </c>
      <c r="E29" s="691" t="s">
        <v>173</v>
      </c>
      <c r="F29" s="913" t="s">
        <v>173</v>
      </c>
      <c r="G29" s="913" t="s">
        <v>173</v>
      </c>
      <c r="H29" s="690" t="s">
        <v>173</v>
      </c>
      <c r="I29" s="691" t="s">
        <v>173</v>
      </c>
      <c r="J29" s="913" t="s">
        <v>173</v>
      </c>
      <c r="K29" s="691" t="s">
        <v>173</v>
      </c>
      <c r="L29" s="96"/>
      <c r="M29" s="96"/>
      <c r="N29" s="82"/>
      <c r="O29" s="82"/>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4"/>
      <c r="BH29" s="364"/>
      <c r="BI29" s="364"/>
      <c r="BJ29" s="364"/>
      <c r="BK29" s="364"/>
      <c r="BL29" s="364"/>
      <c r="BM29" s="364"/>
      <c r="BN29" s="364"/>
      <c r="BO29" s="364"/>
      <c r="BP29" s="364"/>
      <c r="BQ29" s="364"/>
      <c r="BR29" s="364"/>
      <c r="BS29" s="364"/>
      <c r="BT29" s="364"/>
      <c r="BU29" s="364"/>
      <c r="BV29" s="364"/>
      <c r="BW29" s="364"/>
      <c r="BX29" s="364"/>
      <c r="BY29" s="364"/>
      <c r="BZ29" s="364"/>
      <c r="CA29" s="364"/>
      <c r="CB29" s="364"/>
      <c r="CC29" s="364"/>
      <c r="CD29" s="364"/>
      <c r="CE29" s="364"/>
      <c r="CF29" s="364"/>
      <c r="CG29" s="364"/>
      <c r="CH29" s="364"/>
      <c r="CI29" s="364"/>
      <c r="CJ29" s="364"/>
      <c r="CK29" s="364"/>
      <c r="CL29" s="364"/>
      <c r="CM29" s="364"/>
      <c r="CN29" s="364"/>
      <c r="CO29" s="364"/>
      <c r="CP29" s="364"/>
      <c r="CQ29" s="364"/>
      <c r="CR29" s="364"/>
      <c r="CS29" s="364"/>
      <c r="CT29" s="364"/>
      <c r="CU29" s="364"/>
      <c r="CV29" s="364"/>
      <c r="CW29" s="364"/>
      <c r="CX29" s="364"/>
      <c r="CY29" s="364"/>
      <c r="CZ29" s="364"/>
      <c r="DA29" s="364"/>
      <c r="DB29" s="364"/>
      <c r="DC29" s="364"/>
      <c r="DD29" s="364"/>
      <c r="DE29" s="364"/>
      <c r="DF29" s="364"/>
      <c r="DG29" s="364"/>
      <c r="DH29" s="364"/>
      <c r="DI29" s="364"/>
      <c r="DJ29" s="364"/>
      <c r="DK29" s="364"/>
      <c r="DL29" s="364"/>
      <c r="DM29" s="364"/>
      <c r="DN29" s="364"/>
      <c r="DO29" s="364"/>
      <c r="DP29" s="364"/>
      <c r="DQ29" s="364"/>
      <c r="DR29" s="364"/>
      <c r="DS29" s="364"/>
      <c r="DT29" s="364"/>
      <c r="DU29" s="364"/>
      <c r="DV29" s="364"/>
      <c r="DW29" s="364"/>
      <c r="DX29" s="364"/>
      <c r="DY29" s="364"/>
      <c r="DZ29" s="364"/>
      <c r="EA29" s="364"/>
      <c r="EB29" s="364"/>
      <c r="EC29" s="364"/>
      <c r="ED29" s="364"/>
      <c r="EE29" s="364"/>
      <c r="EF29" s="364"/>
      <c r="EG29" s="364"/>
      <c r="EH29" s="364"/>
      <c r="EI29" s="364"/>
      <c r="EJ29" s="364"/>
      <c r="EK29" s="364"/>
      <c r="EL29" s="364"/>
      <c r="EM29" s="364"/>
      <c r="EN29" s="364"/>
      <c r="EO29" s="364"/>
      <c r="EP29" s="364"/>
      <c r="EQ29" s="364"/>
      <c r="ER29" s="364"/>
      <c r="ES29" s="364"/>
      <c r="ET29" s="364"/>
      <c r="EU29" s="364"/>
      <c r="EV29" s="364"/>
      <c r="EW29" s="364"/>
    </row>
    <row r="30" spans="2:153" s="109" customFormat="1" ht="27.6" x14ac:dyDescent="0.3">
      <c r="B30" s="180" t="s">
        <v>919</v>
      </c>
      <c r="C30" s="156" t="s">
        <v>918</v>
      </c>
      <c r="D30" s="692" t="s">
        <v>173</v>
      </c>
      <c r="E30" s="693" t="s">
        <v>173</v>
      </c>
      <c r="F30" s="1010" t="s">
        <v>173</v>
      </c>
      <c r="G30" s="1010" t="s">
        <v>173</v>
      </c>
      <c r="H30" s="692" t="s">
        <v>173</v>
      </c>
      <c r="I30" s="693" t="s">
        <v>173</v>
      </c>
      <c r="J30" s="1010" t="s">
        <v>173</v>
      </c>
      <c r="K30" s="693" t="s">
        <v>173</v>
      </c>
      <c r="L30" s="96"/>
      <c r="M30" s="96"/>
      <c r="N30" s="82"/>
      <c r="O30" s="82"/>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4"/>
      <c r="BH30" s="364"/>
      <c r="BI30" s="364"/>
      <c r="BJ30" s="364"/>
      <c r="BK30" s="364"/>
      <c r="BL30" s="364"/>
      <c r="BM30" s="364"/>
      <c r="BN30" s="364"/>
      <c r="BO30" s="364"/>
      <c r="BP30" s="364"/>
      <c r="BQ30" s="364"/>
      <c r="BR30" s="364"/>
      <c r="BS30" s="364"/>
      <c r="BT30" s="364"/>
      <c r="BU30" s="364"/>
      <c r="BV30" s="364"/>
      <c r="BW30" s="364"/>
      <c r="BX30" s="364"/>
      <c r="BY30" s="364"/>
      <c r="BZ30" s="364"/>
      <c r="CA30" s="364"/>
      <c r="CB30" s="364"/>
      <c r="CC30" s="364"/>
      <c r="CD30" s="364"/>
      <c r="CE30" s="364"/>
      <c r="CF30" s="364"/>
      <c r="CG30" s="364"/>
      <c r="CH30" s="364"/>
      <c r="CI30" s="364"/>
      <c r="CJ30" s="364"/>
      <c r="CK30" s="364"/>
      <c r="CL30" s="364"/>
      <c r="CM30" s="364"/>
      <c r="CN30" s="364"/>
      <c r="CO30" s="364"/>
      <c r="CP30" s="364"/>
      <c r="CQ30" s="364"/>
      <c r="CR30" s="364"/>
      <c r="CS30" s="364"/>
      <c r="CT30" s="364"/>
      <c r="CU30" s="364"/>
      <c r="CV30" s="364"/>
      <c r="CW30" s="364"/>
      <c r="CX30" s="364"/>
      <c r="CY30" s="364"/>
      <c r="CZ30" s="364"/>
      <c r="DA30" s="364"/>
      <c r="DB30" s="364"/>
      <c r="DC30" s="364"/>
      <c r="DD30" s="364"/>
      <c r="DE30" s="364"/>
      <c r="DF30" s="364"/>
      <c r="DG30" s="364"/>
      <c r="DH30" s="364"/>
      <c r="DI30" s="364"/>
      <c r="DJ30" s="364"/>
      <c r="DK30" s="364"/>
      <c r="DL30" s="364"/>
      <c r="DM30" s="364"/>
      <c r="DN30" s="364"/>
      <c r="DO30" s="364"/>
      <c r="DP30" s="364"/>
      <c r="DQ30" s="364"/>
      <c r="DR30" s="364"/>
      <c r="DS30" s="364"/>
      <c r="DT30" s="364"/>
      <c r="DU30" s="364"/>
      <c r="DV30" s="364"/>
      <c r="DW30" s="364"/>
      <c r="DX30" s="364"/>
      <c r="DY30" s="364"/>
      <c r="DZ30" s="364"/>
      <c r="EA30" s="364"/>
      <c r="EB30" s="364"/>
      <c r="EC30" s="364"/>
      <c r="ED30" s="364"/>
      <c r="EE30" s="364"/>
      <c r="EF30" s="364"/>
      <c r="EG30" s="364"/>
      <c r="EH30" s="364"/>
      <c r="EI30" s="364"/>
      <c r="EJ30" s="364"/>
      <c r="EK30" s="364"/>
      <c r="EL30" s="364"/>
      <c r="EM30" s="364"/>
      <c r="EN30" s="364"/>
      <c r="EO30" s="364"/>
      <c r="EP30" s="364"/>
      <c r="EQ30" s="364"/>
      <c r="ER30" s="364"/>
      <c r="ES30" s="364"/>
      <c r="ET30" s="364"/>
      <c r="EU30" s="364"/>
      <c r="EV30" s="364"/>
      <c r="EW30" s="364"/>
    </row>
    <row r="31" spans="2:153" s="109" customFormat="1" x14ac:dyDescent="0.3">
      <c r="B31" s="84"/>
      <c r="C31" s="30"/>
      <c r="D31" s="364"/>
      <c r="E31" s="364"/>
      <c r="F31" s="364"/>
      <c r="G31" s="364"/>
      <c r="H31" s="364"/>
      <c r="I31" s="364"/>
      <c r="J31" s="96"/>
      <c r="K31" s="96"/>
      <c r="L31" s="96"/>
      <c r="M31" s="96"/>
      <c r="N31" s="82"/>
      <c r="O31" s="82"/>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4"/>
      <c r="BH31" s="364"/>
      <c r="BI31" s="364"/>
      <c r="BJ31" s="364"/>
      <c r="BK31" s="364"/>
      <c r="BL31" s="364"/>
      <c r="BM31" s="364"/>
      <c r="BN31" s="364"/>
      <c r="BO31" s="364"/>
      <c r="BP31" s="364"/>
      <c r="BQ31" s="364"/>
      <c r="BR31" s="364"/>
      <c r="BS31" s="364"/>
      <c r="BT31" s="364"/>
      <c r="BU31" s="364"/>
      <c r="BV31" s="364"/>
      <c r="BW31" s="364"/>
      <c r="BX31" s="364"/>
      <c r="BY31" s="364"/>
      <c r="BZ31" s="364"/>
      <c r="CA31" s="364"/>
      <c r="CB31" s="364"/>
      <c r="CC31" s="364"/>
      <c r="CD31" s="364"/>
      <c r="CE31" s="364"/>
      <c r="CF31" s="364"/>
      <c r="CG31" s="364"/>
      <c r="CH31" s="364"/>
      <c r="CI31" s="364"/>
      <c r="CJ31" s="364"/>
      <c r="CK31" s="364"/>
      <c r="CL31" s="364"/>
      <c r="CM31" s="364"/>
      <c r="CN31" s="364"/>
      <c r="CO31" s="364"/>
      <c r="CP31" s="364"/>
      <c r="CQ31" s="364"/>
      <c r="CR31" s="364"/>
      <c r="CS31" s="364"/>
      <c r="CT31" s="364"/>
      <c r="CU31" s="364"/>
      <c r="CV31" s="364"/>
      <c r="CW31" s="364"/>
      <c r="CX31" s="364"/>
      <c r="CY31" s="364"/>
      <c r="CZ31" s="364"/>
      <c r="DA31" s="364"/>
      <c r="DB31" s="364"/>
      <c r="DC31" s="364"/>
      <c r="DD31" s="364"/>
      <c r="DE31" s="364"/>
      <c r="DF31" s="364"/>
      <c r="DG31" s="364"/>
      <c r="DH31" s="364"/>
      <c r="DI31" s="364"/>
      <c r="DJ31" s="364"/>
      <c r="DK31" s="364"/>
      <c r="DL31" s="364"/>
      <c r="DM31" s="364"/>
      <c r="DN31" s="364"/>
      <c r="DO31" s="364"/>
      <c r="DP31" s="364"/>
      <c r="DQ31" s="364"/>
      <c r="DR31" s="364"/>
      <c r="DS31" s="364"/>
      <c r="DT31" s="364"/>
      <c r="DU31" s="364"/>
      <c r="DV31" s="364"/>
      <c r="DW31" s="364"/>
      <c r="DX31" s="364"/>
      <c r="DY31" s="364"/>
      <c r="DZ31" s="364"/>
      <c r="EA31" s="364"/>
      <c r="EB31" s="364"/>
      <c r="EC31" s="364"/>
      <c r="ED31" s="364"/>
      <c r="EE31" s="364"/>
      <c r="EF31" s="364"/>
      <c r="EG31" s="364"/>
      <c r="EH31" s="364"/>
      <c r="EI31" s="364"/>
      <c r="EJ31" s="364"/>
      <c r="EK31" s="364"/>
      <c r="EL31" s="364"/>
      <c r="EM31" s="364"/>
      <c r="EN31" s="364"/>
      <c r="EO31" s="364"/>
      <c r="EP31" s="364"/>
      <c r="EQ31" s="364"/>
      <c r="ER31" s="364"/>
      <c r="ES31" s="364"/>
      <c r="ET31" s="364"/>
      <c r="EU31" s="364"/>
      <c r="EV31" s="364"/>
      <c r="EW31" s="364"/>
    </row>
    <row r="32" spans="2:153" s="109" customFormat="1" x14ac:dyDescent="0.3">
      <c r="B32" s="84"/>
      <c r="C32" s="30"/>
      <c r="D32" s="364"/>
      <c r="E32" s="364"/>
      <c r="F32" s="364"/>
      <c r="G32" s="364"/>
      <c r="H32" s="364"/>
      <c r="I32" s="364"/>
      <c r="J32" s="96"/>
      <c r="K32" s="96"/>
      <c r="L32" s="96"/>
      <c r="M32" s="96"/>
      <c r="N32" s="82"/>
      <c r="O32" s="82"/>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4"/>
      <c r="BH32" s="364"/>
      <c r="BI32" s="364"/>
      <c r="BJ32" s="364"/>
      <c r="BK32" s="364"/>
      <c r="BL32" s="364"/>
      <c r="BM32" s="364"/>
      <c r="BN32" s="364"/>
      <c r="BO32" s="364"/>
      <c r="BP32" s="364"/>
      <c r="BQ32" s="364"/>
      <c r="BR32" s="364"/>
      <c r="BS32" s="364"/>
      <c r="BT32" s="364"/>
      <c r="BU32" s="364"/>
      <c r="BV32" s="364"/>
      <c r="BW32" s="364"/>
      <c r="BX32" s="364"/>
      <c r="BY32" s="364"/>
      <c r="BZ32" s="364"/>
      <c r="CA32" s="364"/>
      <c r="CB32" s="364"/>
      <c r="CC32" s="364"/>
      <c r="CD32" s="364"/>
      <c r="CE32" s="364"/>
      <c r="CF32" s="364"/>
      <c r="CG32" s="364"/>
      <c r="CH32" s="364"/>
      <c r="CI32" s="364"/>
      <c r="CJ32" s="364"/>
      <c r="CK32" s="364"/>
      <c r="CL32" s="364"/>
      <c r="CM32" s="364"/>
      <c r="CN32" s="364"/>
      <c r="CO32" s="364"/>
      <c r="CP32" s="364"/>
      <c r="CQ32" s="364"/>
      <c r="CR32" s="364"/>
      <c r="CS32" s="364"/>
      <c r="CT32" s="364"/>
      <c r="CU32" s="364"/>
      <c r="CV32" s="364"/>
      <c r="CW32" s="364"/>
      <c r="CX32" s="364"/>
      <c r="CY32" s="364"/>
      <c r="CZ32" s="364"/>
      <c r="DA32" s="364"/>
      <c r="DB32" s="364"/>
      <c r="DC32" s="364"/>
      <c r="DD32" s="364"/>
      <c r="DE32" s="364"/>
      <c r="DF32" s="364"/>
      <c r="DG32" s="364"/>
      <c r="DH32" s="364"/>
      <c r="DI32" s="364"/>
      <c r="DJ32" s="364"/>
      <c r="DK32" s="364"/>
      <c r="DL32" s="364"/>
      <c r="DM32" s="364"/>
      <c r="DN32" s="364"/>
      <c r="DO32" s="364"/>
      <c r="DP32" s="364"/>
      <c r="DQ32" s="364"/>
      <c r="DR32" s="364"/>
      <c r="DS32" s="364"/>
      <c r="DT32" s="364"/>
      <c r="DU32" s="364"/>
      <c r="DV32" s="364"/>
      <c r="DW32" s="364"/>
      <c r="DX32" s="364"/>
      <c r="DY32" s="364"/>
      <c r="DZ32" s="364"/>
      <c r="EA32" s="364"/>
      <c r="EB32" s="364"/>
      <c r="EC32" s="364"/>
      <c r="ED32" s="364"/>
      <c r="EE32" s="364"/>
      <c r="EF32" s="364"/>
      <c r="EG32" s="364"/>
      <c r="EH32" s="364"/>
      <c r="EI32" s="364"/>
      <c r="EJ32" s="364"/>
      <c r="EK32" s="364"/>
      <c r="EL32" s="364"/>
      <c r="EM32" s="364"/>
      <c r="EN32" s="364"/>
      <c r="EO32" s="364"/>
      <c r="EP32" s="364"/>
      <c r="EQ32" s="364"/>
      <c r="ER32" s="364"/>
      <c r="ES32" s="364"/>
      <c r="ET32" s="364"/>
      <c r="EU32" s="364"/>
      <c r="EV32" s="364"/>
      <c r="EW32" s="364"/>
    </row>
    <row r="33" spans="1:57" s="54" customFormat="1" x14ac:dyDescent="0.3">
      <c r="A33" s="364"/>
      <c r="B33" s="92"/>
      <c r="C33" s="90"/>
      <c r="D33" s="364"/>
      <c r="E33" s="364"/>
      <c r="F33" s="364"/>
      <c r="G33" s="364"/>
      <c r="H33" s="364"/>
      <c r="I33" s="364"/>
      <c r="J33" s="364"/>
      <c r="K33" s="364"/>
      <c r="L33" s="364"/>
      <c r="M33" s="82"/>
      <c r="N33" s="82"/>
      <c r="O33" s="82"/>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row>
    <row r="34" spans="1:57" s="13" customFormat="1" x14ac:dyDescent="0.3">
      <c r="A34" s="285"/>
      <c r="B34" s="337" t="s">
        <v>243</v>
      </c>
      <c r="C34" s="285"/>
      <c r="D34" s="285"/>
      <c r="E34" s="285"/>
      <c r="F34" s="285"/>
      <c r="G34" s="285"/>
      <c r="H34" s="285"/>
      <c r="I34" s="285"/>
      <c r="J34" s="285"/>
      <c r="K34" s="285"/>
      <c r="L34" s="285"/>
      <c r="M34" s="285"/>
      <c r="N34" s="82"/>
      <c r="O34" s="82"/>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row>
    <row r="35" spans="1:57" s="3" customFormat="1" ht="14.4" x14ac:dyDescent="0.3">
      <c r="A35" s="78"/>
      <c r="B35" s="23" t="s">
        <v>64</v>
      </c>
      <c r="C35" s="89"/>
      <c r="D35" s="91"/>
      <c r="E35" s="89"/>
      <c r="F35" s="91"/>
      <c r="G35" s="89"/>
      <c r="H35" s="91"/>
      <c r="I35" s="89"/>
      <c r="J35" s="91"/>
      <c r="K35" s="96"/>
      <c r="L35" s="91"/>
      <c r="M35" s="96"/>
      <c r="N35" s="82"/>
      <c r="O35" s="82"/>
      <c r="P35" s="89"/>
      <c r="Q35" s="89"/>
      <c r="R35" s="89"/>
      <c r="S35" s="982"/>
      <c r="T35" s="982"/>
      <c r="U35" s="982"/>
      <c r="V35" s="982"/>
      <c r="W35" s="369" t="s">
        <v>883</v>
      </c>
      <c r="X35" s="982"/>
      <c r="Y35" s="982"/>
      <c r="Z35" s="982"/>
      <c r="AA35" s="982"/>
      <c r="AB35" s="982"/>
      <c r="AC35" s="982"/>
      <c r="AD35" s="982"/>
      <c r="AE35" s="982"/>
      <c r="AF35" s="982"/>
      <c r="AG35" s="982"/>
      <c r="AH35" s="982"/>
      <c r="AI35" s="982"/>
      <c r="AJ35" s="982"/>
      <c r="AK35" s="982"/>
      <c r="AL35" s="982"/>
      <c r="AM35" s="982"/>
      <c r="AN35" s="982"/>
      <c r="AO35" s="982"/>
      <c r="AP35" s="982"/>
      <c r="AQ35" s="982"/>
      <c r="AR35" s="982"/>
      <c r="AS35" s="982"/>
      <c r="AT35" s="982"/>
      <c r="AU35" s="982"/>
      <c r="AV35" s="982"/>
      <c r="AW35" s="982"/>
      <c r="AX35" s="982"/>
      <c r="AY35" s="982"/>
      <c r="AZ35" s="982"/>
      <c r="BA35" s="982"/>
      <c r="BB35" s="982"/>
      <c r="BC35" s="982"/>
      <c r="BD35" s="982"/>
      <c r="BE35" s="982"/>
    </row>
    <row r="36" spans="1:57" s="13" customFormat="1" ht="12.75" customHeight="1" x14ac:dyDescent="0.3">
      <c r="A36" s="93"/>
      <c r="B36" s="84" t="s">
        <v>870</v>
      </c>
      <c r="C36" s="93"/>
      <c r="D36" s="58"/>
      <c r="E36" s="58"/>
      <c r="F36" s="60"/>
      <c r="G36" s="60"/>
      <c r="H36" s="60"/>
      <c r="I36" s="60"/>
      <c r="J36" s="60"/>
      <c r="K36" s="60"/>
      <c r="L36" s="60"/>
      <c r="M36" s="60"/>
      <c r="N36" s="96"/>
      <c r="O36" s="59"/>
      <c r="P36" s="93"/>
      <c r="Q36" s="93"/>
      <c r="R36" s="93"/>
      <c r="S36" s="982"/>
      <c r="T36" s="982"/>
      <c r="U36" s="982"/>
      <c r="V36" s="982"/>
      <c r="W36" s="982" t="s">
        <v>870</v>
      </c>
      <c r="X36" s="982"/>
      <c r="Y36" s="982"/>
      <c r="Z36" s="982"/>
      <c r="AA36" s="982"/>
      <c r="AB36" s="982"/>
      <c r="AC36" s="982"/>
      <c r="AD36" s="982"/>
      <c r="AE36" s="982" t="s">
        <v>889</v>
      </c>
      <c r="AF36" s="982"/>
      <c r="AG36" s="982"/>
      <c r="AH36" s="982"/>
      <c r="AI36" s="982"/>
      <c r="AJ36" s="982"/>
      <c r="AK36" s="982"/>
      <c r="AL36" s="982" t="s">
        <v>890</v>
      </c>
      <c r="AM36" s="982"/>
      <c r="AN36" s="982"/>
      <c r="AO36" s="982"/>
      <c r="AP36" s="982"/>
      <c r="AQ36" s="982"/>
      <c r="AR36" s="982"/>
      <c r="AS36" s="982"/>
      <c r="AT36" s="982"/>
      <c r="AU36" s="982"/>
      <c r="AV36" s="982" t="s">
        <v>891</v>
      </c>
      <c r="AW36" s="982"/>
      <c r="AX36" s="982"/>
      <c r="AY36" s="982"/>
      <c r="AZ36" s="982"/>
      <c r="BA36" s="982"/>
      <c r="BB36" s="982"/>
      <c r="BC36" s="982"/>
      <c r="BD36" s="982"/>
      <c r="BE36" s="982"/>
    </row>
    <row r="37" spans="1:57" s="84" customFormat="1" ht="41.4" x14ac:dyDescent="0.3">
      <c r="B37" s="115" t="s">
        <v>580</v>
      </c>
      <c r="C37" s="123" t="s">
        <v>52</v>
      </c>
      <c r="D37" s="274"/>
      <c r="E37" s="268" t="s">
        <v>885</v>
      </c>
      <c r="F37" s="279"/>
      <c r="G37" s="279" t="s">
        <v>1253</v>
      </c>
      <c r="H37" s="270"/>
      <c r="I37" s="268" t="s">
        <v>1254</v>
      </c>
      <c r="J37" s="270"/>
      <c r="K37" s="268" t="s">
        <v>1255</v>
      </c>
      <c r="L37" s="270"/>
      <c r="M37" s="268" t="s">
        <v>1256</v>
      </c>
      <c r="N37" s="88"/>
      <c r="S37" s="982"/>
      <c r="T37" s="982"/>
      <c r="U37" s="982"/>
      <c r="V37" s="982"/>
      <c r="W37" s="982" t="s">
        <v>121</v>
      </c>
      <c r="X37" s="982" t="s">
        <v>52</v>
      </c>
      <c r="Y37" s="982" t="s">
        <v>896</v>
      </c>
      <c r="Z37" s="982" t="s">
        <v>897</v>
      </c>
      <c r="AA37" s="982" t="s">
        <v>898</v>
      </c>
      <c r="AB37" s="982" t="s">
        <v>899</v>
      </c>
      <c r="AC37" s="982" t="s">
        <v>900</v>
      </c>
      <c r="AD37" s="982" t="s">
        <v>901</v>
      </c>
      <c r="AE37" s="982" t="s">
        <v>902</v>
      </c>
      <c r="AF37" s="982" t="s">
        <v>903</v>
      </c>
      <c r="AG37" s="982" t="s">
        <v>904</v>
      </c>
      <c r="AH37" s="982" t="s">
        <v>905</v>
      </c>
      <c r="AI37" s="982" t="s">
        <v>906</v>
      </c>
      <c r="AJ37" s="982" t="s">
        <v>907</v>
      </c>
      <c r="AK37" s="982"/>
      <c r="AL37" s="982" t="s">
        <v>908</v>
      </c>
      <c r="AM37" s="982" t="s">
        <v>909</v>
      </c>
      <c r="AN37" s="982" t="s">
        <v>910</v>
      </c>
      <c r="AO37" s="982" t="s">
        <v>902</v>
      </c>
      <c r="AP37" s="982" t="s">
        <v>903</v>
      </c>
      <c r="AQ37" s="982" t="s">
        <v>904</v>
      </c>
      <c r="AR37" s="982" t="s">
        <v>905</v>
      </c>
      <c r="AS37" s="982" t="s">
        <v>906</v>
      </c>
      <c r="AT37" s="982" t="s">
        <v>907</v>
      </c>
      <c r="AU37" s="982"/>
      <c r="AV37" s="982" t="s">
        <v>908</v>
      </c>
      <c r="AW37" s="982" t="s">
        <v>909</v>
      </c>
      <c r="AX37" s="982" t="s">
        <v>910</v>
      </c>
      <c r="AY37" s="982" t="s">
        <v>902</v>
      </c>
      <c r="AZ37" s="982" t="s">
        <v>903</v>
      </c>
      <c r="BA37" s="982" t="s">
        <v>904</v>
      </c>
      <c r="BB37" s="982" t="s">
        <v>905</v>
      </c>
      <c r="BC37" s="982" t="s">
        <v>906</v>
      </c>
      <c r="BD37" s="982" t="s">
        <v>907</v>
      </c>
      <c r="BE37" s="982"/>
    </row>
    <row r="38" spans="1:57" s="82" customFormat="1" ht="15" thickBot="1" x14ac:dyDescent="0.35">
      <c r="B38" s="211" t="s">
        <v>942</v>
      </c>
      <c r="C38" s="218"/>
      <c r="D38" s="107"/>
      <c r="E38" s="1000" t="s">
        <v>892</v>
      </c>
      <c r="F38" s="218"/>
      <c r="G38" s="208" t="s">
        <v>1257</v>
      </c>
      <c r="H38" s="107"/>
      <c r="I38" s="1000" t="s">
        <v>1258</v>
      </c>
      <c r="J38" s="107"/>
      <c r="K38" s="1000" t="s">
        <v>1259</v>
      </c>
      <c r="L38" s="107"/>
      <c r="M38" s="1000" t="s">
        <v>1260</v>
      </c>
      <c r="S38" s="982"/>
      <c r="T38" s="982"/>
      <c r="U38" s="982"/>
      <c r="V38" s="982"/>
      <c r="W38" s="982"/>
      <c r="X38" s="982"/>
      <c r="Y38" s="982" t="s">
        <v>966</v>
      </c>
      <c r="Z38" s="982"/>
      <c r="AA38" s="982" t="s">
        <v>966</v>
      </c>
      <c r="AB38" s="982"/>
      <c r="AC38" s="982"/>
      <c r="AD38" s="982"/>
      <c r="AE38" s="982" t="s">
        <v>966</v>
      </c>
      <c r="AF38" s="982" t="s">
        <v>1094</v>
      </c>
      <c r="AG38" s="982" t="s">
        <v>1124</v>
      </c>
      <c r="AH38" s="982" t="s">
        <v>1125</v>
      </c>
      <c r="AI38" s="982"/>
      <c r="AJ38" s="982" t="s">
        <v>1125</v>
      </c>
      <c r="AK38" s="982"/>
      <c r="AL38" s="982"/>
      <c r="AM38" s="982"/>
      <c r="AN38" s="982"/>
      <c r="AO38" s="982" t="s">
        <v>966</v>
      </c>
      <c r="AP38" s="982" t="s">
        <v>1094</v>
      </c>
      <c r="AQ38" s="982" t="s">
        <v>1124</v>
      </c>
      <c r="AR38" s="982" t="s">
        <v>1125</v>
      </c>
      <c r="AS38" s="982"/>
      <c r="AT38" s="982" t="s">
        <v>1125</v>
      </c>
      <c r="AU38" s="982"/>
      <c r="AV38" s="982"/>
      <c r="AW38" s="982"/>
      <c r="AX38" s="982"/>
      <c r="AY38" s="982" t="s">
        <v>966</v>
      </c>
      <c r="AZ38" s="982" t="s">
        <v>1094</v>
      </c>
      <c r="BA38" s="982" t="s">
        <v>1124</v>
      </c>
      <c r="BB38" s="982" t="s">
        <v>1125</v>
      </c>
      <c r="BC38" s="982"/>
      <c r="BD38" s="982" t="s">
        <v>1125</v>
      </c>
      <c r="BE38" s="982"/>
    </row>
    <row r="39" spans="1:57" s="54" customFormat="1" ht="15" thickTop="1" x14ac:dyDescent="0.3">
      <c r="A39" s="364"/>
      <c r="B39" s="130" t="s">
        <v>911</v>
      </c>
      <c r="C39" s="92" t="s">
        <v>915</v>
      </c>
      <c r="D39" s="958" t="str">
        <f>IF(E39=Z39,"x","")</f>
        <v>x</v>
      </c>
      <c r="E39" s="202" t="s">
        <v>913</v>
      </c>
      <c r="F39" s="913" t="s">
        <v>173</v>
      </c>
      <c r="G39" s="913" t="s">
        <v>173</v>
      </c>
      <c r="H39" s="690" t="s">
        <v>173</v>
      </c>
      <c r="I39" s="691" t="s">
        <v>173</v>
      </c>
      <c r="J39" s="690" t="s">
        <v>173</v>
      </c>
      <c r="K39" s="691" t="s">
        <v>173</v>
      </c>
      <c r="L39" s="690" t="s">
        <v>173</v>
      </c>
      <c r="M39" s="691" t="s">
        <v>173</v>
      </c>
      <c r="N39" s="96"/>
      <c r="O39" s="364"/>
      <c r="P39" s="812"/>
      <c r="Q39" s="812"/>
      <c r="R39" s="812"/>
      <c r="S39" s="812"/>
      <c r="T39" s="812"/>
      <c r="U39" s="812"/>
      <c r="V39" s="813" t="s">
        <v>1274</v>
      </c>
      <c r="W39" s="949" t="s">
        <v>911</v>
      </c>
      <c r="X39" s="949" t="s">
        <v>915</v>
      </c>
      <c r="Y39" s="949">
        <v>2549.75</v>
      </c>
      <c r="Z39" s="949" t="s">
        <v>913</v>
      </c>
      <c r="AA39" s="949">
        <v>-99996</v>
      </c>
      <c r="AB39" s="949">
        <v>0.2</v>
      </c>
      <c r="AC39" s="949">
        <v>0.2</v>
      </c>
      <c r="AD39" s="949">
        <v>-99996</v>
      </c>
      <c r="AE39" s="949">
        <v>0</v>
      </c>
      <c r="AF39" s="949">
        <v>0</v>
      </c>
      <c r="AG39" s="949">
        <v>0</v>
      </c>
      <c r="AH39" s="949">
        <v>287.5</v>
      </c>
      <c r="AI39" s="949">
        <v>-99996</v>
      </c>
      <c r="AJ39" s="949">
        <v>287.5</v>
      </c>
      <c r="AK39" s="949"/>
      <c r="AL39" s="949">
        <v>-8.0029400000000006</v>
      </c>
      <c r="AM39" s="949">
        <v>-21.169</v>
      </c>
      <c r="AN39" s="949">
        <v>2.5</v>
      </c>
      <c r="AO39" s="949">
        <v>538.66700000000003</v>
      </c>
      <c r="AP39" s="949">
        <v>323.2</v>
      </c>
      <c r="AQ39" s="949">
        <v>0.21126300000000001</v>
      </c>
      <c r="AR39" s="949">
        <v>400</v>
      </c>
      <c r="AS39" s="949">
        <v>-99996</v>
      </c>
      <c r="AT39" s="949">
        <v>400</v>
      </c>
      <c r="AU39" s="949"/>
      <c r="AV39" s="949">
        <v>-16.0059</v>
      </c>
      <c r="AW39" s="949">
        <v>-8.8295700000000004</v>
      </c>
      <c r="AX39" s="949">
        <v>2.5</v>
      </c>
      <c r="AY39" s="949">
        <v>421.33300000000003</v>
      </c>
      <c r="AZ39" s="949">
        <v>252.8</v>
      </c>
      <c r="BA39" s="949">
        <v>0.165245</v>
      </c>
      <c r="BB39" s="949">
        <v>287.5</v>
      </c>
      <c r="BC39" s="949">
        <v>-99996</v>
      </c>
      <c r="BD39" s="949">
        <v>1150</v>
      </c>
      <c r="BE39" s="982"/>
    </row>
    <row r="40" spans="1:57" s="54" customFormat="1" ht="27.6" x14ac:dyDescent="0.3">
      <c r="A40" s="364"/>
      <c r="B40" s="130" t="s">
        <v>916</v>
      </c>
      <c r="C40" s="92" t="s">
        <v>918</v>
      </c>
      <c r="D40" s="958" t="str">
        <f t="shared" ref="D40:D41" si="1">IF(E40=Z40,"x","")</f>
        <v>x</v>
      </c>
      <c r="E40" s="202" t="s">
        <v>913</v>
      </c>
      <c r="F40" s="118" t="s">
        <v>1262</v>
      </c>
      <c r="G40" s="1008">
        <v>14998.565000000001</v>
      </c>
      <c r="H40" s="958" t="str">
        <f>IF(I40=AF40,"x","")</f>
        <v>x</v>
      </c>
      <c r="I40" s="361">
        <v>4828.6899999999996</v>
      </c>
      <c r="J40" s="958" t="str">
        <f>IF(K40=AH40,"x","")</f>
        <v>x</v>
      </c>
      <c r="K40" s="361">
        <v>250</v>
      </c>
      <c r="L40" s="958" t="str">
        <f>IF(M40=AJ40,"x","")</f>
        <v>x</v>
      </c>
      <c r="M40" s="361">
        <v>250</v>
      </c>
      <c r="N40" s="364"/>
      <c r="O40" s="364"/>
      <c r="P40" s="364"/>
      <c r="Q40" s="364"/>
      <c r="R40" s="364"/>
      <c r="S40" s="982"/>
      <c r="T40" s="982"/>
      <c r="U40" s="982"/>
      <c r="V40" s="982"/>
      <c r="W40" s="949" t="s">
        <v>916</v>
      </c>
      <c r="X40" s="949" t="s">
        <v>918</v>
      </c>
      <c r="Y40" s="949">
        <v>14998.6</v>
      </c>
      <c r="Z40" s="949" t="s">
        <v>913</v>
      </c>
      <c r="AA40" s="949">
        <v>-99996</v>
      </c>
      <c r="AB40" s="949">
        <v>0.2</v>
      </c>
      <c r="AC40" s="949">
        <v>0.2</v>
      </c>
      <c r="AD40" s="949">
        <v>-99996</v>
      </c>
      <c r="AE40" s="949">
        <v>10730.4</v>
      </c>
      <c r="AF40" s="949">
        <v>4828.6899999999996</v>
      </c>
      <c r="AG40" s="949">
        <v>0.71543000000000001</v>
      </c>
      <c r="AH40" s="949">
        <v>250</v>
      </c>
      <c r="AI40" s="949">
        <v>-99996</v>
      </c>
      <c r="AJ40" s="949">
        <v>250</v>
      </c>
      <c r="AK40" s="949"/>
      <c r="AL40" s="949">
        <v>-99996</v>
      </c>
      <c r="AM40" s="949">
        <v>-99996</v>
      </c>
      <c r="AN40" s="949">
        <v>-99996</v>
      </c>
      <c r="AO40" s="949">
        <v>0</v>
      </c>
      <c r="AP40" s="949">
        <v>0</v>
      </c>
      <c r="AQ40" s="949">
        <v>0</v>
      </c>
      <c r="AR40" s="949">
        <v>175</v>
      </c>
      <c r="AS40" s="949">
        <v>-99996</v>
      </c>
      <c r="AT40" s="949">
        <v>262.5</v>
      </c>
      <c r="AU40" s="949"/>
      <c r="AV40" s="949">
        <v>-99996</v>
      </c>
      <c r="AW40" s="949">
        <v>-99996</v>
      </c>
      <c r="AX40" s="949">
        <v>-99996</v>
      </c>
      <c r="AY40" s="949">
        <v>0</v>
      </c>
      <c r="AZ40" s="949">
        <v>0</v>
      </c>
      <c r="BA40" s="949">
        <v>0</v>
      </c>
      <c r="BB40" s="949">
        <v>175</v>
      </c>
      <c r="BC40" s="949">
        <v>-99996</v>
      </c>
      <c r="BD40" s="949">
        <v>350</v>
      </c>
      <c r="BE40" s="982"/>
    </row>
    <row r="41" spans="1:57" ht="27.6" x14ac:dyDescent="0.3">
      <c r="A41" s="364"/>
      <c r="B41" s="180" t="s">
        <v>919</v>
      </c>
      <c r="C41" s="156" t="s">
        <v>918</v>
      </c>
      <c r="D41" s="952" t="str">
        <f t="shared" si="1"/>
        <v>x</v>
      </c>
      <c r="E41" s="204" t="s">
        <v>913</v>
      </c>
      <c r="F41" s="118" t="s">
        <v>1262</v>
      </c>
      <c r="G41" s="1009">
        <v>34496.725100000003</v>
      </c>
      <c r="H41" s="952" t="str">
        <f>IF(I41=AF41,"x","")</f>
        <v>x</v>
      </c>
      <c r="I41" s="396">
        <v>15474.4</v>
      </c>
      <c r="J41" s="952" t="str">
        <f>IF(K41=AH41,"x","")</f>
        <v>x</v>
      </c>
      <c r="K41" s="396">
        <v>250</v>
      </c>
      <c r="L41" s="952" t="str">
        <f>IF(M41=AJ41,"x","")</f>
        <v>x</v>
      </c>
      <c r="M41" s="396">
        <v>250</v>
      </c>
      <c r="N41" s="373"/>
      <c r="O41" s="373"/>
      <c r="P41" s="364"/>
      <c r="Q41" s="373"/>
      <c r="R41" s="373"/>
      <c r="S41" s="982"/>
      <c r="T41" s="982"/>
      <c r="U41" s="982"/>
      <c r="V41" s="982"/>
      <c r="W41" s="949" t="s">
        <v>919</v>
      </c>
      <c r="X41" s="949" t="s">
        <v>918</v>
      </c>
      <c r="Y41" s="949">
        <v>34496.699999999997</v>
      </c>
      <c r="Z41" s="949" t="s">
        <v>913</v>
      </c>
      <c r="AA41" s="949">
        <v>-99996</v>
      </c>
      <c r="AB41" s="949">
        <v>0.2</v>
      </c>
      <c r="AC41" s="949">
        <v>0.2</v>
      </c>
      <c r="AD41" s="949">
        <v>-99996</v>
      </c>
      <c r="AE41" s="949">
        <v>34387.5</v>
      </c>
      <c r="AF41" s="949">
        <v>15474.4</v>
      </c>
      <c r="AG41" s="949">
        <v>0.996834</v>
      </c>
      <c r="AH41" s="949">
        <v>250</v>
      </c>
      <c r="AI41" s="949">
        <v>-99996</v>
      </c>
      <c r="AJ41" s="949">
        <v>250</v>
      </c>
      <c r="AK41" s="949"/>
      <c r="AL41" s="949">
        <v>-99996</v>
      </c>
      <c r="AM41" s="949">
        <v>-99996</v>
      </c>
      <c r="AN41" s="949">
        <v>-99996</v>
      </c>
      <c r="AO41" s="949">
        <v>0</v>
      </c>
      <c r="AP41" s="949">
        <v>0</v>
      </c>
      <c r="AQ41" s="949">
        <v>0</v>
      </c>
      <c r="AR41" s="949">
        <v>175</v>
      </c>
      <c r="AS41" s="949">
        <v>-99996</v>
      </c>
      <c r="AT41" s="949">
        <v>262.5</v>
      </c>
      <c r="AU41" s="949"/>
      <c r="AV41" s="949">
        <v>-99996</v>
      </c>
      <c r="AW41" s="949">
        <v>-99996</v>
      </c>
      <c r="AX41" s="949">
        <v>-99996</v>
      </c>
      <c r="AY41" s="949">
        <v>0</v>
      </c>
      <c r="AZ41" s="949">
        <v>0</v>
      </c>
      <c r="BA41" s="949">
        <v>0</v>
      </c>
      <c r="BB41" s="949">
        <v>175</v>
      </c>
      <c r="BC41" s="949">
        <v>-99996</v>
      </c>
      <c r="BD41" s="949">
        <v>350</v>
      </c>
      <c r="BE41" s="982"/>
    </row>
    <row r="43" spans="1:57" x14ac:dyDescent="0.3">
      <c r="A43" s="364"/>
      <c r="B43" s="92"/>
      <c r="C43" s="366"/>
      <c r="D43" s="373"/>
      <c r="E43" s="373"/>
      <c r="F43" s="373"/>
      <c r="G43" s="367"/>
      <c r="H43" s="373"/>
      <c r="I43" s="367"/>
      <c r="J43" s="373"/>
      <c r="K43" s="373"/>
      <c r="L43" s="373"/>
      <c r="M43" s="373"/>
      <c r="N43" s="373"/>
      <c r="O43" s="373"/>
      <c r="P43" s="373"/>
      <c r="Q43" s="373"/>
      <c r="R43" s="84"/>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7" ht="27.6" x14ac:dyDescent="0.3">
      <c r="A44" s="364"/>
      <c r="B44" s="115" t="s">
        <v>580</v>
      </c>
      <c r="C44" s="123" t="s">
        <v>52</v>
      </c>
      <c r="D44" s="274"/>
      <c r="E44" s="117" t="s">
        <v>1275</v>
      </c>
      <c r="F44" s="267"/>
      <c r="G44" s="279" t="s">
        <v>1276</v>
      </c>
      <c r="H44" s="270"/>
      <c r="I44" s="117" t="s">
        <v>1277</v>
      </c>
      <c r="J44" s="267"/>
      <c r="K44" s="117" t="s">
        <v>1278</v>
      </c>
      <c r="L44" s="373"/>
      <c r="M44" s="373"/>
      <c r="N44" s="373"/>
      <c r="O44" s="373"/>
      <c r="P44" s="373"/>
      <c r="Q44" s="373"/>
      <c r="R44" s="82"/>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7" ht="14.4" thickBot="1" x14ac:dyDescent="0.35">
      <c r="A45" s="364"/>
      <c r="B45" s="145"/>
      <c r="C45" s="125"/>
      <c r="D45" s="145"/>
      <c r="E45" s="998" t="s">
        <v>966</v>
      </c>
      <c r="F45" s="327"/>
      <c r="G45" s="1007" t="s">
        <v>1279</v>
      </c>
      <c r="H45" s="335"/>
      <c r="I45" s="998" t="s">
        <v>1125</v>
      </c>
      <c r="J45" s="327"/>
      <c r="K45" s="998" t="s">
        <v>1125</v>
      </c>
      <c r="L45" s="373"/>
      <c r="M45" s="373"/>
      <c r="N45" s="373"/>
      <c r="O45" s="373"/>
      <c r="P45" s="373"/>
      <c r="Q45" s="373"/>
      <c r="R45" s="364"/>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row>
    <row r="46" spans="1:57" ht="15" thickTop="1" x14ac:dyDescent="0.3">
      <c r="A46" s="364"/>
      <c r="B46" s="130" t="s">
        <v>911</v>
      </c>
      <c r="C46" s="92" t="s">
        <v>915</v>
      </c>
      <c r="D46" s="118" t="s">
        <v>1262</v>
      </c>
      <c r="E46" s="1008">
        <v>538.66700000000003</v>
      </c>
      <c r="F46" s="951" t="str">
        <f>IF(ROUND(G46,1)=ROUND(AP39,1),"x","")</f>
        <v>x</v>
      </c>
      <c r="G46" s="442">
        <f>0.6*E46</f>
        <v>323.2002</v>
      </c>
      <c r="H46" s="951" t="str">
        <f>IF(I46=AR39,"x","")</f>
        <v>x</v>
      </c>
      <c r="I46" s="360">
        <v>400</v>
      </c>
      <c r="J46" s="951" t="str">
        <f>IF(K46=AT39,"x","")</f>
        <v>x</v>
      </c>
      <c r="K46" s="360">
        <v>400</v>
      </c>
      <c r="L46" s="373"/>
      <c r="M46" s="373"/>
      <c r="N46" s="373"/>
      <c r="O46" s="373"/>
      <c r="P46" s="373"/>
      <c r="Q46" s="373"/>
      <c r="R46" s="364"/>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c r="BE46" s="373"/>
    </row>
    <row r="47" spans="1:57" ht="27.6" x14ac:dyDescent="0.3">
      <c r="A47" s="364"/>
      <c r="B47" s="130" t="s">
        <v>916</v>
      </c>
      <c r="C47" s="92" t="s">
        <v>918</v>
      </c>
      <c r="D47" s="690" t="s">
        <v>173</v>
      </c>
      <c r="E47" s="691" t="s">
        <v>173</v>
      </c>
      <c r="F47" s="913" t="s">
        <v>173</v>
      </c>
      <c r="G47" s="913" t="s">
        <v>173</v>
      </c>
      <c r="H47" s="690" t="s">
        <v>173</v>
      </c>
      <c r="I47" s="691" t="s">
        <v>173</v>
      </c>
      <c r="J47" s="913" t="s">
        <v>173</v>
      </c>
      <c r="K47" s="691" t="s">
        <v>173</v>
      </c>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row>
    <row r="48" spans="1:57" ht="27.6" x14ac:dyDescent="0.3">
      <c r="A48" s="364"/>
      <c r="B48" s="180" t="s">
        <v>919</v>
      </c>
      <c r="C48" s="156" t="s">
        <v>918</v>
      </c>
      <c r="D48" s="692" t="s">
        <v>173</v>
      </c>
      <c r="E48" s="693" t="s">
        <v>173</v>
      </c>
      <c r="F48" s="1010" t="s">
        <v>173</v>
      </c>
      <c r="G48" s="1010" t="s">
        <v>173</v>
      </c>
      <c r="H48" s="692" t="s">
        <v>173</v>
      </c>
      <c r="I48" s="693" t="s">
        <v>173</v>
      </c>
      <c r="J48" s="1010" t="s">
        <v>173</v>
      </c>
      <c r="K48" s="693" t="s">
        <v>173</v>
      </c>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row>
    <row r="51" spans="2:13" ht="27.6" x14ac:dyDescent="0.3">
      <c r="B51" s="115" t="s">
        <v>580</v>
      </c>
      <c r="C51" s="123" t="s">
        <v>52</v>
      </c>
      <c r="D51" s="274"/>
      <c r="E51" s="117" t="s">
        <v>1280</v>
      </c>
      <c r="F51" s="270"/>
      <c r="G51" s="268" t="s">
        <v>1276</v>
      </c>
      <c r="H51" s="270"/>
      <c r="I51" s="268" t="s">
        <v>1277</v>
      </c>
      <c r="J51" s="270"/>
      <c r="K51" s="268" t="s">
        <v>1278</v>
      </c>
      <c r="L51" s="373"/>
      <c r="M51" s="373"/>
    </row>
    <row r="52" spans="2:13" ht="14.4" thickBot="1" x14ac:dyDescent="0.35">
      <c r="B52" s="145"/>
      <c r="C52" s="125"/>
      <c r="D52" s="145"/>
      <c r="E52" s="998" t="s">
        <v>966</v>
      </c>
      <c r="F52" s="107"/>
      <c r="G52" s="1000" t="s">
        <v>1279</v>
      </c>
      <c r="H52" s="107"/>
      <c r="I52" s="1000" t="s">
        <v>1125</v>
      </c>
      <c r="J52" s="107"/>
      <c r="K52" s="1000" t="s">
        <v>1125</v>
      </c>
      <c r="L52" s="373"/>
      <c r="M52" s="373"/>
    </row>
    <row r="53" spans="2:13" ht="15" thickTop="1" x14ac:dyDescent="0.3">
      <c r="B53" s="130" t="s">
        <v>911</v>
      </c>
      <c r="C53" s="92" t="s">
        <v>915</v>
      </c>
      <c r="D53" s="118" t="s">
        <v>1262</v>
      </c>
      <c r="E53" s="76">
        <v>421.33</v>
      </c>
      <c r="F53" s="958" t="str">
        <f>IF(ROUND(G53,1)=ROUND(AZ39,1),"x","")</f>
        <v>x</v>
      </c>
      <c r="G53" s="360">
        <f>0.6*E53</f>
        <v>252.79799999999997</v>
      </c>
      <c r="H53" s="958" t="str">
        <f>IF(ROUND(I53,1)=ROUND(BB39,1),"x","")</f>
        <v>x</v>
      </c>
      <c r="I53" s="360">
        <v>287.5</v>
      </c>
      <c r="J53" s="958" t="str">
        <f>IF(ROUND(K53,1)=ROUND(BD39,1),"x","")</f>
        <v>x</v>
      </c>
      <c r="K53" s="360">
        <v>1150</v>
      </c>
      <c r="L53" s="373"/>
      <c r="M53" s="373"/>
    </row>
    <row r="54" spans="2:13" ht="27.6" x14ac:dyDescent="0.3">
      <c r="B54" s="130" t="s">
        <v>916</v>
      </c>
      <c r="C54" s="92" t="s">
        <v>918</v>
      </c>
      <c r="D54" s="690" t="s">
        <v>173</v>
      </c>
      <c r="E54" s="691" t="s">
        <v>173</v>
      </c>
      <c r="F54" s="690" t="s">
        <v>173</v>
      </c>
      <c r="G54" s="691" t="s">
        <v>173</v>
      </c>
      <c r="H54" s="690" t="s">
        <v>173</v>
      </c>
      <c r="I54" s="691" t="s">
        <v>173</v>
      </c>
      <c r="J54" s="690" t="s">
        <v>173</v>
      </c>
      <c r="K54" s="691" t="s">
        <v>173</v>
      </c>
      <c r="L54" s="373"/>
      <c r="M54" s="373"/>
    </row>
    <row r="55" spans="2:13" ht="27.6" x14ac:dyDescent="0.3">
      <c r="B55" s="180" t="s">
        <v>919</v>
      </c>
      <c r="C55" s="156" t="s">
        <v>918</v>
      </c>
      <c r="D55" s="692" t="s">
        <v>173</v>
      </c>
      <c r="E55" s="693" t="s">
        <v>173</v>
      </c>
      <c r="F55" s="692" t="s">
        <v>173</v>
      </c>
      <c r="G55" s="693" t="s">
        <v>173</v>
      </c>
      <c r="H55" s="692" t="s">
        <v>173</v>
      </c>
      <c r="I55" s="693" t="s">
        <v>173</v>
      </c>
      <c r="J55" s="692" t="s">
        <v>173</v>
      </c>
      <c r="K55" s="693" t="s">
        <v>173</v>
      </c>
      <c r="L55" s="373"/>
      <c r="M55" s="373"/>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sheetPr>
  <dimension ref="A1:BE81"/>
  <sheetViews>
    <sheetView zoomScaleNormal="100" workbookViewId="0">
      <selection activeCell="K8" sqref="K8"/>
    </sheetView>
  </sheetViews>
  <sheetFormatPr defaultColWidth="9.109375" defaultRowHeight="13.8" outlineLevelCol="1" x14ac:dyDescent="0.3"/>
  <cols>
    <col min="1" max="1" width="3.6640625" style="56" customWidth="1"/>
    <col min="2" max="2" width="22.109375" style="57" bestFit="1" customWidth="1"/>
    <col min="3" max="3" width="36.5546875" style="7" bestFit="1" customWidth="1"/>
    <col min="4" max="4" width="14.33203125" style="7" bestFit="1" customWidth="1"/>
    <col min="5" max="5" width="2.6640625" style="113" customWidth="1"/>
    <col min="6" max="6" width="28.109375" style="19" bestFit="1" customWidth="1"/>
    <col min="7" max="7" width="2.6640625" style="113" customWidth="1"/>
    <col min="8" max="8" width="23.6640625" style="2" bestFit="1" customWidth="1"/>
    <col min="9" max="9" width="2.6640625" style="113" customWidth="1"/>
    <col min="10" max="10" width="28.6640625" style="2" customWidth="1"/>
    <col min="11" max="11" width="2.6640625" style="113" customWidth="1"/>
    <col min="12" max="12" width="26.44140625" style="19" bestFit="1" customWidth="1"/>
    <col min="13" max="13" width="2.6640625" style="113" customWidth="1"/>
    <col min="14" max="14" width="25.88671875" style="19" customWidth="1"/>
    <col min="15" max="15" width="2.6640625" style="7" customWidth="1"/>
    <col min="16" max="16" width="10.33203125" style="19" bestFit="1" customWidth="1" outlineLevel="1"/>
    <col min="17" max="17" width="10.33203125" style="373" customWidth="1" outlineLevel="1"/>
    <col min="18" max="20" width="9.109375" style="19" outlineLevel="1"/>
    <col min="21" max="21" width="18.6640625" style="19" customWidth="1" outlineLevel="1"/>
    <col min="22" max="57" width="9.109375" style="19" outlineLevel="1"/>
    <col min="58" max="16384" width="9.109375" style="19"/>
  </cols>
  <sheetData>
    <row r="1" spans="1:38" x14ac:dyDescent="0.3">
      <c r="A1" s="74"/>
      <c r="B1" s="74"/>
      <c r="C1" s="74"/>
      <c r="D1" s="74"/>
      <c r="E1" s="74"/>
      <c r="F1" s="74"/>
      <c r="G1" s="74"/>
      <c r="H1" s="79"/>
      <c r="I1" s="74"/>
      <c r="J1" s="79"/>
      <c r="K1" s="74"/>
      <c r="L1" s="74"/>
      <c r="M1" s="74"/>
      <c r="N1" s="74"/>
      <c r="O1" s="74"/>
      <c r="P1" s="74"/>
      <c r="Q1" s="74"/>
      <c r="R1" s="373"/>
      <c r="S1" s="373"/>
      <c r="T1" s="373"/>
      <c r="U1" s="373"/>
      <c r="V1" s="373"/>
      <c r="W1" s="373"/>
      <c r="X1" s="373"/>
      <c r="Y1" s="373"/>
      <c r="Z1" s="373"/>
      <c r="AA1" s="373"/>
      <c r="AB1" s="373"/>
      <c r="AC1" s="373"/>
      <c r="AD1" s="373"/>
      <c r="AE1" s="373"/>
      <c r="AF1" s="373"/>
      <c r="AG1" s="373"/>
      <c r="AH1" s="373"/>
      <c r="AI1" s="373"/>
      <c r="AJ1" s="373"/>
      <c r="AK1" s="373"/>
      <c r="AL1" s="373"/>
    </row>
    <row r="2" spans="1:38" s="56" customFormat="1" x14ac:dyDescent="0.3">
      <c r="A2" s="364"/>
      <c r="B2" s="513" t="s">
        <v>0</v>
      </c>
      <c r="C2" s="513"/>
      <c r="D2" s="513"/>
      <c r="E2" s="520"/>
      <c r="F2" s="513" t="s">
        <v>1</v>
      </c>
      <c r="G2" s="364"/>
      <c r="H2" s="72"/>
      <c r="I2" s="364"/>
      <c r="J2" s="72"/>
      <c r="K2" s="513"/>
      <c r="L2" s="516" t="s">
        <v>109</v>
      </c>
      <c r="M2" s="83"/>
      <c r="N2" s="364"/>
      <c r="O2" s="364"/>
      <c r="P2" s="83"/>
      <c r="Q2" s="83"/>
      <c r="R2" s="364"/>
      <c r="S2" s="364"/>
      <c r="T2" s="364"/>
      <c r="U2" s="364"/>
      <c r="V2" s="364"/>
      <c r="W2" s="364"/>
      <c r="X2" s="364"/>
      <c r="Y2" s="364"/>
      <c r="Z2" s="364"/>
      <c r="AA2" s="364"/>
      <c r="AB2" s="364"/>
      <c r="AC2" s="364"/>
      <c r="AD2" s="364"/>
      <c r="AE2" s="364"/>
      <c r="AF2" s="364"/>
      <c r="AG2" s="364"/>
      <c r="AH2" s="364"/>
      <c r="AI2" s="364"/>
      <c r="AJ2" s="364"/>
      <c r="AK2" s="364"/>
      <c r="AL2" s="364"/>
    </row>
    <row r="3" spans="1:38" s="56" customFormat="1" x14ac:dyDescent="0.3">
      <c r="A3" s="364"/>
      <c r="B3" s="364" t="s">
        <v>2</v>
      </c>
      <c r="C3" s="98" t="s">
        <v>66</v>
      </c>
      <c r="D3" s="364"/>
      <c r="E3" s="364"/>
      <c r="F3" s="364" t="s">
        <v>3</v>
      </c>
      <c r="G3" s="364"/>
      <c r="H3" s="950" t="str">
        <f>'Documentation Main Sheet'!I2</f>
        <v>r6055</v>
      </c>
      <c r="I3" s="364"/>
      <c r="J3" s="399"/>
      <c r="K3" s="142"/>
      <c r="L3" s="364" t="s">
        <v>318</v>
      </c>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row>
    <row r="4" spans="1:38" s="56" customFormat="1" x14ac:dyDescent="0.3">
      <c r="A4" s="364"/>
      <c r="B4" s="364" t="s">
        <v>6</v>
      </c>
      <c r="C4" s="364" t="str">
        <f>C3&amp;".cibd19"</f>
        <v>050006-RetlMed-Run16.cibd19</v>
      </c>
      <c r="D4" s="364"/>
      <c r="E4" s="364"/>
      <c r="F4" s="364" t="s">
        <v>7</v>
      </c>
      <c r="G4" s="364"/>
      <c r="H4" s="364" t="str">
        <f>'Documentation Main Sheet'!I3</f>
        <v>Release package</v>
      </c>
      <c r="I4" s="364"/>
      <c r="J4" s="399"/>
      <c r="K4" s="521"/>
      <c r="L4" s="364" t="s">
        <v>110</v>
      </c>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row>
    <row r="5" spans="1:38" s="56" customFormat="1" x14ac:dyDescent="0.3">
      <c r="A5" s="364"/>
      <c r="B5" s="364" t="s">
        <v>9</v>
      </c>
      <c r="C5" s="364" t="s">
        <v>112</v>
      </c>
      <c r="D5" s="364"/>
      <c r="E5" s="364"/>
      <c r="F5" s="364" t="s">
        <v>10</v>
      </c>
      <c r="G5" s="364"/>
      <c r="H5" s="364" t="str">
        <f>'Documentation Main Sheet'!I4</f>
        <v>CBECC-Com 2019.1.2 Release</v>
      </c>
      <c r="I5" s="364"/>
      <c r="J5" s="399"/>
      <c r="K5" s="991">
        <v>1</v>
      </c>
      <c r="L5" s="373" t="s">
        <v>111</v>
      </c>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row>
    <row r="6" spans="1:38" s="56" customFormat="1" x14ac:dyDescent="0.3">
      <c r="A6" s="364"/>
      <c r="B6" s="364" t="s">
        <v>17</v>
      </c>
      <c r="C6" s="364" t="s">
        <v>65</v>
      </c>
      <c r="D6" s="364"/>
      <c r="E6" s="364"/>
      <c r="F6" s="364" t="s">
        <v>12</v>
      </c>
      <c r="G6" s="364"/>
      <c r="H6" s="68">
        <f>'Documentation Main Sheet'!I5</f>
        <v>43754</v>
      </c>
      <c r="I6" s="364"/>
      <c r="J6" s="399"/>
      <c r="K6" s="526">
        <v>1</v>
      </c>
      <c r="L6" s="376" t="s">
        <v>113</v>
      </c>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row>
    <row r="7" spans="1:38" s="56" customFormat="1" x14ac:dyDescent="0.3">
      <c r="A7" s="364"/>
      <c r="B7" s="364" t="s">
        <v>20</v>
      </c>
      <c r="C7" s="364" t="s">
        <v>63</v>
      </c>
      <c r="D7" s="364"/>
      <c r="E7" s="364"/>
      <c r="F7" s="364" t="s">
        <v>13</v>
      </c>
      <c r="G7" s="364"/>
      <c r="H7" s="364" t="str">
        <f>'Documentation Main Sheet'!I6</f>
        <v>Jireh Peng</v>
      </c>
      <c r="I7" s="364"/>
      <c r="J7" s="399"/>
      <c r="K7" s="527">
        <v>1</v>
      </c>
      <c r="L7" s="373" t="s">
        <v>114</v>
      </c>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row>
    <row r="8" spans="1:38" s="56" customFormat="1" x14ac:dyDescent="0.3">
      <c r="A8" s="364"/>
      <c r="B8" s="364" t="s">
        <v>19</v>
      </c>
      <c r="C8" s="92" t="s">
        <v>27</v>
      </c>
      <c r="D8" s="364"/>
      <c r="E8" s="364"/>
      <c r="F8" s="364"/>
      <c r="G8" s="364"/>
      <c r="H8" s="376"/>
      <c r="I8" s="364"/>
      <c r="J8" s="376"/>
      <c r="K8" s="996">
        <v>1</v>
      </c>
      <c r="L8" s="364" t="s">
        <v>115</v>
      </c>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row>
    <row r="9" spans="1:38" s="56" customFormat="1" x14ac:dyDescent="0.3">
      <c r="A9" s="364"/>
      <c r="B9" s="364"/>
      <c r="C9" s="364"/>
      <c r="D9" s="364"/>
      <c r="E9" s="364"/>
      <c r="F9" s="364"/>
      <c r="G9" s="364"/>
      <c r="H9" s="72"/>
      <c r="I9" s="364"/>
      <c r="J9" s="72"/>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row>
    <row r="10" spans="1:38" s="33" customFormat="1" x14ac:dyDescent="0.3">
      <c r="A10" s="283"/>
      <c r="B10" s="336" t="s">
        <v>134</v>
      </c>
      <c r="C10" s="283"/>
      <c r="D10" s="283"/>
      <c r="E10" s="283"/>
      <c r="F10" s="283"/>
      <c r="G10" s="283"/>
      <c r="H10" s="283"/>
      <c r="I10" s="283"/>
      <c r="J10" s="283"/>
      <c r="K10" s="283"/>
      <c r="L10" s="283"/>
      <c r="M10" s="283"/>
      <c r="N10" s="283"/>
      <c r="O10" s="364"/>
      <c r="P10" s="364"/>
      <c r="Q10" s="364"/>
      <c r="R10" s="96"/>
      <c r="S10" s="96"/>
      <c r="T10" s="96"/>
      <c r="U10" s="96"/>
      <c r="V10" s="96"/>
      <c r="W10" s="96"/>
      <c r="X10" s="96"/>
      <c r="Y10" s="96"/>
      <c r="Z10" s="96"/>
      <c r="AA10" s="96"/>
      <c r="AB10" s="96"/>
      <c r="AC10" s="96"/>
      <c r="AD10" s="96"/>
      <c r="AE10" s="96"/>
      <c r="AF10" s="96"/>
      <c r="AG10" s="96"/>
      <c r="AH10" s="96"/>
      <c r="AI10" s="96"/>
      <c r="AJ10" s="96"/>
      <c r="AK10" s="96"/>
      <c r="AL10" s="96"/>
    </row>
    <row r="11" spans="1:38" s="3" customFormat="1" ht="14.4" x14ac:dyDescent="0.3">
      <c r="A11" s="27"/>
      <c r="B11" s="29" t="s">
        <v>922</v>
      </c>
      <c r="C11" s="89"/>
      <c r="D11" s="89"/>
      <c r="E11" s="91"/>
      <c r="F11" s="89"/>
      <c r="G11" s="91"/>
      <c r="H11" s="89"/>
      <c r="I11" s="91"/>
      <c r="J11" s="89"/>
      <c r="K11" s="91"/>
      <c r="L11" s="89"/>
      <c r="M11" s="91"/>
      <c r="N11" s="89"/>
      <c r="O11" s="364"/>
      <c r="P11" s="89"/>
      <c r="Q11" s="89"/>
      <c r="R11" s="89"/>
      <c r="S11" s="89"/>
      <c r="T11" s="89"/>
      <c r="U11" s="89"/>
      <c r="V11" s="369" t="s">
        <v>1081</v>
      </c>
      <c r="W11" s="982"/>
      <c r="X11" s="982"/>
      <c r="Y11" s="982"/>
      <c r="Z11" s="982"/>
      <c r="AA11" s="982"/>
      <c r="AB11" s="982"/>
      <c r="AC11" s="982"/>
      <c r="AD11" s="982"/>
      <c r="AE11" s="982"/>
      <c r="AF11" s="982"/>
      <c r="AG11" s="982"/>
      <c r="AH11" s="982"/>
      <c r="AI11" s="982"/>
      <c r="AJ11" s="982"/>
      <c r="AK11" s="982"/>
      <c r="AL11" s="982"/>
    </row>
    <row r="12" spans="1:38" s="3" customFormat="1" ht="14.4" x14ac:dyDescent="0.3">
      <c r="A12" s="89"/>
      <c r="B12" s="84" t="s">
        <v>870</v>
      </c>
      <c r="C12" s="89"/>
      <c r="D12" s="89"/>
      <c r="E12" s="91"/>
      <c r="F12" s="89"/>
      <c r="G12" s="91"/>
      <c r="H12" s="89"/>
      <c r="I12" s="91"/>
      <c r="J12" s="89"/>
      <c r="K12" s="91"/>
      <c r="L12" s="89"/>
      <c r="M12" s="91"/>
      <c r="N12" s="89"/>
      <c r="O12" s="364"/>
      <c r="P12" s="364"/>
      <c r="Q12" s="364"/>
      <c r="R12" s="89"/>
      <c r="S12" s="89"/>
      <c r="T12" s="89"/>
      <c r="U12" s="89"/>
      <c r="V12" s="982" t="s">
        <v>870</v>
      </c>
      <c r="W12" s="982"/>
      <c r="X12" s="982"/>
      <c r="Y12" s="982"/>
      <c r="Z12" s="982"/>
      <c r="AA12" s="982" t="s">
        <v>924</v>
      </c>
      <c r="AB12" s="982"/>
      <c r="AC12" s="982"/>
      <c r="AD12" s="982"/>
      <c r="AE12" s="982"/>
      <c r="AF12" s="982"/>
      <c r="AG12" s="982"/>
      <c r="AH12" s="982"/>
      <c r="AI12" s="982" t="s">
        <v>925</v>
      </c>
      <c r="AJ12" s="982"/>
      <c r="AK12" s="982"/>
      <c r="AL12" s="982"/>
    </row>
    <row r="13" spans="1:38" s="84" customFormat="1" ht="38.25" customHeight="1" x14ac:dyDescent="0.3">
      <c r="B13" s="115" t="s">
        <v>580</v>
      </c>
      <c r="C13" s="123" t="s">
        <v>52</v>
      </c>
      <c r="D13" s="123" t="s">
        <v>524</v>
      </c>
      <c r="E13" s="274"/>
      <c r="F13" s="173" t="s">
        <v>1203</v>
      </c>
      <c r="G13" s="274"/>
      <c r="H13" s="173" t="s">
        <v>1214</v>
      </c>
      <c r="I13" s="274"/>
      <c r="J13" s="173" t="s">
        <v>1216</v>
      </c>
      <c r="K13" s="274"/>
      <c r="L13" s="117" t="s">
        <v>1281</v>
      </c>
      <c r="M13" s="87"/>
      <c r="N13" s="85"/>
      <c r="O13" s="364"/>
      <c r="P13" s="364"/>
      <c r="Q13" s="364"/>
      <c r="V13" s="982" t="s">
        <v>121</v>
      </c>
      <c r="W13" s="982" t="s">
        <v>523</v>
      </c>
      <c r="X13" s="982" t="s">
        <v>52</v>
      </c>
      <c r="Y13" s="982" t="s">
        <v>1082</v>
      </c>
      <c r="Z13" s="982" t="s">
        <v>896</v>
      </c>
      <c r="AA13" s="982" t="s">
        <v>1083</v>
      </c>
      <c r="AB13" s="982" t="s">
        <v>1084</v>
      </c>
      <c r="AC13" s="982" t="s">
        <v>956</v>
      </c>
      <c r="AD13" s="982" t="s">
        <v>957</v>
      </c>
      <c r="AE13" s="982" t="s">
        <v>1085</v>
      </c>
      <c r="AF13" s="982" t="s">
        <v>1086</v>
      </c>
      <c r="AG13" s="982" t="s">
        <v>1087</v>
      </c>
      <c r="AH13" s="982" t="s">
        <v>1088</v>
      </c>
      <c r="AI13" s="982" t="s">
        <v>1089</v>
      </c>
      <c r="AJ13" s="982" t="s">
        <v>956</v>
      </c>
      <c r="AK13" s="982" t="s">
        <v>957</v>
      </c>
      <c r="AL13" s="982" t="s">
        <v>1090</v>
      </c>
    </row>
    <row r="14" spans="1:38" s="56" customFormat="1" ht="15" thickBot="1" x14ac:dyDescent="0.35">
      <c r="A14" s="364"/>
      <c r="B14" s="211" t="s">
        <v>942</v>
      </c>
      <c r="C14" s="124"/>
      <c r="D14" s="124"/>
      <c r="E14" s="107"/>
      <c r="F14" s="1004" t="s">
        <v>1207</v>
      </c>
      <c r="G14" s="107"/>
      <c r="H14" s="1004" t="s">
        <v>1207</v>
      </c>
      <c r="I14" s="107"/>
      <c r="J14" s="208" t="s">
        <v>946</v>
      </c>
      <c r="K14" s="107"/>
      <c r="L14" s="1000" t="s">
        <v>1282</v>
      </c>
      <c r="M14" s="82"/>
      <c r="N14" s="82"/>
      <c r="O14" s="364"/>
      <c r="P14" s="364"/>
      <c r="Q14" s="364"/>
      <c r="R14" s="364"/>
      <c r="S14" s="364"/>
      <c r="T14" s="364"/>
      <c r="U14" s="364"/>
      <c r="V14" s="982"/>
      <c r="W14" s="982"/>
      <c r="X14" s="982"/>
      <c r="Y14" s="982"/>
      <c r="Z14" s="982" t="s">
        <v>966</v>
      </c>
      <c r="AA14" s="982"/>
      <c r="AB14" s="982" t="s">
        <v>1094</v>
      </c>
      <c r="AC14" s="982"/>
      <c r="AD14" s="982" t="s">
        <v>968</v>
      </c>
      <c r="AE14" s="982"/>
      <c r="AF14" s="982" t="s">
        <v>1094</v>
      </c>
      <c r="AG14" s="982" t="s">
        <v>1094</v>
      </c>
      <c r="AH14" s="982" t="s">
        <v>1095</v>
      </c>
      <c r="AI14" s="982" t="s">
        <v>1094</v>
      </c>
      <c r="AJ14" s="982"/>
      <c r="AK14" s="982" t="s">
        <v>968</v>
      </c>
      <c r="AL14" s="982" t="s">
        <v>1095</v>
      </c>
    </row>
    <row r="15" spans="1:38" s="56" customFormat="1" ht="16.5" customHeight="1" thickTop="1" x14ac:dyDescent="0.3">
      <c r="A15" s="364"/>
      <c r="B15" s="130" t="s">
        <v>1283</v>
      </c>
      <c r="C15" s="92" t="s">
        <v>918</v>
      </c>
      <c r="D15" s="32">
        <v>4089.12</v>
      </c>
      <c r="E15" s="484"/>
      <c r="F15" s="1011">
        <v>0.6</v>
      </c>
      <c r="G15" s="1012" t="s">
        <v>173</v>
      </c>
      <c r="H15" s="1013" t="s">
        <v>173</v>
      </c>
      <c r="I15" s="957" t="str">
        <f>IF(J15=AH15,"X","")</f>
        <v>X</v>
      </c>
      <c r="J15" s="873">
        <v>0.45</v>
      </c>
      <c r="K15" s="1012" t="s">
        <v>173</v>
      </c>
      <c r="L15" s="1013" t="s">
        <v>173</v>
      </c>
      <c r="M15" s="70"/>
      <c r="N15" s="367"/>
      <c r="O15" s="364"/>
      <c r="P15" s="809"/>
      <c r="Q15" s="809"/>
      <c r="R15" s="809"/>
      <c r="S15" s="809"/>
      <c r="T15" s="809"/>
      <c r="U15" s="808" t="s">
        <v>1210</v>
      </c>
      <c r="V15" s="949" t="s">
        <v>1283</v>
      </c>
      <c r="W15" s="949" t="s">
        <v>170</v>
      </c>
      <c r="X15" s="949" t="s">
        <v>918</v>
      </c>
      <c r="Y15" s="949" t="s">
        <v>137</v>
      </c>
      <c r="Z15" s="949">
        <v>4089.12</v>
      </c>
      <c r="AA15" s="949" t="s">
        <v>1096</v>
      </c>
      <c r="AB15" s="949">
        <v>1840.1</v>
      </c>
      <c r="AC15" s="949" t="s">
        <v>973</v>
      </c>
      <c r="AD15" s="949">
        <v>3459.4</v>
      </c>
      <c r="AE15" s="949">
        <v>-99996</v>
      </c>
      <c r="AF15" s="949">
        <v>0</v>
      </c>
      <c r="AG15" s="949">
        <v>1840.1</v>
      </c>
      <c r="AH15" s="949">
        <v>0.45</v>
      </c>
      <c r="AI15" s="982"/>
      <c r="AJ15" s="982"/>
      <c r="AK15" s="982"/>
      <c r="AL15" s="982"/>
    </row>
    <row r="16" spans="1:38" s="56" customFormat="1" ht="17.25" customHeight="1" x14ac:dyDescent="0.3">
      <c r="A16" s="364"/>
      <c r="B16" s="130" t="s">
        <v>1284</v>
      </c>
      <c r="C16" s="92" t="s">
        <v>980</v>
      </c>
      <c r="D16" s="32">
        <v>17227.400000000001</v>
      </c>
      <c r="E16" s="333"/>
      <c r="F16" s="1001">
        <v>1.2</v>
      </c>
      <c r="G16" s="690" t="s">
        <v>173</v>
      </c>
      <c r="H16" s="691" t="s">
        <v>173</v>
      </c>
      <c r="I16" s="958" t="str">
        <f t="shared" ref="I16:I19" si="0">IF(J16=AH16,"X","")</f>
        <v>X</v>
      </c>
      <c r="J16" s="298">
        <v>1</v>
      </c>
      <c r="K16" s="690" t="s">
        <v>173</v>
      </c>
      <c r="L16" s="691" t="s">
        <v>173</v>
      </c>
      <c r="M16" s="70"/>
      <c r="N16" s="367"/>
      <c r="O16" s="364"/>
      <c r="P16" s="364"/>
      <c r="Q16" s="364"/>
      <c r="R16" s="364"/>
      <c r="S16" s="364"/>
      <c r="T16" s="364"/>
      <c r="U16" s="364"/>
      <c r="V16" s="949" t="s">
        <v>1284</v>
      </c>
      <c r="W16" s="949" t="s">
        <v>170</v>
      </c>
      <c r="X16" s="949" t="s">
        <v>980</v>
      </c>
      <c r="Y16" s="949" t="s">
        <v>137</v>
      </c>
      <c r="Z16" s="949">
        <v>17227.400000000001</v>
      </c>
      <c r="AA16" s="949" t="s">
        <v>1096</v>
      </c>
      <c r="AB16" s="949">
        <v>17227.400000000001</v>
      </c>
      <c r="AC16" s="949" t="s">
        <v>973</v>
      </c>
      <c r="AD16" s="949">
        <v>3459.4</v>
      </c>
      <c r="AE16" s="949">
        <v>-99996</v>
      </c>
      <c r="AF16" s="949">
        <v>0</v>
      </c>
      <c r="AG16" s="949">
        <v>17227.400000000001</v>
      </c>
      <c r="AH16" s="949">
        <v>1</v>
      </c>
      <c r="AI16" s="982"/>
      <c r="AJ16" s="982"/>
      <c r="AK16" s="982"/>
      <c r="AL16" s="982"/>
    </row>
    <row r="17" spans="1:55" ht="14.4" x14ac:dyDescent="0.3">
      <c r="A17" s="364"/>
      <c r="B17" s="130" t="s">
        <v>1285</v>
      </c>
      <c r="C17" s="92" t="s">
        <v>986</v>
      </c>
      <c r="D17" s="32">
        <v>129.167</v>
      </c>
      <c r="E17" s="333"/>
      <c r="F17" s="1001">
        <v>0.95</v>
      </c>
      <c r="G17" s="690" t="s">
        <v>173</v>
      </c>
      <c r="H17" s="691" t="s">
        <v>173</v>
      </c>
      <c r="I17" s="958" t="str">
        <f t="shared" si="0"/>
        <v>X</v>
      </c>
      <c r="J17" s="298">
        <v>0.85</v>
      </c>
      <c r="K17" s="690" t="s">
        <v>173</v>
      </c>
      <c r="L17" s="691" t="s">
        <v>173</v>
      </c>
      <c r="M17" s="70"/>
      <c r="N17" s="367"/>
      <c r="O17" s="364"/>
      <c r="P17" s="364"/>
      <c r="Q17" s="364"/>
      <c r="R17" s="373"/>
      <c r="S17" s="373"/>
      <c r="T17" s="373"/>
      <c r="U17" s="373"/>
      <c r="V17" s="949" t="s">
        <v>1285</v>
      </c>
      <c r="W17" s="949" t="s">
        <v>1200</v>
      </c>
      <c r="X17" s="949" t="s">
        <v>986</v>
      </c>
      <c r="Y17" s="949" t="s">
        <v>137</v>
      </c>
      <c r="Z17" s="949">
        <v>129.167</v>
      </c>
      <c r="AA17" s="949" t="s">
        <v>1096</v>
      </c>
      <c r="AB17" s="949">
        <v>109.792</v>
      </c>
      <c r="AC17" s="949" t="s">
        <v>973</v>
      </c>
      <c r="AD17" s="949">
        <v>3459.4</v>
      </c>
      <c r="AE17" s="949">
        <v>-99996</v>
      </c>
      <c r="AF17" s="949">
        <v>0</v>
      </c>
      <c r="AG17" s="949">
        <v>109.792</v>
      </c>
      <c r="AH17" s="949">
        <v>0.85</v>
      </c>
      <c r="AI17" s="982"/>
      <c r="AJ17" s="982"/>
      <c r="AK17" s="982"/>
      <c r="AL17" s="982"/>
      <c r="AM17" s="373"/>
      <c r="AN17" s="373"/>
      <c r="AO17" s="373"/>
      <c r="AP17" s="373"/>
      <c r="AQ17" s="373"/>
      <c r="AR17" s="373"/>
      <c r="AS17" s="373"/>
      <c r="AT17" s="373"/>
      <c r="AU17" s="373"/>
      <c r="AV17" s="373"/>
      <c r="AW17" s="373"/>
      <c r="AX17" s="373"/>
      <c r="AY17" s="373"/>
      <c r="AZ17" s="373"/>
      <c r="BA17" s="373"/>
      <c r="BB17" s="373"/>
      <c r="BC17" s="373"/>
    </row>
    <row r="18" spans="1:55" s="56" customFormat="1" ht="17.25" customHeight="1" x14ac:dyDescent="0.3">
      <c r="A18" s="364"/>
      <c r="B18" s="130" t="s">
        <v>1286</v>
      </c>
      <c r="C18" s="92" t="s">
        <v>980</v>
      </c>
      <c r="D18" s="32">
        <v>1623.3</v>
      </c>
      <c r="E18" s="333"/>
      <c r="F18" s="1001">
        <v>1.6</v>
      </c>
      <c r="G18" s="333"/>
      <c r="H18" s="691">
        <v>0.75</v>
      </c>
      <c r="I18" s="958" t="str">
        <f t="shared" si="0"/>
        <v>X</v>
      </c>
      <c r="J18" s="298">
        <v>2.35</v>
      </c>
      <c r="K18" s="951" t="str">
        <f>IF(L18=AL28,"X","")</f>
        <v>X</v>
      </c>
      <c r="L18" s="202">
        <v>810</v>
      </c>
      <c r="M18" s="70"/>
      <c r="N18" s="367"/>
      <c r="O18" s="364"/>
      <c r="P18" s="364"/>
      <c r="Q18" s="364"/>
      <c r="R18" s="364"/>
      <c r="S18" s="364"/>
      <c r="T18" s="364"/>
      <c r="U18" s="364"/>
      <c r="V18" s="949" t="s">
        <v>1286</v>
      </c>
      <c r="W18" s="949" t="s">
        <v>170</v>
      </c>
      <c r="X18" s="949" t="s">
        <v>980</v>
      </c>
      <c r="Y18" s="949" t="s">
        <v>137</v>
      </c>
      <c r="Z18" s="949">
        <v>1623.3</v>
      </c>
      <c r="AA18" s="949" t="s">
        <v>1209</v>
      </c>
      <c r="AB18" s="949">
        <v>3808</v>
      </c>
      <c r="AC18" s="949" t="s">
        <v>973</v>
      </c>
      <c r="AD18" s="949">
        <v>3459.4</v>
      </c>
      <c r="AE18" s="949">
        <v>-99996</v>
      </c>
      <c r="AF18" s="949">
        <v>0</v>
      </c>
      <c r="AG18" s="949">
        <v>3808</v>
      </c>
      <c r="AH18" s="949">
        <v>2.35</v>
      </c>
      <c r="AI18" s="982"/>
      <c r="AJ18" s="982"/>
      <c r="AK18" s="982"/>
      <c r="AL18" s="982"/>
      <c r="AM18" s="364"/>
      <c r="AN18" s="364"/>
      <c r="AO18" s="364"/>
      <c r="AP18" s="364"/>
      <c r="AQ18" s="364"/>
      <c r="AR18" s="364"/>
      <c r="AS18" s="364"/>
      <c r="AT18" s="364"/>
      <c r="AU18" s="364"/>
      <c r="AV18" s="364"/>
      <c r="AW18" s="364"/>
      <c r="AX18" s="364"/>
      <c r="AY18" s="364"/>
      <c r="AZ18" s="364"/>
      <c r="BA18" s="364"/>
      <c r="BB18" s="364"/>
      <c r="BC18" s="364"/>
    </row>
    <row r="19" spans="1:55" s="56" customFormat="1" ht="15.75" customHeight="1" x14ac:dyDescent="0.3">
      <c r="A19" s="364"/>
      <c r="B19" s="180" t="s">
        <v>1287</v>
      </c>
      <c r="C19" s="156" t="s">
        <v>980</v>
      </c>
      <c r="D19" s="168">
        <v>1623.3</v>
      </c>
      <c r="E19" s="334"/>
      <c r="F19" s="1002">
        <v>1.2</v>
      </c>
      <c r="G19" s="692" t="s">
        <v>173</v>
      </c>
      <c r="H19" s="693" t="s">
        <v>173</v>
      </c>
      <c r="I19" s="952" t="str">
        <f t="shared" si="0"/>
        <v>X</v>
      </c>
      <c r="J19" s="710">
        <v>1</v>
      </c>
      <c r="K19" s="692" t="s">
        <v>173</v>
      </c>
      <c r="L19" s="693" t="s">
        <v>173</v>
      </c>
      <c r="M19" s="70"/>
      <c r="N19" s="367"/>
      <c r="O19" s="364"/>
      <c r="P19" s="364"/>
      <c r="Q19" s="364"/>
      <c r="R19" s="364"/>
      <c r="S19" s="364"/>
      <c r="T19" s="364"/>
      <c r="U19" s="364"/>
      <c r="V19" s="949" t="s">
        <v>1287</v>
      </c>
      <c r="W19" s="949" t="s">
        <v>170</v>
      </c>
      <c r="X19" s="949" t="s">
        <v>980</v>
      </c>
      <c r="Y19" s="949" t="s">
        <v>137</v>
      </c>
      <c r="Z19" s="949">
        <v>1623.3</v>
      </c>
      <c r="AA19" s="949" t="s">
        <v>1096</v>
      </c>
      <c r="AB19" s="949">
        <v>1623.3</v>
      </c>
      <c r="AC19" s="949" t="s">
        <v>973</v>
      </c>
      <c r="AD19" s="949">
        <v>3459.4</v>
      </c>
      <c r="AE19" s="949">
        <v>-99996</v>
      </c>
      <c r="AF19" s="949">
        <v>0</v>
      </c>
      <c r="AG19" s="949">
        <v>1623.3</v>
      </c>
      <c r="AH19" s="949">
        <v>1</v>
      </c>
      <c r="AI19" s="982"/>
      <c r="AJ19" s="982"/>
      <c r="AK19" s="982"/>
      <c r="AL19" s="982"/>
      <c r="AM19" s="364"/>
      <c r="AN19" s="364"/>
      <c r="AO19" s="364"/>
      <c r="AP19" s="364"/>
      <c r="AQ19" s="364"/>
      <c r="AR19" s="364"/>
      <c r="AS19" s="364"/>
      <c r="AT19" s="364"/>
      <c r="AU19" s="364"/>
      <c r="AV19" s="364"/>
      <c r="AW19" s="364"/>
      <c r="AX19" s="364"/>
      <c r="AY19" s="364"/>
      <c r="AZ19" s="364"/>
      <c r="BA19" s="364"/>
      <c r="BB19" s="364"/>
      <c r="BC19" s="364"/>
    </row>
    <row r="20" spans="1:55" s="56" customFormat="1" x14ac:dyDescent="0.3">
      <c r="A20" s="364"/>
      <c r="B20" s="84"/>
      <c r="C20" s="30"/>
      <c r="D20" s="30"/>
      <c r="E20" s="364"/>
      <c r="F20" s="364"/>
      <c r="G20" s="364"/>
      <c r="H20" s="364"/>
      <c r="I20" s="364"/>
      <c r="J20" s="364"/>
      <c r="K20" s="364"/>
      <c r="L20" s="364"/>
      <c r="M20" s="70"/>
      <c r="N20" s="367"/>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row>
    <row r="21" spans="1:55" s="56" customFormat="1" x14ac:dyDescent="0.3">
      <c r="A21" s="27"/>
      <c r="B21" s="29" t="s">
        <v>64</v>
      </c>
      <c r="C21" s="30"/>
      <c r="D21" s="30"/>
      <c r="E21" s="91"/>
      <c r="F21" s="89"/>
      <c r="G21" s="91"/>
      <c r="H21" s="89"/>
      <c r="I21" s="91"/>
      <c r="J21" s="89"/>
      <c r="K21" s="91"/>
      <c r="L21" s="89"/>
      <c r="M21" s="91"/>
      <c r="N21" s="89"/>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row>
    <row r="22" spans="1:55" s="56" customFormat="1" x14ac:dyDescent="0.3">
      <c r="A22" s="364"/>
      <c r="B22" s="84" t="s">
        <v>870</v>
      </c>
      <c r="C22" s="30"/>
      <c r="D22" s="30"/>
      <c r="E22" s="58"/>
      <c r="F22" s="58"/>
      <c r="G22" s="60"/>
      <c r="H22" s="60"/>
      <c r="I22" s="60"/>
      <c r="J22" s="60"/>
      <c r="K22" s="58"/>
      <c r="L22" s="58"/>
      <c r="M22" s="58"/>
      <c r="N22" s="58"/>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4"/>
      <c r="AY22" s="364"/>
      <c r="AZ22" s="364"/>
      <c r="BA22" s="364"/>
      <c r="BB22" s="364"/>
      <c r="BC22" s="364"/>
    </row>
    <row r="23" spans="1:55" s="84" customFormat="1" ht="27.6" x14ac:dyDescent="0.3">
      <c r="B23" s="115" t="s">
        <v>580</v>
      </c>
      <c r="C23" s="123" t="s">
        <v>52</v>
      </c>
      <c r="D23" s="123" t="s">
        <v>524</v>
      </c>
      <c r="E23" s="274"/>
      <c r="F23" s="268" t="s">
        <v>885</v>
      </c>
      <c r="G23" s="279"/>
      <c r="H23" s="279" t="s">
        <v>1253</v>
      </c>
      <c r="I23" s="270"/>
      <c r="J23" s="268" t="s">
        <v>1254</v>
      </c>
      <c r="K23" s="226"/>
      <c r="L23" s="173" t="s">
        <v>1255</v>
      </c>
      <c r="M23" s="274"/>
      <c r="N23" s="117" t="s">
        <v>1256</v>
      </c>
      <c r="O23" s="364"/>
      <c r="V23" s="369" t="s">
        <v>1231</v>
      </c>
      <c r="W23" s="982"/>
      <c r="X23" s="982"/>
    </row>
    <row r="24" spans="1:55" s="82" customFormat="1" ht="15" thickBot="1" x14ac:dyDescent="0.35">
      <c r="B24" s="211" t="s">
        <v>942</v>
      </c>
      <c r="C24" s="218"/>
      <c r="D24" s="218"/>
      <c r="E24" s="107"/>
      <c r="F24" s="1000" t="s">
        <v>892</v>
      </c>
      <c r="G24" s="218"/>
      <c r="H24" s="208" t="s">
        <v>1257</v>
      </c>
      <c r="I24" s="107"/>
      <c r="J24" s="1000" t="s">
        <v>1258</v>
      </c>
      <c r="K24" s="218"/>
      <c r="L24" s="208" t="s">
        <v>1259</v>
      </c>
      <c r="M24" s="107"/>
      <c r="N24" s="1000" t="s">
        <v>1260</v>
      </c>
      <c r="O24" s="364"/>
      <c r="P24" s="364"/>
      <c r="Q24" s="364"/>
      <c r="V24" s="982"/>
      <c r="W24" s="982" t="s">
        <v>870</v>
      </c>
      <c r="X24" s="982"/>
      <c r="AB24" s="365" t="s">
        <v>924</v>
      </c>
    </row>
    <row r="25" spans="1:55" s="56" customFormat="1" ht="15.75" customHeight="1" thickTop="1" x14ac:dyDescent="0.3">
      <c r="A25" s="364"/>
      <c r="B25" s="130" t="s">
        <v>1283</v>
      </c>
      <c r="C25" s="92" t="s">
        <v>918</v>
      </c>
      <c r="D25" s="961">
        <v>4089.12</v>
      </c>
      <c r="E25" s="913" t="s">
        <v>173</v>
      </c>
      <c r="F25" s="691" t="s">
        <v>173</v>
      </c>
      <c r="G25" s="913" t="s">
        <v>173</v>
      </c>
      <c r="H25" s="913" t="s">
        <v>173</v>
      </c>
      <c r="I25" s="690" t="s">
        <v>173</v>
      </c>
      <c r="J25" s="691" t="s">
        <v>173</v>
      </c>
      <c r="K25" s="913" t="s">
        <v>173</v>
      </c>
      <c r="L25" s="913" t="s">
        <v>173</v>
      </c>
      <c r="M25" s="690" t="s">
        <v>173</v>
      </c>
      <c r="N25" s="691" t="s">
        <v>173</v>
      </c>
      <c r="O25" s="364"/>
      <c r="P25" s="364"/>
      <c r="Q25" s="364"/>
      <c r="R25" s="364"/>
      <c r="S25" s="364"/>
      <c r="T25" s="364"/>
      <c r="U25" s="364"/>
      <c r="V25" s="982" t="s">
        <v>121</v>
      </c>
      <c r="W25" s="982" t="s">
        <v>121</v>
      </c>
      <c r="X25" s="982" t="s">
        <v>52</v>
      </c>
      <c r="Y25" s="364" t="s">
        <v>896</v>
      </c>
      <c r="Z25" s="364" t="s">
        <v>1232</v>
      </c>
      <c r="AA25" s="364" t="s">
        <v>1206</v>
      </c>
      <c r="AB25" s="364" t="s">
        <v>956</v>
      </c>
      <c r="AC25" s="364" t="s">
        <v>1233</v>
      </c>
      <c r="AD25" s="364" t="s">
        <v>1084</v>
      </c>
      <c r="AE25" s="364" t="s">
        <v>1087</v>
      </c>
      <c r="AF25" s="364" t="s">
        <v>1219</v>
      </c>
      <c r="AG25" s="364" t="s">
        <v>1234</v>
      </c>
      <c r="AH25" s="364" t="s">
        <v>1235</v>
      </c>
      <c r="AI25" s="364" t="s">
        <v>1236</v>
      </c>
      <c r="AJ25" s="364" t="s">
        <v>1237</v>
      </c>
      <c r="AK25" s="364" t="s">
        <v>1238</v>
      </c>
      <c r="AL25" s="364" t="s">
        <v>1239</v>
      </c>
      <c r="AM25" s="364"/>
      <c r="AN25" s="364"/>
      <c r="AO25" s="364"/>
      <c r="AP25" s="364"/>
      <c r="AQ25" s="364"/>
      <c r="AR25" s="364"/>
      <c r="AS25" s="364"/>
      <c r="AT25" s="364"/>
      <c r="AU25" s="364"/>
      <c r="AV25" s="364"/>
      <c r="AW25" s="364"/>
      <c r="AX25" s="364"/>
      <c r="AY25" s="364"/>
      <c r="AZ25" s="364"/>
      <c r="BA25" s="364"/>
      <c r="BB25" s="364"/>
      <c r="BC25" s="364"/>
    </row>
    <row r="26" spans="1:55" s="56" customFormat="1" ht="15.75" customHeight="1" x14ac:dyDescent="0.3">
      <c r="A26" s="364"/>
      <c r="B26" s="130" t="s">
        <v>1284</v>
      </c>
      <c r="C26" s="92" t="s">
        <v>980</v>
      </c>
      <c r="D26" s="153">
        <v>17227.400000000001</v>
      </c>
      <c r="E26" s="959" t="str">
        <f>IF(F26=Y37,"X","")</f>
        <v>X</v>
      </c>
      <c r="F26" s="202" t="s">
        <v>913</v>
      </c>
      <c r="G26" s="951" t="str">
        <f>IF(H26=AD37,"X","")</f>
        <v>X</v>
      </c>
      <c r="H26" s="373">
        <v>16742.599999999999</v>
      </c>
      <c r="I26" s="951" t="str">
        <f>IF(J26=AE37,"X","")</f>
        <v>X</v>
      </c>
      <c r="J26" s="365">
        <f>1*H26</f>
        <v>16742.599999999999</v>
      </c>
      <c r="K26" s="951" t="str">
        <f>IF(L26=AG37,"X","")</f>
        <v>X</v>
      </c>
      <c r="L26" s="373">
        <v>950</v>
      </c>
      <c r="M26" s="951" t="str">
        <f>IF(N26=AI37,"X","")</f>
        <v>X</v>
      </c>
      <c r="N26" s="202">
        <v>950</v>
      </c>
      <c r="O26" s="364"/>
      <c r="P26" s="364"/>
      <c r="Q26" s="364"/>
      <c r="R26" s="364"/>
      <c r="S26" s="364"/>
      <c r="T26" s="364"/>
      <c r="U26" s="364"/>
      <c r="V26" s="982"/>
      <c r="W26" s="982"/>
      <c r="X26" s="982"/>
      <c r="Y26" s="364"/>
      <c r="Z26" s="364" t="s">
        <v>966</v>
      </c>
      <c r="AA26" s="364" t="s">
        <v>1240</v>
      </c>
      <c r="AB26" s="364"/>
      <c r="AC26" s="364"/>
      <c r="AD26" s="364" t="s">
        <v>968</v>
      </c>
      <c r="AE26" s="364" t="s">
        <v>1094</v>
      </c>
      <c r="AF26" s="364" t="s">
        <v>1094</v>
      </c>
      <c r="AG26" s="364"/>
      <c r="AH26" s="364" t="s">
        <v>855</v>
      </c>
      <c r="AI26" s="364" t="s">
        <v>1094</v>
      </c>
      <c r="AJ26" s="364"/>
      <c r="AK26" s="364"/>
      <c r="AL26" s="364" t="s">
        <v>1240</v>
      </c>
      <c r="AM26" s="364" t="s">
        <v>966</v>
      </c>
      <c r="AN26" s="364"/>
      <c r="AO26" s="364"/>
      <c r="AP26" s="364"/>
      <c r="AQ26" s="364"/>
      <c r="AR26" s="364"/>
      <c r="AS26" s="364"/>
      <c r="AT26" s="364"/>
      <c r="AU26" s="364"/>
      <c r="AV26" s="364"/>
      <c r="AW26" s="364"/>
      <c r="AX26" s="364"/>
      <c r="AY26" s="364"/>
      <c r="AZ26" s="364"/>
      <c r="BA26" s="364"/>
      <c r="BB26" s="364"/>
      <c r="BC26" s="364"/>
    </row>
    <row r="27" spans="1:55" s="56" customFormat="1" ht="15.75" customHeight="1" x14ac:dyDescent="0.3">
      <c r="A27" s="364"/>
      <c r="B27" s="130" t="s">
        <v>1285</v>
      </c>
      <c r="C27" s="92" t="s">
        <v>986</v>
      </c>
      <c r="D27" s="153">
        <v>129.167</v>
      </c>
      <c r="E27" s="959" t="str">
        <f>IF(F27=Y38,"X","")</f>
        <v>X</v>
      </c>
      <c r="F27" s="202" t="s">
        <v>1288</v>
      </c>
      <c r="G27" s="913" t="s">
        <v>173</v>
      </c>
      <c r="H27" s="913" t="s">
        <v>173</v>
      </c>
      <c r="I27" s="690" t="s">
        <v>173</v>
      </c>
      <c r="J27" s="691" t="s">
        <v>173</v>
      </c>
      <c r="K27" s="913" t="s">
        <v>173</v>
      </c>
      <c r="L27" s="913" t="s">
        <v>173</v>
      </c>
      <c r="M27" s="690" t="s">
        <v>173</v>
      </c>
      <c r="N27" s="691" t="s">
        <v>173</v>
      </c>
      <c r="O27" s="364"/>
      <c r="P27" s="809"/>
      <c r="Q27" s="809"/>
      <c r="R27" s="811"/>
      <c r="S27" s="811"/>
      <c r="T27" s="811"/>
      <c r="U27" s="808" t="s">
        <v>1241</v>
      </c>
      <c r="V27" s="949" t="s">
        <v>1289</v>
      </c>
      <c r="W27" s="949" t="s">
        <v>1286</v>
      </c>
      <c r="X27" s="949" t="s">
        <v>980</v>
      </c>
      <c r="Y27" s="97">
        <v>1623.3</v>
      </c>
      <c r="Z27" s="97">
        <v>20.0001</v>
      </c>
      <c r="AA27" s="97" t="s">
        <v>1209</v>
      </c>
      <c r="AB27" s="97"/>
      <c r="AC27" s="97">
        <v>0</v>
      </c>
      <c r="AD27" s="97">
        <v>2592</v>
      </c>
      <c r="AE27" s="97">
        <v>2592</v>
      </c>
      <c r="AF27" s="97" t="s">
        <v>1243</v>
      </c>
      <c r="AG27" s="97">
        <v>0</v>
      </c>
      <c r="AH27" s="97">
        <v>0</v>
      </c>
      <c r="AI27" s="97" t="s">
        <v>1243</v>
      </c>
      <c r="AJ27" s="97" t="s">
        <v>1243</v>
      </c>
      <c r="AK27" s="97">
        <v>0</v>
      </c>
      <c r="AL27" s="97">
        <v>0</v>
      </c>
      <c r="AM27" s="97"/>
      <c r="AN27" s="364"/>
      <c r="AO27" s="364"/>
      <c r="AP27" s="364"/>
      <c r="AQ27" s="364"/>
      <c r="AR27" s="364"/>
      <c r="AS27" s="364"/>
      <c r="AT27" s="364"/>
      <c r="AU27" s="364"/>
      <c r="AV27" s="364"/>
      <c r="AW27" s="364"/>
      <c r="AX27" s="364"/>
      <c r="AY27" s="364"/>
      <c r="AZ27" s="364"/>
      <c r="BA27" s="364"/>
      <c r="BB27" s="364"/>
      <c r="BC27" s="364"/>
    </row>
    <row r="28" spans="1:55" s="56" customFormat="1" ht="15.75" customHeight="1" x14ac:dyDescent="0.3">
      <c r="A28" s="364"/>
      <c r="B28" s="130" t="s">
        <v>1286</v>
      </c>
      <c r="C28" s="92" t="s">
        <v>980</v>
      </c>
      <c r="D28" s="153">
        <v>1623.3</v>
      </c>
      <c r="E28" s="959" t="str">
        <f>IF(F28=Y39,"X","")</f>
        <v>X</v>
      </c>
      <c r="F28" s="202" t="s">
        <v>913</v>
      </c>
      <c r="G28" s="913" t="s">
        <v>173</v>
      </c>
      <c r="H28" s="913" t="s">
        <v>173</v>
      </c>
      <c r="I28" s="690" t="s">
        <v>173</v>
      </c>
      <c r="J28" s="691" t="s">
        <v>173</v>
      </c>
      <c r="K28" s="913" t="s">
        <v>173</v>
      </c>
      <c r="L28" s="913" t="s">
        <v>173</v>
      </c>
      <c r="M28" s="690" t="s">
        <v>173</v>
      </c>
      <c r="N28" s="691" t="s">
        <v>173</v>
      </c>
      <c r="O28" s="364"/>
      <c r="P28" s="364"/>
      <c r="Q28" s="364"/>
      <c r="R28" s="364"/>
      <c r="S28" s="364"/>
      <c r="T28" s="364"/>
      <c r="U28" s="364"/>
      <c r="V28" s="949" t="s">
        <v>1290</v>
      </c>
      <c r="W28" s="949" t="s">
        <v>1286</v>
      </c>
      <c r="X28" s="949" t="s">
        <v>980</v>
      </c>
      <c r="Y28" s="97">
        <v>1623.3</v>
      </c>
      <c r="Z28" s="97">
        <v>20.0001</v>
      </c>
      <c r="AA28" s="97" t="s">
        <v>1209</v>
      </c>
      <c r="AB28" s="97"/>
      <c r="AC28" s="97">
        <v>0</v>
      </c>
      <c r="AD28" s="97">
        <v>1216</v>
      </c>
      <c r="AE28" s="97">
        <v>1216</v>
      </c>
      <c r="AF28" s="97" t="s">
        <v>1243</v>
      </c>
      <c r="AG28" s="97">
        <v>0</v>
      </c>
      <c r="AH28" s="97">
        <v>0</v>
      </c>
      <c r="AI28" s="97" t="s">
        <v>1291</v>
      </c>
      <c r="AJ28" s="97" t="s">
        <v>1291</v>
      </c>
      <c r="AK28" s="97">
        <v>0</v>
      </c>
      <c r="AL28" s="97">
        <v>810</v>
      </c>
      <c r="AM28" s="97"/>
      <c r="AN28" s="364"/>
      <c r="AO28" s="364"/>
      <c r="AP28" s="364"/>
      <c r="AQ28" s="364"/>
      <c r="AR28" s="364"/>
      <c r="AS28" s="364"/>
      <c r="AT28" s="364"/>
      <c r="AU28" s="364"/>
      <c r="AV28" s="364"/>
      <c r="AW28" s="364"/>
      <c r="AX28" s="364"/>
      <c r="AY28" s="364"/>
      <c r="AZ28" s="364"/>
      <c r="BA28" s="364"/>
      <c r="BB28" s="364"/>
      <c r="BC28" s="364"/>
    </row>
    <row r="29" spans="1:55" s="56" customFormat="1" ht="15.75" customHeight="1" x14ac:dyDescent="0.3">
      <c r="A29" s="364"/>
      <c r="B29" s="180" t="s">
        <v>1287</v>
      </c>
      <c r="C29" s="156" t="s">
        <v>980</v>
      </c>
      <c r="D29" s="169">
        <v>1623.3</v>
      </c>
      <c r="E29" s="960" t="str">
        <f>IF(F29=Y40,"X","")</f>
        <v>X</v>
      </c>
      <c r="F29" s="204" t="s">
        <v>913</v>
      </c>
      <c r="G29" s="1010" t="s">
        <v>173</v>
      </c>
      <c r="H29" s="1010" t="s">
        <v>173</v>
      </c>
      <c r="I29" s="692" t="s">
        <v>173</v>
      </c>
      <c r="J29" s="693" t="s">
        <v>173</v>
      </c>
      <c r="K29" s="1010" t="s">
        <v>173</v>
      </c>
      <c r="L29" s="1010" t="s">
        <v>173</v>
      </c>
      <c r="M29" s="692" t="s">
        <v>173</v>
      </c>
      <c r="N29" s="693" t="s">
        <v>173</v>
      </c>
      <c r="O29" s="364"/>
      <c r="P29" s="364"/>
      <c r="Q29" s="364"/>
      <c r="R29" s="364"/>
      <c r="S29" s="364"/>
      <c r="T29" s="364"/>
      <c r="U29" s="364"/>
      <c r="V29" s="982"/>
      <c r="W29" s="982"/>
      <c r="X29" s="982"/>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row>
    <row r="30" spans="1:55" s="56" customFormat="1" ht="14.4" x14ac:dyDescent="0.3">
      <c r="A30" s="364"/>
      <c r="B30" s="84"/>
      <c r="C30" s="30"/>
      <c r="D30" s="30"/>
      <c r="E30" s="364"/>
      <c r="F30" s="364"/>
      <c r="G30" s="364"/>
      <c r="H30" s="364"/>
      <c r="I30" s="364"/>
      <c r="J30" s="364"/>
      <c r="K30" s="364"/>
      <c r="L30" s="364"/>
      <c r="M30" s="364"/>
      <c r="N30" s="364"/>
      <c r="O30" s="364"/>
      <c r="P30" s="364"/>
      <c r="Q30" s="364"/>
      <c r="R30" s="364"/>
      <c r="S30" s="364"/>
      <c r="T30" s="364"/>
      <c r="U30" s="364"/>
      <c r="V30" s="982"/>
      <c r="W30" s="982"/>
      <c r="X30" s="982"/>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row>
    <row r="31" spans="1:55" s="109" customFormat="1" ht="14.4" x14ac:dyDescent="0.3">
      <c r="A31" s="364"/>
      <c r="B31" s="84"/>
      <c r="C31" s="30"/>
      <c r="D31" s="30"/>
      <c r="E31" s="364"/>
      <c r="F31" s="364"/>
      <c r="G31" s="364"/>
      <c r="H31" s="364"/>
      <c r="I31" s="364"/>
      <c r="J31" s="364"/>
      <c r="K31" s="364"/>
      <c r="L31" s="364"/>
      <c r="M31" s="364"/>
      <c r="N31" s="364"/>
      <c r="O31" s="364"/>
      <c r="P31" s="364"/>
      <c r="Q31" s="364"/>
      <c r="R31" s="364"/>
      <c r="S31" s="364"/>
      <c r="T31" s="364"/>
      <c r="U31" s="364"/>
      <c r="V31" s="982"/>
      <c r="W31" s="982"/>
      <c r="X31" s="982"/>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row>
    <row r="32" spans="1:55" s="109" customFormat="1" ht="41.4" x14ac:dyDescent="0.3">
      <c r="A32" s="364"/>
      <c r="B32" s="115" t="s">
        <v>580</v>
      </c>
      <c r="C32" s="123" t="s">
        <v>52</v>
      </c>
      <c r="D32" s="123" t="s">
        <v>524</v>
      </c>
      <c r="E32" s="274"/>
      <c r="F32" s="117" t="s">
        <v>1263</v>
      </c>
      <c r="G32" s="267"/>
      <c r="H32" s="279" t="s">
        <v>1254</v>
      </c>
      <c r="I32" s="270"/>
      <c r="J32" s="117" t="s">
        <v>1255</v>
      </c>
      <c r="K32" s="267"/>
      <c r="L32" s="117" t="s">
        <v>1264</v>
      </c>
      <c r="M32" s="96"/>
      <c r="N32" s="96"/>
      <c r="O32" s="364"/>
      <c r="P32" s="364"/>
      <c r="Q32" s="364"/>
      <c r="R32" s="364"/>
      <c r="S32" s="364"/>
      <c r="T32" s="364"/>
      <c r="U32" s="364"/>
      <c r="V32" s="369" t="s">
        <v>883</v>
      </c>
      <c r="W32" s="982"/>
      <c r="X32" s="982"/>
      <c r="Y32" s="982"/>
      <c r="Z32" s="982"/>
      <c r="AA32" s="982"/>
      <c r="AB32" s="982"/>
      <c r="AC32" s="982"/>
      <c r="AD32" s="982"/>
      <c r="AE32" s="982"/>
      <c r="AF32" s="982"/>
      <c r="AG32" s="982"/>
      <c r="AH32" s="982"/>
      <c r="AI32" s="982"/>
      <c r="AJ32" s="982"/>
      <c r="AK32" s="982"/>
      <c r="AL32" s="982"/>
      <c r="AM32" s="982"/>
      <c r="AN32" s="982"/>
      <c r="AO32" s="982"/>
      <c r="AP32" s="982"/>
      <c r="AQ32" s="982"/>
      <c r="AR32" s="982"/>
      <c r="AS32" s="982"/>
      <c r="AT32" s="982"/>
      <c r="AU32" s="982"/>
      <c r="AV32" s="982"/>
      <c r="AW32" s="982"/>
      <c r="AX32" s="982"/>
      <c r="AY32" s="982"/>
      <c r="AZ32" s="982"/>
      <c r="BA32" s="982"/>
      <c r="BB32" s="982"/>
      <c r="BC32" s="982"/>
    </row>
    <row r="33" spans="2:55" s="109" customFormat="1" ht="15" thickBot="1" x14ac:dyDescent="0.35">
      <c r="B33" s="211" t="s">
        <v>942</v>
      </c>
      <c r="C33" s="218"/>
      <c r="D33" s="218"/>
      <c r="E33" s="107"/>
      <c r="F33" s="1000" t="s">
        <v>1265</v>
      </c>
      <c r="G33" s="218"/>
      <c r="H33" s="208" t="s">
        <v>1266</v>
      </c>
      <c r="I33" s="107"/>
      <c r="J33" s="1000" t="s">
        <v>1267</v>
      </c>
      <c r="K33" s="218"/>
      <c r="L33" s="1000" t="s">
        <v>1268</v>
      </c>
      <c r="M33" s="96"/>
      <c r="N33" s="96"/>
      <c r="O33" s="364"/>
      <c r="P33" s="364"/>
      <c r="Q33" s="364"/>
      <c r="R33" s="364"/>
      <c r="S33" s="364"/>
      <c r="T33" s="364"/>
      <c r="U33" s="364"/>
      <c r="V33" s="982" t="s">
        <v>870</v>
      </c>
      <c r="W33" s="982"/>
      <c r="X33" s="982"/>
      <c r="Y33" s="982"/>
      <c r="Z33" s="982"/>
      <c r="AA33" s="982"/>
      <c r="AB33" s="982"/>
      <c r="AC33" s="982"/>
      <c r="AD33" s="982" t="s">
        <v>889</v>
      </c>
      <c r="AE33" s="982"/>
      <c r="AF33" s="982"/>
      <c r="AG33" s="982"/>
      <c r="AH33" s="982"/>
      <c r="AI33" s="982"/>
      <c r="AJ33" s="982"/>
      <c r="AK33" s="982" t="s">
        <v>890</v>
      </c>
      <c r="AL33" s="982"/>
      <c r="AM33" s="982"/>
      <c r="AN33" s="982"/>
      <c r="AO33" s="982"/>
      <c r="AP33" s="982"/>
      <c r="AQ33" s="982"/>
      <c r="AR33" s="982"/>
      <c r="AS33" s="982"/>
      <c r="AT33" s="982"/>
      <c r="AU33" s="982" t="s">
        <v>891</v>
      </c>
      <c r="AV33" s="982"/>
      <c r="AW33" s="982"/>
      <c r="AX33" s="982"/>
      <c r="AY33" s="982"/>
      <c r="AZ33" s="982"/>
      <c r="BA33" s="982"/>
      <c r="BB33" s="982"/>
      <c r="BC33" s="982"/>
    </row>
    <row r="34" spans="2:55" s="109" customFormat="1" ht="16.5" customHeight="1" thickTop="1" x14ac:dyDescent="0.3">
      <c r="B34" s="130" t="s">
        <v>1283</v>
      </c>
      <c r="C34" s="92" t="s">
        <v>918</v>
      </c>
      <c r="D34" s="961">
        <v>4089.12</v>
      </c>
      <c r="E34" s="913" t="s">
        <v>173</v>
      </c>
      <c r="F34" s="691" t="s">
        <v>173</v>
      </c>
      <c r="G34" s="913" t="s">
        <v>173</v>
      </c>
      <c r="H34" s="913" t="s">
        <v>173</v>
      </c>
      <c r="I34" s="690" t="s">
        <v>173</v>
      </c>
      <c r="J34" s="691" t="s">
        <v>173</v>
      </c>
      <c r="K34" s="913" t="s">
        <v>173</v>
      </c>
      <c r="L34" s="691" t="s">
        <v>173</v>
      </c>
      <c r="M34" s="364"/>
      <c r="N34" s="364"/>
      <c r="O34" s="364"/>
      <c r="P34" s="364"/>
      <c r="Q34" s="364"/>
      <c r="R34" s="364"/>
      <c r="S34" s="364"/>
      <c r="T34" s="364"/>
      <c r="U34" s="364"/>
      <c r="V34" s="982" t="s">
        <v>121</v>
      </c>
      <c r="W34" s="982" t="s">
        <v>52</v>
      </c>
      <c r="X34" s="982" t="s">
        <v>896</v>
      </c>
      <c r="Y34" s="982" t="s">
        <v>897</v>
      </c>
      <c r="Z34" s="982" t="s">
        <v>898</v>
      </c>
      <c r="AA34" s="982" t="s">
        <v>899</v>
      </c>
      <c r="AB34" s="982" t="s">
        <v>900</v>
      </c>
      <c r="AC34" s="982" t="s">
        <v>901</v>
      </c>
      <c r="AD34" s="982" t="s">
        <v>902</v>
      </c>
      <c r="AE34" s="982" t="s">
        <v>903</v>
      </c>
      <c r="AF34" s="982" t="s">
        <v>904</v>
      </c>
      <c r="AG34" s="982" t="s">
        <v>905</v>
      </c>
      <c r="AH34" s="982" t="s">
        <v>906</v>
      </c>
      <c r="AI34" s="982" t="s">
        <v>907</v>
      </c>
      <c r="AJ34" s="982"/>
      <c r="AK34" s="982" t="s">
        <v>908</v>
      </c>
      <c r="AL34" s="982" t="s">
        <v>909</v>
      </c>
      <c r="AM34" s="982" t="s">
        <v>910</v>
      </c>
      <c r="AN34" s="982" t="s">
        <v>902</v>
      </c>
      <c r="AO34" s="982" t="s">
        <v>903</v>
      </c>
      <c r="AP34" s="982" t="s">
        <v>904</v>
      </c>
      <c r="AQ34" s="982" t="s">
        <v>905</v>
      </c>
      <c r="AR34" s="982" t="s">
        <v>906</v>
      </c>
      <c r="AS34" s="982" t="s">
        <v>907</v>
      </c>
      <c r="AT34" s="982"/>
      <c r="AU34" s="982" t="s">
        <v>908</v>
      </c>
      <c r="AV34" s="982" t="s">
        <v>909</v>
      </c>
      <c r="AW34" s="982" t="s">
        <v>910</v>
      </c>
      <c r="AX34" s="982" t="s">
        <v>902</v>
      </c>
      <c r="AY34" s="982" t="s">
        <v>903</v>
      </c>
      <c r="AZ34" s="982" t="s">
        <v>904</v>
      </c>
      <c r="BA34" s="982" t="s">
        <v>905</v>
      </c>
      <c r="BB34" s="982" t="s">
        <v>906</v>
      </c>
      <c r="BC34" s="982" t="s">
        <v>907</v>
      </c>
    </row>
    <row r="35" spans="2:55" s="109" customFormat="1" ht="16.5" customHeight="1" x14ac:dyDescent="0.3">
      <c r="B35" s="130" t="s">
        <v>1284</v>
      </c>
      <c r="C35" s="92" t="s">
        <v>980</v>
      </c>
      <c r="D35" s="153">
        <v>17227.400000000001</v>
      </c>
      <c r="E35" s="913" t="s">
        <v>173</v>
      </c>
      <c r="F35" s="691" t="s">
        <v>173</v>
      </c>
      <c r="G35" s="913" t="s">
        <v>173</v>
      </c>
      <c r="H35" s="913" t="s">
        <v>173</v>
      </c>
      <c r="I35" s="690" t="s">
        <v>173</v>
      </c>
      <c r="J35" s="691" t="s">
        <v>173</v>
      </c>
      <c r="K35" s="913" t="s">
        <v>173</v>
      </c>
      <c r="L35" s="691" t="s">
        <v>173</v>
      </c>
      <c r="M35" s="364"/>
      <c r="N35" s="364"/>
      <c r="O35" s="364"/>
      <c r="P35" s="364"/>
      <c r="Q35" s="364"/>
      <c r="R35" s="364"/>
      <c r="S35" s="364"/>
      <c r="T35" s="364"/>
      <c r="U35" s="364"/>
      <c r="V35" s="982"/>
      <c r="W35" s="982"/>
      <c r="X35" s="982" t="s">
        <v>966</v>
      </c>
      <c r="Y35" s="982"/>
      <c r="Z35" s="982" t="s">
        <v>966</v>
      </c>
      <c r="AA35" s="982"/>
      <c r="AB35" s="982"/>
      <c r="AC35" s="982"/>
      <c r="AD35" s="982" t="s">
        <v>966</v>
      </c>
      <c r="AE35" s="982" t="s">
        <v>1094</v>
      </c>
      <c r="AF35" s="982" t="s">
        <v>1124</v>
      </c>
      <c r="AG35" s="982" t="s">
        <v>1125</v>
      </c>
      <c r="AH35" s="982"/>
      <c r="AI35" s="982" t="s">
        <v>1125</v>
      </c>
      <c r="AJ35" s="982"/>
      <c r="AK35" s="982"/>
      <c r="AL35" s="982"/>
      <c r="AM35" s="982"/>
      <c r="AN35" s="982" t="s">
        <v>966</v>
      </c>
      <c r="AO35" s="982" t="s">
        <v>1094</v>
      </c>
      <c r="AP35" s="982" t="s">
        <v>1124</v>
      </c>
      <c r="AQ35" s="982" t="s">
        <v>1125</v>
      </c>
      <c r="AR35" s="982"/>
      <c r="AS35" s="982" t="s">
        <v>1125</v>
      </c>
      <c r="AT35" s="982"/>
      <c r="AU35" s="982"/>
      <c r="AV35" s="982"/>
      <c r="AW35" s="982"/>
      <c r="AX35" s="982" t="s">
        <v>966</v>
      </c>
      <c r="AY35" s="982" t="s">
        <v>1094</v>
      </c>
      <c r="AZ35" s="982" t="s">
        <v>1124</v>
      </c>
      <c r="BA35" s="982" t="s">
        <v>1125</v>
      </c>
      <c r="BB35" s="982"/>
      <c r="BC35" s="982" t="s">
        <v>1125</v>
      </c>
    </row>
    <row r="36" spans="2:55" s="109" customFormat="1" ht="16.5" customHeight="1" x14ac:dyDescent="0.3">
      <c r="B36" s="130" t="s">
        <v>1285</v>
      </c>
      <c r="C36" s="92" t="s">
        <v>986</v>
      </c>
      <c r="D36" s="153">
        <v>129.167</v>
      </c>
      <c r="E36" s="959" t="str">
        <f>IF(F36=AN38,"X","")</f>
        <v>X</v>
      </c>
      <c r="F36" s="202">
        <v>114.297</v>
      </c>
      <c r="G36" s="958" t="str">
        <f>IF(H36=AO38,"X","")</f>
        <v>X</v>
      </c>
      <c r="H36" s="361">
        <v>97.152299999999997</v>
      </c>
      <c r="I36" s="958" t="str">
        <f>IF(J36=AQ38,"X","")</f>
        <v>X</v>
      </c>
      <c r="J36" s="202">
        <v>200</v>
      </c>
      <c r="K36" s="958" t="str">
        <f>IF(L36=AS38,"X","")</f>
        <v>X</v>
      </c>
      <c r="L36" s="202">
        <v>300</v>
      </c>
      <c r="M36" s="364"/>
      <c r="N36" s="364"/>
      <c r="O36" s="364"/>
      <c r="P36" s="809"/>
      <c r="Q36" s="809"/>
      <c r="R36" s="811"/>
      <c r="S36" s="811"/>
      <c r="T36" s="811"/>
      <c r="U36" s="808" t="s">
        <v>1261</v>
      </c>
      <c r="V36" s="949" t="s">
        <v>1283</v>
      </c>
      <c r="W36" s="949" t="s">
        <v>918</v>
      </c>
      <c r="X36" s="949">
        <v>4089.12</v>
      </c>
      <c r="Y36" s="949" t="s">
        <v>312</v>
      </c>
      <c r="Z36" s="949">
        <v>0</v>
      </c>
      <c r="AA36" s="949">
        <v>-99996</v>
      </c>
      <c r="AB36" s="949">
        <v>-99996</v>
      </c>
      <c r="AC36" s="949">
        <v>-99996</v>
      </c>
      <c r="AD36" s="949">
        <v>0</v>
      </c>
      <c r="AE36" s="949">
        <v>0</v>
      </c>
      <c r="AF36" s="949">
        <v>0</v>
      </c>
      <c r="AG36" s="949">
        <v>175</v>
      </c>
      <c r="AH36" s="949">
        <v>-99996</v>
      </c>
      <c r="AI36" s="949">
        <v>175</v>
      </c>
      <c r="AJ36" s="949"/>
      <c r="AK36" s="949">
        <v>-99996</v>
      </c>
      <c r="AL36" s="949">
        <v>-99996</v>
      </c>
      <c r="AM36" s="949">
        <v>-99996</v>
      </c>
      <c r="AN36" s="949">
        <v>0</v>
      </c>
      <c r="AO36" s="949">
        <v>0</v>
      </c>
      <c r="AP36" s="949">
        <v>0</v>
      </c>
      <c r="AQ36" s="949">
        <v>175</v>
      </c>
      <c r="AR36" s="949">
        <v>-99996</v>
      </c>
      <c r="AS36" s="949">
        <v>262.5</v>
      </c>
      <c r="AT36" s="949"/>
      <c r="AU36" s="949">
        <v>-99996</v>
      </c>
      <c r="AV36" s="949">
        <v>-99996</v>
      </c>
      <c r="AW36" s="949">
        <v>-99996</v>
      </c>
      <c r="AX36" s="949">
        <v>0</v>
      </c>
      <c r="AY36" s="949">
        <v>0</v>
      </c>
      <c r="AZ36" s="949">
        <v>0</v>
      </c>
      <c r="BA36" s="949">
        <v>175</v>
      </c>
      <c r="BB36" s="949">
        <v>-99996</v>
      </c>
      <c r="BC36" s="949">
        <v>350</v>
      </c>
    </row>
    <row r="37" spans="2:55" s="109" customFormat="1" ht="16.5" customHeight="1" x14ac:dyDescent="0.3">
      <c r="B37" s="130" t="s">
        <v>1286</v>
      </c>
      <c r="C37" s="92" t="s">
        <v>980</v>
      </c>
      <c r="D37" s="153">
        <v>1623.3</v>
      </c>
      <c r="E37" s="959" t="str">
        <f t="shared" ref="E37:E38" si="1">IF(F37=AN39,"X","")</f>
        <v>X</v>
      </c>
      <c r="F37" s="202">
        <v>718.07500000000005</v>
      </c>
      <c r="G37" s="958" t="str">
        <f>IF(H37=AO39,"X","")</f>
        <v>X</v>
      </c>
      <c r="H37" s="298">
        <v>1216</v>
      </c>
      <c r="I37" s="958" t="str">
        <f>IF(J37=AQ39,"X","")</f>
        <v>X</v>
      </c>
      <c r="J37" s="202">
        <v>950</v>
      </c>
      <c r="K37" s="958" t="str">
        <f>IF(L37=AS39,"X","")</f>
        <v>X</v>
      </c>
      <c r="L37" s="202">
        <v>1425</v>
      </c>
      <c r="M37" s="364"/>
      <c r="N37" s="364"/>
      <c r="O37" s="364"/>
      <c r="P37" s="364"/>
      <c r="Q37" s="364"/>
      <c r="R37" s="364"/>
      <c r="S37" s="364"/>
      <c r="T37" s="364"/>
      <c r="U37" s="364"/>
      <c r="V37" s="949" t="s">
        <v>1284</v>
      </c>
      <c r="W37" s="949" t="s">
        <v>980</v>
      </c>
      <c r="X37" s="949">
        <v>17227.400000000001</v>
      </c>
      <c r="Y37" s="949" t="s">
        <v>913</v>
      </c>
      <c r="Z37" s="949">
        <v>12920.6</v>
      </c>
      <c r="AA37" s="949">
        <v>0.2</v>
      </c>
      <c r="AB37" s="949">
        <v>0.2</v>
      </c>
      <c r="AC37" s="949">
        <v>-99996</v>
      </c>
      <c r="AD37" s="949">
        <v>16742.599999999999</v>
      </c>
      <c r="AE37" s="949">
        <v>16742.599999999999</v>
      </c>
      <c r="AF37" s="949">
        <v>0.97185999999999995</v>
      </c>
      <c r="AG37" s="949">
        <v>950</v>
      </c>
      <c r="AH37" s="949">
        <v>-99996</v>
      </c>
      <c r="AI37" s="949">
        <v>950</v>
      </c>
      <c r="AJ37" s="949"/>
      <c r="AK37" s="949">
        <v>-99996</v>
      </c>
      <c r="AL37" s="949">
        <v>-99996</v>
      </c>
      <c r="AM37" s="949">
        <v>-99996</v>
      </c>
      <c r="AN37" s="949">
        <v>0</v>
      </c>
      <c r="AO37" s="949">
        <v>0</v>
      </c>
      <c r="AP37" s="949">
        <v>0</v>
      </c>
      <c r="AQ37" s="949">
        <v>550</v>
      </c>
      <c r="AR37" s="949">
        <v>-99996</v>
      </c>
      <c r="AS37" s="949">
        <v>825</v>
      </c>
      <c r="AT37" s="949"/>
      <c r="AU37" s="949">
        <v>-99996</v>
      </c>
      <c r="AV37" s="949">
        <v>-99996</v>
      </c>
      <c r="AW37" s="949">
        <v>-99996</v>
      </c>
      <c r="AX37" s="949">
        <v>0</v>
      </c>
      <c r="AY37" s="949">
        <v>0</v>
      </c>
      <c r="AZ37" s="949">
        <v>0</v>
      </c>
      <c r="BA37" s="949">
        <v>550</v>
      </c>
      <c r="BB37" s="949">
        <v>-99996</v>
      </c>
      <c r="BC37" s="949">
        <v>1100</v>
      </c>
    </row>
    <row r="38" spans="2:55" s="109" customFormat="1" ht="16.5" customHeight="1" x14ac:dyDescent="0.3">
      <c r="B38" s="180" t="s">
        <v>1287</v>
      </c>
      <c r="C38" s="156" t="s">
        <v>980</v>
      </c>
      <c r="D38" s="169">
        <v>1623.3</v>
      </c>
      <c r="E38" s="960" t="str">
        <f t="shared" si="1"/>
        <v>X</v>
      </c>
      <c r="F38" s="204">
        <v>718.07500000000005</v>
      </c>
      <c r="G38" s="952" t="str">
        <f>IF(H38=AO40,"X","")</f>
        <v>X</v>
      </c>
      <c r="H38" s="396">
        <v>718.07500000000005</v>
      </c>
      <c r="I38" s="952" t="str">
        <f>IF(J38=AQ40,"X","")</f>
        <v>X</v>
      </c>
      <c r="J38" s="204">
        <v>950</v>
      </c>
      <c r="K38" s="952" t="str">
        <f>IF(L38=AS40,"X","")</f>
        <v>X</v>
      </c>
      <c r="L38" s="204">
        <v>1425</v>
      </c>
      <c r="M38" s="364"/>
      <c r="N38" s="364"/>
      <c r="O38" s="364"/>
      <c r="P38" s="364"/>
      <c r="Q38" s="364"/>
      <c r="R38" s="364"/>
      <c r="S38" s="364"/>
      <c r="T38" s="364"/>
      <c r="U38" s="364"/>
      <c r="V38" s="949" t="s">
        <v>1285</v>
      </c>
      <c r="W38" s="949" t="s">
        <v>986</v>
      </c>
      <c r="X38" s="949">
        <v>129.167</v>
      </c>
      <c r="Y38" s="949" t="s">
        <v>1288</v>
      </c>
      <c r="Z38" s="949">
        <v>0</v>
      </c>
      <c r="AA38" s="949">
        <v>0.2</v>
      </c>
      <c r="AB38" s="949">
        <v>0.2</v>
      </c>
      <c r="AC38" s="949">
        <v>-99996</v>
      </c>
      <c r="AD38" s="949">
        <v>0</v>
      </c>
      <c r="AE38" s="949">
        <v>0</v>
      </c>
      <c r="AF38" s="949">
        <v>0</v>
      </c>
      <c r="AG38" s="949">
        <v>125</v>
      </c>
      <c r="AH38" s="949">
        <v>-99996</v>
      </c>
      <c r="AI38" s="949">
        <v>125</v>
      </c>
      <c r="AJ38" s="949"/>
      <c r="AK38" s="949">
        <v>89.025599999999997</v>
      </c>
      <c r="AL38" s="949">
        <v>8.7270299999999992</v>
      </c>
      <c r="AM38" s="949">
        <v>2.5</v>
      </c>
      <c r="AN38" s="949">
        <v>114.297</v>
      </c>
      <c r="AO38" s="949">
        <v>97.152299999999997</v>
      </c>
      <c r="AP38" s="949">
        <v>0.88487499999999997</v>
      </c>
      <c r="AQ38" s="949">
        <v>200</v>
      </c>
      <c r="AR38" s="949">
        <v>-99996</v>
      </c>
      <c r="AS38" s="949">
        <v>300</v>
      </c>
      <c r="AT38" s="949"/>
      <c r="AU38" s="949">
        <v>82.956500000000005</v>
      </c>
      <c r="AV38" s="949">
        <v>9.7906300000000002</v>
      </c>
      <c r="AW38" s="949">
        <v>2.5</v>
      </c>
      <c r="AX38" s="949">
        <v>14.765599999999999</v>
      </c>
      <c r="AY38" s="949">
        <v>0</v>
      </c>
      <c r="AZ38" s="949">
        <v>0</v>
      </c>
      <c r="BA38" s="949">
        <v>200</v>
      </c>
      <c r="BB38" s="949">
        <v>-99996</v>
      </c>
      <c r="BC38" s="949">
        <v>400</v>
      </c>
    </row>
    <row r="39" spans="2:55" s="109" customFormat="1" x14ac:dyDescent="0.3">
      <c r="B39" s="84"/>
      <c r="C39" s="30"/>
      <c r="D39" s="30"/>
      <c r="E39" s="364"/>
      <c r="F39" s="364"/>
      <c r="G39" s="364"/>
      <c r="H39" s="364"/>
      <c r="I39" s="364"/>
      <c r="J39" s="364"/>
      <c r="K39" s="364"/>
      <c r="L39" s="364"/>
      <c r="M39" s="364"/>
      <c r="N39" s="364"/>
      <c r="O39" s="364"/>
      <c r="P39" s="364"/>
      <c r="Q39" s="364"/>
      <c r="R39" s="364"/>
      <c r="S39" s="364"/>
      <c r="T39" s="364"/>
      <c r="U39" s="364"/>
      <c r="V39" s="949" t="s">
        <v>1286</v>
      </c>
      <c r="W39" s="949" t="s">
        <v>980</v>
      </c>
      <c r="X39" s="949">
        <v>1623.3</v>
      </c>
      <c r="Y39" s="949" t="s">
        <v>913</v>
      </c>
      <c r="Z39" s="949">
        <v>0</v>
      </c>
      <c r="AA39" s="949">
        <v>0.2</v>
      </c>
      <c r="AB39" s="949">
        <v>0.2</v>
      </c>
      <c r="AC39" s="949">
        <v>-99996</v>
      </c>
      <c r="AD39" s="949">
        <v>0</v>
      </c>
      <c r="AE39" s="949">
        <v>0</v>
      </c>
      <c r="AF39" s="949">
        <v>0</v>
      </c>
      <c r="AG39" s="949">
        <v>550</v>
      </c>
      <c r="AH39" s="949">
        <v>-99996</v>
      </c>
      <c r="AI39" s="949">
        <v>550</v>
      </c>
      <c r="AJ39" s="949"/>
      <c r="AK39" s="949">
        <v>136.81899999999999</v>
      </c>
      <c r="AL39" s="949">
        <v>8.7270299999999992</v>
      </c>
      <c r="AM39" s="949">
        <v>2.5</v>
      </c>
      <c r="AN39" s="949">
        <v>718.07500000000005</v>
      </c>
      <c r="AO39" s="949">
        <v>1216</v>
      </c>
      <c r="AP39" s="949">
        <v>0.319328</v>
      </c>
      <c r="AQ39" s="949">
        <v>950</v>
      </c>
      <c r="AR39" s="949">
        <v>-99996</v>
      </c>
      <c r="AS39" s="949">
        <v>1425</v>
      </c>
      <c r="AT39" s="949"/>
      <c r="AU39" s="949">
        <v>136.81899999999999</v>
      </c>
      <c r="AV39" s="949">
        <v>17.4541</v>
      </c>
      <c r="AW39" s="949">
        <v>2.5</v>
      </c>
      <c r="AX39" s="949">
        <v>721.51</v>
      </c>
      <c r="AY39" s="949">
        <v>2592</v>
      </c>
      <c r="AZ39" s="949">
        <v>0.68067200000000005</v>
      </c>
      <c r="BA39" s="949">
        <v>950</v>
      </c>
      <c r="BB39" s="949">
        <v>-99996</v>
      </c>
      <c r="BC39" s="949">
        <v>1900</v>
      </c>
    </row>
    <row r="40" spans="2:55" s="109" customFormat="1" x14ac:dyDescent="0.3">
      <c r="B40" s="84"/>
      <c r="C40" s="30"/>
      <c r="D40" s="30"/>
      <c r="E40" s="364"/>
      <c r="F40" s="364"/>
      <c r="G40" s="364"/>
      <c r="H40" s="364"/>
      <c r="I40" s="364"/>
      <c r="J40" s="364"/>
      <c r="K40" s="364"/>
      <c r="L40" s="364"/>
      <c r="M40" s="364"/>
      <c r="N40" s="364"/>
      <c r="O40" s="364"/>
      <c r="P40" s="364"/>
      <c r="Q40" s="364"/>
      <c r="R40" s="364"/>
      <c r="S40" s="364"/>
      <c r="T40" s="364"/>
      <c r="U40" s="364"/>
      <c r="V40" s="949" t="s">
        <v>1287</v>
      </c>
      <c r="W40" s="949" t="s">
        <v>980</v>
      </c>
      <c r="X40" s="949">
        <v>1623.3</v>
      </c>
      <c r="Y40" s="949" t="s">
        <v>913</v>
      </c>
      <c r="Z40" s="949">
        <v>0</v>
      </c>
      <c r="AA40" s="949">
        <v>0.2</v>
      </c>
      <c r="AB40" s="949">
        <v>0.2</v>
      </c>
      <c r="AC40" s="949">
        <v>-99996</v>
      </c>
      <c r="AD40" s="949">
        <v>0</v>
      </c>
      <c r="AE40" s="949">
        <v>0</v>
      </c>
      <c r="AF40" s="949">
        <v>0</v>
      </c>
      <c r="AG40" s="949">
        <v>550</v>
      </c>
      <c r="AH40" s="949">
        <v>-99996</v>
      </c>
      <c r="AI40" s="949">
        <v>550</v>
      </c>
      <c r="AJ40" s="949"/>
      <c r="AK40" s="949">
        <v>41.231999999999999</v>
      </c>
      <c r="AL40" s="949">
        <v>8.7270299999999992</v>
      </c>
      <c r="AM40" s="949">
        <v>2.5</v>
      </c>
      <c r="AN40" s="949">
        <v>718.07500000000005</v>
      </c>
      <c r="AO40" s="949">
        <v>718.07500000000005</v>
      </c>
      <c r="AP40" s="949">
        <v>0.44235400000000002</v>
      </c>
      <c r="AQ40" s="949">
        <v>950</v>
      </c>
      <c r="AR40" s="949">
        <v>-99996</v>
      </c>
      <c r="AS40" s="949">
        <v>1425</v>
      </c>
      <c r="AT40" s="949"/>
      <c r="AU40" s="949">
        <v>41.231999999999999</v>
      </c>
      <c r="AV40" s="949">
        <v>17.4541</v>
      </c>
      <c r="AW40" s="949">
        <v>2.5</v>
      </c>
      <c r="AX40" s="949">
        <v>721.51</v>
      </c>
      <c r="AY40" s="949">
        <v>721.51</v>
      </c>
      <c r="AZ40" s="949">
        <v>0.444471</v>
      </c>
      <c r="BA40" s="949">
        <v>950</v>
      </c>
      <c r="BB40" s="949">
        <v>-99996</v>
      </c>
      <c r="BC40" s="949">
        <v>1900</v>
      </c>
    </row>
    <row r="41" spans="2:55" s="109" customFormat="1" ht="41.4" x14ac:dyDescent="0.3">
      <c r="B41" s="115" t="s">
        <v>580</v>
      </c>
      <c r="C41" s="123" t="s">
        <v>52</v>
      </c>
      <c r="D41" s="123" t="s">
        <v>524</v>
      </c>
      <c r="E41" s="274"/>
      <c r="F41" s="117" t="s">
        <v>1269</v>
      </c>
      <c r="G41" s="226"/>
      <c r="H41" s="173" t="s">
        <v>1254</v>
      </c>
      <c r="I41" s="131"/>
      <c r="J41" s="117" t="s">
        <v>1255</v>
      </c>
      <c r="K41" s="120"/>
      <c r="L41" s="117" t="s">
        <v>1256</v>
      </c>
      <c r="M41" s="96"/>
      <c r="N41" s="96"/>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row>
    <row r="42" spans="2:55" s="109" customFormat="1" ht="14.4" thickBot="1" x14ac:dyDescent="0.35">
      <c r="B42" s="211" t="s">
        <v>942</v>
      </c>
      <c r="C42" s="218"/>
      <c r="D42" s="218"/>
      <c r="E42" s="107"/>
      <c r="F42" s="1000" t="s">
        <v>1270</v>
      </c>
      <c r="G42" s="218"/>
      <c r="H42" s="208" t="s">
        <v>1271</v>
      </c>
      <c r="I42" s="107"/>
      <c r="J42" s="1000" t="s">
        <v>1272</v>
      </c>
      <c r="K42" s="218"/>
      <c r="L42" s="1000" t="s">
        <v>1273</v>
      </c>
      <c r="M42" s="96"/>
      <c r="N42" s="96"/>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4"/>
      <c r="AV42" s="364"/>
      <c r="AW42" s="364"/>
      <c r="AX42" s="364"/>
      <c r="AY42" s="364"/>
      <c r="AZ42" s="364"/>
      <c r="BA42" s="364"/>
      <c r="BB42" s="364"/>
      <c r="BC42" s="364"/>
    </row>
    <row r="43" spans="2:55" s="109" customFormat="1" ht="14.25" customHeight="1" thickTop="1" x14ac:dyDescent="0.3">
      <c r="B43" s="130" t="s">
        <v>1283</v>
      </c>
      <c r="C43" s="92" t="s">
        <v>918</v>
      </c>
      <c r="D43" s="961">
        <v>4089.12</v>
      </c>
      <c r="E43" s="913" t="s">
        <v>173</v>
      </c>
      <c r="F43" s="691" t="s">
        <v>173</v>
      </c>
      <c r="G43" s="913" t="s">
        <v>173</v>
      </c>
      <c r="H43" s="913" t="s">
        <v>173</v>
      </c>
      <c r="I43" s="690" t="s">
        <v>173</v>
      </c>
      <c r="J43" s="691" t="s">
        <v>173</v>
      </c>
      <c r="K43" s="913" t="s">
        <v>173</v>
      </c>
      <c r="L43" s="691" t="s">
        <v>173</v>
      </c>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64"/>
      <c r="BB43" s="364"/>
      <c r="BC43" s="364"/>
    </row>
    <row r="44" spans="2:55" s="109" customFormat="1" ht="14.25" customHeight="1" x14ac:dyDescent="0.3">
      <c r="B44" s="130" t="s">
        <v>1284</v>
      </c>
      <c r="C44" s="92" t="s">
        <v>980</v>
      </c>
      <c r="D44" s="153">
        <v>17227.400000000001</v>
      </c>
      <c r="E44" s="913" t="s">
        <v>173</v>
      </c>
      <c r="F44" s="691" t="s">
        <v>173</v>
      </c>
      <c r="G44" s="913" t="s">
        <v>173</v>
      </c>
      <c r="H44" s="913" t="s">
        <v>173</v>
      </c>
      <c r="I44" s="690" t="s">
        <v>173</v>
      </c>
      <c r="J44" s="691" t="s">
        <v>173</v>
      </c>
      <c r="K44" s="913" t="s">
        <v>173</v>
      </c>
      <c r="L44" s="691" t="s">
        <v>173</v>
      </c>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4"/>
      <c r="AY44" s="364"/>
      <c r="AZ44" s="364"/>
      <c r="BA44" s="364"/>
      <c r="BB44" s="364"/>
      <c r="BC44" s="364"/>
    </row>
    <row r="45" spans="2:55" s="109" customFormat="1" ht="14.25" customHeight="1" x14ac:dyDescent="0.3">
      <c r="B45" s="130" t="s">
        <v>1285</v>
      </c>
      <c r="C45" s="92" t="s">
        <v>986</v>
      </c>
      <c r="D45" s="153">
        <v>129.167</v>
      </c>
      <c r="E45" s="959" t="str">
        <f>IF(F45=ROUND(AX38,1),"X","")</f>
        <v>X</v>
      </c>
      <c r="F45" s="202">
        <v>14.8</v>
      </c>
      <c r="G45" s="913" t="s">
        <v>173</v>
      </c>
      <c r="H45" s="913" t="s">
        <v>173</v>
      </c>
      <c r="I45" s="690" t="s">
        <v>173</v>
      </c>
      <c r="J45" s="691" t="s">
        <v>173</v>
      </c>
      <c r="K45" s="913" t="s">
        <v>173</v>
      </c>
      <c r="L45" s="691" t="s">
        <v>173</v>
      </c>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4"/>
      <c r="AY45" s="364"/>
      <c r="AZ45" s="364"/>
      <c r="BA45" s="364"/>
      <c r="BB45" s="364"/>
      <c r="BC45" s="364"/>
    </row>
    <row r="46" spans="2:55" s="109" customFormat="1" ht="14.25" customHeight="1" x14ac:dyDescent="0.3">
      <c r="B46" s="130" t="s">
        <v>1286</v>
      </c>
      <c r="C46" s="92" t="s">
        <v>980</v>
      </c>
      <c r="D46" s="153">
        <v>1623.3</v>
      </c>
      <c r="E46" s="959" t="str">
        <f t="shared" ref="E46:E47" si="2">IF(F46=ROUND(AX39,1),"X","")</f>
        <v>X</v>
      </c>
      <c r="F46" s="202">
        <v>721.5</v>
      </c>
      <c r="G46" s="958" t="str">
        <f>IF(H46=AY39,"X","")</f>
        <v>X</v>
      </c>
      <c r="H46" s="203">
        <v>2592</v>
      </c>
      <c r="I46" s="958" t="str">
        <f>IF(J46=BA39,"X","")</f>
        <v>X</v>
      </c>
      <c r="J46" s="202">
        <v>950</v>
      </c>
      <c r="K46" s="958" t="str">
        <f>IF(L46=BC39,"X","")</f>
        <v>X</v>
      </c>
      <c r="L46" s="202">
        <v>1900</v>
      </c>
      <c r="M46" s="364"/>
      <c r="N46" s="481"/>
      <c r="O46" s="364"/>
      <c r="P46" s="481"/>
      <c r="Q46" s="481"/>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row>
    <row r="47" spans="2:55" s="109" customFormat="1" ht="14.25" customHeight="1" x14ac:dyDescent="0.3">
      <c r="B47" s="180" t="s">
        <v>1287</v>
      </c>
      <c r="C47" s="156" t="s">
        <v>980</v>
      </c>
      <c r="D47" s="169">
        <v>1623.3</v>
      </c>
      <c r="E47" s="960" t="str">
        <f t="shared" si="2"/>
        <v>X</v>
      </c>
      <c r="F47" s="204">
        <v>721.5</v>
      </c>
      <c r="G47" s="952" t="str">
        <f>IF(H47=AY40,"X","")</f>
        <v>X</v>
      </c>
      <c r="H47" s="710">
        <v>721.51</v>
      </c>
      <c r="I47" s="952" t="str">
        <f>IF(J47=BA40,"X","")</f>
        <v>X</v>
      </c>
      <c r="J47" s="204">
        <v>950</v>
      </c>
      <c r="K47" s="952" t="str">
        <f>IF(L47=BC40,"X","")</f>
        <v>X</v>
      </c>
      <c r="L47" s="204">
        <v>1900</v>
      </c>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row>
    <row r="48" spans="2:55" s="109" customFormat="1" x14ac:dyDescent="0.3">
      <c r="B48" s="84"/>
      <c r="C48" s="30"/>
      <c r="D48" s="30"/>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row>
    <row r="49" spans="1:55" s="56" customFormat="1" x14ac:dyDescent="0.3">
      <c r="A49" s="364"/>
      <c r="B49" s="92"/>
      <c r="C49" s="90"/>
      <c r="D49" s="90"/>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364"/>
      <c r="AQ49" s="364"/>
      <c r="AR49" s="364"/>
      <c r="AS49" s="364"/>
      <c r="AT49" s="364"/>
      <c r="AU49" s="364"/>
      <c r="AV49" s="364"/>
      <c r="AW49" s="364"/>
      <c r="AX49" s="364"/>
      <c r="AY49" s="364"/>
      <c r="AZ49" s="364"/>
      <c r="BA49" s="364"/>
      <c r="BB49" s="364"/>
      <c r="BC49" s="364"/>
    </row>
    <row r="50" spans="1:55" s="13" customFormat="1" x14ac:dyDescent="0.3">
      <c r="A50" s="285"/>
      <c r="B50" s="337" t="s">
        <v>243</v>
      </c>
      <c r="C50" s="285"/>
      <c r="D50" s="285"/>
      <c r="E50" s="285"/>
      <c r="F50" s="285"/>
      <c r="G50" s="285"/>
      <c r="H50" s="285"/>
      <c r="I50" s="285"/>
      <c r="J50" s="285"/>
      <c r="K50" s="285"/>
      <c r="L50" s="285"/>
      <c r="M50" s="285"/>
      <c r="N50" s="285"/>
      <c r="O50" s="364"/>
      <c r="P50" s="364"/>
      <c r="Q50" s="364"/>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row>
    <row r="51" spans="1:55" s="3" customFormat="1" ht="14.4" x14ac:dyDescent="0.3">
      <c r="A51" s="78"/>
      <c r="B51" s="23" t="s">
        <v>922</v>
      </c>
      <c r="C51" s="89"/>
      <c r="D51" s="89"/>
      <c r="E51" s="91"/>
      <c r="F51" s="89"/>
      <c r="G51" s="91"/>
      <c r="H51" s="89"/>
      <c r="I51" s="91"/>
      <c r="J51" s="89"/>
      <c r="K51" s="91"/>
      <c r="L51" s="89"/>
      <c r="M51" s="91"/>
      <c r="N51" s="89"/>
      <c r="O51" s="364"/>
      <c r="P51" s="89"/>
      <c r="Q51" s="89"/>
      <c r="R51" s="89"/>
      <c r="S51" s="89"/>
      <c r="T51" s="89"/>
      <c r="U51" s="89"/>
      <c r="V51" s="369" t="s">
        <v>1081</v>
      </c>
      <c r="W51" s="982"/>
      <c r="X51" s="982"/>
      <c r="Y51" s="982"/>
      <c r="Z51" s="982"/>
      <c r="AA51" s="982"/>
      <c r="AB51" s="982"/>
      <c r="AC51" s="982"/>
      <c r="AD51" s="982"/>
      <c r="AE51" s="982"/>
      <c r="AF51" s="982"/>
      <c r="AG51" s="982"/>
      <c r="AH51" s="982"/>
      <c r="AI51" s="982"/>
      <c r="AJ51" s="982"/>
      <c r="AK51" s="982"/>
      <c r="AL51" s="982"/>
      <c r="AM51" s="982"/>
      <c r="AN51" s="982"/>
      <c r="AO51" s="982"/>
      <c r="AP51" s="982"/>
      <c r="AQ51" s="982"/>
      <c r="AR51" s="982"/>
      <c r="AS51" s="982"/>
      <c r="AT51" s="982"/>
      <c r="AU51" s="982"/>
      <c r="AV51" s="982"/>
      <c r="AW51" s="982"/>
      <c r="AX51" s="982"/>
      <c r="AY51" s="982"/>
      <c r="AZ51" s="982"/>
      <c r="BA51" s="982"/>
      <c r="BB51" s="982"/>
      <c r="BC51" s="982"/>
    </row>
    <row r="52" spans="1:55" s="3" customFormat="1" ht="14.4" x14ac:dyDescent="0.3">
      <c r="A52" s="89"/>
      <c r="B52" s="84" t="s">
        <v>870</v>
      </c>
      <c r="C52" s="89"/>
      <c r="D52" s="89"/>
      <c r="E52" s="91"/>
      <c r="F52" s="89"/>
      <c r="G52" s="91"/>
      <c r="H52" s="89"/>
      <c r="I52" s="91"/>
      <c r="J52" s="89"/>
      <c r="K52" s="91"/>
      <c r="L52" s="89"/>
      <c r="M52" s="91"/>
      <c r="N52" s="89"/>
      <c r="O52" s="364"/>
      <c r="P52" s="364"/>
      <c r="Q52" s="364"/>
      <c r="R52" s="89"/>
      <c r="S52" s="89"/>
      <c r="T52" s="89"/>
      <c r="U52" s="89"/>
      <c r="V52" s="982" t="s">
        <v>870</v>
      </c>
      <c r="W52" s="982"/>
      <c r="X52" s="982"/>
      <c r="Y52" s="982"/>
      <c r="Z52" s="982"/>
      <c r="AA52" s="982" t="s">
        <v>924</v>
      </c>
      <c r="AB52" s="982"/>
      <c r="AC52" s="982"/>
      <c r="AD52" s="982"/>
      <c r="AE52" s="982"/>
      <c r="AF52" s="982"/>
      <c r="AG52" s="982"/>
      <c r="AH52" s="982"/>
      <c r="AI52" s="982"/>
      <c r="AJ52" s="982"/>
      <c r="AK52" s="982"/>
      <c r="AL52" s="982" t="s">
        <v>925</v>
      </c>
      <c r="AM52" s="982"/>
      <c r="AN52" s="982"/>
      <c r="AO52" s="982"/>
      <c r="AP52" s="982"/>
      <c r="AQ52" s="982"/>
      <c r="AR52" s="982"/>
      <c r="AS52" s="982"/>
      <c r="AT52" s="982"/>
      <c r="AU52" s="982"/>
      <c r="AV52" s="982"/>
      <c r="AW52" s="982"/>
      <c r="AX52" s="982"/>
      <c r="AY52" s="982"/>
      <c r="AZ52" s="982"/>
      <c r="BA52" s="982"/>
      <c r="BB52" s="982"/>
      <c r="BC52" s="982"/>
    </row>
    <row r="53" spans="1:55" s="84" customFormat="1" ht="38.25" customHeight="1" x14ac:dyDescent="0.3">
      <c r="B53" s="115" t="s">
        <v>580</v>
      </c>
      <c r="C53" s="123" t="s">
        <v>52</v>
      </c>
      <c r="D53" s="123" t="s">
        <v>524</v>
      </c>
      <c r="E53" s="274"/>
      <c r="F53" s="117" t="s">
        <v>1203</v>
      </c>
      <c r="G53" s="226"/>
      <c r="H53" s="173" t="s">
        <v>1214</v>
      </c>
      <c r="I53" s="274"/>
      <c r="J53" s="117" t="s">
        <v>1216</v>
      </c>
      <c r="K53" s="226"/>
      <c r="L53" s="117" t="s">
        <v>1281</v>
      </c>
      <c r="M53" s="87"/>
      <c r="N53" s="85"/>
      <c r="O53" s="364"/>
      <c r="P53" s="364"/>
      <c r="Q53" s="364"/>
      <c r="V53" s="982" t="s">
        <v>121</v>
      </c>
      <c r="W53" s="982" t="s">
        <v>523</v>
      </c>
      <c r="X53" s="982" t="s">
        <v>52</v>
      </c>
      <c r="Y53" s="982" t="s">
        <v>1082</v>
      </c>
      <c r="Z53" s="982" t="s">
        <v>896</v>
      </c>
      <c r="AA53" s="982" t="s">
        <v>1083</v>
      </c>
      <c r="AB53" s="982" t="s">
        <v>1084</v>
      </c>
      <c r="AC53" s="982" t="s">
        <v>956</v>
      </c>
      <c r="AD53" s="982" t="s">
        <v>957</v>
      </c>
      <c r="AE53" s="982" t="s">
        <v>1085</v>
      </c>
      <c r="AF53" s="982" t="s">
        <v>1086</v>
      </c>
      <c r="AG53" s="982" t="s">
        <v>1091</v>
      </c>
      <c r="AH53" s="982" t="s">
        <v>1092</v>
      </c>
      <c r="AI53" s="982" t="s">
        <v>1093</v>
      </c>
      <c r="AJ53" s="982" t="s">
        <v>1087</v>
      </c>
      <c r="AK53" s="982" t="s">
        <v>1088</v>
      </c>
      <c r="AL53" s="982" t="s">
        <v>1089</v>
      </c>
      <c r="AM53" s="982" t="s">
        <v>956</v>
      </c>
      <c r="AN53" s="982" t="s">
        <v>957</v>
      </c>
      <c r="AO53" s="982" t="s">
        <v>1090</v>
      </c>
      <c r="AP53" s="982"/>
      <c r="AQ53" s="982"/>
      <c r="AR53" s="982"/>
      <c r="AS53" s="982"/>
      <c r="AT53" s="982"/>
      <c r="AU53" s="982"/>
      <c r="AV53" s="982"/>
      <c r="AW53" s="982"/>
      <c r="AX53" s="982"/>
      <c r="AY53" s="982"/>
      <c r="AZ53" s="982"/>
      <c r="BA53" s="982"/>
      <c r="BB53" s="982"/>
      <c r="BC53" s="982"/>
    </row>
    <row r="54" spans="1:55" s="109" customFormat="1" ht="15" thickBot="1" x14ac:dyDescent="0.35">
      <c r="A54" s="364"/>
      <c r="B54" s="211" t="s">
        <v>942</v>
      </c>
      <c r="C54" s="124"/>
      <c r="D54" s="124"/>
      <c r="E54" s="107"/>
      <c r="F54" s="1004" t="s">
        <v>1207</v>
      </c>
      <c r="G54" s="218"/>
      <c r="H54" s="1004" t="s">
        <v>1207</v>
      </c>
      <c r="I54" s="107"/>
      <c r="J54" s="1000" t="s">
        <v>946</v>
      </c>
      <c r="K54" s="218"/>
      <c r="L54" s="1000" t="s">
        <v>1282</v>
      </c>
      <c r="M54" s="82"/>
      <c r="N54" s="82"/>
      <c r="O54" s="364"/>
      <c r="P54" s="364"/>
      <c r="Q54" s="364"/>
      <c r="R54" s="364"/>
      <c r="S54" s="364"/>
      <c r="T54" s="364"/>
      <c r="U54" s="364"/>
      <c r="V54" s="982"/>
      <c r="W54" s="982"/>
      <c r="X54" s="982"/>
      <c r="Y54" s="982"/>
      <c r="Z54" s="982" t="s">
        <v>966</v>
      </c>
      <c r="AA54" s="982"/>
      <c r="AB54" s="982" t="s">
        <v>1094</v>
      </c>
      <c r="AC54" s="982"/>
      <c r="AD54" s="982" t="s">
        <v>968</v>
      </c>
      <c r="AE54" s="982"/>
      <c r="AF54" s="982" t="s">
        <v>1094</v>
      </c>
      <c r="AG54" s="982" t="s">
        <v>1094</v>
      </c>
      <c r="AH54" s="982" t="s">
        <v>1094</v>
      </c>
      <c r="AI54" s="982" t="s">
        <v>1094</v>
      </c>
      <c r="AJ54" s="982" t="s">
        <v>1094</v>
      </c>
      <c r="AK54" s="982" t="s">
        <v>1095</v>
      </c>
      <c r="AL54" s="982" t="s">
        <v>1094</v>
      </c>
      <c r="AM54" s="982"/>
      <c r="AN54" s="982" t="s">
        <v>968</v>
      </c>
      <c r="AO54" s="982" t="s">
        <v>1095</v>
      </c>
      <c r="AP54" s="982"/>
      <c r="AQ54" s="982"/>
      <c r="AR54" s="982"/>
      <c r="AS54" s="982"/>
      <c r="AT54" s="982"/>
      <c r="AU54" s="982"/>
      <c r="AV54" s="982"/>
      <c r="AW54" s="982"/>
      <c r="AX54" s="982"/>
      <c r="AY54" s="982"/>
      <c r="AZ54" s="982"/>
      <c r="BA54" s="982"/>
      <c r="BB54" s="982"/>
      <c r="BC54" s="982"/>
    </row>
    <row r="55" spans="1:55" s="56" customFormat="1" ht="15" customHeight="1" thickTop="1" x14ac:dyDescent="0.3">
      <c r="A55" s="364"/>
      <c r="B55" s="130" t="s">
        <v>1283</v>
      </c>
      <c r="C55" s="92" t="s">
        <v>918</v>
      </c>
      <c r="D55" s="32">
        <v>4089.12</v>
      </c>
      <c r="E55" s="333"/>
      <c r="F55" s="1001">
        <v>0.45</v>
      </c>
      <c r="G55" s="913" t="s">
        <v>173</v>
      </c>
      <c r="H55" s="913" t="s">
        <v>173</v>
      </c>
      <c r="I55" s="957" t="str">
        <f>IF(ROUND(J55,2)=ROUND(AK55,2),"X","")</f>
        <v>X</v>
      </c>
      <c r="J55" s="298">
        <v>0.45</v>
      </c>
      <c r="K55" s="913" t="s">
        <v>173</v>
      </c>
      <c r="L55" s="691" t="s">
        <v>173</v>
      </c>
      <c r="M55" s="70"/>
      <c r="N55" s="367"/>
      <c r="O55" s="364"/>
      <c r="P55" s="812"/>
      <c r="Q55" s="812"/>
      <c r="R55" s="812"/>
      <c r="S55" s="812"/>
      <c r="T55" s="812"/>
      <c r="U55" s="813" t="s">
        <v>1212</v>
      </c>
      <c r="V55" s="949" t="s">
        <v>1283</v>
      </c>
      <c r="W55" s="949" t="s">
        <v>170</v>
      </c>
      <c r="X55" s="949" t="s">
        <v>918</v>
      </c>
      <c r="Y55" s="949" t="s">
        <v>137</v>
      </c>
      <c r="Z55" s="949">
        <v>4089.12</v>
      </c>
      <c r="AA55" s="949" t="s">
        <v>1096</v>
      </c>
      <c r="AB55" s="949">
        <v>0</v>
      </c>
      <c r="AC55" s="949" t="s">
        <v>973</v>
      </c>
      <c r="AD55" s="949">
        <v>3459.4</v>
      </c>
      <c r="AE55" s="949">
        <v>-99996</v>
      </c>
      <c r="AF55" s="949">
        <v>0</v>
      </c>
      <c r="AG55" s="949">
        <v>1840.1</v>
      </c>
      <c r="AH55" s="949">
        <v>0</v>
      </c>
      <c r="AI55" s="949">
        <v>0</v>
      </c>
      <c r="AJ55" s="949">
        <v>1840.1</v>
      </c>
      <c r="AK55" s="949">
        <v>0.45</v>
      </c>
      <c r="AL55" s="982"/>
      <c r="AM55" s="982"/>
      <c r="AN55" s="982"/>
      <c r="AO55" s="982"/>
      <c r="AP55" s="982"/>
      <c r="AQ55" s="982"/>
      <c r="AR55" s="982"/>
      <c r="AS55" s="982"/>
      <c r="AT55" s="982"/>
      <c r="AU55" s="982"/>
      <c r="AV55" s="982"/>
      <c r="AW55" s="982"/>
      <c r="AX55" s="982"/>
      <c r="AY55" s="982"/>
      <c r="AZ55" s="982"/>
      <c r="BA55" s="982"/>
      <c r="BB55" s="982"/>
      <c r="BC55" s="982"/>
    </row>
    <row r="56" spans="1:55" s="56" customFormat="1" ht="15" customHeight="1" x14ac:dyDescent="0.3">
      <c r="A56" s="364"/>
      <c r="B56" s="130" t="s">
        <v>1284</v>
      </c>
      <c r="C56" s="92" t="s">
        <v>980</v>
      </c>
      <c r="D56" s="32">
        <v>17227.400000000001</v>
      </c>
      <c r="E56" s="333"/>
      <c r="F56" s="1001">
        <v>1</v>
      </c>
      <c r="G56" s="913" t="s">
        <v>173</v>
      </c>
      <c r="H56" s="913" t="s">
        <v>173</v>
      </c>
      <c r="I56" s="958" t="str">
        <f t="shared" ref="I56:I59" si="3">IF(ROUND(J56,2)=ROUND(AK56,2),"X","")</f>
        <v>X</v>
      </c>
      <c r="J56" s="298">
        <v>1</v>
      </c>
      <c r="K56" s="913" t="s">
        <v>173</v>
      </c>
      <c r="L56" s="691" t="s">
        <v>173</v>
      </c>
      <c r="M56" s="70"/>
      <c r="N56" s="367"/>
      <c r="O56" s="364"/>
      <c r="P56" s="364"/>
      <c r="Q56" s="364"/>
      <c r="R56" s="364"/>
      <c r="S56" s="364"/>
      <c r="T56" s="364"/>
      <c r="U56" s="364"/>
      <c r="V56" s="949" t="s">
        <v>1284</v>
      </c>
      <c r="W56" s="949" t="s">
        <v>170</v>
      </c>
      <c r="X56" s="949" t="s">
        <v>980</v>
      </c>
      <c r="Y56" s="949" t="s">
        <v>137</v>
      </c>
      <c r="Z56" s="949">
        <v>17227.400000000001</v>
      </c>
      <c r="AA56" s="949" t="s">
        <v>1096</v>
      </c>
      <c r="AB56" s="949">
        <v>0</v>
      </c>
      <c r="AC56" s="949" t="s">
        <v>973</v>
      </c>
      <c r="AD56" s="949">
        <v>3459.4</v>
      </c>
      <c r="AE56" s="949">
        <v>-99996</v>
      </c>
      <c r="AF56" s="949">
        <v>0</v>
      </c>
      <c r="AG56" s="949">
        <v>17227.400000000001</v>
      </c>
      <c r="AH56" s="949">
        <v>0</v>
      </c>
      <c r="AI56" s="949">
        <v>0</v>
      </c>
      <c r="AJ56" s="949">
        <v>17227.400000000001</v>
      </c>
      <c r="AK56" s="949">
        <v>1</v>
      </c>
      <c r="AL56" s="982"/>
      <c r="AM56" s="982"/>
      <c r="AN56" s="982"/>
      <c r="AO56" s="982"/>
      <c r="AP56" s="982"/>
      <c r="AQ56" s="982"/>
      <c r="AR56" s="982"/>
      <c r="AS56" s="982"/>
      <c r="AT56" s="982"/>
      <c r="AU56" s="982"/>
      <c r="AV56" s="982"/>
      <c r="AW56" s="982"/>
      <c r="AX56" s="982"/>
      <c r="AY56" s="982"/>
      <c r="AZ56" s="982"/>
      <c r="BA56" s="982"/>
      <c r="BB56" s="982"/>
      <c r="BC56" s="982"/>
    </row>
    <row r="57" spans="1:55" ht="15" customHeight="1" x14ac:dyDescent="0.3">
      <c r="A57" s="364"/>
      <c r="B57" s="130" t="s">
        <v>1285</v>
      </c>
      <c r="C57" s="92" t="s">
        <v>986</v>
      </c>
      <c r="D57" s="32">
        <v>129.167</v>
      </c>
      <c r="E57" s="333"/>
      <c r="F57" s="1001">
        <v>0.85</v>
      </c>
      <c r="G57" s="913" t="s">
        <v>173</v>
      </c>
      <c r="H57" s="913" t="s">
        <v>173</v>
      </c>
      <c r="I57" s="958" t="str">
        <f t="shared" si="3"/>
        <v>X</v>
      </c>
      <c r="J57" s="298">
        <v>0.85</v>
      </c>
      <c r="K57" s="913" t="s">
        <v>173</v>
      </c>
      <c r="L57" s="691" t="s">
        <v>173</v>
      </c>
      <c r="M57" s="70"/>
      <c r="N57" s="367"/>
      <c r="O57" s="364"/>
      <c r="P57" s="364"/>
      <c r="Q57" s="364"/>
      <c r="R57" s="373"/>
      <c r="S57" s="373"/>
      <c r="T57" s="373"/>
      <c r="U57" s="373"/>
      <c r="V57" s="949" t="s">
        <v>1285</v>
      </c>
      <c r="W57" s="949" t="s">
        <v>1200</v>
      </c>
      <c r="X57" s="949" t="s">
        <v>986</v>
      </c>
      <c r="Y57" s="949" t="s">
        <v>137</v>
      </c>
      <c r="Z57" s="949">
        <v>129.167</v>
      </c>
      <c r="AA57" s="949" t="s">
        <v>1096</v>
      </c>
      <c r="AB57" s="949">
        <v>0</v>
      </c>
      <c r="AC57" s="949" t="s">
        <v>973</v>
      </c>
      <c r="AD57" s="949">
        <v>3459.4</v>
      </c>
      <c r="AE57" s="949">
        <v>-99996</v>
      </c>
      <c r="AF57" s="949">
        <v>0</v>
      </c>
      <c r="AG57" s="949">
        <v>109.792</v>
      </c>
      <c r="AH57" s="949">
        <v>0</v>
      </c>
      <c r="AI57" s="949">
        <v>0</v>
      </c>
      <c r="AJ57" s="949">
        <v>109.792</v>
      </c>
      <c r="AK57" s="949">
        <v>0.85</v>
      </c>
      <c r="AL57" s="982"/>
      <c r="AM57" s="982"/>
      <c r="AN57" s="982"/>
      <c r="AO57" s="982"/>
      <c r="AP57" s="982"/>
      <c r="AQ57" s="982"/>
      <c r="AR57" s="982"/>
      <c r="AS57" s="982"/>
      <c r="AT57" s="982"/>
      <c r="AU57" s="982"/>
      <c r="AV57" s="982"/>
      <c r="AW57" s="982"/>
      <c r="AX57" s="982"/>
      <c r="AY57" s="982"/>
      <c r="AZ57" s="982"/>
      <c r="BA57" s="982"/>
      <c r="BB57" s="982"/>
      <c r="BC57" s="982"/>
    </row>
    <row r="58" spans="1:55" s="56" customFormat="1" ht="15" customHeight="1" x14ac:dyDescent="0.3">
      <c r="A58" s="364"/>
      <c r="B58" s="130" t="s">
        <v>1286</v>
      </c>
      <c r="C58" s="92" t="s">
        <v>980</v>
      </c>
      <c r="D58" s="32">
        <v>1623.3</v>
      </c>
      <c r="E58" s="333"/>
      <c r="F58" s="1001">
        <v>1.45</v>
      </c>
      <c r="G58" s="330"/>
      <c r="H58" s="624">
        <f>MIN(1216/810,0.8)*0.7*810/1623.3</f>
        <v>0.27943078913324709</v>
      </c>
      <c r="I58" s="958" t="str">
        <f t="shared" si="3"/>
        <v>X</v>
      </c>
      <c r="J58" s="298">
        <f>F58+H58</f>
        <v>1.729430789133247</v>
      </c>
      <c r="K58" s="328"/>
      <c r="L58" s="784">
        <v>810</v>
      </c>
      <c r="M58" s="70"/>
      <c r="N58" s="367"/>
      <c r="O58" s="364"/>
      <c r="P58" s="364"/>
      <c r="Q58" s="364"/>
      <c r="R58" s="364"/>
      <c r="S58" s="364"/>
      <c r="T58" s="364"/>
      <c r="U58" s="364"/>
      <c r="V58" s="949" t="s">
        <v>1286</v>
      </c>
      <c r="W58" s="949" t="s">
        <v>170</v>
      </c>
      <c r="X58" s="949" t="s">
        <v>980</v>
      </c>
      <c r="Y58" s="949" t="s">
        <v>137</v>
      </c>
      <c r="Z58" s="949">
        <v>1623.3</v>
      </c>
      <c r="AA58" s="949" t="s">
        <v>1209</v>
      </c>
      <c r="AB58" s="949">
        <v>0</v>
      </c>
      <c r="AC58" s="949" t="s">
        <v>973</v>
      </c>
      <c r="AD58" s="949">
        <v>3459.4</v>
      </c>
      <c r="AE58" s="949">
        <v>-99996</v>
      </c>
      <c r="AF58" s="949">
        <v>0</v>
      </c>
      <c r="AG58" s="949">
        <v>2353.7800000000002</v>
      </c>
      <c r="AH58" s="949">
        <v>0</v>
      </c>
      <c r="AI58" s="949">
        <v>453.6</v>
      </c>
      <c r="AJ58" s="949">
        <v>2807.38</v>
      </c>
      <c r="AK58" s="949">
        <v>1.73</v>
      </c>
      <c r="AL58" s="982"/>
      <c r="AM58" s="982"/>
      <c r="AN58" s="982"/>
      <c r="AO58" s="982"/>
      <c r="AP58" s="982"/>
      <c r="AQ58" s="982"/>
      <c r="AR58" s="982"/>
      <c r="AS58" s="982"/>
      <c r="AT58" s="982"/>
      <c r="AU58" s="982"/>
      <c r="AV58" s="982"/>
      <c r="AW58" s="982"/>
      <c r="AX58" s="982"/>
      <c r="AY58" s="982"/>
      <c r="AZ58" s="982"/>
      <c r="BA58" s="982"/>
      <c r="BB58" s="982"/>
      <c r="BC58" s="982"/>
    </row>
    <row r="59" spans="1:55" s="56" customFormat="1" ht="15" customHeight="1" x14ac:dyDescent="0.3">
      <c r="A59" s="364"/>
      <c r="B59" s="180" t="s">
        <v>1287</v>
      </c>
      <c r="C59" s="156" t="s">
        <v>980</v>
      </c>
      <c r="D59" s="168">
        <v>1623.3</v>
      </c>
      <c r="E59" s="334"/>
      <c r="F59" s="1002">
        <v>1</v>
      </c>
      <c r="G59" s="1010" t="s">
        <v>173</v>
      </c>
      <c r="H59" s="1010" t="s">
        <v>173</v>
      </c>
      <c r="I59" s="952" t="str">
        <f t="shared" si="3"/>
        <v>X</v>
      </c>
      <c r="J59" s="710">
        <v>1</v>
      </c>
      <c r="K59" s="1010" t="s">
        <v>173</v>
      </c>
      <c r="L59" s="693" t="s">
        <v>173</v>
      </c>
      <c r="M59" s="70"/>
      <c r="N59" s="367"/>
      <c r="O59" s="364"/>
      <c r="P59" s="364"/>
      <c r="Q59" s="364"/>
      <c r="R59" s="364"/>
      <c r="S59" s="364"/>
      <c r="T59" s="364"/>
      <c r="U59" s="364"/>
      <c r="V59" s="949" t="s">
        <v>1287</v>
      </c>
      <c r="W59" s="949" t="s">
        <v>170</v>
      </c>
      <c r="X59" s="949" t="s">
        <v>980</v>
      </c>
      <c r="Y59" s="949" t="s">
        <v>137</v>
      </c>
      <c r="Z59" s="949">
        <v>1623.3</v>
      </c>
      <c r="AA59" s="949" t="s">
        <v>1096</v>
      </c>
      <c r="AB59" s="949">
        <v>0</v>
      </c>
      <c r="AC59" s="949" t="s">
        <v>973</v>
      </c>
      <c r="AD59" s="949">
        <v>3459.4</v>
      </c>
      <c r="AE59" s="949">
        <v>-99996</v>
      </c>
      <c r="AF59" s="949">
        <v>0</v>
      </c>
      <c r="AG59" s="949">
        <v>1623.3</v>
      </c>
      <c r="AH59" s="949">
        <v>0</v>
      </c>
      <c r="AI59" s="949">
        <v>0</v>
      </c>
      <c r="AJ59" s="949">
        <v>1623.3</v>
      </c>
      <c r="AK59" s="949">
        <v>1</v>
      </c>
      <c r="AL59" s="982"/>
      <c r="AM59" s="982"/>
      <c r="AN59" s="982"/>
      <c r="AO59" s="982"/>
      <c r="AP59" s="982"/>
      <c r="AQ59" s="982"/>
      <c r="AR59" s="982"/>
      <c r="AS59" s="982"/>
      <c r="AT59" s="982"/>
      <c r="AU59" s="982"/>
      <c r="AV59" s="982"/>
      <c r="AW59" s="982"/>
      <c r="AX59" s="982"/>
      <c r="AY59" s="982"/>
      <c r="AZ59" s="982"/>
      <c r="BA59" s="982"/>
      <c r="BB59" s="982"/>
      <c r="BC59" s="982"/>
    </row>
    <row r="60" spans="1:55" s="56" customFormat="1" ht="14.4" x14ac:dyDescent="0.3">
      <c r="A60" s="364"/>
      <c r="B60" s="84"/>
      <c r="C60" s="30"/>
      <c r="D60" s="30"/>
      <c r="E60" s="364"/>
      <c r="F60" s="480"/>
      <c r="G60" s="364"/>
      <c r="H60" s="364"/>
      <c r="I60" s="364"/>
      <c r="J60" s="364"/>
      <c r="K60" s="364"/>
      <c r="L60" s="364"/>
      <c r="M60" s="70"/>
      <c r="N60" s="367"/>
      <c r="O60" s="364"/>
      <c r="P60" s="364"/>
      <c r="Q60" s="364"/>
      <c r="R60" s="364"/>
      <c r="S60" s="364"/>
      <c r="T60" s="364"/>
      <c r="U60" s="364"/>
      <c r="V60" s="982"/>
      <c r="W60" s="982"/>
      <c r="X60" s="982"/>
      <c r="Y60" s="982"/>
      <c r="Z60" s="982"/>
      <c r="AA60" s="982"/>
      <c r="AB60" s="982"/>
      <c r="AC60" s="982"/>
      <c r="AD60" s="982"/>
      <c r="AE60" s="982"/>
      <c r="AF60" s="982"/>
      <c r="AG60" s="982"/>
      <c r="AH60" s="982"/>
      <c r="AI60" s="982"/>
      <c r="AJ60" s="982"/>
      <c r="AK60" s="982"/>
      <c r="AL60" s="982"/>
      <c r="AM60" s="982"/>
      <c r="AN60" s="982"/>
      <c r="AO60" s="982"/>
      <c r="AP60" s="982"/>
      <c r="AQ60" s="982"/>
      <c r="AR60" s="982"/>
      <c r="AS60" s="982"/>
      <c r="AT60" s="982"/>
      <c r="AU60" s="982"/>
      <c r="AV60" s="982"/>
      <c r="AW60" s="982"/>
      <c r="AX60" s="982"/>
      <c r="AY60" s="982"/>
      <c r="AZ60" s="982"/>
      <c r="BA60" s="982"/>
      <c r="BB60" s="982"/>
      <c r="BC60" s="982"/>
    </row>
    <row r="61" spans="1:55" s="56" customFormat="1" ht="14.4" x14ac:dyDescent="0.3">
      <c r="A61" s="289"/>
      <c r="B61" s="23" t="s">
        <v>64</v>
      </c>
      <c r="C61" s="30"/>
      <c r="D61" s="30"/>
      <c r="E61" s="91"/>
      <c r="F61" s="89"/>
      <c r="G61" s="91"/>
      <c r="H61" s="622"/>
      <c r="I61" s="91"/>
      <c r="J61" s="89"/>
      <c r="K61" s="91"/>
      <c r="L61" s="89"/>
      <c r="M61" s="91"/>
      <c r="N61" s="89"/>
      <c r="O61" s="364"/>
      <c r="P61" s="364"/>
      <c r="Q61" s="364"/>
      <c r="R61" s="364"/>
      <c r="S61" s="364"/>
      <c r="T61" s="364"/>
      <c r="U61" s="364"/>
      <c r="V61" s="982"/>
      <c r="W61" s="982"/>
      <c r="X61" s="982"/>
      <c r="Y61" s="982"/>
      <c r="Z61" s="982"/>
      <c r="AA61" s="982"/>
      <c r="AB61" s="982"/>
      <c r="AC61" s="982"/>
      <c r="AD61" s="982"/>
      <c r="AE61" s="982"/>
      <c r="AF61" s="982"/>
      <c r="AG61" s="982"/>
      <c r="AH61" s="982"/>
      <c r="AI61" s="982"/>
      <c r="AJ61" s="982"/>
      <c r="AK61" s="982"/>
      <c r="AL61" s="982"/>
      <c r="AM61" s="982"/>
      <c r="AN61" s="982"/>
      <c r="AO61" s="982"/>
      <c r="AP61" s="982"/>
      <c r="AQ61" s="982"/>
      <c r="AR61" s="982"/>
      <c r="AS61" s="982"/>
      <c r="AT61" s="982"/>
      <c r="AU61" s="982"/>
      <c r="AV61" s="982"/>
      <c r="AW61" s="982"/>
      <c r="AX61" s="982"/>
      <c r="AY61" s="982"/>
      <c r="AZ61" s="982"/>
      <c r="BA61" s="982"/>
      <c r="BB61" s="982"/>
      <c r="BC61" s="982"/>
    </row>
    <row r="62" spans="1:55" s="56" customFormat="1" ht="14.4" x14ac:dyDescent="0.3">
      <c r="A62" s="364"/>
      <c r="B62" s="84" t="s">
        <v>870</v>
      </c>
      <c r="C62" s="30"/>
      <c r="D62" s="30"/>
      <c r="E62" s="58"/>
      <c r="F62" s="58"/>
      <c r="G62" s="60"/>
      <c r="H62" s="623"/>
      <c r="I62" s="60"/>
      <c r="J62" s="60"/>
      <c r="K62" s="58"/>
      <c r="L62" s="58"/>
      <c r="M62" s="58"/>
      <c r="N62" s="58"/>
      <c r="O62" s="364"/>
      <c r="P62" s="364"/>
      <c r="Q62" s="364"/>
      <c r="R62" s="364"/>
      <c r="S62" s="364"/>
      <c r="T62" s="364"/>
      <c r="U62" s="364"/>
      <c r="V62" s="982"/>
      <c r="W62" s="982"/>
      <c r="X62" s="982"/>
      <c r="Y62" s="982"/>
      <c r="Z62" s="982"/>
      <c r="AA62" s="982"/>
      <c r="AB62" s="982"/>
      <c r="AC62" s="982"/>
      <c r="AD62" s="982"/>
      <c r="AE62" s="982"/>
      <c r="AF62" s="982"/>
      <c r="AG62" s="982"/>
      <c r="AH62" s="982"/>
      <c r="AI62" s="982"/>
      <c r="AJ62" s="982"/>
      <c r="AK62" s="982"/>
      <c r="AL62" s="982"/>
      <c r="AM62" s="982"/>
      <c r="AN62" s="982"/>
      <c r="AO62" s="982"/>
      <c r="AP62" s="982"/>
      <c r="AQ62" s="982"/>
      <c r="AR62" s="982"/>
      <c r="AS62" s="982"/>
      <c r="AT62" s="982"/>
      <c r="AU62" s="982"/>
      <c r="AV62" s="982"/>
      <c r="AW62" s="982"/>
      <c r="AX62" s="982"/>
      <c r="AY62" s="982"/>
      <c r="AZ62" s="982"/>
      <c r="BA62" s="982"/>
      <c r="BB62" s="982"/>
      <c r="BC62" s="982"/>
    </row>
    <row r="63" spans="1:55" s="56" customFormat="1" ht="14.4" x14ac:dyDescent="0.3">
      <c r="A63" s="364"/>
      <c r="B63" s="367" t="s">
        <v>942</v>
      </c>
      <c r="C63" s="30"/>
      <c r="D63" s="30"/>
      <c r="E63" s="82"/>
      <c r="F63" s="82"/>
      <c r="G63" s="82"/>
      <c r="H63" s="82"/>
      <c r="I63" s="82"/>
      <c r="J63" s="82"/>
      <c r="K63" s="82"/>
      <c r="L63" s="82"/>
      <c r="M63" s="82"/>
      <c r="N63" s="82"/>
      <c r="O63" s="364"/>
      <c r="P63" s="364"/>
      <c r="Q63" s="364"/>
      <c r="R63" s="364"/>
      <c r="S63" s="364"/>
      <c r="T63" s="364"/>
      <c r="U63" s="364"/>
      <c r="V63" s="369" t="s">
        <v>1231</v>
      </c>
      <c r="W63" s="982"/>
      <c r="X63" s="982"/>
      <c r="Y63" s="982"/>
      <c r="Z63" s="982"/>
      <c r="AA63" s="982"/>
      <c r="AB63" s="982"/>
      <c r="AC63" s="982"/>
      <c r="AD63" s="982"/>
      <c r="AE63" s="982"/>
      <c r="AF63" s="982"/>
      <c r="AG63" s="982"/>
      <c r="AH63" s="982"/>
      <c r="AI63" s="982"/>
      <c r="AJ63" s="982"/>
      <c r="AK63" s="982"/>
      <c r="AL63" s="982"/>
      <c r="AM63" s="982"/>
      <c r="AN63" s="982"/>
      <c r="AO63" s="982"/>
      <c r="AP63" s="982"/>
      <c r="AQ63" s="982"/>
      <c r="AR63" s="982"/>
      <c r="AS63" s="982"/>
      <c r="AT63" s="982"/>
      <c r="AU63" s="982"/>
      <c r="AV63" s="982"/>
      <c r="AW63" s="982"/>
      <c r="AX63" s="982"/>
      <c r="AY63" s="982"/>
      <c r="AZ63" s="982"/>
      <c r="BA63" s="982"/>
      <c r="BB63" s="982"/>
      <c r="BC63" s="982"/>
    </row>
    <row r="64" spans="1:55" s="84" customFormat="1" ht="27.6" x14ac:dyDescent="0.3">
      <c r="B64" s="115" t="s">
        <v>580</v>
      </c>
      <c r="C64" s="123" t="s">
        <v>52</v>
      </c>
      <c r="D64" s="123" t="s">
        <v>524</v>
      </c>
      <c r="E64" s="274"/>
      <c r="F64" s="268" t="s">
        <v>885</v>
      </c>
      <c r="G64" s="279"/>
      <c r="H64" s="279" t="s">
        <v>1253</v>
      </c>
      <c r="I64" s="270"/>
      <c r="J64" s="268" t="s">
        <v>1254</v>
      </c>
      <c r="K64" s="226"/>
      <c r="L64" s="173" t="s">
        <v>1255</v>
      </c>
      <c r="M64" s="274"/>
      <c r="N64" s="117" t="s">
        <v>1256</v>
      </c>
      <c r="O64" s="364"/>
      <c r="P64" s="364"/>
      <c r="Q64" s="364"/>
      <c r="R64" s="82"/>
      <c r="S64" s="82"/>
      <c r="T64" s="82"/>
      <c r="U64" s="82"/>
      <c r="V64" s="982"/>
      <c r="W64" s="982" t="s">
        <v>870</v>
      </c>
      <c r="X64" s="982"/>
      <c r="Y64" s="982"/>
      <c r="Z64" s="982"/>
      <c r="AA64" s="982"/>
      <c r="AB64" s="982" t="s">
        <v>924</v>
      </c>
      <c r="AC64" s="982"/>
      <c r="AD64" s="982"/>
      <c r="AE64" s="982"/>
      <c r="AF64" s="982"/>
      <c r="AG64" s="982"/>
      <c r="AH64" s="982"/>
      <c r="AI64" s="982"/>
      <c r="AJ64" s="982"/>
      <c r="AK64" s="982"/>
      <c r="AL64" s="982"/>
      <c r="AM64" s="982"/>
      <c r="AN64" s="982"/>
      <c r="AO64" s="982"/>
      <c r="AP64" s="982"/>
      <c r="AQ64" s="982"/>
      <c r="AR64" s="982"/>
      <c r="AS64" s="982"/>
      <c r="AT64" s="982"/>
      <c r="AU64" s="982"/>
      <c r="AV64" s="982"/>
      <c r="AW64" s="982"/>
      <c r="AX64" s="982"/>
      <c r="AY64" s="982"/>
      <c r="AZ64" s="982"/>
      <c r="BA64" s="982"/>
      <c r="BB64" s="982"/>
      <c r="BC64" s="982"/>
    </row>
    <row r="65" spans="2:56" s="82" customFormat="1" ht="15" thickBot="1" x14ac:dyDescent="0.35">
      <c r="B65" s="211" t="s">
        <v>942</v>
      </c>
      <c r="C65" s="218"/>
      <c r="D65" s="218"/>
      <c r="E65" s="107"/>
      <c r="F65" s="1000" t="s">
        <v>892</v>
      </c>
      <c r="G65" s="218"/>
      <c r="H65" s="208" t="s">
        <v>1257</v>
      </c>
      <c r="I65" s="107"/>
      <c r="J65" s="1000" t="s">
        <v>1258</v>
      </c>
      <c r="K65" s="218"/>
      <c r="L65" s="208" t="s">
        <v>1259</v>
      </c>
      <c r="M65" s="107"/>
      <c r="N65" s="1000" t="s">
        <v>1260</v>
      </c>
      <c r="O65" s="364"/>
      <c r="P65" s="364"/>
      <c r="Q65" s="364"/>
      <c r="R65" s="364"/>
      <c r="S65" s="364"/>
      <c r="T65" s="364"/>
      <c r="U65" s="364"/>
      <c r="V65" s="982" t="s">
        <v>121</v>
      </c>
      <c r="W65" s="982" t="s">
        <v>121</v>
      </c>
      <c r="X65" s="982" t="s">
        <v>52</v>
      </c>
      <c r="Y65" s="982" t="s">
        <v>896</v>
      </c>
      <c r="Z65" s="982" t="s">
        <v>1232</v>
      </c>
      <c r="AA65" s="982" t="s">
        <v>1206</v>
      </c>
      <c r="AB65" s="982" t="s">
        <v>956</v>
      </c>
      <c r="AC65" s="982" t="s">
        <v>1233</v>
      </c>
      <c r="AD65" s="982" t="s">
        <v>1084</v>
      </c>
      <c r="AE65" s="982" t="s">
        <v>1087</v>
      </c>
      <c r="AF65" s="982" t="s">
        <v>1219</v>
      </c>
      <c r="AG65" s="982" t="s">
        <v>1234</v>
      </c>
      <c r="AH65" s="982" t="s">
        <v>1235</v>
      </c>
      <c r="AI65" s="982" t="s">
        <v>1236</v>
      </c>
      <c r="AJ65" s="982" t="s">
        <v>1237</v>
      </c>
      <c r="AK65" s="982" t="s">
        <v>1238</v>
      </c>
      <c r="AL65" s="982" t="s">
        <v>1239</v>
      </c>
      <c r="AM65" s="982"/>
      <c r="AN65" s="982"/>
      <c r="AO65" s="982"/>
      <c r="AP65" s="982"/>
      <c r="AQ65" s="982"/>
      <c r="AR65" s="982"/>
      <c r="AS65" s="982"/>
      <c r="AT65" s="982"/>
      <c r="AU65" s="982"/>
      <c r="AV65" s="982"/>
      <c r="AW65" s="982"/>
      <c r="AX65" s="982"/>
      <c r="AY65" s="982"/>
      <c r="AZ65" s="982"/>
      <c r="BA65" s="982"/>
      <c r="BB65" s="982"/>
      <c r="BC65" s="982"/>
    </row>
    <row r="66" spans="2:56" s="56" customFormat="1" ht="15" customHeight="1" thickTop="1" x14ac:dyDescent="0.3">
      <c r="B66" s="130" t="s">
        <v>1283</v>
      </c>
      <c r="C66" s="92" t="s">
        <v>918</v>
      </c>
      <c r="D66" s="961">
        <v>4089.12</v>
      </c>
      <c r="E66" s="913" t="s">
        <v>173</v>
      </c>
      <c r="F66" s="691" t="s">
        <v>173</v>
      </c>
      <c r="G66" s="913" t="s">
        <v>173</v>
      </c>
      <c r="H66" s="913" t="s">
        <v>173</v>
      </c>
      <c r="I66" s="690" t="s">
        <v>173</v>
      </c>
      <c r="J66" s="691" t="s">
        <v>173</v>
      </c>
      <c r="K66" s="913" t="s">
        <v>173</v>
      </c>
      <c r="L66" s="913" t="s">
        <v>173</v>
      </c>
      <c r="M66" s="690" t="s">
        <v>173</v>
      </c>
      <c r="N66" s="691" t="s">
        <v>173</v>
      </c>
      <c r="O66" s="364"/>
      <c r="P66" s="364"/>
      <c r="Q66" s="364"/>
      <c r="R66" s="364"/>
      <c r="S66" s="364"/>
      <c r="T66" s="364"/>
      <c r="U66" s="364"/>
      <c r="V66" s="982"/>
      <c r="W66" s="982"/>
      <c r="X66" s="982"/>
      <c r="Y66" s="982"/>
      <c r="Z66" s="982" t="s">
        <v>966</v>
      </c>
      <c r="AA66" s="982" t="s">
        <v>1240</v>
      </c>
      <c r="AB66" s="982"/>
      <c r="AC66" s="982"/>
      <c r="AD66" s="982" t="s">
        <v>968</v>
      </c>
      <c r="AE66" s="982" t="s">
        <v>1094</v>
      </c>
      <c r="AF66" s="982" t="s">
        <v>1094</v>
      </c>
      <c r="AG66" s="982"/>
      <c r="AH66" s="982" t="s">
        <v>855</v>
      </c>
      <c r="AI66" s="982" t="s">
        <v>1094</v>
      </c>
      <c r="AJ66" s="982"/>
      <c r="AK66" s="982"/>
      <c r="AL66" s="982" t="s">
        <v>1240</v>
      </c>
      <c r="AM66" s="982" t="s">
        <v>966</v>
      </c>
      <c r="AN66" s="982"/>
      <c r="AO66" s="982"/>
      <c r="AP66" s="982"/>
      <c r="AQ66" s="982"/>
      <c r="AR66" s="982"/>
      <c r="AS66" s="982"/>
      <c r="AT66" s="982"/>
      <c r="AU66" s="982"/>
      <c r="AV66" s="982"/>
      <c r="AW66" s="982"/>
      <c r="AX66" s="982"/>
      <c r="AY66" s="982"/>
      <c r="AZ66" s="982"/>
      <c r="BA66" s="982"/>
      <c r="BB66" s="982"/>
      <c r="BC66" s="982"/>
      <c r="BD66" s="364"/>
    </row>
    <row r="67" spans="2:56" s="102" customFormat="1" ht="15" customHeight="1" x14ac:dyDescent="0.3">
      <c r="B67" s="130" t="s">
        <v>1284</v>
      </c>
      <c r="C67" s="92" t="s">
        <v>980</v>
      </c>
      <c r="D67" s="153">
        <v>17227.400000000001</v>
      </c>
      <c r="E67" s="959" t="str">
        <f>IF(F67=Y77,"X","")</f>
        <v>X</v>
      </c>
      <c r="F67" s="202" t="s">
        <v>913</v>
      </c>
      <c r="G67" s="333"/>
      <c r="H67" s="1001">
        <v>16742.599999999999</v>
      </c>
      <c r="I67" s="951" t="str">
        <f>IF(J67=AE77,"X","")</f>
        <v>X</v>
      </c>
      <c r="J67" s="361">
        <f>H67*1</f>
        <v>16742.599999999999</v>
      </c>
      <c r="K67" s="951" t="str">
        <f>IF(L67=AG77,"X","")</f>
        <v>X</v>
      </c>
      <c r="L67" s="373">
        <v>950</v>
      </c>
      <c r="M67" s="951" t="str">
        <f>IF(N67=AI77,"X","")</f>
        <v>X</v>
      </c>
      <c r="N67" s="202">
        <v>950</v>
      </c>
      <c r="O67" s="364"/>
      <c r="P67" s="812"/>
      <c r="Q67" s="812"/>
      <c r="R67" s="812"/>
      <c r="S67" s="812"/>
      <c r="T67" s="812"/>
      <c r="U67" s="813" t="s">
        <v>1292</v>
      </c>
      <c r="V67" s="949" t="s">
        <v>1289</v>
      </c>
      <c r="W67" s="949" t="s">
        <v>1286</v>
      </c>
      <c r="X67" s="949" t="s">
        <v>980</v>
      </c>
      <c r="Y67" s="949">
        <v>1623.3</v>
      </c>
      <c r="Z67" s="949">
        <v>20.0001</v>
      </c>
      <c r="AA67" s="949" t="s">
        <v>1209</v>
      </c>
      <c r="AB67" s="949"/>
      <c r="AC67" s="949">
        <v>0</v>
      </c>
      <c r="AD67" s="949">
        <v>2592</v>
      </c>
      <c r="AE67" s="949">
        <v>2592</v>
      </c>
      <c r="AF67" s="949" t="s">
        <v>1243</v>
      </c>
      <c r="AG67" s="949">
        <v>0</v>
      </c>
      <c r="AH67" s="949">
        <v>0</v>
      </c>
      <c r="AI67" s="949" t="s">
        <v>1243</v>
      </c>
      <c r="AJ67" s="949" t="s">
        <v>1243</v>
      </c>
      <c r="AK67" s="949">
        <v>0</v>
      </c>
      <c r="AL67" s="949">
        <v>0</v>
      </c>
      <c r="AM67" s="982"/>
      <c r="AN67" s="982"/>
      <c r="AO67" s="982"/>
      <c r="AP67" s="982"/>
      <c r="AQ67" s="982"/>
      <c r="AR67" s="982"/>
      <c r="AS67" s="982"/>
      <c r="AT67" s="982"/>
      <c r="AU67" s="982"/>
      <c r="AV67" s="982"/>
      <c r="AW67" s="982"/>
      <c r="AX67" s="982"/>
      <c r="AY67" s="982"/>
      <c r="AZ67" s="982"/>
      <c r="BA67" s="982"/>
      <c r="BB67" s="982"/>
      <c r="BC67" s="982"/>
      <c r="BD67" s="364"/>
    </row>
    <row r="68" spans="2:56" s="56" customFormat="1" ht="15" customHeight="1" x14ac:dyDescent="0.3">
      <c r="B68" s="130" t="s">
        <v>1285</v>
      </c>
      <c r="C68" s="92" t="s">
        <v>986</v>
      </c>
      <c r="D68" s="153">
        <v>129.167</v>
      </c>
      <c r="E68" s="913" t="s">
        <v>173</v>
      </c>
      <c r="F68" s="691" t="s">
        <v>173</v>
      </c>
      <c r="G68" s="913" t="s">
        <v>173</v>
      </c>
      <c r="H68" s="913" t="s">
        <v>173</v>
      </c>
      <c r="I68" s="690" t="s">
        <v>173</v>
      </c>
      <c r="J68" s="691" t="s">
        <v>173</v>
      </c>
      <c r="K68" s="913" t="s">
        <v>173</v>
      </c>
      <c r="L68" s="913" t="s">
        <v>173</v>
      </c>
      <c r="M68" s="690" t="s">
        <v>173</v>
      </c>
      <c r="N68" s="691" t="s">
        <v>173</v>
      </c>
      <c r="O68" s="364"/>
      <c r="P68" s="364"/>
      <c r="Q68" s="364"/>
      <c r="R68" s="364"/>
      <c r="S68" s="364"/>
      <c r="T68" s="364"/>
      <c r="U68" s="364"/>
      <c r="V68" s="949" t="s">
        <v>1290</v>
      </c>
      <c r="W68" s="949" t="s">
        <v>1286</v>
      </c>
      <c r="X68" s="949" t="s">
        <v>980</v>
      </c>
      <c r="Y68" s="949">
        <v>1623.3</v>
      </c>
      <c r="Z68" s="949">
        <v>20.0001</v>
      </c>
      <c r="AA68" s="949" t="s">
        <v>1209</v>
      </c>
      <c r="AB68" s="949"/>
      <c r="AC68" s="949">
        <v>0</v>
      </c>
      <c r="AD68" s="949">
        <v>1216</v>
      </c>
      <c r="AE68" s="949">
        <v>1216</v>
      </c>
      <c r="AF68" s="949" t="s">
        <v>1243</v>
      </c>
      <c r="AG68" s="949">
        <v>0</v>
      </c>
      <c r="AH68" s="949">
        <v>0</v>
      </c>
      <c r="AI68" s="949" t="s">
        <v>1291</v>
      </c>
      <c r="AJ68" s="949" t="s">
        <v>1291</v>
      </c>
      <c r="AK68" s="949">
        <v>0</v>
      </c>
      <c r="AL68" s="949">
        <v>810</v>
      </c>
      <c r="AM68" s="982"/>
      <c r="AN68" s="982"/>
      <c r="AO68" s="982"/>
      <c r="AP68" s="982"/>
      <c r="AQ68" s="982"/>
      <c r="AR68" s="982"/>
      <c r="AS68" s="982"/>
      <c r="AT68" s="982"/>
      <c r="AU68" s="982"/>
      <c r="AV68" s="982"/>
      <c r="AW68" s="982"/>
      <c r="AX68" s="982"/>
      <c r="AY68" s="982"/>
      <c r="AZ68" s="982"/>
      <c r="BA68" s="982"/>
      <c r="BB68" s="982"/>
      <c r="BC68" s="982"/>
      <c r="BD68" s="364"/>
    </row>
    <row r="69" spans="2:56" s="102" customFormat="1" ht="15" customHeight="1" x14ac:dyDescent="0.3">
      <c r="B69" s="130" t="s">
        <v>1286</v>
      </c>
      <c r="C69" s="92" t="s">
        <v>980</v>
      </c>
      <c r="D69" s="153">
        <v>1623.3</v>
      </c>
      <c r="E69" s="958" t="str">
        <f t="shared" ref="E69:E70" si="4">IF(F69=Y79,"X","")</f>
        <v>X</v>
      </c>
      <c r="F69" s="202" t="s">
        <v>913</v>
      </c>
      <c r="G69" s="913" t="s">
        <v>173</v>
      </c>
      <c r="H69" s="913" t="s">
        <v>173</v>
      </c>
      <c r="I69" s="690" t="s">
        <v>173</v>
      </c>
      <c r="J69" s="691" t="s">
        <v>173</v>
      </c>
      <c r="K69" s="913" t="s">
        <v>173</v>
      </c>
      <c r="L69" s="913" t="s">
        <v>173</v>
      </c>
      <c r="M69" s="690" t="s">
        <v>173</v>
      </c>
      <c r="N69" s="691" t="s">
        <v>173</v>
      </c>
      <c r="O69" s="364"/>
      <c r="P69" s="364"/>
      <c r="Q69" s="364"/>
      <c r="R69" s="364"/>
      <c r="S69" s="364"/>
      <c r="T69" s="364"/>
      <c r="U69" s="364"/>
      <c r="V69" s="982"/>
      <c r="W69" s="982"/>
      <c r="X69" s="982"/>
      <c r="Y69" s="982"/>
      <c r="Z69" s="982"/>
      <c r="AA69" s="982"/>
      <c r="AB69" s="982"/>
      <c r="AC69" s="982"/>
      <c r="AD69" s="982"/>
      <c r="AE69" s="982"/>
      <c r="AF69" s="982"/>
      <c r="AG69" s="982"/>
      <c r="AH69" s="982"/>
      <c r="AI69" s="982"/>
      <c r="AJ69" s="982"/>
      <c r="AK69" s="982"/>
      <c r="AL69" s="982"/>
      <c r="AM69" s="982"/>
      <c r="AN69" s="982"/>
      <c r="AO69" s="982"/>
      <c r="AP69" s="982"/>
      <c r="AQ69" s="982"/>
      <c r="AR69" s="982"/>
      <c r="AS69" s="982"/>
      <c r="AT69" s="982"/>
      <c r="AU69" s="982"/>
      <c r="AV69" s="982"/>
      <c r="AW69" s="982"/>
      <c r="AX69" s="982"/>
      <c r="AY69" s="982"/>
      <c r="AZ69" s="982"/>
      <c r="BA69" s="982"/>
      <c r="BB69" s="982"/>
      <c r="BC69" s="982"/>
      <c r="BD69" s="364"/>
    </row>
    <row r="70" spans="2:56" s="102" customFormat="1" ht="15" customHeight="1" x14ac:dyDescent="0.3">
      <c r="B70" s="180" t="s">
        <v>1287</v>
      </c>
      <c r="C70" s="156" t="s">
        <v>980</v>
      </c>
      <c r="D70" s="169">
        <v>1623.3</v>
      </c>
      <c r="E70" s="952" t="str">
        <f t="shared" si="4"/>
        <v>X</v>
      </c>
      <c r="F70" s="204" t="s">
        <v>913</v>
      </c>
      <c r="G70" s="1010" t="s">
        <v>173</v>
      </c>
      <c r="H70" s="1010" t="s">
        <v>173</v>
      </c>
      <c r="I70" s="692" t="s">
        <v>173</v>
      </c>
      <c r="J70" s="693" t="s">
        <v>173</v>
      </c>
      <c r="K70" s="1010" t="s">
        <v>173</v>
      </c>
      <c r="L70" s="1010" t="s">
        <v>173</v>
      </c>
      <c r="M70" s="692" t="s">
        <v>173</v>
      </c>
      <c r="N70" s="693" t="s">
        <v>173</v>
      </c>
      <c r="O70" s="364"/>
      <c r="P70" s="364"/>
      <c r="Q70" s="364"/>
      <c r="R70" s="364"/>
      <c r="S70" s="364"/>
      <c r="T70" s="364"/>
      <c r="U70" s="364"/>
      <c r="V70" s="982"/>
      <c r="W70" s="982"/>
      <c r="X70" s="982"/>
      <c r="Y70" s="982"/>
      <c r="Z70" s="982"/>
      <c r="AA70" s="982"/>
      <c r="AB70" s="982"/>
      <c r="AC70" s="982"/>
      <c r="AD70" s="982"/>
      <c r="AE70" s="982"/>
      <c r="AF70" s="982"/>
      <c r="AG70" s="982"/>
      <c r="AH70" s="982"/>
      <c r="AI70" s="982"/>
      <c r="AJ70" s="982"/>
      <c r="AK70" s="982"/>
      <c r="AL70" s="982"/>
      <c r="AM70" s="982"/>
      <c r="AN70" s="982"/>
      <c r="AO70" s="982"/>
      <c r="AP70" s="982"/>
      <c r="AQ70" s="982"/>
      <c r="AR70" s="982"/>
      <c r="AS70" s="982"/>
      <c r="AT70" s="982"/>
      <c r="AU70" s="982"/>
      <c r="AV70" s="982"/>
      <c r="AW70" s="982"/>
      <c r="AX70" s="982"/>
      <c r="AY70" s="982"/>
      <c r="AZ70" s="982"/>
      <c r="BA70" s="982"/>
      <c r="BB70" s="982"/>
      <c r="BC70" s="982"/>
      <c r="BD70" s="364"/>
    </row>
    <row r="71" spans="2:56" ht="14.4" x14ac:dyDescent="0.3">
      <c r="B71" s="92"/>
      <c r="C71" s="366"/>
      <c r="D71" s="366"/>
      <c r="E71" s="373"/>
      <c r="F71" s="373"/>
      <c r="G71" s="373"/>
      <c r="H71" s="367"/>
      <c r="I71" s="373"/>
      <c r="J71" s="367"/>
      <c r="K71" s="373"/>
      <c r="L71" s="373"/>
      <c r="M71" s="373"/>
      <c r="N71" s="373"/>
      <c r="O71" s="364"/>
      <c r="P71" s="364"/>
      <c r="Q71" s="364"/>
      <c r="R71" s="364"/>
      <c r="S71" s="364"/>
      <c r="T71" s="364"/>
      <c r="U71" s="364"/>
      <c r="V71" s="982"/>
      <c r="W71" s="982"/>
      <c r="X71" s="982"/>
      <c r="Y71" s="982"/>
      <c r="Z71" s="982"/>
      <c r="AA71" s="982"/>
      <c r="AB71" s="982"/>
      <c r="AC71" s="982"/>
      <c r="AD71" s="982"/>
      <c r="AE71" s="982"/>
      <c r="AF71" s="982"/>
      <c r="AG71" s="982"/>
      <c r="AH71" s="982"/>
      <c r="AI71" s="982"/>
      <c r="AJ71" s="982"/>
      <c r="AK71" s="982"/>
      <c r="AL71" s="982"/>
      <c r="AM71" s="982"/>
      <c r="AN71" s="982"/>
      <c r="AO71" s="982"/>
      <c r="AP71" s="982"/>
      <c r="AQ71" s="982"/>
      <c r="AR71" s="982"/>
      <c r="AS71" s="982"/>
      <c r="AT71" s="982"/>
      <c r="AU71" s="982"/>
      <c r="AV71" s="982"/>
      <c r="AW71" s="982"/>
      <c r="AX71" s="982"/>
      <c r="AY71" s="982"/>
      <c r="AZ71" s="982"/>
      <c r="BA71" s="982"/>
      <c r="BB71" s="982"/>
      <c r="BC71" s="982"/>
      <c r="BD71" s="373"/>
    </row>
    <row r="72" spans="2:56" ht="14.4" x14ac:dyDescent="0.3">
      <c r="B72" s="92"/>
      <c r="C72" s="366"/>
      <c r="D72" s="366"/>
      <c r="E72" s="373"/>
      <c r="F72" s="373"/>
      <c r="G72" s="373"/>
      <c r="H72" s="367"/>
      <c r="I72" s="373"/>
      <c r="J72" s="367"/>
      <c r="K72" s="373"/>
      <c r="L72" s="373"/>
      <c r="M72" s="373"/>
      <c r="N72" s="373"/>
      <c r="O72" s="364"/>
      <c r="P72" s="373"/>
      <c r="R72" s="373"/>
      <c r="S72" s="373"/>
      <c r="T72" s="373"/>
      <c r="U72" s="373"/>
      <c r="V72" s="369" t="s">
        <v>883</v>
      </c>
      <c r="W72" s="982"/>
      <c r="X72" s="982"/>
      <c r="Y72" s="982"/>
      <c r="Z72" s="982"/>
      <c r="AA72" s="982"/>
      <c r="AB72" s="982"/>
      <c r="AC72" s="982"/>
      <c r="AD72" s="982"/>
      <c r="AE72" s="982"/>
      <c r="AF72" s="982"/>
      <c r="AG72" s="982"/>
      <c r="AH72" s="982"/>
      <c r="AI72" s="982"/>
      <c r="AJ72" s="982"/>
      <c r="AK72" s="982"/>
      <c r="AL72" s="982"/>
      <c r="AM72" s="982"/>
      <c r="AN72" s="982"/>
      <c r="AO72" s="982"/>
      <c r="AP72" s="982"/>
      <c r="AQ72" s="982"/>
      <c r="AR72" s="982"/>
      <c r="AS72" s="982"/>
      <c r="AT72" s="982"/>
      <c r="AU72" s="982"/>
      <c r="AV72" s="982"/>
      <c r="AW72" s="982"/>
      <c r="AX72" s="982"/>
      <c r="AY72" s="982"/>
      <c r="AZ72" s="982"/>
      <c r="BA72" s="982"/>
      <c r="BB72" s="982"/>
      <c r="BC72" s="982"/>
      <c r="BD72" s="373"/>
    </row>
    <row r="73" spans="2:56" s="109" customFormat="1" ht="41.4" x14ac:dyDescent="0.3">
      <c r="B73" s="115" t="s">
        <v>580</v>
      </c>
      <c r="C73" s="123" t="s">
        <v>52</v>
      </c>
      <c r="D73" s="123" t="s">
        <v>524</v>
      </c>
      <c r="E73" s="274"/>
      <c r="F73" s="117" t="s">
        <v>1263</v>
      </c>
      <c r="G73" s="267"/>
      <c r="H73" s="279" t="s">
        <v>1254</v>
      </c>
      <c r="I73" s="270"/>
      <c r="J73" s="117" t="s">
        <v>1255</v>
      </c>
      <c r="K73" s="270"/>
      <c r="L73" s="117" t="s">
        <v>1264</v>
      </c>
      <c r="M73" s="96"/>
      <c r="N73" s="96"/>
      <c r="O73" s="364"/>
      <c r="P73" s="364"/>
      <c r="Q73" s="364"/>
      <c r="R73" s="364"/>
      <c r="S73" s="364"/>
      <c r="T73" s="364"/>
      <c r="U73" s="364"/>
      <c r="V73" s="982" t="s">
        <v>870</v>
      </c>
      <c r="W73" s="982"/>
      <c r="X73" s="982"/>
      <c r="Y73" s="982"/>
      <c r="Z73" s="982"/>
      <c r="AA73" s="982"/>
      <c r="AB73" s="982"/>
      <c r="AC73" s="982"/>
      <c r="AD73" s="982" t="s">
        <v>889</v>
      </c>
      <c r="AE73" s="982"/>
      <c r="AF73" s="982"/>
      <c r="AG73" s="982"/>
      <c r="AH73" s="982"/>
      <c r="AI73" s="982"/>
      <c r="AJ73" s="982"/>
      <c r="AK73" s="982" t="s">
        <v>890</v>
      </c>
      <c r="AL73" s="982"/>
      <c r="AM73" s="982"/>
      <c r="AN73" s="982"/>
      <c r="AO73" s="982"/>
      <c r="AP73" s="982"/>
      <c r="AQ73" s="982"/>
      <c r="AR73" s="982"/>
      <c r="AS73" s="982"/>
      <c r="AT73" s="982"/>
      <c r="AU73" s="982" t="s">
        <v>891</v>
      </c>
      <c r="AV73" s="982"/>
      <c r="AW73" s="982"/>
      <c r="AX73" s="982"/>
      <c r="AY73" s="982"/>
      <c r="AZ73" s="982"/>
      <c r="BA73" s="982"/>
      <c r="BB73" s="982"/>
      <c r="BC73" s="982"/>
      <c r="BD73" s="364"/>
    </row>
    <row r="74" spans="2:56" s="109" customFormat="1" ht="15" thickBot="1" x14ac:dyDescent="0.35">
      <c r="B74" s="211" t="s">
        <v>942</v>
      </c>
      <c r="C74" s="218"/>
      <c r="D74" s="218"/>
      <c r="E74" s="107"/>
      <c r="F74" s="1000" t="s">
        <v>1265</v>
      </c>
      <c r="G74" s="218"/>
      <c r="H74" s="208" t="s">
        <v>1266</v>
      </c>
      <c r="I74" s="107"/>
      <c r="J74" s="1000" t="s">
        <v>1267</v>
      </c>
      <c r="K74" s="107"/>
      <c r="L74" s="1000" t="s">
        <v>1268</v>
      </c>
      <c r="M74" s="96"/>
      <c r="N74" s="96"/>
      <c r="O74" s="364"/>
      <c r="P74" s="364"/>
      <c r="Q74" s="364"/>
      <c r="R74" s="373"/>
      <c r="S74" s="373"/>
      <c r="T74" s="373"/>
      <c r="U74" s="373"/>
      <c r="V74" s="982" t="s">
        <v>121</v>
      </c>
      <c r="W74" s="982" t="s">
        <v>52</v>
      </c>
      <c r="X74" s="982" t="s">
        <v>896</v>
      </c>
      <c r="Y74" s="982" t="s">
        <v>897</v>
      </c>
      <c r="Z74" s="982" t="s">
        <v>898</v>
      </c>
      <c r="AA74" s="982" t="s">
        <v>899</v>
      </c>
      <c r="AB74" s="982" t="s">
        <v>900</v>
      </c>
      <c r="AC74" s="982" t="s">
        <v>901</v>
      </c>
      <c r="AD74" s="982" t="s">
        <v>902</v>
      </c>
      <c r="AE74" s="982" t="s">
        <v>903</v>
      </c>
      <c r="AF74" s="982" t="s">
        <v>904</v>
      </c>
      <c r="AG74" s="982" t="s">
        <v>905</v>
      </c>
      <c r="AH74" s="982" t="s">
        <v>906</v>
      </c>
      <c r="AI74" s="982" t="s">
        <v>907</v>
      </c>
      <c r="AJ74" s="982"/>
      <c r="AK74" s="982" t="s">
        <v>908</v>
      </c>
      <c r="AL74" s="982" t="s">
        <v>909</v>
      </c>
      <c r="AM74" s="982" t="s">
        <v>910</v>
      </c>
      <c r="AN74" s="982" t="s">
        <v>902</v>
      </c>
      <c r="AO74" s="982" t="s">
        <v>903</v>
      </c>
      <c r="AP74" s="982" t="s">
        <v>904</v>
      </c>
      <c r="AQ74" s="982" t="s">
        <v>905</v>
      </c>
      <c r="AR74" s="982" t="s">
        <v>906</v>
      </c>
      <c r="AS74" s="982" t="s">
        <v>907</v>
      </c>
      <c r="AT74" s="982"/>
      <c r="AU74" s="982" t="s">
        <v>908</v>
      </c>
      <c r="AV74" s="982" t="s">
        <v>909</v>
      </c>
      <c r="AW74" s="982" t="s">
        <v>910</v>
      </c>
      <c r="AX74" s="982" t="s">
        <v>902</v>
      </c>
      <c r="AY74" s="982" t="s">
        <v>903</v>
      </c>
      <c r="AZ74" s="982" t="s">
        <v>904</v>
      </c>
      <c r="BA74" s="982" t="s">
        <v>905</v>
      </c>
      <c r="BB74" s="982" t="s">
        <v>906</v>
      </c>
      <c r="BC74" s="982" t="s">
        <v>907</v>
      </c>
      <c r="BD74" s="373"/>
    </row>
    <row r="75" spans="2:56" ht="15" customHeight="1" thickTop="1" x14ac:dyDescent="0.3">
      <c r="B75" s="130" t="s">
        <v>1283</v>
      </c>
      <c r="C75" s="92" t="s">
        <v>918</v>
      </c>
      <c r="D75" s="32">
        <v>4089.12</v>
      </c>
      <c r="E75" s="690" t="s">
        <v>173</v>
      </c>
      <c r="F75" s="691" t="s">
        <v>173</v>
      </c>
      <c r="G75" s="913" t="s">
        <v>173</v>
      </c>
      <c r="H75" s="913" t="s">
        <v>173</v>
      </c>
      <c r="I75" s="690" t="s">
        <v>173</v>
      </c>
      <c r="J75" s="691" t="s">
        <v>173</v>
      </c>
      <c r="K75" s="690" t="s">
        <v>173</v>
      </c>
      <c r="L75" s="691" t="s">
        <v>173</v>
      </c>
      <c r="M75" s="373"/>
      <c r="N75" s="373"/>
      <c r="O75" s="364"/>
      <c r="P75" s="364"/>
      <c r="Q75" s="364"/>
      <c r="R75" s="373"/>
      <c r="S75" s="373"/>
      <c r="T75" s="373"/>
      <c r="U75" s="373"/>
      <c r="V75" s="982"/>
      <c r="W75" s="982"/>
      <c r="X75" s="982" t="s">
        <v>966</v>
      </c>
      <c r="Y75" s="982"/>
      <c r="Z75" s="982" t="s">
        <v>966</v>
      </c>
      <c r="AA75" s="982"/>
      <c r="AB75" s="982"/>
      <c r="AC75" s="982"/>
      <c r="AD75" s="982" t="s">
        <v>966</v>
      </c>
      <c r="AE75" s="982" t="s">
        <v>1094</v>
      </c>
      <c r="AF75" s="982" t="s">
        <v>1124</v>
      </c>
      <c r="AG75" s="982" t="s">
        <v>1125</v>
      </c>
      <c r="AH75" s="982"/>
      <c r="AI75" s="982" t="s">
        <v>1125</v>
      </c>
      <c r="AJ75" s="982"/>
      <c r="AK75" s="982"/>
      <c r="AL75" s="982"/>
      <c r="AM75" s="982"/>
      <c r="AN75" s="982" t="s">
        <v>966</v>
      </c>
      <c r="AO75" s="982" t="s">
        <v>1094</v>
      </c>
      <c r="AP75" s="982" t="s">
        <v>1124</v>
      </c>
      <c r="AQ75" s="982" t="s">
        <v>1125</v>
      </c>
      <c r="AR75" s="982"/>
      <c r="AS75" s="982" t="s">
        <v>1125</v>
      </c>
      <c r="AT75" s="982"/>
      <c r="AU75" s="982"/>
      <c r="AV75" s="982"/>
      <c r="AW75" s="982"/>
      <c r="AX75" s="982" t="s">
        <v>966</v>
      </c>
      <c r="AY75" s="982" t="s">
        <v>1094</v>
      </c>
      <c r="AZ75" s="982" t="s">
        <v>1124</v>
      </c>
      <c r="BA75" s="982" t="s">
        <v>1125</v>
      </c>
      <c r="BB75" s="982"/>
      <c r="BC75" s="982" t="s">
        <v>1125</v>
      </c>
      <c r="BD75" s="373"/>
    </row>
    <row r="76" spans="2:56" ht="15" customHeight="1" x14ac:dyDescent="0.3">
      <c r="B76" s="130" t="s">
        <v>1284</v>
      </c>
      <c r="C76" s="92" t="s">
        <v>980</v>
      </c>
      <c r="D76" s="32">
        <v>17227.400000000001</v>
      </c>
      <c r="E76" s="690" t="s">
        <v>173</v>
      </c>
      <c r="F76" s="691" t="s">
        <v>173</v>
      </c>
      <c r="G76" s="913" t="s">
        <v>173</v>
      </c>
      <c r="H76" s="913" t="s">
        <v>173</v>
      </c>
      <c r="I76" s="690" t="s">
        <v>173</v>
      </c>
      <c r="J76" s="691" t="s">
        <v>173</v>
      </c>
      <c r="K76" s="690" t="s">
        <v>173</v>
      </c>
      <c r="L76" s="691" t="s">
        <v>173</v>
      </c>
      <c r="M76" s="373"/>
      <c r="N76" s="373"/>
      <c r="O76" s="364"/>
      <c r="P76" s="812"/>
      <c r="Q76" s="812"/>
      <c r="R76" s="812"/>
      <c r="S76" s="812"/>
      <c r="T76" s="812"/>
      <c r="U76" s="813" t="s">
        <v>1274</v>
      </c>
      <c r="V76" s="949" t="s">
        <v>1283</v>
      </c>
      <c r="W76" s="949" t="s">
        <v>918</v>
      </c>
      <c r="X76" s="949">
        <v>4089.12</v>
      </c>
      <c r="Y76" s="949" t="s">
        <v>312</v>
      </c>
      <c r="Z76" s="949">
        <v>-99996</v>
      </c>
      <c r="AA76" s="949">
        <v>-99996</v>
      </c>
      <c r="AB76" s="949">
        <v>-99996</v>
      </c>
      <c r="AC76" s="949">
        <v>-99996</v>
      </c>
      <c r="AD76" s="949">
        <v>0</v>
      </c>
      <c r="AE76" s="949">
        <v>0</v>
      </c>
      <c r="AF76" s="949">
        <v>0</v>
      </c>
      <c r="AG76" s="949">
        <v>175</v>
      </c>
      <c r="AH76" s="949">
        <v>-99996</v>
      </c>
      <c r="AI76" s="949">
        <v>175</v>
      </c>
      <c r="AJ76" s="949"/>
      <c r="AK76" s="949">
        <v>-99996</v>
      </c>
      <c r="AL76" s="949">
        <v>-99996</v>
      </c>
      <c r="AM76" s="949">
        <v>-99996</v>
      </c>
      <c r="AN76" s="949">
        <v>0</v>
      </c>
      <c r="AO76" s="949">
        <v>0</v>
      </c>
      <c r="AP76" s="949">
        <v>0</v>
      </c>
      <c r="AQ76" s="949">
        <v>175</v>
      </c>
      <c r="AR76" s="949">
        <v>-99996</v>
      </c>
      <c r="AS76" s="949">
        <v>262.5</v>
      </c>
      <c r="AT76" s="949"/>
      <c r="AU76" s="949">
        <v>-99996</v>
      </c>
      <c r="AV76" s="949">
        <v>-99996</v>
      </c>
      <c r="AW76" s="949">
        <v>-99996</v>
      </c>
      <c r="AX76" s="949">
        <v>0</v>
      </c>
      <c r="AY76" s="949">
        <v>0</v>
      </c>
      <c r="AZ76" s="949">
        <v>0</v>
      </c>
      <c r="BA76" s="949">
        <v>175</v>
      </c>
      <c r="BB76" s="949">
        <v>-99996</v>
      </c>
      <c r="BC76" s="949">
        <v>350</v>
      </c>
      <c r="BD76" s="373"/>
    </row>
    <row r="77" spans="2:56" ht="15" customHeight="1" x14ac:dyDescent="0.3">
      <c r="B77" s="130" t="s">
        <v>1285</v>
      </c>
      <c r="C77" s="92" t="s">
        <v>986</v>
      </c>
      <c r="D77" s="32">
        <v>129.167</v>
      </c>
      <c r="E77" s="333"/>
      <c r="F77" s="1001">
        <v>114.297</v>
      </c>
      <c r="G77" s="913" t="s">
        <v>173</v>
      </c>
      <c r="H77" s="913" t="s">
        <v>173</v>
      </c>
      <c r="I77" s="690" t="s">
        <v>173</v>
      </c>
      <c r="J77" s="691" t="s">
        <v>173</v>
      </c>
      <c r="K77" s="690" t="s">
        <v>173</v>
      </c>
      <c r="L77" s="691" t="s">
        <v>173</v>
      </c>
      <c r="M77" s="373"/>
      <c r="N77" s="364"/>
      <c r="O77" s="364"/>
      <c r="P77" s="364"/>
      <c r="Q77" s="364"/>
      <c r="R77" s="373"/>
      <c r="S77" s="373"/>
      <c r="T77" s="373"/>
      <c r="U77" s="373"/>
      <c r="V77" s="949" t="s">
        <v>1284</v>
      </c>
      <c r="W77" s="949" t="s">
        <v>980</v>
      </c>
      <c r="X77" s="949">
        <v>17227.400000000001</v>
      </c>
      <c r="Y77" s="949" t="s">
        <v>913</v>
      </c>
      <c r="Z77" s="949">
        <v>-99996</v>
      </c>
      <c r="AA77" s="949">
        <v>0.2</v>
      </c>
      <c r="AB77" s="949">
        <v>0.2</v>
      </c>
      <c r="AC77" s="949">
        <v>-99996</v>
      </c>
      <c r="AD77" s="949">
        <v>16742.599999999999</v>
      </c>
      <c r="AE77" s="949">
        <v>16742.599999999999</v>
      </c>
      <c r="AF77" s="949">
        <v>0.97185999999999995</v>
      </c>
      <c r="AG77" s="949">
        <v>950</v>
      </c>
      <c r="AH77" s="949">
        <v>-99996</v>
      </c>
      <c r="AI77" s="949">
        <v>950</v>
      </c>
      <c r="AJ77" s="949"/>
      <c r="AK77" s="949">
        <v>-99996</v>
      </c>
      <c r="AL77" s="949">
        <v>-99996</v>
      </c>
      <c r="AM77" s="949">
        <v>-99996</v>
      </c>
      <c r="AN77" s="949">
        <v>0</v>
      </c>
      <c r="AO77" s="949">
        <v>0</v>
      </c>
      <c r="AP77" s="949">
        <v>0</v>
      </c>
      <c r="AQ77" s="949">
        <v>550</v>
      </c>
      <c r="AR77" s="949">
        <v>-99996</v>
      </c>
      <c r="AS77" s="949">
        <v>825</v>
      </c>
      <c r="AT77" s="949"/>
      <c r="AU77" s="949">
        <v>-99996</v>
      </c>
      <c r="AV77" s="949">
        <v>-99996</v>
      </c>
      <c r="AW77" s="949">
        <v>-99996</v>
      </c>
      <c r="AX77" s="949">
        <v>0</v>
      </c>
      <c r="AY77" s="949">
        <v>0</v>
      </c>
      <c r="AZ77" s="949">
        <v>0</v>
      </c>
      <c r="BA77" s="949">
        <v>550</v>
      </c>
      <c r="BB77" s="949">
        <v>-99996</v>
      </c>
      <c r="BC77" s="949">
        <v>1100</v>
      </c>
      <c r="BD77" s="373"/>
    </row>
    <row r="78" spans="2:56" ht="15" customHeight="1" x14ac:dyDescent="0.3">
      <c r="B78" s="130" t="s">
        <v>1286</v>
      </c>
      <c r="C78" s="92" t="s">
        <v>980</v>
      </c>
      <c r="D78" s="32">
        <v>1623.3</v>
      </c>
      <c r="E78" s="333"/>
      <c r="F78" s="1001">
        <v>718.07500000000005</v>
      </c>
      <c r="G78" s="958" t="str">
        <f>IF(ROUND(H78,2)=AO79,"X","")</f>
        <v>X</v>
      </c>
      <c r="H78" s="20">
        <f>1.45*F78</f>
        <v>1041.20875</v>
      </c>
      <c r="I78" s="958" t="str">
        <f>IF(J78=AQ79,"X","")</f>
        <v>X</v>
      </c>
      <c r="J78" s="202">
        <v>950</v>
      </c>
      <c r="K78" s="958" t="str">
        <f>IF(L78=AS79,"X","")</f>
        <v>X</v>
      </c>
      <c r="L78" s="202">
        <v>1425</v>
      </c>
      <c r="M78" s="373"/>
      <c r="N78" s="364"/>
      <c r="O78" s="364"/>
      <c r="P78" s="364"/>
      <c r="Q78" s="364"/>
      <c r="R78" s="373"/>
      <c r="S78" s="373"/>
      <c r="T78" s="373"/>
      <c r="U78" s="373"/>
      <c r="V78" s="949" t="s">
        <v>1285</v>
      </c>
      <c r="W78" s="949" t="s">
        <v>986</v>
      </c>
      <c r="X78" s="949">
        <v>129.167</v>
      </c>
      <c r="Y78" s="949" t="s">
        <v>312</v>
      </c>
      <c r="Z78" s="949">
        <v>-99996</v>
      </c>
      <c r="AA78" s="949">
        <v>-99996</v>
      </c>
      <c r="AB78" s="949">
        <v>-99996</v>
      </c>
      <c r="AC78" s="949">
        <v>-99996</v>
      </c>
      <c r="AD78" s="949">
        <v>0</v>
      </c>
      <c r="AE78" s="949">
        <v>0</v>
      </c>
      <c r="AF78" s="949">
        <v>0</v>
      </c>
      <c r="AG78" s="949">
        <v>125</v>
      </c>
      <c r="AH78" s="949">
        <v>-99996</v>
      </c>
      <c r="AI78" s="949">
        <v>125</v>
      </c>
      <c r="AJ78" s="949"/>
      <c r="AK78" s="949">
        <v>89.025599999999997</v>
      </c>
      <c r="AL78" s="949">
        <v>8.7270299999999992</v>
      </c>
      <c r="AM78" s="949">
        <v>2.5</v>
      </c>
      <c r="AN78" s="949">
        <v>114.297</v>
      </c>
      <c r="AO78" s="949">
        <v>0</v>
      </c>
      <c r="AP78" s="949">
        <v>0</v>
      </c>
      <c r="AQ78" s="949">
        <v>200</v>
      </c>
      <c r="AR78" s="949">
        <v>-99996</v>
      </c>
      <c r="AS78" s="949">
        <v>300</v>
      </c>
      <c r="AT78" s="949"/>
      <c r="AU78" s="949">
        <v>82.956500000000005</v>
      </c>
      <c r="AV78" s="949">
        <v>9.7906300000000002</v>
      </c>
      <c r="AW78" s="949">
        <v>2.5</v>
      </c>
      <c r="AX78" s="949">
        <v>14.765599999999999</v>
      </c>
      <c r="AY78" s="949">
        <v>0</v>
      </c>
      <c r="AZ78" s="949">
        <v>0</v>
      </c>
      <c r="BA78" s="949">
        <v>200</v>
      </c>
      <c r="BB78" s="949">
        <v>-99996</v>
      </c>
      <c r="BC78" s="949">
        <v>400</v>
      </c>
      <c r="BD78" s="373"/>
    </row>
    <row r="79" spans="2:56" ht="15" customHeight="1" x14ac:dyDescent="0.3">
      <c r="B79" s="180" t="s">
        <v>1287</v>
      </c>
      <c r="C79" s="156" t="s">
        <v>980</v>
      </c>
      <c r="D79" s="168">
        <v>1623.3</v>
      </c>
      <c r="E79" s="334"/>
      <c r="F79" s="1002">
        <v>718.07500000000005</v>
      </c>
      <c r="G79" s="952" t="str">
        <f>IF(ROUND(H79,3)=AO80,"X","")</f>
        <v>X</v>
      </c>
      <c r="H79" s="934">
        <v>718.07500000000005</v>
      </c>
      <c r="I79" s="952" t="str">
        <f>IF(J79=AQ80,"X","")</f>
        <v>X</v>
      </c>
      <c r="J79" s="204">
        <v>950</v>
      </c>
      <c r="K79" s="952" t="str">
        <f>IF(L79=AS80,"X","")</f>
        <v>X</v>
      </c>
      <c r="L79" s="204">
        <v>1425</v>
      </c>
      <c r="M79" s="373"/>
      <c r="N79" s="364"/>
      <c r="O79" s="364"/>
      <c r="P79" s="364"/>
      <c r="Q79" s="364"/>
      <c r="R79" s="373"/>
      <c r="S79" s="373"/>
      <c r="T79" s="373"/>
      <c r="U79" s="373"/>
      <c r="V79" s="949" t="s">
        <v>1286</v>
      </c>
      <c r="W79" s="949" t="s">
        <v>980</v>
      </c>
      <c r="X79" s="949">
        <v>1623.3</v>
      </c>
      <c r="Y79" s="949" t="s">
        <v>913</v>
      </c>
      <c r="Z79" s="949">
        <v>-99996</v>
      </c>
      <c r="AA79" s="949">
        <v>0.2</v>
      </c>
      <c r="AB79" s="949">
        <v>0.2</v>
      </c>
      <c r="AC79" s="949">
        <v>-99996</v>
      </c>
      <c r="AD79" s="949">
        <v>0</v>
      </c>
      <c r="AE79" s="949">
        <v>0</v>
      </c>
      <c r="AF79" s="949">
        <v>0</v>
      </c>
      <c r="AG79" s="949">
        <v>550</v>
      </c>
      <c r="AH79" s="949">
        <v>-99996</v>
      </c>
      <c r="AI79" s="949">
        <v>550</v>
      </c>
      <c r="AJ79" s="949"/>
      <c r="AK79" s="949">
        <v>136.81899999999999</v>
      </c>
      <c r="AL79" s="949">
        <v>8.7270299999999992</v>
      </c>
      <c r="AM79" s="949">
        <v>2.5</v>
      </c>
      <c r="AN79" s="949">
        <v>718.07500000000005</v>
      </c>
      <c r="AO79" s="949">
        <v>1041.21</v>
      </c>
      <c r="AP79" s="949">
        <v>0.37088199999999999</v>
      </c>
      <c r="AQ79" s="949">
        <v>950</v>
      </c>
      <c r="AR79" s="949">
        <v>-99996</v>
      </c>
      <c r="AS79" s="949">
        <v>1425</v>
      </c>
      <c r="AT79" s="949"/>
      <c r="AU79" s="949">
        <v>136.81899999999999</v>
      </c>
      <c r="AV79" s="949">
        <v>17.4541</v>
      </c>
      <c r="AW79" s="949">
        <v>2.5</v>
      </c>
      <c r="AX79" s="949">
        <v>721.51</v>
      </c>
      <c r="AY79" s="949">
        <v>1046.19</v>
      </c>
      <c r="AZ79" s="949">
        <v>0.37265700000000002</v>
      </c>
      <c r="BA79" s="949">
        <v>950</v>
      </c>
      <c r="BB79" s="949">
        <v>-99996</v>
      </c>
      <c r="BC79" s="949">
        <v>1900</v>
      </c>
      <c r="BD79" s="373"/>
    </row>
    <row r="80" spans="2:56" x14ac:dyDescent="0.3">
      <c r="B80" s="92"/>
      <c r="C80" s="366"/>
      <c r="D80" s="366"/>
      <c r="E80" s="373"/>
      <c r="F80" s="373"/>
      <c r="G80" s="373"/>
      <c r="H80" s="367"/>
      <c r="I80" s="373"/>
      <c r="J80" s="367"/>
      <c r="K80" s="373"/>
      <c r="L80" s="373"/>
      <c r="M80" s="373"/>
      <c r="N80" s="373"/>
      <c r="O80" s="364"/>
      <c r="P80" s="364"/>
      <c r="Q80" s="364"/>
      <c r="R80" s="373"/>
      <c r="S80" s="373"/>
      <c r="T80" s="373"/>
      <c r="U80" s="373"/>
      <c r="V80" s="949" t="s">
        <v>1287</v>
      </c>
      <c r="W80" s="949" t="s">
        <v>980</v>
      </c>
      <c r="X80" s="949">
        <v>1623.3</v>
      </c>
      <c r="Y80" s="949" t="s">
        <v>913</v>
      </c>
      <c r="Z80" s="949">
        <v>-99996</v>
      </c>
      <c r="AA80" s="949">
        <v>0.2</v>
      </c>
      <c r="AB80" s="949">
        <v>0.2</v>
      </c>
      <c r="AC80" s="949">
        <v>-99996</v>
      </c>
      <c r="AD80" s="949">
        <v>0</v>
      </c>
      <c r="AE80" s="949">
        <v>0</v>
      </c>
      <c r="AF80" s="949">
        <v>0</v>
      </c>
      <c r="AG80" s="949">
        <v>550</v>
      </c>
      <c r="AH80" s="949">
        <v>-99996</v>
      </c>
      <c r="AI80" s="949">
        <v>550</v>
      </c>
      <c r="AJ80" s="949"/>
      <c r="AK80" s="949">
        <v>41.231999999999999</v>
      </c>
      <c r="AL80" s="949">
        <v>8.7270299999999992</v>
      </c>
      <c r="AM80" s="949">
        <v>2.5</v>
      </c>
      <c r="AN80" s="949">
        <v>718.07500000000005</v>
      </c>
      <c r="AO80" s="949">
        <v>718.07500000000005</v>
      </c>
      <c r="AP80" s="949">
        <v>0.44235400000000002</v>
      </c>
      <c r="AQ80" s="949">
        <v>950</v>
      </c>
      <c r="AR80" s="949">
        <v>-99996</v>
      </c>
      <c r="AS80" s="949">
        <v>1425</v>
      </c>
      <c r="AT80" s="949"/>
      <c r="AU80" s="949">
        <v>41.231999999999999</v>
      </c>
      <c r="AV80" s="949">
        <v>17.4541</v>
      </c>
      <c r="AW80" s="949">
        <v>2.5</v>
      </c>
      <c r="AX80" s="949">
        <v>721.51</v>
      </c>
      <c r="AY80" s="949">
        <v>721.51</v>
      </c>
      <c r="AZ80" s="949">
        <v>0.444471</v>
      </c>
      <c r="BA80" s="949">
        <v>950</v>
      </c>
      <c r="BB80" s="949">
        <v>-99996</v>
      </c>
      <c r="BC80" s="949">
        <v>1900</v>
      </c>
      <c r="BD80" s="373"/>
    </row>
    <row r="81" spans="15:15" x14ac:dyDescent="0.3">
      <c r="O81" s="364"/>
    </row>
  </sheetData>
  <pageMargins left="0.7" right="0.7" top="0.75" bottom="0.75" header="0.3" footer="0.3"/>
  <pageSetup orientation="portrait" r:id="rId1"/>
  <ignoredErrors>
    <ignoredError sqref="J26" formula="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G139"/>
  <sheetViews>
    <sheetView zoomScale="70" zoomScaleNormal="70" workbookViewId="0">
      <selection activeCell="J44" sqref="J44"/>
    </sheetView>
  </sheetViews>
  <sheetFormatPr defaultColWidth="9.109375" defaultRowHeight="13.8" x14ac:dyDescent="0.3"/>
  <cols>
    <col min="1" max="1" width="3.6640625" style="94" customWidth="1"/>
    <col min="2" max="2" width="25" style="92" customWidth="1"/>
    <col min="3" max="3" width="30.88671875" style="7" customWidth="1"/>
    <col min="4" max="4" width="14.6640625" style="366" customWidth="1"/>
    <col min="5" max="5" width="2.6640625" style="113" customWidth="1"/>
    <col min="6" max="6" width="28.109375" style="95" bestFit="1" customWidth="1"/>
    <col min="7" max="7" width="2.6640625" style="113" customWidth="1"/>
    <col min="8" max="8" width="20.6640625" style="95" bestFit="1" customWidth="1"/>
    <col min="9" max="9" width="2.6640625" style="113" customWidth="1"/>
    <col min="10" max="10" width="24.109375" style="95" bestFit="1" customWidth="1"/>
    <col min="11" max="11" width="2.6640625" style="113" customWidth="1"/>
    <col min="12" max="12" width="37.33203125" style="73" bestFit="1" customWidth="1"/>
    <col min="13" max="13" width="2.6640625" style="113" customWidth="1"/>
    <col min="14" max="14" width="24.33203125" style="73" bestFit="1" customWidth="1"/>
    <col min="15" max="15" width="2.6640625" style="113" customWidth="1"/>
    <col min="16" max="16" width="27.109375" style="73" customWidth="1"/>
    <col min="17" max="17" width="2.6640625" style="113" customWidth="1"/>
    <col min="18" max="18" width="20.6640625" style="73" customWidth="1"/>
    <col min="19" max="19" width="2.6640625" style="373" customWidth="1"/>
    <col min="20" max="20" width="20.6640625" style="367" customWidth="1"/>
    <col min="21" max="21" width="16.88671875" style="95" customWidth="1"/>
    <col min="22" max="22" width="14.88671875" style="95" customWidth="1"/>
    <col min="23" max="16384" width="9.109375" style="95"/>
  </cols>
  <sheetData>
    <row r="1" spans="1:21" s="373" customFormat="1" x14ac:dyDescent="0.3">
      <c r="A1" s="74"/>
      <c r="B1" s="74"/>
      <c r="C1" s="74"/>
      <c r="D1" s="74"/>
      <c r="E1" s="74"/>
      <c r="F1" s="74"/>
      <c r="G1" s="74"/>
      <c r="H1" s="74"/>
      <c r="I1" s="74"/>
      <c r="J1" s="74"/>
      <c r="K1" s="74"/>
      <c r="L1" s="74"/>
      <c r="M1" s="79"/>
      <c r="N1" s="74"/>
      <c r="O1" s="79"/>
      <c r="P1" s="74"/>
      <c r="Q1" s="79"/>
      <c r="R1" s="74"/>
      <c r="S1" s="79"/>
      <c r="T1" s="74"/>
      <c r="U1" s="79"/>
    </row>
    <row r="2" spans="1:21" s="94" customFormat="1" x14ac:dyDescent="0.3">
      <c r="A2" s="364"/>
      <c r="B2" s="513" t="s">
        <v>0</v>
      </c>
      <c r="C2" s="513"/>
      <c r="D2" s="513"/>
      <c r="E2" s="520"/>
      <c r="F2" s="513" t="s">
        <v>1</v>
      </c>
      <c r="G2" s="83"/>
      <c r="H2" s="364"/>
      <c r="I2" s="83"/>
      <c r="J2" s="74"/>
      <c r="K2" s="513"/>
      <c r="L2" s="516" t="s">
        <v>109</v>
      </c>
      <c r="M2" s="364"/>
      <c r="N2" s="72"/>
      <c r="O2" s="364"/>
      <c r="P2" s="72"/>
      <c r="Q2" s="364"/>
      <c r="R2" s="72"/>
      <c r="S2" s="364"/>
      <c r="T2" s="72"/>
      <c r="U2" s="364"/>
    </row>
    <row r="3" spans="1:21" s="94" customFormat="1" x14ac:dyDescent="0.3">
      <c r="A3" s="364"/>
      <c r="B3" s="364" t="s">
        <v>2</v>
      </c>
      <c r="C3" s="98" t="s">
        <v>72</v>
      </c>
      <c r="D3" s="513"/>
      <c r="E3" s="364"/>
      <c r="F3" s="364" t="s">
        <v>3</v>
      </c>
      <c r="G3" s="364"/>
      <c r="H3" s="98" t="str">
        <f>'Documentation Main Sheet'!I2</f>
        <v>r6055</v>
      </c>
      <c r="I3" s="364"/>
      <c r="J3" s="74"/>
      <c r="K3" s="142"/>
      <c r="L3" s="364" t="s">
        <v>318</v>
      </c>
      <c r="M3" s="364"/>
      <c r="N3" s="445"/>
      <c r="O3" s="364"/>
      <c r="P3" s="72"/>
      <c r="Q3" s="364"/>
      <c r="R3" s="72"/>
      <c r="S3" s="364"/>
      <c r="T3" s="72"/>
      <c r="U3" s="364"/>
    </row>
    <row r="4" spans="1:21" s="94" customFormat="1" x14ac:dyDescent="0.3">
      <c r="A4" s="364"/>
      <c r="B4" s="364" t="s">
        <v>6</v>
      </c>
      <c r="C4" s="364" t="str">
        <f>C3&amp;".cibd19"</f>
        <v>020006-OffSml-Run18.cibd19</v>
      </c>
      <c r="D4" s="364"/>
      <c r="E4" s="364"/>
      <c r="F4" s="364" t="s">
        <v>7</v>
      </c>
      <c r="G4" s="364"/>
      <c r="H4" s="364" t="str">
        <f>'Documentation Main Sheet'!I3</f>
        <v>Release package</v>
      </c>
      <c r="I4" s="364"/>
      <c r="J4" s="74"/>
      <c r="K4" s="521"/>
      <c r="L4" s="364" t="s">
        <v>110</v>
      </c>
      <c r="M4" s="364"/>
      <c r="N4" s="72"/>
      <c r="O4" s="364"/>
      <c r="P4" s="72"/>
      <c r="Q4" s="364"/>
      <c r="R4" s="72"/>
      <c r="S4" s="364"/>
      <c r="T4" s="72"/>
      <c r="U4" s="364"/>
    </row>
    <row r="5" spans="1:21" s="94" customFormat="1" x14ac:dyDescent="0.3">
      <c r="A5" s="364"/>
      <c r="B5" s="364" t="s">
        <v>9</v>
      </c>
      <c r="C5" s="364" t="s">
        <v>112</v>
      </c>
      <c r="D5" s="364"/>
      <c r="E5" s="364"/>
      <c r="F5" s="364" t="s">
        <v>10</v>
      </c>
      <c r="G5" s="364"/>
      <c r="H5" s="364" t="str">
        <f>'Documentation Main Sheet'!I4</f>
        <v>CBECC-Com 2019.1.2 Release</v>
      </c>
      <c r="I5" s="364"/>
      <c r="J5" s="74"/>
      <c r="K5" s="523">
        <v>1</v>
      </c>
      <c r="L5" s="373" t="s">
        <v>111</v>
      </c>
      <c r="M5" s="364"/>
      <c r="N5" s="72"/>
      <c r="O5" s="364"/>
      <c r="P5" s="72"/>
      <c r="Q5" s="364"/>
      <c r="R5" s="72"/>
      <c r="S5" s="364"/>
      <c r="T5" s="72"/>
      <c r="U5" s="364"/>
    </row>
    <row r="6" spans="1:21" s="94" customFormat="1" x14ac:dyDescent="0.3">
      <c r="A6" s="364"/>
      <c r="B6" s="364" t="s">
        <v>17</v>
      </c>
      <c r="C6" s="92" t="s">
        <v>25</v>
      </c>
      <c r="D6" s="92"/>
      <c r="E6" s="364"/>
      <c r="F6" s="364" t="s">
        <v>12</v>
      </c>
      <c r="G6" s="364"/>
      <c r="H6" s="68">
        <f>'Documentation Main Sheet'!I5</f>
        <v>43754</v>
      </c>
      <c r="I6" s="364"/>
      <c r="J6" s="68"/>
      <c r="K6" s="526">
        <v>1</v>
      </c>
      <c r="L6" s="376" t="s">
        <v>113</v>
      </c>
      <c r="M6" s="364"/>
      <c r="N6" s="68"/>
      <c r="O6" s="364"/>
      <c r="P6" s="68"/>
      <c r="Q6" s="364"/>
      <c r="R6" s="68"/>
      <c r="S6" s="364"/>
      <c r="T6" s="68"/>
      <c r="U6" s="364"/>
    </row>
    <row r="7" spans="1:21" s="94" customFormat="1" x14ac:dyDescent="0.3">
      <c r="A7" s="364"/>
      <c r="B7" s="364" t="s">
        <v>20</v>
      </c>
      <c r="C7" s="92" t="s">
        <v>73</v>
      </c>
      <c r="D7" s="92"/>
      <c r="E7" s="364"/>
      <c r="F7" s="364" t="s">
        <v>13</v>
      </c>
      <c r="G7" s="364"/>
      <c r="H7" s="364" t="str">
        <f>'Documentation Main Sheet'!I6</f>
        <v>Jireh Peng</v>
      </c>
      <c r="I7" s="364"/>
      <c r="J7" s="364"/>
      <c r="K7" s="527">
        <v>1</v>
      </c>
      <c r="L7" s="373" t="s">
        <v>114</v>
      </c>
      <c r="M7" s="364"/>
      <c r="N7" s="364"/>
      <c r="O7" s="364"/>
      <c r="P7" s="364"/>
      <c r="Q7" s="364"/>
      <c r="R7" s="364"/>
      <c r="S7" s="364"/>
      <c r="T7" s="364"/>
      <c r="U7" s="364"/>
    </row>
    <row r="8" spans="1:21" s="94" customFormat="1" x14ac:dyDescent="0.3">
      <c r="A8" s="364"/>
      <c r="B8" s="364" t="s">
        <v>19</v>
      </c>
      <c r="C8" s="92" t="s">
        <v>27</v>
      </c>
      <c r="D8" s="92"/>
      <c r="E8" s="364"/>
      <c r="F8" s="364"/>
      <c r="G8" s="364"/>
      <c r="H8" s="364"/>
      <c r="I8" s="364"/>
      <c r="J8" s="364"/>
      <c r="K8" s="702">
        <v>1</v>
      </c>
      <c r="L8" s="364" t="s">
        <v>115</v>
      </c>
      <c r="M8" s="364"/>
      <c r="N8" s="376"/>
      <c r="O8" s="364"/>
      <c r="P8" s="376"/>
      <c r="Q8" s="364"/>
      <c r="R8" s="376"/>
      <c r="S8" s="364"/>
      <c r="T8" s="376"/>
      <c r="U8" s="364"/>
    </row>
    <row r="9" spans="1:21" s="94" customFormat="1" x14ac:dyDescent="0.3">
      <c r="A9" s="364"/>
      <c r="B9" s="364"/>
      <c r="C9" s="364"/>
      <c r="D9" s="364"/>
      <c r="E9" s="364"/>
      <c r="F9" s="364"/>
      <c r="G9" s="364"/>
      <c r="H9" s="364"/>
      <c r="I9" s="364"/>
      <c r="J9" s="364"/>
      <c r="K9" s="364"/>
      <c r="L9" s="72"/>
      <c r="M9" s="364"/>
      <c r="N9" s="72"/>
      <c r="O9" s="364"/>
      <c r="P9" s="72"/>
      <c r="Q9" s="364"/>
      <c r="R9" s="72"/>
      <c r="S9" s="364"/>
      <c r="T9" s="72"/>
      <c r="U9" s="364"/>
    </row>
    <row r="10" spans="1:21" s="96" customFormat="1" x14ac:dyDescent="0.3">
      <c r="A10" s="283"/>
      <c r="B10" s="336" t="s">
        <v>134</v>
      </c>
      <c r="C10" s="283"/>
      <c r="D10" s="283"/>
      <c r="E10" s="283"/>
      <c r="F10" s="283"/>
      <c r="G10" s="283"/>
      <c r="H10" s="283"/>
      <c r="I10" s="283"/>
      <c r="J10" s="283"/>
      <c r="K10" s="283"/>
      <c r="L10" s="283"/>
      <c r="M10" s="283"/>
      <c r="N10" s="283"/>
      <c r="O10" s="283"/>
      <c r="P10" s="283"/>
      <c r="Q10" s="283"/>
      <c r="R10" s="283"/>
      <c r="S10" s="283"/>
      <c r="T10" s="283"/>
    </row>
    <row r="11" spans="1:21" s="10" customFormat="1" x14ac:dyDescent="0.3">
      <c r="A11" s="77"/>
      <c r="B11" s="49" t="s">
        <v>329</v>
      </c>
      <c r="C11" s="90"/>
      <c r="D11" s="90"/>
      <c r="E11" s="357"/>
      <c r="F11" s="364"/>
      <c r="G11" s="364"/>
      <c r="H11" s="364"/>
      <c r="I11" s="364"/>
      <c r="J11" s="364"/>
      <c r="K11" s="364"/>
      <c r="L11" s="364"/>
      <c r="M11" s="72"/>
      <c r="N11" s="364"/>
      <c r="O11" s="72"/>
      <c r="P11" s="364"/>
      <c r="Q11" s="72"/>
      <c r="R11" s="364"/>
      <c r="S11" s="72"/>
      <c r="T11" s="364"/>
      <c r="U11" s="357"/>
    </row>
    <row r="12" spans="1:21" s="38" customFormat="1" ht="41.4" x14ac:dyDescent="0.3">
      <c r="B12" s="194" t="s">
        <v>1293</v>
      </c>
      <c r="C12" s="120" t="s">
        <v>1294</v>
      </c>
      <c r="D12" s="119" t="s">
        <v>122</v>
      </c>
      <c r="E12" s="131"/>
      <c r="F12" s="117" t="s">
        <v>148</v>
      </c>
      <c r="G12" s="131"/>
      <c r="H12" s="117" t="s">
        <v>333</v>
      </c>
      <c r="I12" s="120"/>
      <c r="J12" s="173" t="s">
        <v>334</v>
      </c>
      <c r="K12" s="131"/>
      <c r="L12" s="148" t="s">
        <v>335</v>
      </c>
      <c r="M12" s="131"/>
      <c r="N12" s="148" t="s">
        <v>1295</v>
      </c>
      <c r="O12" s="131"/>
      <c r="P12" s="148" t="s">
        <v>1296</v>
      </c>
      <c r="Q12" s="364"/>
      <c r="R12" s="364"/>
      <c r="S12" s="364"/>
      <c r="T12" s="364"/>
    </row>
    <row r="13" spans="1:21" s="89" customFormat="1" ht="14.4" thickBot="1" x14ac:dyDescent="0.35">
      <c r="B13" s="178" t="s">
        <v>341</v>
      </c>
      <c r="C13" s="176" t="s">
        <v>342</v>
      </c>
      <c r="D13" s="467"/>
      <c r="E13" s="183"/>
      <c r="F13" s="179" t="s">
        <v>343</v>
      </c>
      <c r="G13" s="183"/>
      <c r="H13" s="179" t="s">
        <v>344</v>
      </c>
      <c r="I13" s="177"/>
      <c r="J13" s="176" t="s">
        <v>345</v>
      </c>
      <c r="K13" s="211"/>
      <c r="L13" s="179" t="s">
        <v>346</v>
      </c>
      <c r="M13" s="211"/>
      <c r="N13" s="179" t="s">
        <v>347</v>
      </c>
      <c r="O13" s="211"/>
      <c r="P13" s="179" t="s">
        <v>348</v>
      </c>
      <c r="Q13" s="93"/>
      <c r="S13" s="93"/>
    </row>
    <row r="14" spans="1:21" s="94" customFormat="1" ht="14.4" thickTop="1" x14ac:dyDescent="0.3">
      <c r="A14" s="364"/>
      <c r="B14" s="130" t="s">
        <v>1297</v>
      </c>
      <c r="C14" s="366" t="s">
        <v>1298</v>
      </c>
      <c r="D14" s="373" t="s">
        <v>137</v>
      </c>
      <c r="E14" s="142" t="s">
        <v>300</v>
      </c>
      <c r="F14" s="362" t="s">
        <v>1299</v>
      </c>
      <c r="G14" s="142" t="s">
        <v>300</v>
      </c>
      <c r="H14" s="362" t="s">
        <v>1300</v>
      </c>
      <c r="I14" s="142" t="s">
        <v>300</v>
      </c>
      <c r="J14" s="92" t="s">
        <v>354</v>
      </c>
      <c r="K14" s="142" t="s">
        <v>300</v>
      </c>
      <c r="L14" s="209">
        <v>55</v>
      </c>
      <c r="M14" s="142" t="s">
        <v>300</v>
      </c>
      <c r="N14" s="209">
        <v>95</v>
      </c>
      <c r="O14" s="142" t="s">
        <v>300</v>
      </c>
      <c r="P14" s="209" t="s">
        <v>377</v>
      </c>
      <c r="Q14" s="364"/>
      <c r="R14" s="364"/>
      <c r="S14" s="364"/>
      <c r="T14" s="364"/>
      <c r="U14" s="364"/>
    </row>
    <row r="15" spans="1:21" x14ac:dyDescent="0.3">
      <c r="A15" s="373"/>
      <c r="B15" s="130" t="s">
        <v>1301</v>
      </c>
      <c r="C15" s="366" t="s">
        <v>1302</v>
      </c>
      <c r="D15" s="373" t="s">
        <v>137</v>
      </c>
      <c r="E15" s="142" t="s">
        <v>300</v>
      </c>
      <c r="F15" s="362" t="s">
        <v>1303</v>
      </c>
      <c r="G15" s="142" t="s">
        <v>300</v>
      </c>
      <c r="H15" s="362" t="s">
        <v>365</v>
      </c>
      <c r="I15" s="142" t="s">
        <v>300</v>
      </c>
      <c r="J15" s="92" t="s">
        <v>354</v>
      </c>
      <c r="K15" s="142" t="s">
        <v>300</v>
      </c>
      <c r="L15" s="209">
        <v>55</v>
      </c>
      <c r="M15" s="142" t="s">
        <v>300</v>
      </c>
      <c r="N15" s="209">
        <v>95</v>
      </c>
      <c r="O15" s="142" t="s">
        <v>300</v>
      </c>
      <c r="P15" s="209" t="s">
        <v>377</v>
      </c>
      <c r="Q15" s="364"/>
      <c r="R15" s="364"/>
      <c r="S15" s="364"/>
      <c r="T15" s="364"/>
      <c r="U15" s="373"/>
    </row>
    <row r="16" spans="1:21" s="94" customFormat="1" x14ac:dyDescent="0.3">
      <c r="A16" s="364"/>
      <c r="B16" s="180" t="s">
        <v>1304</v>
      </c>
      <c r="C16" s="156" t="s">
        <v>1305</v>
      </c>
      <c r="D16" s="204" t="s">
        <v>137</v>
      </c>
      <c r="E16" s="160" t="s">
        <v>300</v>
      </c>
      <c r="F16" s="172" t="s">
        <v>1306</v>
      </c>
      <c r="G16" s="160" t="s">
        <v>300</v>
      </c>
      <c r="H16" s="172" t="s">
        <v>1306</v>
      </c>
      <c r="I16" s="160" t="s">
        <v>300</v>
      </c>
      <c r="J16" s="156" t="s">
        <v>354</v>
      </c>
      <c r="K16" s="791" t="s">
        <v>173</v>
      </c>
      <c r="L16" s="406" t="s">
        <v>173</v>
      </c>
      <c r="M16" s="160" t="s">
        <v>300</v>
      </c>
      <c r="N16" s="212">
        <v>95</v>
      </c>
      <c r="O16" s="160" t="s">
        <v>300</v>
      </c>
      <c r="P16" s="212" t="s">
        <v>377</v>
      </c>
      <c r="Q16" s="364"/>
      <c r="R16" s="364"/>
      <c r="S16" s="364"/>
      <c r="T16" s="364"/>
      <c r="U16" s="364"/>
    </row>
    <row r="17" spans="1:26" s="94" customFormat="1" x14ac:dyDescent="0.3">
      <c r="A17" s="364"/>
      <c r="B17" s="84"/>
      <c r="C17" s="30"/>
      <c r="D17" s="30"/>
      <c r="E17" s="364"/>
      <c r="F17" s="364"/>
      <c r="G17" s="364"/>
      <c r="H17" s="364"/>
      <c r="I17" s="364"/>
      <c r="J17" s="364"/>
      <c r="K17" s="364"/>
      <c r="L17" s="364"/>
      <c r="M17" s="364"/>
      <c r="N17" s="364"/>
      <c r="O17" s="364"/>
      <c r="P17" s="364"/>
      <c r="Q17" s="364"/>
      <c r="R17" s="364"/>
      <c r="S17" s="364"/>
      <c r="T17" s="364"/>
      <c r="U17" s="364"/>
      <c r="V17" s="364"/>
      <c r="W17" s="364"/>
      <c r="X17" s="364"/>
      <c r="Y17" s="364"/>
      <c r="Z17" s="364"/>
    </row>
    <row r="18" spans="1:26" s="94" customFormat="1" x14ac:dyDescent="0.3">
      <c r="A18" s="364"/>
      <c r="B18" s="84"/>
      <c r="C18" s="84"/>
      <c r="D18" s="84"/>
      <c r="E18" s="82"/>
      <c r="F18" s="82"/>
      <c r="G18" s="82"/>
      <c r="H18" s="82"/>
      <c r="I18" s="82"/>
      <c r="J18" s="82"/>
      <c r="K18" s="82"/>
      <c r="L18" s="84"/>
      <c r="M18" s="364"/>
      <c r="N18" s="364"/>
      <c r="O18" s="364"/>
      <c r="P18" s="364"/>
      <c r="Q18" s="364"/>
      <c r="R18" s="364"/>
      <c r="S18" s="364"/>
      <c r="T18" s="364"/>
      <c r="U18" s="364"/>
      <c r="V18" s="364"/>
      <c r="W18" s="364"/>
      <c r="X18" s="364"/>
      <c r="Y18" s="364"/>
      <c r="Z18" s="364"/>
    </row>
    <row r="19" spans="1:26" s="534" customFormat="1" ht="41.4" x14ac:dyDescent="0.3">
      <c r="A19" s="397"/>
      <c r="B19" s="131" t="s">
        <v>330</v>
      </c>
      <c r="C19" s="120" t="s">
        <v>368</v>
      </c>
      <c r="D19" s="119" t="s">
        <v>122</v>
      </c>
      <c r="E19" s="571"/>
      <c r="F19" s="120" t="s">
        <v>148</v>
      </c>
      <c r="G19" s="571"/>
      <c r="H19" s="120" t="s">
        <v>333</v>
      </c>
      <c r="I19" s="571"/>
      <c r="J19" s="148" t="s">
        <v>334</v>
      </c>
      <c r="K19" s="120"/>
      <c r="L19" s="937" t="s">
        <v>1307</v>
      </c>
      <c r="M19" s="131"/>
      <c r="N19" s="148" t="s">
        <v>335</v>
      </c>
      <c r="O19" s="120"/>
      <c r="P19" s="120" t="s">
        <v>336</v>
      </c>
      <c r="Q19" s="293"/>
      <c r="R19" s="148" t="s">
        <v>1296</v>
      </c>
      <c r="S19" s="131"/>
      <c r="T19" s="148" t="s">
        <v>338</v>
      </c>
      <c r="U19" s="131"/>
      <c r="V19" s="148" t="s">
        <v>339</v>
      </c>
      <c r="W19" s="397"/>
      <c r="X19" s="401"/>
      <c r="Y19" s="397"/>
      <c r="Z19" s="401"/>
    </row>
    <row r="20" spans="1:26" s="534" customFormat="1" ht="15" thickBot="1" x14ac:dyDescent="0.35">
      <c r="A20" s="397"/>
      <c r="B20" s="178" t="s">
        <v>369</v>
      </c>
      <c r="C20" s="176"/>
      <c r="D20" s="582"/>
      <c r="E20" s="635"/>
      <c r="F20" s="176" t="s">
        <v>370</v>
      </c>
      <c r="G20" s="635"/>
      <c r="H20" s="176" t="s">
        <v>371</v>
      </c>
      <c r="I20" s="574"/>
      <c r="J20" s="179" t="s">
        <v>1308</v>
      </c>
      <c r="K20" s="176"/>
      <c r="L20" s="938" t="s">
        <v>1309</v>
      </c>
      <c r="M20" s="580"/>
      <c r="N20" s="179" t="s">
        <v>1310</v>
      </c>
      <c r="O20" s="189"/>
      <c r="P20" s="176" t="s">
        <v>1311</v>
      </c>
      <c r="Q20" s="580"/>
      <c r="R20" s="179" t="s">
        <v>372</v>
      </c>
      <c r="S20" s="732"/>
      <c r="T20" s="731"/>
      <c r="U20" s="732"/>
      <c r="V20" s="731"/>
      <c r="W20" s="397"/>
      <c r="X20" s="401"/>
      <c r="Y20" s="397"/>
      <c r="Z20" s="401"/>
    </row>
    <row r="21" spans="1:26" s="534" customFormat="1" ht="15" thickTop="1" x14ac:dyDescent="0.3">
      <c r="A21" s="397"/>
      <c r="B21" s="763" t="s">
        <v>1312</v>
      </c>
      <c r="C21" s="764" t="s">
        <v>1313</v>
      </c>
      <c r="D21" s="765" t="s">
        <v>137</v>
      </c>
      <c r="E21" s="766" t="s">
        <v>300</v>
      </c>
      <c r="F21" s="765" t="s">
        <v>1303</v>
      </c>
      <c r="G21" s="766" t="s">
        <v>300</v>
      </c>
      <c r="H21" s="765" t="s">
        <v>781</v>
      </c>
      <c r="I21" s="766"/>
      <c r="J21" s="936" t="s">
        <v>1314</v>
      </c>
      <c r="K21" s="766"/>
      <c r="L21" s="851" t="s">
        <v>354</v>
      </c>
      <c r="M21" s="766" t="s">
        <v>300</v>
      </c>
      <c r="N21" s="767">
        <v>55</v>
      </c>
      <c r="O21" s="766" t="s">
        <v>300</v>
      </c>
      <c r="P21" s="767">
        <v>95</v>
      </c>
      <c r="Q21" s="766" t="s">
        <v>300</v>
      </c>
      <c r="R21" s="765" t="s">
        <v>377</v>
      </c>
      <c r="S21" s="417" t="s">
        <v>173</v>
      </c>
      <c r="T21" s="722" t="s">
        <v>173</v>
      </c>
      <c r="U21" s="417" t="s">
        <v>173</v>
      </c>
      <c r="V21" s="722" t="s">
        <v>173</v>
      </c>
      <c r="W21" s="397"/>
      <c r="X21" s="401"/>
      <c r="Y21" s="397"/>
      <c r="Z21" s="401"/>
    </row>
    <row r="22" spans="1:26" s="373" customFormat="1" x14ac:dyDescent="0.3">
      <c r="B22" s="130" t="s">
        <v>1315</v>
      </c>
      <c r="C22" s="366" t="s">
        <v>1316</v>
      </c>
      <c r="D22" s="373" t="s">
        <v>137</v>
      </c>
      <c r="E22" s="142" t="s">
        <v>300</v>
      </c>
      <c r="F22" s="362" t="s">
        <v>788</v>
      </c>
      <c r="G22" s="142" t="s">
        <v>300</v>
      </c>
      <c r="H22" s="362" t="s">
        <v>781</v>
      </c>
      <c r="I22" s="142"/>
      <c r="J22" s="43" t="s">
        <v>1314</v>
      </c>
      <c r="K22" s="142"/>
      <c r="L22" s="852" t="s">
        <v>354</v>
      </c>
      <c r="M22" s="142" t="s">
        <v>300</v>
      </c>
      <c r="N22" s="209">
        <v>55</v>
      </c>
      <c r="O22" s="142" t="s">
        <v>300</v>
      </c>
      <c r="P22" s="209">
        <v>125</v>
      </c>
      <c r="Q22" s="142" t="s">
        <v>300</v>
      </c>
      <c r="R22" s="209" t="s">
        <v>377</v>
      </c>
      <c r="S22" s="364"/>
      <c r="T22" s="364"/>
      <c r="U22" s="820"/>
      <c r="V22" s="821"/>
    </row>
    <row r="23" spans="1:26" s="373" customFormat="1" x14ac:dyDescent="0.3">
      <c r="B23" s="130" t="s">
        <v>1315</v>
      </c>
      <c r="C23" s="366" t="s">
        <v>1317</v>
      </c>
      <c r="D23" s="373" t="s">
        <v>137</v>
      </c>
      <c r="E23" s="243" t="s">
        <v>300</v>
      </c>
      <c r="F23" s="362" t="s">
        <v>365</v>
      </c>
      <c r="G23" s="243" t="s">
        <v>300</v>
      </c>
      <c r="H23" s="362" t="s">
        <v>781</v>
      </c>
      <c r="I23" s="243"/>
      <c r="J23" s="43" t="s">
        <v>1314</v>
      </c>
      <c r="K23" s="243"/>
      <c r="L23" s="852" t="s">
        <v>354</v>
      </c>
      <c r="M23" s="243" t="s">
        <v>300</v>
      </c>
      <c r="N23" s="209">
        <v>55</v>
      </c>
      <c r="O23" s="243" t="s">
        <v>300</v>
      </c>
      <c r="P23" s="209">
        <v>95</v>
      </c>
      <c r="Q23" s="243" t="s">
        <v>300</v>
      </c>
      <c r="R23" s="209" t="s">
        <v>377</v>
      </c>
      <c r="S23" s="364" t="s">
        <v>173</v>
      </c>
      <c r="T23" s="364" t="s">
        <v>173</v>
      </c>
      <c r="U23" s="129" t="s">
        <v>173</v>
      </c>
      <c r="V23" s="209" t="s">
        <v>173</v>
      </c>
    </row>
    <row r="24" spans="1:26" s="364" customFormat="1" x14ac:dyDescent="0.3">
      <c r="B24" s="180" t="s">
        <v>1304</v>
      </c>
      <c r="C24" s="156" t="s">
        <v>1318</v>
      </c>
      <c r="D24" s="204" t="s">
        <v>137</v>
      </c>
      <c r="E24" s="160" t="s">
        <v>300</v>
      </c>
      <c r="F24" s="172" t="s">
        <v>365</v>
      </c>
      <c r="G24" s="160" t="s">
        <v>300</v>
      </c>
      <c r="H24" s="172" t="s">
        <v>781</v>
      </c>
      <c r="I24" s="160"/>
      <c r="J24" s="867" t="s">
        <v>1314</v>
      </c>
      <c r="K24" s="160"/>
      <c r="L24" s="843" t="s">
        <v>354</v>
      </c>
      <c r="M24" s="791" t="s">
        <v>173</v>
      </c>
      <c r="N24" s="406" t="s">
        <v>173</v>
      </c>
      <c r="O24" s="160" t="s">
        <v>300</v>
      </c>
      <c r="P24" s="212">
        <v>95</v>
      </c>
      <c r="Q24" s="160" t="s">
        <v>300</v>
      </c>
      <c r="R24" s="212" t="s">
        <v>377</v>
      </c>
      <c r="S24" s="791" t="s">
        <v>173</v>
      </c>
      <c r="T24" s="406" t="s">
        <v>173</v>
      </c>
      <c r="U24" s="791" t="s">
        <v>173</v>
      </c>
      <c r="V24" s="406" t="s">
        <v>173</v>
      </c>
    </row>
    <row r="25" spans="1:26" s="534" customFormat="1" ht="14.4" x14ac:dyDescent="0.3">
      <c r="A25" s="397"/>
      <c r="B25" s="565"/>
      <c r="C25" s="74"/>
      <c r="D25" s="397"/>
      <c r="E25" s="74"/>
      <c r="F25" s="397"/>
      <c r="G25" s="397"/>
      <c r="H25" s="397"/>
      <c r="I25" s="74"/>
      <c r="J25" s="397"/>
      <c r="K25" s="74"/>
      <c r="L25" s="397"/>
      <c r="M25" s="397"/>
      <c r="N25" s="397"/>
      <c r="O25" s="397"/>
      <c r="P25" s="397"/>
      <c r="Q25" s="397"/>
      <c r="R25" s="397"/>
      <c r="S25" s="397"/>
      <c r="T25" s="397"/>
      <c r="U25" s="397"/>
      <c r="V25" s="401"/>
      <c r="W25" s="397"/>
      <c r="X25" s="401"/>
    </row>
    <row r="26" spans="1:26" s="534" customFormat="1" ht="14.4" x14ac:dyDescent="0.3">
      <c r="A26" s="397"/>
      <c r="B26" s="565"/>
      <c r="C26" s="74"/>
      <c r="D26" s="397"/>
      <c r="E26" s="74"/>
      <c r="F26" s="397"/>
      <c r="G26" s="74"/>
      <c r="H26" s="397"/>
      <c r="I26" s="74"/>
      <c r="J26" s="74"/>
      <c r="K26" s="397"/>
      <c r="L26" s="397"/>
      <c r="M26" s="397"/>
      <c r="N26" s="397"/>
      <c r="O26" s="397"/>
      <c r="P26" s="397"/>
      <c r="Q26" s="397"/>
      <c r="R26" s="397"/>
      <c r="S26" s="397"/>
      <c r="T26" s="397"/>
      <c r="U26" s="397"/>
      <c r="V26" s="401"/>
      <c r="W26" s="397"/>
      <c r="X26" s="401"/>
    </row>
    <row r="27" spans="1:26" s="94" customFormat="1" ht="27.6" x14ac:dyDescent="0.3">
      <c r="A27" s="364"/>
      <c r="B27" s="131" t="s">
        <v>1319</v>
      </c>
      <c r="C27" s="120" t="s">
        <v>382</v>
      </c>
      <c r="D27" s="120"/>
      <c r="E27" s="194"/>
      <c r="F27" s="117" t="s">
        <v>148</v>
      </c>
      <c r="G27" s="173"/>
      <c r="H27" s="173" t="s">
        <v>383</v>
      </c>
      <c r="I27" s="194"/>
      <c r="J27" s="117" t="s">
        <v>385</v>
      </c>
      <c r="K27" s="187"/>
      <c r="L27" s="117" t="s">
        <v>386</v>
      </c>
      <c r="M27" s="427"/>
      <c r="N27" s="117" t="s">
        <v>387</v>
      </c>
      <c r="O27" s="426"/>
      <c r="P27" s="117" t="s">
        <v>388</v>
      </c>
      <c r="Q27" s="364"/>
      <c r="R27" s="364"/>
      <c r="S27" s="364"/>
      <c r="T27" s="364"/>
      <c r="U27" s="364"/>
      <c r="V27" s="364"/>
      <c r="W27" s="364"/>
      <c r="X27" s="364"/>
      <c r="Y27" s="364"/>
      <c r="Z27" s="364"/>
    </row>
    <row r="28" spans="1:26" s="94" customFormat="1" ht="14.4" thickBot="1" x14ac:dyDescent="0.35">
      <c r="A28" s="364"/>
      <c r="B28" s="178" t="s">
        <v>389</v>
      </c>
      <c r="C28" s="176" t="s">
        <v>390</v>
      </c>
      <c r="D28" s="176"/>
      <c r="E28" s="183"/>
      <c r="F28" s="179" t="s">
        <v>391</v>
      </c>
      <c r="G28" s="177"/>
      <c r="H28" s="176" t="s">
        <v>392</v>
      </c>
      <c r="I28" s="183"/>
      <c r="J28" s="179" t="s">
        <v>394</v>
      </c>
      <c r="K28" s="189"/>
      <c r="L28" s="338" t="s">
        <v>395</v>
      </c>
      <c r="M28" s="178"/>
      <c r="N28" s="320" t="s">
        <v>396</v>
      </c>
      <c r="O28" s="176"/>
      <c r="P28" s="339" t="s">
        <v>397</v>
      </c>
      <c r="Q28" s="364"/>
      <c r="R28" s="364"/>
      <c r="S28" s="364"/>
      <c r="T28" s="364"/>
      <c r="U28" s="364"/>
      <c r="V28" s="364"/>
      <c r="W28" s="364"/>
      <c r="X28" s="364"/>
      <c r="Y28" s="364"/>
      <c r="Z28" s="364"/>
    </row>
    <row r="29" spans="1:26" s="94" customFormat="1" ht="12.75" customHeight="1" thickTop="1" x14ac:dyDescent="0.3">
      <c r="A29" s="364"/>
      <c r="B29" s="128" t="s">
        <v>1313</v>
      </c>
      <c r="C29" s="92" t="s">
        <v>1320</v>
      </c>
      <c r="D29" s="92"/>
      <c r="E29" s="140" t="s">
        <v>300</v>
      </c>
      <c r="F29" s="192" t="s">
        <v>399</v>
      </c>
      <c r="G29" s="140" t="s">
        <v>300</v>
      </c>
      <c r="H29" s="363">
        <v>12</v>
      </c>
      <c r="I29" s="417" t="s">
        <v>173</v>
      </c>
      <c r="J29" s="722" t="s">
        <v>173</v>
      </c>
      <c r="K29" s="142" t="s">
        <v>300</v>
      </c>
      <c r="L29" s="366" t="s">
        <v>1321</v>
      </c>
      <c r="M29" s="142" t="s">
        <v>300</v>
      </c>
      <c r="N29" s="362" t="s">
        <v>1322</v>
      </c>
      <c r="O29" s="140" t="s">
        <v>300</v>
      </c>
      <c r="P29" s="152" t="s">
        <v>402</v>
      </c>
      <c r="Q29" s="364"/>
      <c r="R29" s="364"/>
      <c r="S29" s="364"/>
      <c r="T29" s="364"/>
      <c r="U29" s="364"/>
      <c r="V29" s="364"/>
      <c r="W29" s="364"/>
      <c r="X29" s="364"/>
      <c r="Y29" s="364"/>
      <c r="Z29" s="364"/>
    </row>
    <row r="30" spans="1:26" s="94" customFormat="1" ht="12.75" customHeight="1" x14ac:dyDescent="0.3">
      <c r="A30" s="364"/>
      <c r="B30" s="128" t="s">
        <v>1298</v>
      </c>
      <c r="C30" s="92" t="s">
        <v>1323</v>
      </c>
      <c r="D30" s="92"/>
      <c r="E30" s="142" t="s">
        <v>300</v>
      </c>
      <c r="F30" s="192" t="s">
        <v>399</v>
      </c>
      <c r="G30" s="142" t="s">
        <v>300</v>
      </c>
      <c r="H30" s="363">
        <v>12</v>
      </c>
      <c r="I30" s="417" t="s">
        <v>173</v>
      </c>
      <c r="J30" s="722" t="s">
        <v>173</v>
      </c>
      <c r="K30" s="142" t="s">
        <v>300</v>
      </c>
      <c r="L30" s="366" t="s">
        <v>400</v>
      </c>
      <c r="M30" s="142" t="s">
        <v>300</v>
      </c>
      <c r="N30" s="362" t="s">
        <v>405</v>
      </c>
      <c r="O30" s="142" t="s">
        <v>300</v>
      </c>
      <c r="P30" s="152" t="s">
        <v>402</v>
      </c>
      <c r="Q30" s="364"/>
      <c r="R30" s="364"/>
      <c r="S30" s="364"/>
      <c r="T30" s="364"/>
      <c r="U30" s="364"/>
      <c r="V30" s="364"/>
      <c r="W30" s="364"/>
      <c r="X30" s="364"/>
      <c r="Y30" s="364"/>
      <c r="Z30" s="364"/>
    </row>
    <row r="31" spans="1:26" s="94" customFormat="1" ht="12.75" customHeight="1" x14ac:dyDescent="0.3">
      <c r="A31" s="364"/>
      <c r="B31" s="128" t="s">
        <v>1302</v>
      </c>
      <c r="C31" s="92" t="s">
        <v>1324</v>
      </c>
      <c r="D31" s="92"/>
      <c r="E31" s="142" t="s">
        <v>300</v>
      </c>
      <c r="F31" s="192" t="s">
        <v>399</v>
      </c>
      <c r="G31" s="142" t="s">
        <v>300</v>
      </c>
      <c r="H31" s="363">
        <v>12</v>
      </c>
      <c r="I31" s="417" t="s">
        <v>173</v>
      </c>
      <c r="J31" s="722" t="s">
        <v>173</v>
      </c>
      <c r="K31" s="142" t="s">
        <v>300</v>
      </c>
      <c r="L31" s="366" t="s">
        <v>1321</v>
      </c>
      <c r="M31" s="142" t="s">
        <v>300</v>
      </c>
      <c r="N31" s="362" t="s">
        <v>1322</v>
      </c>
      <c r="O31" s="142" t="s">
        <v>300</v>
      </c>
      <c r="P31" s="152" t="s">
        <v>402</v>
      </c>
      <c r="Q31" s="364"/>
      <c r="R31" s="364"/>
      <c r="S31" s="364"/>
      <c r="T31" s="364"/>
      <c r="U31" s="364"/>
      <c r="V31" s="364"/>
      <c r="W31" s="364"/>
      <c r="X31" s="364"/>
      <c r="Y31" s="364"/>
      <c r="Z31" s="364"/>
    </row>
    <row r="32" spans="1:26" s="364" customFormat="1" ht="12.75" customHeight="1" x14ac:dyDescent="0.3">
      <c r="B32" s="128" t="s">
        <v>1317</v>
      </c>
      <c r="C32" s="366" t="s">
        <v>1325</v>
      </c>
      <c r="D32" s="401"/>
      <c r="E32" s="142" t="s">
        <v>300</v>
      </c>
      <c r="F32" s="192" t="s">
        <v>399</v>
      </c>
      <c r="G32" s="142" t="s">
        <v>300</v>
      </c>
      <c r="H32" s="363">
        <v>10.8</v>
      </c>
      <c r="I32" s="417" t="s">
        <v>173</v>
      </c>
      <c r="J32" s="722" t="s">
        <v>173</v>
      </c>
      <c r="K32" s="142" t="s">
        <v>300</v>
      </c>
      <c r="L32" s="366" t="s">
        <v>783</v>
      </c>
      <c r="M32" s="142" t="s">
        <v>300</v>
      </c>
      <c r="N32" s="362" t="s">
        <v>405</v>
      </c>
      <c r="O32" s="142" t="s">
        <v>300</v>
      </c>
      <c r="P32" s="152" t="s">
        <v>402</v>
      </c>
    </row>
    <row r="33" spans="2:24" s="364" customFormat="1" ht="12.75" customHeight="1" x14ac:dyDescent="0.3">
      <c r="B33" s="128" t="s">
        <v>1318</v>
      </c>
      <c r="C33" s="366" t="s">
        <v>1326</v>
      </c>
      <c r="D33" s="401"/>
      <c r="E33" s="243"/>
      <c r="F33" s="192" t="s">
        <v>399</v>
      </c>
      <c r="G33" s="243"/>
      <c r="H33" s="363">
        <v>10.8</v>
      </c>
      <c r="I33" s="939"/>
      <c r="J33" s="722"/>
      <c r="K33" s="243"/>
      <c r="L33" s="366" t="s">
        <v>783</v>
      </c>
      <c r="M33" s="243"/>
      <c r="N33" s="362" t="s">
        <v>405</v>
      </c>
      <c r="O33" s="243"/>
      <c r="P33" s="152" t="s">
        <v>402</v>
      </c>
    </row>
    <row r="34" spans="2:24" s="364" customFormat="1" ht="12.75" customHeight="1" x14ac:dyDescent="0.3">
      <c r="B34" s="278" t="s">
        <v>1316</v>
      </c>
      <c r="C34" s="167" t="s">
        <v>1327</v>
      </c>
      <c r="D34" s="741"/>
      <c r="E34" s="160" t="s">
        <v>300</v>
      </c>
      <c r="F34" s="193" t="s">
        <v>399</v>
      </c>
      <c r="G34" s="160" t="s">
        <v>173</v>
      </c>
      <c r="H34" s="191" t="s">
        <v>173</v>
      </c>
      <c r="I34" s="824" t="s">
        <v>173</v>
      </c>
      <c r="J34" s="823" t="s">
        <v>173</v>
      </c>
      <c r="K34" s="160" t="s">
        <v>300</v>
      </c>
      <c r="L34" s="167" t="s">
        <v>400</v>
      </c>
      <c r="M34" s="160" t="s">
        <v>300</v>
      </c>
      <c r="N34" s="172" t="s">
        <v>405</v>
      </c>
      <c r="O34" s="160" t="s">
        <v>300</v>
      </c>
      <c r="P34" s="162" t="s">
        <v>402</v>
      </c>
    </row>
    <row r="35" spans="2:24" s="94" customFormat="1" x14ac:dyDescent="0.3">
      <c r="B35" s="84"/>
      <c r="C35" s="30"/>
      <c r="D35" s="30"/>
      <c r="E35" s="364"/>
      <c r="F35" s="364"/>
      <c r="G35" s="364"/>
      <c r="H35" s="364"/>
      <c r="I35" s="364"/>
      <c r="J35" s="364"/>
      <c r="K35" s="30"/>
      <c r="L35" s="364"/>
      <c r="M35" s="364"/>
      <c r="N35" s="364"/>
      <c r="O35" s="364"/>
      <c r="P35" s="364"/>
      <c r="Q35" s="364"/>
      <c r="R35" s="364"/>
      <c r="S35" s="364"/>
      <c r="T35" s="364"/>
      <c r="U35" s="364"/>
      <c r="V35" s="364"/>
      <c r="W35" s="364"/>
      <c r="X35" s="364"/>
    </row>
    <row r="36" spans="2:24" s="94" customFormat="1" x14ac:dyDescent="0.3">
      <c r="B36" s="84"/>
      <c r="C36" s="84"/>
      <c r="D36" s="84"/>
      <c r="E36" s="82"/>
      <c r="F36" s="82"/>
      <c r="G36" s="82"/>
      <c r="H36" s="82"/>
      <c r="I36" s="82"/>
      <c r="J36" s="82"/>
      <c r="K36" s="30"/>
      <c r="L36" s="364"/>
      <c r="M36" s="364"/>
      <c r="N36" s="364"/>
      <c r="O36" s="364"/>
      <c r="P36" s="364"/>
      <c r="Q36" s="364"/>
      <c r="R36" s="364"/>
      <c r="S36" s="364"/>
      <c r="T36" s="364"/>
      <c r="U36" s="364"/>
      <c r="V36" s="364"/>
      <c r="W36" s="364"/>
      <c r="X36" s="364"/>
    </row>
    <row r="37" spans="2:24" s="94" customFormat="1" ht="27.6" x14ac:dyDescent="0.3">
      <c r="B37" s="131" t="s">
        <v>1319</v>
      </c>
      <c r="C37" s="120" t="s">
        <v>413</v>
      </c>
      <c r="D37" s="120"/>
      <c r="E37" s="194"/>
      <c r="F37" s="117" t="s">
        <v>148</v>
      </c>
      <c r="G37" s="173"/>
      <c r="H37" s="173" t="s">
        <v>1328</v>
      </c>
      <c r="I37" s="173"/>
      <c r="J37" s="173" t="s">
        <v>415</v>
      </c>
      <c r="K37" s="194"/>
      <c r="L37" s="117" t="s">
        <v>385</v>
      </c>
      <c r="M37" s="173"/>
      <c r="N37" s="117" t="s">
        <v>1329</v>
      </c>
      <c r="O37" s="187"/>
      <c r="P37" s="117" t="s">
        <v>416</v>
      </c>
      <c r="Q37" s="364"/>
      <c r="R37" s="364"/>
      <c r="S37" s="364"/>
      <c r="T37" s="364"/>
      <c r="U37" s="364"/>
      <c r="V37" s="364"/>
      <c r="W37" s="364"/>
      <c r="X37" s="364"/>
    </row>
    <row r="38" spans="2:24" s="94" customFormat="1" ht="14.4" thickBot="1" x14ac:dyDescent="0.35">
      <c r="B38" s="178" t="s">
        <v>417</v>
      </c>
      <c r="C38" s="176" t="s">
        <v>418</v>
      </c>
      <c r="D38" s="176"/>
      <c r="E38" s="183"/>
      <c r="F38" s="179" t="s">
        <v>419</v>
      </c>
      <c r="G38" s="176"/>
      <c r="H38" s="176"/>
      <c r="I38" s="177"/>
      <c r="J38" s="176" t="s">
        <v>420</v>
      </c>
      <c r="K38" s="183"/>
      <c r="L38" s="179"/>
      <c r="M38" s="176"/>
      <c r="N38" s="176" t="s">
        <v>1330</v>
      </c>
      <c r="O38" s="124"/>
      <c r="P38" s="179" t="s">
        <v>421</v>
      </c>
      <c r="Q38" s="364"/>
      <c r="R38" s="364"/>
      <c r="S38" s="364"/>
      <c r="T38" s="364"/>
      <c r="U38" s="364"/>
      <c r="V38" s="364"/>
      <c r="W38" s="364"/>
      <c r="X38" s="364"/>
    </row>
    <row r="39" spans="2:24" s="94" customFormat="1" ht="14.4" thickTop="1" x14ac:dyDescent="0.3">
      <c r="B39" s="128" t="s">
        <v>1313</v>
      </c>
      <c r="C39" s="92" t="s">
        <v>1331</v>
      </c>
      <c r="D39" s="92"/>
      <c r="E39" s="140" t="s">
        <v>300</v>
      </c>
      <c r="F39" s="360" t="s">
        <v>788</v>
      </c>
      <c r="G39" s="417" t="s">
        <v>173</v>
      </c>
      <c r="H39" s="722" t="s">
        <v>173</v>
      </c>
      <c r="I39" s="140"/>
      <c r="J39" s="874">
        <f>0.0051427*(81)+0.3989</f>
        <v>0.81545869999999998</v>
      </c>
      <c r="K39" s="417" t="s">
        <v>173</v>
      </c>
      <c r="L39" s="722" t="s">
        <v>173</v>
      </c>
      <c r="M39" s="417" t="s">
        <v>173</v>
      </c>
      <c r="N39" s="722" t="s">
        <v>173</v>
      </c>
      <c r="O39" s="140" t="s">
        <v>300</v>
      </c>
      <c r="P39" s="152" t="s">
        <v>431</v>
      </c>
      <c r="Q39" s="364"/>
      <c r="R39" s="364"/>
      <c r="S39" s="364"/>
      <c r="T39" s="364"/>
      <c r="U39" s="364"/>
      <c r="V39" s="364"/>
      <c r="W39" s="364"/>
      <c r="X39" s="364"/>
    </row>
    <row r="40" spans="2:24" s="94" customFormat="1" x14ac:dyDescent="0.3">
      <c r="B40" s="128" t="s">
        <v>1298</v>
      </c>
      <c r="C40" s="92" t="s">
        <v>1332</v>
      </c>
      <c r="D40" s="92"/>
      <c r="E40" s="142" t="s">
        <v>300</v>
      </c>
      <c r="F40" s="360" t="s">
        <v>1333</v>
      </c>
      <c r="G40" s="142" t="s">
        <v>300</v>
      </c>
      <c r="H40" s="202">
        <v>3.5</v>
      </c>
      <c r="I40" s="417" t="s">
        <v>173</v>
      </c>
      <c r="J40" s="722" t="s">
        <v>173</v>
      </c>
      <c r="K40" s="417" t="s">
        <v>173</v>
      </c>
      <c r="L40" s="722" t="s">
        <v>173</v>
      </c>
      <c r="M40" s="142" t="s">
        <v>300</v>
      </c>
      <c r="N40" s="362" t="s">
        <v>1334</v>
      </c>
      <c r="O40" s="417" t="s">
        <v>173</v>
      </c>
      <c r="P40" s="722" t="s">
        <v>173</v>
      </c>
      <c r="Q40" s="364"/>
      <c r="R40" s="364"/>
      <c r="S40" s="364"/>
      <c r="T40" s="364"/>
      <c r="U40" s="364"/>
      <c r="V40" s="364"/>
      <c r="W40" s="364"/>
      <c r="X40" s="364"/>
    </row>
    <row r="41" spans="2:24" s="94" customFormat="1" x14ac:dyDescent="0.3">
      <c r="B41" s="128" t="s">
        <v>1302</v>
      </c>
      <c r="C41" s="92" t="s">
        <v>1335</v>
      </c>
      <c r="D41" s="92"/>
      <c r="E41" s="142" t="s">
        <v>300</v>
      </c>
      <c r="F41" s="360" t="s">
        <v>788</v>
      </c>
      <c r="G41" s="417" t="s">
        <v>173</v>
      </c>
      <c r="H41" s="722" t="s">
        <v>173</v>
      </c>
      <c r="I41" s="142"/>
      <c r="J41" s="874">
        <f>0.0051427*(81)+0.3989</f>
        <v>0.81545869999999998</v>
      </c>
      <c r="K41" s="417" t="s">
        <v>173</v>
      </c>
      <c r="L41" s="722" t="s">
        <v>173</v>
      </c>
      <c r="M41" s="417" t="s">
        <v>173</v>
      </c>
      <c r="N41" s="722" t="s">
        <v>173</v>
      </c>
      <c r="O41" s="142" t="s">
        <v>300</v>
      </c>
      <c r="P41" s="152" t="s">
        <v>431</v>
      </c>
      <c r="Q41" s="364"/>
      <c r="R41" s="364"/>
      <c r="S41" s="364"/>
      <c r="T41" s="364"/>
      <c r="U41" s="364"/>
      <c r="V41" s="364"/>
      <c r="W41" s="364"/>
      <c r="X41" s="364"/>
    </row>
    <row r="42" spans="2:24" s="94" customFormat="1" x14ac:dyDescent="0.3">
      <c r="B42" s="130" t="s">
        <v>1316</v>
      </c>
      <c r="C42" s="92" t="s">
        <v>1336</v>
      </c>
      <c r="D42" s="92"/>
      <c r="E42" s="142" t="s">
        <v>300</v>
      </c>
      <c r="F42" s="360" t="s">
        <v>788</v>
      </c>
      <c r="G42" s="417" t="s">
        <v>173</v>
      </c>
      <c r="H42" s="722" t="s">
        <v>173</v>
      </c>
      <c r="I42" s="142"/>
      <c r="J42" s="874">
        <f>0.0051427*(67)+0.3989</f>
        <v>0.74346089999999998</v>
      </c>
      <c r="K42" s="417" t="s">
        <v>173</v>
      </c>
      <c r="L42" s="722" t="s">
        <v>173</v>
      </c>
      <c r="M42" s="417" t="s">
        <v>173</v>
      </c>
      <c r="N42" s="722" t="s">
        <v>173</v>
      </c>
      <c r="O42" s="142" t="s">
        <v>300</v>
      </c>
      <c r="P42" s="152" t="s">
        <v>431</v>
      </c>
      <c r="Q42" s="364"/>
      <c r="R42" s="364"/>
      <c r="S42" s="364"/>
      <c r="T42" s="364"/>
      <c r="U42" s="364"/>
      <c r="V42" s="364"/>
      <c r="W42" s="364"/>
      <c r="X42" s="364"/>
    </row>
    <row r="43" spans="2:24" s="94" customFormat="1" x14ac:dyDescent="0.3">
      <c r="B43" s="130" t="s">
        <v>1305</v>
      </c>
      <c r="C43" s="92" t="s">
        <v>1337</v>
      </c>
      <c r="D43" s="92"/>
      <c r="E43" s="142" t="s">
        <v>300</v>
      </c>
      <c r="F43" s="360" t="s">
        <v>788</v>
      </c>
      <c r="G43" s="417" t="s">
        <v>173</v>
      </c>
      <c r="H43" s="722" t="s">
        <v>173</v>
      </c>
      <c r="I43" s="142"/>
      <c r="J43" s="874">
        <f>0.0051427*(80)+0.3989</f>
        <v>0.81031600000000004</v>
      </c>
      <c r="K43" s="417" t="s">
        <v>173</v>
      </c>
      <c r="L43" s="722" t="s">
        <v>173</v>
      </c>
      <c r="M43" s="417" t="s">
        <v>173</v>
      </c>
      <c r="N43" s="722" t="s">
        <v>173</v>
      </c>
      <c r="O43" s="142" t="s">
        <v>300</v>
      </c>
      <c r="P43" s="152" t="s">
        <v>431</v>
      </c>
      <c r="Q43" s="364"/>
      <c r="R43" s="364"/>
      <c r="S43" s="364"/>
      <c r="T43" s="364"/>
      <c r="U43" s="364"/>
      <c r="V43" s="364"/>
      <c r="W43" s="364"/>
      <c r="X43" s="364"/>
    </row>
    <row r="44" spans="2:24" s="364" customFormat="1" x14ac:dyDescent="0.3">
      <c r="B44" s="130" t="s">
        <v>1317</v>
      </c>
      <c r="C44" s="92" t="s">
        <v>1338</v>
      </c>
      <c r="D44" s="92"/>
      <c r="E44" s="243"/>
      <c r="F44" s="360" t="s">
        <v>1339</v>
      </c>
      <c r="G44" s="940"/>
      <c r="H44" s="722"/>
      <c r="I44" s="941"/>
      <c r="J44" s="942"/>
      <c r="K44" s="939"/>
      <c r="L44" s="722"/>
      <c r="M44" s="939"/>
      <c r="N44" s="722"/>
      <c r="O44" s="941"/>
      <c r="P44" s="943"/>
    </row>
    <row r="45" spans="2:24" s="364" customFormat="1" ht="12.75" customHeight="1" x14ac:dyDescent="0.3">
      <c r="B45" s="278" t="s">
        <v>1318</v>
      </c>
      <c r="C45" s="167" t="s">
        <v>1340</v>
      </c>
      <c r="D45" s="741"/>
      <c r="E45" s="160" t="s">
        <v>300</v>
      </c>
      <c r="F45" s="193" t="s">
        <v>1339</v>
      </c>
      <c r="G45" s="444" t="s">
        <v>173</v>
      </c>
      <c r="H45" s="823" t="s">
        <v>173</v>
      </c>
      <c r="I45" s="824" t="s">
        <v>173</v>
      </c>
      <c r="J45" s="823" t="s">
        <v>173</v>
      </c>
      <c r="K45" s="824" t="s">
        <v>173</v>
      </c>
      <c r="L45" s="823" t="s">
        <v>173</v>
      </c>
      <c r="M45" s="824" t="s">
        <v>173</v>
      </c>
      <c r="N45" s="823" t="s">
        <v>173</v>
      </c>
      <c r="O45" s="824" t="s">
        <v>173</v>
      </c>
      <c r="P45" s="823" t="s">
        <v>173</v>
      </c>
    </row>
    <row r="46" spans="2:24" s="94" customFormat="1" x14ac:dyDescent="0.3">
      <c r="B46" s="84"/>
      <c r="C46" s="30"/>
      <c r="D46" s="30"/>
      <c r="E46" s="364"/>
      <c r="F46" s="364"/>
      <c r="G46" s="364"/>
      <c r="H46" s="364"/>
      <c r="I46" s="364"/>
      <c r="J46" s="364"/>
      <c r="K46" s="30"/>
      <c r="L46" s="364"/>
      <c r="M46" s="364"/>
      <c r="N46" s="364"/>
      <c r="O46" s="364"/>
      <c r="P46" s="364"/>
      <c r="Q46" s="364"/>
      <c r="R46" s="364"/>
      <c r="S46" s="364"/>
      <c r="T46" s="364"/>
      <c r="U46" s="364"/>
      <c r="V46" s="364"/>
      <c r="W46" s="364"/>
      <c r="X46" s="364"/>
    </row>
    <row r="47" spans="2:24" s="94" customFormat="1" x14ac:dyDescent="0.3">
      <c r="B47" s="84"/>
      <c r="C47" s="84"/>
      <c r="D47" s="84"/>
      <c r="E47" s="82"/>
      <c r="F47" s="82"/>
      <c r="G47" s="82"/>
      <c r="H47" s="82"/>
      <c r="I47" s="82"/>
      <c r="J47" s="82"/>
      <c r="K47" s="82"/>
      <c r="L47" s="82"/>
      <c r="M47" s="82"/>
      <c r="N47" s="82"/>
      <c r="O47" s="82"/>
      <c r="P47" s="82"/>
      <c r="Q47" s="364"/>
      <c r="R47" s="364"/>
      <c r="S47" s="364"/>
      <c r="T47" s="364"/>
      <c r="U47" s="364"/>
      <c r="V47" s="364"/>
      <c r="W47" s="364"/>
      <c r="X47" s="364"/>
    </row>
    <row r="48" spans="2:24" s="94" customFormat="1" ht="27.6" x14ac:dyDescent="0.3">
      <c r="B48" s="131" t="s">
        <v>1294</v>
      </c>
      <c r="C48" s="120" t="s">
        <v>432</v>
      </c>
      <c r="D48" s="120"/>
      <c r="E48" s="131"/>
      <c r="F48" s="117" t="s">
        <v>433</v>
      </c>
      <c r="G48" s="120"/>
      <c r="H48" s="173" t="s">
        <v>434</v>
      </c>
      <c r="I48" s="131"/>
      <c r="J48" s="117" t="s">
        <v>436</v>
      </c>
      <c r="K48" s="173"/>
      <c r="L48" s="120" t="s">
        <v>437</v>
      </c>
      <c r="M48" s="194"/>
      <c r="N48" s="117" t="s">
        <v>438</v>
      </c>
      <c r="O48" s="173"/>
      <c r="P48" s="173" t="s">
        <v>439</v>
      </c>
      <c r="Q48" s="194"/>
      <c r="R48" s="117" t="s">
        <v>440</v>
      </c>
      <c r="S48" s="364"/>
      <c r="T48" s="364"/>
      <c r="U48" s="364"/>
      <c r="V48" s="364"/>
      <c r="W48" s="364"/>
      <c r="X48" s="364"/>
    </row>
    <row r="49" spans="1:20" s="94" customFormat="1" ht="14.4" thickBot="1" x14ac:dyDescent="0.35">
      <c r="A49" s="364"/>
      <c r="B49" s="178" t="s">
        <v>417</v>
      </c>
      <c r="C49" s="176" t="s">
        <v>442</v>
      </c>
      <c r="D49" s="176"/>
      <c r="E49" s="183"/>
      <c r="F49" s="179" t="s">
        <v>443</v>
      </c>
      <c r="G49" s="177"/>
      <c r="H49" s="176" t="s">
        <v>444</v>
      </c>
      <c r="I49" s="183"/>
      <c r="J49" s="179" t="s">
        <v>445</v>
      </c>
      <c r="K49" s="177"/>
      <c r="L49" s="176" t="s">
        <v>446</v>
      </c>
      <c r="M49" s="183"/>
      <c r="N49" s="179" t="s">
        <v>447</v>
      </c>
      <c r="O49" s="177"/>
      <c r="P49" s="176" t="s">
        <v>448</v>
      </c>
      <c r="Q49" s="183"/>
      <c r="R49" s="179" t="s">
        <v>449</v>
      </c>
      <c r="S49" s="364"/>
      <c r="T49" s="364"/>
    </row>
    <row r="50" spans="1:20" s="94" customFormat="1" ht="14.4" thickTop="1" x14ac:dyDescent="0.3">
      <c r="A50" s="364"/>
      <c r="B50" s="128" t="s">
        <v>1313</v>
      </c>
      <c r="C50" s="92" t="s">
        <v>1341</v>
      </c>
      <c r="D50" s="92"/>
      <c r="E50" s="140" t="s">
        <v>300</v>
      </c>
      <c r="F50" s="152" t="s">
        <v>458</v>
      </c>
      <c r="G50" s="140" t="s">
        <v>300</v>
      </c>
      <c r="H50" s="92" t="s">
        <v>452</v>
      </c>
      <c r="I50" s="140" t="s">
        <v>300</v>
      </c>
      <c r="J50" s="203">
        <v>1.6</v>
      </c>
      <c r="K50" s="417" t="s">
        <v>173</v>
      </c>
      <c r="L50" s="722" t="s">
        <v>173</v>
      </c>
      <c r="M50" s="417" t="s">
        <v>173</v>
      </c>
      <c r="N50" s="277" t="s">
        <v>173</v>
      </c>
      <c r="O50" s="416" t="s">
        <v>173</v>
      </c>
      <c r="P50" s="722">
        <v>2</v>
      </c>
      <c r="Q50" s="416" t="s">
        <v>173</v>
      </c>
      <c r="R50" s="277">
        <v>0.86499999999999999</v>
      </c>
      <c r="S50" s="364"/>
      <c r="T50" s="364"/>
    </row>
    <row r="51" spans="1:20" s="94" customFormat="1" x14ac:dyDescent="0.3">
      <c r="A51" s="364"/>
      <c r="B51" s="128" t="s">
        <v>1298</v>
      </c>
      <c r="C51" s="92" t="s">
        <v>1342</v>
      </c>
      <c r="D51" s="92"/>
      <c r="E51" s="142" t="s">
        <v>300</v>
      </c>
      <c r="F51" s="152" t="s">
        <v>458</v>
      </c>
      <c r="G51" s="142" t="s">
        <v>300</v>
      </c>
      <c r="H51" s="92" t="s">
        <v>452</v>
      </c>
      <c r="I51" s="142" t="s">
        <v>300</v>
      </c>
      <c r="J51" s="203">
        <v>1.1200000000000001</v>
      </c>
      <c r="K51" s="417" t="s">
        <v>173</v>
      </c>
      <c r="L51" s="722" t="s">
        <v>173</v>
      </c>
      <c r="M51" s="417" t="s">
        <v>173</v>
      </c>
      <c r="N51" s="277" t="s">
        <v>173</v>
      </c>
      <c r="O51" s="417" t="s">
        <v>173</v>
      </c>
      <c r="P51" s="722">
        <v>1.5</v>
      </c>
      <c r="Q51" s="417" t="s">
        <v>173</v>
      </c>
      <c r="R51" s="277">
        <v>0.85499999999999998</v>
      </c>
      <c r="S51" s="364"/>
      <c r="T51" s="364"/>
    </row>
    <row r="52" spans="1:20" s="94" customFormat="1" x14ac:dyDescent="0.3">
      <c r="A52" s="364"/>
      <c r="B52" s="128" t="s">
        <v>1302</v>
      </c>
      <c r="C52" s="92" t="s">
        <v>1343</v>
      </c>
      <c r="D52" s="92"/>
      <c r="E52" s="142" t="s">
        <v>300</v>
      </c>
      <c r="F52" s="152" t="s">
        <v>458</v>
      </c>
      <c r="G52" s="142" t="s">
        <v>300</v>
      </c>
      <c r="H52" s="92" t="s">
        <v>452</v>
      </c>
      <c r="I52" s="142" t="s">
        <v>300</v>
      </c>
      <c r="J52" s="203">
        <v>0.8</v>
      </c>
      <c r="K52" s="417" t="s">
        <v>173</v>
      </c>
      <c r="L52" s="722" t="s">
        <v>173</v>
      </c>
      <c r="M52" s="417" t="s">
        <v>173</v>
      </c>
      <c r="N52" s="277" t="s">
        <v>173</v>
      </c>
      <c r="O52" s="417" t="s">
        <v>173</v>
      </c>
      <c r="P52" s="722">
        <v>1</v>
      </c>
      <c r="Q52" s="417" t="s">
        <v>173</v>
      </c>
      <c r="R52" s="277">
        <v>0.85499999999999998</v>
      </c>
      <c r="S52" s="364"/>
      <c r="T52" s="364"/>
    </row>
    <row r="53" spans="1:20" s="94" customFormat="1" x14ac:dyDescent="0.3">
      <c r="A53" s="364"/>
      <c r="B53" s="130" t="s">
        <v>1305</v>
      </c>
      <c r="C53" s="92" t="s">
        <v>1344</v>
      </c>
      <c r="D53" s="92"/>
      <c r="E53" s="142" t="s">
        <v>300</v>
      </c>
      <c r="F53" s="152" t="s">
        <v>458</v>
      </c>
      <c r="G53" s="142" t="s">
        <v>300</v>
      </c>
      <c r="H53" s="92" t="s">
        <v>452</v>
      </c>
      <c r="I53" s="142" t="s">
        <v>300</v>
      </c>
      <c r="J53" s="203">
        <v>0.8</v>
      </c>
      <c r="K53" s="417" t="s">
        <v>173</v>
      </c>
      <c r="L53" s="722" t="s">
        <v>173</v>
      </c>
      <c r="M53" s="417" t="s">
        <v>173</v>
      </c>
      <c r="N53" s="277" t="s">
        <v>173</v>
      </c>
      <c r="O53" s="417" t="s">
        <v>173</v>
      </c>
      <c r="P53" s="722">
        <v>1</v>
      </c>
      <c r="Q53" s="417" t="s">
        <v>173</v>
      </c>
      <c r="R53" s="277">
        <v>0.85499999999999998</v>
      </c>
      <c r="S53" s="364"/>
      <c r="T53" s="364"/>
    </row>
    <row r="54" spans="1:20" s="364" customFormat="1" x14ac:dyDescent="0.3">
      <c r="B54" s="130" t="s">
        <v>1317</v>
      </c>
      <c r="C54" s="92" t="s">
        <v>1345</v>
      </c>
      <c r="D54" s="92"/>
      <c r="E54" s="142" t="s">
        <v>300</v>
      </c>
      <c r="F54" s="152" t="s">
        <v>458</v>
      </c>
      <c r="G54" s="142" t="s">
        <v>300</v>
      </c>
      <c r="H54" s="92" t="s">
        <v>452</v>
      </c>
      <c r="I54" s="417" t="s">
        <v>173</v>
      </c>
      <c r="J54" s="722">
        <v>1.9197999999999998E-6</v>
      </c>
      <c r="K54" s="417" t="s">
        <v>173</v>
      </c>
      <c r="L54" s="722" t="s">
        <v>173</v>
      </c>
      <c r="M54" s="417" t="s">
        <v>173</v>
      </c>
      <c r="N54" s="277" t="s">
        <v>173</v>
      </c>
      <c r="O54" s="417" t="s">
        <v>173</v>
      </c>
      <c r="P54" s="722">
        <v>8.3000000000000004E-2</v>
      </c>
      <c r="Q54" s="417" t="s">
        <v>173</v>
      </c>
      <c r="R54" s="277">
        <v>0.85499999999999998</v>
      </c>
    </row>
    <row r="55" spans="1:20" s="364" customFormat="1" x14ac:dyDescent="0.3">
      <c r="B55" s="130" t="s">
        <v>1318</v>
      </c>
      <c r="C55" s="92" t="s">
        <v>1346</v>
      </c>
      <c r="D55" s="92"/>
      <c r="E55" s="243"/>
      <c r="F55" s="152" t="s">
        <v>458</v>
      </c>
      <c r="G55" s="243"/>
      <c r="H55" s="92" t="s">
        <v>452</v>
      </c>
      <c r="I55" s="939"/>
      <c r="J55" s="722"/>
      <c r="K55" s="939"/>
      <c r="L55" s="722"/>
      <c r="M55" s="939"/>
      <c r="N55" s="277"/>
      <c r="O55" s="939"/>
      <c r="P55" s="722"/>
      <c r="Q55" s="939"/>
      <c r="R55" s="277"/>
    </row>
    <row r="56" spans="1:20" s="364" customFormat="1" x14ac:dyDescent="0.3">
      <c r="B56" s="180" t="s">
        <v>1316</v>
      </c>
      <c r="C56" s="156" t="s">
        <v>1347</v>
      </c>
      <c r="D56" s="156"/>
      <c r="E56" s="160" t="s">
        <v>300</v>
      </c>
      <c r="F56" s="162" t="s">
        <v>458</v>
      </c>
      <c r="G56" s="160" t="s">
        <v>300</v>
      </c>
      <c r="H56" s="156" t="s">
        <v>1348</v>
      </c>
      <c r="I56" s="824" t="s">
        <v>173</v>
      </c>
      <c r="J56" s="823" t="s">
        <v>173</v>
      </c>
      <c r="K56" s="824" t="s">
        <v>173</v>
      </c>
      <c r="L56" s="823" t="s">
        <v>173</v>
      </c>
      <c r="M56" s="824" t="s">
        <v>173</v>
      </c>
      <c r="N56" s="275" t="s">
        <v>173</v>
      </c>
      <c r="O56" s="824" t="s">
        <v>173</v>
      </c>
      <c r="P56" s="823" t="s">
        <v>173</v>
      </c>
      <c r="Q56" s="824" t="s">
        <v>173</v>
      </c>
      <c r="R56" s="275">
        <v>1</v>
      </c>
    </row>
    <row r="57" spans="1:20" s="102" customFormat="1" x14ac:dyDescent="0.3">
      <c r="A57" s="364"/>
      <c r="B57" s="89"/>
      <c r="C57" s="89"/>
      <c r="D57" s="89"/>
      <c r="E57" s="89"/>
      <c r="F57" s="89"/>
      <c r="G57" s="89"/>
      <c r="H57" s="89"/>
      <c r="I57" s="89"/>
      <c r="J57" s="89"/>
      <c r="K57" s="89"/>
      <c r="L57" s="89"/>
      <c r="M57" s="89"/>
      <c r="N57" s="89"/>
      <c r="O57" s="89"/>
      <c r="P57" s="89"/>
      <c r="Q57" s="89"/>
      <c r="R57" s="89"/>
      <c r="S57" s="364"/>
      <c r="T57" s="364"/>
    </row>
    <row r="58" spans="1:20" s="89" customFormat="1" x14ac:dyDescent="0.3">
      <c r="B58" s="92"/>
      <c r="C58" s="90"/>
      <c r="D58" s="90"/>
    </row>
    <row r="59" spans="1:20" s="38" customFormat="1" ht="27.6" x14ac:dyDescent="0.3">
      <c r="B59" s="194" t="s">
        <v>522</v>
      </c>
      <c r="C59" s="120" t="s">
        <v>523</v>
      </c>
      <c r="D59" s="120"/>
      <c r="E59" s="131"/>
      <c r="F59" s="148" t="s">
        <v>533</v>
      </c>
      <c r="G59" s="120"/>
      <c r="H59" s="148" t="s">
        <v>534</v>
      </c>
      <c r="I59" s="89"/>
      <c r="J59" s="89"/>
    </row>
    <row r="60" spans="1:20" ht="14.4" thickBot="1" x14ac:dyDescent="0.35">
      <c r="A60" s="364"/>
      <c r="B60" s="178" t="s">
        <v>535</v>
      </c>
      <c r="C60" s="176" t="s">
        <v>536</v>
      </c>
      <c r="D60" s="176"/>
      <c r="E60" s="211"/>
      <c r="F60" s="179" t="s">
        <v>543</v>
      </c>
      <c r="G60" s="208"/>
      <c r="H60" s="179" t="s">
        <v>544</v>
      </c>
      <c r="I60" s="89"/>
      <c r="J60" s="89"/>
      <c r="K60" s="373"/>
      <c r="L60" s="373"/>
      <c r="M60" s="373"/>
      <c r="N60" s="373"/>
      <c r="O60" s="373"/>
      <c r="P60" s="373"/>
      <c r="Q60" s="365"/>
      <c r="R60" s="114"/>
      <c r="S60" s="365"/>
      <c r="T60" s="114"/>
    </row>
    <row r="61" spans="1:20" s="83" customFormat="1" ht="14.4" thickTop="1" x14ac:dyDescent="0.3">
      <c r="B61" s="130" t="s">
        <v>1312</v>
      </c>
      <c r="C61" s="92" t="s">
        <v>546</v>
      </c>
      <c r="D61" s="92"/>
      <c r="E61" s="142" t="s">
        <v>300</v>
      </c>
      <c r="F61" s="152" t="s">
        <v>964</v>
      </c>
      <c r="G61" s="142" t="s">
        <v>300</v>
      </c>
      <c r="H61" s="152" t="s">
        <v>965</v>
      </c>
      <c r="I61" s="89"/>
      <c r="J61" s="89"/>
    </row>
    <row r="62" spans="1:20" s="94" customFormat="1" x14ac:dyDescent="0.3">
      <c r="A62" s="364"/>
      <c r="B62" s="130" t="s">
        <v>1297</v>
      </c>
      <c r="C62" s="92" t="s">
        <v>546</v>
      </c>
      <c r="D62" s="92"/>
      <c r="E62" s="142" t="s">
        <v>300</v>
      </c>
      <c r="F62" s="152" t="s">
        <v>550</v>
      </c>
      <c r="G62" s="142" t="s">
        <v>300</v>
      </c>
      <c r="H62" s="152" t="s">
        <v>965</v>
      </c>
      <c r="I62" s="89"/>
      <c r="J62" s="89"/>
      <c r="K62" s="364"/>
      <c r="L62" s="364"/>
      <c r="M62" s="364"/>
      <c r="N62" s="364"/>
      <c r="O62" s="364"/>
      <c r="P62" s="364"/>
      <c r="Q62" s="364"/>
      <c r="R62" s="364"/>
      <c r="S62" s="364"/>
      <c r="T62" s="364"/>
    </row>
    <row r="63" spans="1:20" s="94" customFormat="1" x14ac:dyDescent="0.3">
      <c r="A63" s="364"/>
      <c r="B63" s="130" t="s">
        <v>1301</v>
      </c>
      <c r="C63" s="92" t="s">
        <v>546</v>
      </c>
      <c r="D63" s="92"/>
      <c r="E63" s="142" t="s">
        <v>300</v>
      </c>
      <c r="F63" s="152" t="s">
        <v>550</v>
      </c>
      <c r="G63" s="142" t="s">
        <v>300</v>
      </c>
      <c r="H63" s="152" t="s">
        <v>965</v>
      </c>
      <c r="I63" s="89"/>
      <c r="J63" s="89"/>
      <c r="K63" s="364"/>
      <c r="L63" s="364"/>
      <c r="M63" s="364"/>
      <c r="N63" s="364"/>
      <c r="O63" s="364"/>
      <c r="P63" s="364"/>
      <c r="Q63" s="364"/>
      <c r="R63" s="364"/>
      <c r="S63" s="364"/>
      <c r="T63" s="364"/>
    </row>
    <row r="64" spans="1:20" x14ac:dyDescent="0.3">
      <c r="A64" s="373"/>
      <c r="B64" s="130" t="s">
        <v>1315</v>
      </c>
      <c r="C64" s="92" t="s">
        <v>546</v>
      </c>
      <c r="D64" s="92"/>
      <c r="E64" s="142"/>
      <c r="F64" s="152" t="s">
        <v>550</v>
      </c>
      <c r="G64" s="142" t="s">
        <v>300</v>
      </c>
      <c r="H64" s="152" t="s">
        <v>965</v>
      </c>
      <c r="I64" s="89"/>
      <c r="J64" s="89"/>
      <c r="K64" s="373"/>
      <c r="L64" s="373"/>
      <c r="M64" s="373"/>
      <c r="N64" s="373"/>
      <c r="O64" s="373"/>
      <c r="P64" s="373"/>
      <c r="Q64" s="373"/>
      <c r="R64" s="373"/>
      <c r="T64" s="373"/>
    </row>
    <row r="65" spans="1:24" x14ac:dyDescent="0.3">
      <c r="A65" s="373"/>
      <c r="B65" s="180" t="s">
        <v>1304</v>
      </c>
      <c r="C65" s="156" t="s">
        <v>546</v>
      </c>
      <c r="D65" s="156"/>
      <c r="E65" s="160" t="s">
        <v>300</v>
      </c>
      <c r="F65" s="162" t="s">
        <v>550</v>
      </c>
      <c r="G65" s="160" t="s">
        <v>300</v>
      </c>
      <c r="H65" s="162" t="s">
        <v>965</v>
      </c>
      <c r="I65" s="89"/>
      <c r="J65" s="89"/>
      <c r="K65" s="373"/>
      <c r="L65" s="373"/>
      <c r="M65" s="373"/>
      <c r="N65" s="373"/>
      <c r="O65" s="373"/>
      <c r="P65" s="373"/>
      <c r="Q65" s="373"/>
      <c r="R65" s="373"/>
      <c r="T65" s="373"/>
      <c r="U65" s="373"/>
      <c r="V65" s="373"/>
      <c r="W65" s="373"/>
      <c r="X65" s="373"/>
    </row>
    <row r="66" spans="1:24" x14ac:dyDescent="0.3">
      <c r="A66" s="373"/>
      <c r="B66" s="373"/>
      <c r="C66" s="373"/>
      <c r="D66" s="373"/>
      <c r="E66" s="373"/>
      <c r="F66" s="373"/>
      <c r="G66" s="373"/>
      <c r="H66" s="373"/>
      <c r="I66" s="373"/>
      <c r="J66" s="373"/>
      <c r="K66" s="373"/>
      <c r="L66" s="373"/>
      <c r="M66" s="373"/>
      <c r="N66" s="373"/>
      <c r="O66" s="373"/>
      <c r="P66" s="373"/>
      <c r="Q66" s="373"/>
      <c r="R66" s="373"/>
      <c r="T66" s="373"/>
      <c r="U66" s="373"/>
      <c r="V66" s="373"/>
      <c r="W66" s="373"/>
      <c r="X66" s="373"/>
    </row>
    <row r="67" spans="1:24" s="94" customFormat="1" x14ac:dyDescent="0.3">
      <c r="A67" s="364"/>
      <c r="B67" s="84"/>
      <c r="C67" s="30"/>
      <c r="D67" s="30"/>
      <c r="E67" s="364"/>
      <c r="F67" s="364"/>
      <c r="G67" s="364"/>
      <c r="H67" s="364"/>
      <c r="I67" s="364"/>
      <c r="J67" s="364"/>
      <c r="K67" s="364"/>
      <c r="L67" s="364"/>
      <c r="M67" s="364"/>
      <c r="N67" s="364"/>
      <c r="O67" s="364"/>
      <c r="P67" s="364"/>
      <c r="Q67" s="364"/>
      <c r="R67" s="364"/>
      <c r="S67" s="364"/>
      <c r="T67" s="364"/>
      <c r="U67" s="364"/>
      <c r="V67" s="364"/>
      <c r="W67" s="364"/>
      <c r="X67" s="364"/>
    </row>
    <row r="68" spans="1:24" s="397" customFormat="1" ht="14.4" x14ac:dyDescent="0.3">
      <c r="A68" s="534"/>
      <c r="B68" s="131" t="s">
        <v>331</v>
      </c>
      <c r="C68" s="120" t="s">
        <v>507</v>
      </c>
      <c r="D68" s="120" t="s">
        <v>122</v>
      </c>
      <c r="E68" s="293"/>
      <c r="F68" s="120" t="s">
        <v>508</v>
      </c>
      <c r="G68" s="131"/>
      <c r="H68" s="148" t="s">
        <v>509</v>
      </c>
      <c r="I68" s="131"/>
      <c r="J68" s="148" t="s">
        <v>1349</v>
      </c>
      <c r="K68" s="131"/>
      <c r="L68" s="148" t="s">
        <v>1350</v>
      </c>
      <c r="O68" s="567"/>
      <c r="P68" s="568"/>
      <c r="U68" s="534"/>
      <c r="V68" s="534"/>
      <c r="W68" s="534"/>
      <c r="X68" s="534"/>
    </row>
    <row r="69" spans="1:24" s="397" customFormat="1" ht="15" thickBot="1" x14ac:dyDescent="0.35">
      <c r="A69" s="534"/>
      <c r="B69" s="178" t="s">
        <v>342</v>
      </c>
      <c r="C69" s="176"/>
      <c r="D69" s="176"/>
      <c r="E69" s="580"/>
      <c r="F69" s="176" t="s">
        <v>510</v>
      </c>
      <c r="G69" s="580"/>
      <c r="H69" s="179" t="s">
        <v>511</v>
      </c>
      <c r="I69" s="580"/>
      <c r="J69" s="179" t="s">
        <v>1351</v>
      </c>
      <c r="K69" s="580"/>
      <c r="L69" s="179" t="s">
        <v>1352</v>
      </c>
      <c r="O69" s="567"/>
      <c r="P69" s="568"/>
      <c r="U69" s="534"/>
      <c r="V69" s="534"/>
      <c r="W69" s="534"/>
      <c r="X69" s="534"/>
    </row>
    <row r="70" spans="1:24" s="397" customFormat="1" ht="14.4" thickTop="1" x14ac:dyDescent="0.3">
      <c r="A70" s="533"/>
      <c r="B70" s="141" t="s">
        <v>1298</v>
      </c>
      <c r="C70" s="373" t="s">
        <v>1353</v>
      </c>
      <c r="D70" s="373" t="s">
        <v>137</v>
      </c>
      <c r="E70" s="142" t="s">
        <v>300</v>
      </c>
      <c r="F70" s="373" t="s">
        <v>1354</v>
      </c>
      <c r="G70" s="142" t="s">
        <v>300</v>
      </c>
      <c r="H70" s="266" t="s">
        <v>1355</v>
      </c>
      <c r="I70" s="142" t="s">
        <v>300</v>
      </c>
      <c r="J70" s="266">
        <v>70</v>
      </c>
      <c r="K70" s="740" t="s">
        <v>173</v>
      </c>
      <c r="L70" s="199" t="s">
        <v>173</v>
      </c>
      <c r="M70" s="533"/>
      <c r="N70" s="533"/>
      <c r="O70" s="567"/>
      <c r="P70" s="567"/>
      <c r="U70" s="533"/>
      <c r="V70" s="533"/>
      <c r="W70" s="533"/>
      <c r="X70" s="533"/>
    </row>
    <row r="71" spans="1:24" s="397" customFormat="1" x14ac:dyDescent="0.3">
      <c r="A71" s="533"/>
      <c r="B71" s="141" t="s">
        <v>1302</v>
      </c>
      <c r="C71" s="373" t="s">
        <v>1356</v>
      </c>
      <c r="D71" s="373" t="s">
        <v>137</v>
      </c>
      <c r="E71" s="142" t="s">
        <v>300</v>
      </c>
      <c r="F71" s="373" t="s">
        <v>519</v>
      </c>
      <c r="G71" s="375" t="s">
        <v>173</v>
      </c>
      <c r="H71" s="277" t="s">
        <v>173</v>
      </c>
      <c r="I71" s="375" t="s">
        <v>173</v>
      </c>
      <c r="J71" s="277" t="s">
        <v>173</v>
      </c>
      <c r="K71" s="740" t="s">
        <v>173</v>
      </c>
      <c r="L71" s="199" t="s">
        <v>173</v>
      </c>
      <c r="M71" s="533"/>
      <c r="N71" s="533"/>
      <c r="O71" s="567"/>
      <c r="P71" s="567"/>
      <c r="U71" s="533"/>
      <c r="V71" s="533"/>
      <c r="W71" s="533"/>
      <c r="X71" s="533"/>
    </row>
    <row r="72" spans="1:24" s="397" customFormat="1" x14ac:dyDescent="0.3">
      <c r="A72" s="533"/>
      <c r="B72" s="309" t="s">
        <v>1357</v>
      </c>
      <c r="C72" s="165" t="s">
        <v>1358</v>
      </c>
      <c r="D72" s="165" t="s">
        <v>137</v>
      </c>
      <c r="E72" s="160" t="s">
        <v>300</v>
      </c>
      <c r="F72" s="165" t="s">
        <v>519</v>
      </c>
      <c r="G72" s="273" t="s">
        <v>173</v>
      </c>
      <c r="H72" s="275" t="s">
        <v>173</v>
      </c>
      <c r="I72" s="321" t="s">
        <v>173</v>
      </c>
      <c r="J72" s="201" t="s">
        <v>173</v>
      </c>
      <c r="K72" s="321" t="s">
        <v>173</v>
      </c>
      <c r="L72" s="201" t="s">
        <v>173</v>
      </c>
      <c r="M72" s="533"/>
      <c r="N72" s="533"/>
      <c r="O72" s="567"/>
      <c r="P72" s="567"/>
      <c r="U72" s="533"/>
      <c r="V72" s="533"/>
      <c r="W72" s="533"/>
      <c r="X72" s="533"/>
    </row>
    <row r="73" spans="1:24" s="373" customFormat="1" x14ac:dyDescent="0.3">
      <c r="D73" s="397"/>
    </row>
    <row r="74" spans="1:24" s="373" customFormat="1" x14ac:dyDescent="0.3">
      <c r="D74" s="397"/>
    </row>
    <row r="75" spans="1:24" s="373" customFormat="1" x14ac:dyDescent="0.3">
      <c r="B75" s="194" t="s">
        <v>522</v>
      </c>
      <c r="C75" s="120"/>
      <c r="D75" s="120"/>
      <c r="E75" s="293"/>
      <c r="F75" s="148" t="s">
        <v>1359</v>
      </c>
    </row>
    <row r="76" spans="1:24" s="373" customFormat="1" ht="14.4" thickBot="1" x14ac:dyDescent="0.35">
      <c r="B76" s="178" t="s">
        <v>535</v>
      </c>
      <c r="C76" s="176"/>
      <c r="D76" s="176"/>
      <c r="E76" s="580"/>
      <c r="F76" s="179" t="s">
        <v>1360</v>
      </c>
    </row>
    <row r="77" spans="1:24" s="373" customFormat="1" ht="14.4" thickTop="1" x14ac:dyDescent="0.3">
      <c r="B77" s="128" t="s">
        <v>1315</v>
      </c>
      <c r="C77" s="397"/>
      <c r="D77" s="397"/>
      <c r="E77" s="142"/>
      <c r="F77" s="875">
        <v>0</v>
      </c>
    </row>
    <row r="78" spans="1:24" s="373" customFormat="1" x14ac:dyDescent="0.3">
      <c r="B78" s="278" t="s">
        <v>1304</v>
      </c>
      <c r="C78" s="468"/>
      <c r="D78" s="468"/>
      <c r="E78" s="160" t="s">
        <v>300</v>
      </c>
      <c r="F78" s="250">
        <v>0</v>
      </c>
    </row>
    <row r="79" spans="1:24" s="364" customFormat="1" x14ac:dyDescent="0.3">
      <c r="B79" s="84"/>
      <c r="C79" s="30"/>
      <c r="D79" s="401"/>
    </row>
    <row r="80" spans="1:24" s="93" customFormat="1" x14ac:dyDescent="0.3">
      <c r="A80" s="285"/>
      <c r="B80" s="337" t="s">
        <v>243</v>
      </c>
      <c r="C80" s="285"/>
      <c r="D80" s="285"/>
      <c r="E80" s="285"/>
      <c r="F80" s="285"/>
      <c r="G80" s="285"/>
      <c r="H80" s="285"/>
      <c r="I80" s="285"/>
      <c r="J80" s="285"/>
      <c r="K80" s="285"/>
      <c r="L80" s="285"/>
      <c r="M80" s="285"/>
      <c r="N80" s="285"/>
      <c r="O80" s="285"/>
      <c r="P80" s="285"/>
      <c r="Q80" s="285"/>
      <c r="R80" s="285"/>
      <c r="S80" s="285"/>
      <c r="T80" s="285"/>
    </row>
    <row r="81" spans="1:33" s="10" customFormat="1" x14ac:dyDescent="0.3">
      <c r="A81" s="26"/>
      <c r="B81" s="340" t="s">
        <v>329</v>
      </c>
      <c r="C81" s="90"/>
      <c r="D81" s="90"/>
      <c r="E81" s="357"/>
      <c r="F81" s="364"/>
      <c r="G81" s="364"/>
      <c r="H81" s="364"/>
      <c r="I81" s="364"/>
      <c r="J81" s="364"/>
      <c r="K81" s="364"/>
      <c r="L81" s="364"/>
      <c r="M81" s="72"/>
      <c r="N81" s="364"/>
      <c r="O81" s="72"/>
      <c r="P81" s="364"/>
      <c r="Q81" s="72"/>
      <c r="R81" s="364"/>
      <c r="S81" s="72"/>
      <c r="T81" s="364"/>
      <c r="U81" s="357"/>
      <c r="V81" s="357"/>
      <c r="W81" s="357"/>
      <c r="X81" s="357"/>
      <c r="Y81" s="357"/>
      <c r="Z81" s="357"/>
      <c r="AA81" s="357"/>
      <c r="AB81" s="357"/>
      <c r="AC81" s="357"/>
      <c r="AD81" s="357"/>
      <c r="AE81" s="357"/>
      <c r="AF81" s="357"/>
      <c r="AG81" s="357"/>
    </row>
    <row r="82" spans="1:33" s="38" customFormat="1" ht="41.4" x14ac:dyDescent="0.3">
      <c r="B82" s="194" t="s">
        <v>1293</v>
      </c>
      <c r="C82" s="120" t="s">
        <v>1294</v>
      </c>
      <c r="D82" s="120"/>
      <c r="E82" s="131"/>
      <c r="F82" s="117" t="s">
        <v>148</v>
      </c>
      <c r="G82" s="131"/>
      <c r="H82" s="117" t="s">
        <v>333</v>
      </c>
      <c r="I82" s="120"/>
      <c r="J82" s="173" t="s">
        <v>334</v>
      </c>
      <c r="K82" s="131"/>
      <c r="L82" s="148" t="s">
        <v>335</v>
      </c>
      <c r="M82" s="120"/>
      <c r="N82" s="120" t="s">
        <v>1295</v>
      </c>
      <c r="O82" s="131"/>
      <c r="P82" s="148" t="s">
        <v>337</v>
      </c>
      <c r="Q82" s="364"/>
      <c r="R82" s="364"/>
      <c r="S82" s="364"/>
      <c r="T82" s="364"/>
    </row>
    <row r="83" spans="1:33" s="89" customFormat="1" ht="14.4" thickBot="1" x14ac:dyDescent="0.35">
      <c r="B83" s="178" t="s">
        <v>341</v>
      </c>
      <c r="C83" s="176" t="s">
        <v>342</v>
      </c>
      <c r="D83" s="176"/>
      <c r="E83" s="183"/>
      <c r="F83" s="179" t="s">
        <v>343</v>
      </c>
      <c r="G83" s="183"/>
      <c r="H83" s="179" t="s">
        <v>344</v>
      </c>
      <c r="I83" s="177"/>
      <c r="J83" s="176" t="s">
        <v>345</v>
      </c>
      <c r="K83" s="211"/>
      <c r="L83" s="179" t="s">
        <v>346</v>
      </c>
      <c r="M83" s="208"/>
      <c r="N83" s="176" t="s">
        <v>347</v>
      </c>
      <c r="O83" s="211"/>
      <c r="P83" s="179" t="s">
        <v>348</v>
      </c>
      <c r="Q83" s="93"/>
      <c r="S83" s="93"/>
    </row>
    <row r="84" spans="1:33" s="94" customFormat="1" ht="14.4" thickTop="1" x14ac:dyDescent="0.3">
      <c r="A84" s="364"/>
      <c r="B84" s="130" t="s">
        <v>1312</v>
      </c>
      <c r="C84" s="43" t="s">
        <v>1361</v>
      </c>
      <c r="D84" s="92"/>
      <c r="E84" s="140" t="s">
        <v>300</v>
      </c>
      <c r="F84" s="152" t="s">
        <v>365</v>
      </c>
      <c r="G84" s="140" t="s">
        <v>300</v>
      </c>
      <c r="H84" s="152" t="s">
        <v>365</v>
      </c>
      <c r="I84" s="140" t="s">
        <v>300</v>
      </c>
      <c r="J84" s="92" t="s">
        <v>354</v>
      </c>
      <c r="K84" s="140" t="s">
        <v>300</v>
      </c>
      <c r="L84" s="202">
        <v>55</v>
      </c>
      <c r="M84" s="140" t="s">
        <v>300</v>
      </c>
      <c r="N84" s="364">
        <v>95</v>
      </c>
      <c r="O84" s="140" t="s">
        <v>300</v>
      </c>
      <c r="P84" s="209" t="s">
        <v>377</v>
      </c>
      <c r="Q84" s="364"/>
      <c r="R84" s="364"/>
      <c r="S84" s="364"/>
      <c r="T84" s="364"/>
      <c r="U84" s="364"/>
      <c r="V84" s="364"/>
      <c r="W84" s="364"/>
      <c r="X84" s="364"/>
      <c r="Y84" s="364"/>
      <c r="Z84" s="364"/>
      <c r="AA84" s="364"/>
      <c r="AB84" s="364"/>
      <c r="AC84" s="364"/>
      <c r="AD84" s="364"/>
      <c r="AE84" s="364"/>
      <c r="AF84" s="364"/>
      <c r="AG84" s="364"/>
    </row>
    <row r="85" spans="1:33" s="94" customFormat="1" x14ac:dyDescent="0.3">
      <c r="A85" s="364"/>
      <c r="B85" s="130" t="s">
        <v>1297</v>
      </c>
      <c r="C85" s="43" t="s">
        <v>1362</v>
      </c>
      <c r="D85" s="92"/>
      <c r="E85" s="142" t="s">
        <v>300</v>
      </c>
      <c r="F85" s="152" t="s">
        <v>365</v>
      </c>
      <c r="G85" s="142" t="s">
        <v>300</v>
      </c>
      <c r="H85" s="152" t="s">
        <v>365</v>
      </c>
      <c r="I85" s="142" t="s">
        <v>300</v>
      </c>
      <c r="J85" s="92" t="s">
        <v>354</v>
      </c>
      <c r="K85" s="142" t="s">
        <v>300</v>
      </c>
      <c r="L85" s="209">
        <v>55</v>
      </c>
      <c r="M85" s="142" t="s">
        <v>300</v>
      </c>
      <c r="N85" s="364">
        <v>95</v>
      </c>
      <c r="O85" s="142" t="s">
        <v>300</v>
      </c>
      <c r="P85" s="209" t="s">
        <v>377</v>
      </c>
      <c r="Q85" s="364"/>
      <c r="R85" s="364"/>
      <c r="S85" s="364"/>
      <c r="T85" s="364"/>
      <c r="U85" s="364"/>
      <c r="V85" s="364"/>
      <c r="W85" s="364"/>
      <c r="X85" s="364"/>
      <c r="Y85" s="364"/>
      <c r="Z85" s="364"/>
      <c r="AA85" s="364"/>
      <c r="AB85" s="364"/>
      <c r="AC85" s="364"/>
      <c r="AD85" s="364"/>
      <c r="AE85" s="364"/>
      <c r="AF85" s="364"/>
      <c r="AG85" s="364"/>
    </row>
    <row r="86" spans="1:33" x14ac:dyDescent="0.3">
      <c r="A86" s="373"/>
      <c r="B86" s="130" t="s">
        <v>1301</v>
      </c>
      <c r="C86" s="43" t="s">
        <v>1363</v>
      </c>
      <c r="D86" s="92"/>
      <c r="E86" s="142" t="s">
        <v>300</v>
      </c>
      <c r="F86" s="152" t="s">
        <v>365</v>
      </c>
      <c r="G86" s="142" t="s">
        <v>300</v>
      </c>
      <c r="H86" s="152" t="s">
        <v>365</v>
      </c>
      <c r="I86" s="142" t="s">
        <v>300</v>
      </c>
      <c r="J86" s="92" t="s">
        <v>354</v>
      </c>
      <c r="K86" s="142" t="s">
        <v>300</v>
      </c>
      <c r="L86" s="209">
        <v>55</v>
      </c>
      <c r="M86" s="142" t="s">
        <v>300</v>
      </c>
      <c r="N86" s="364">
        <v>95</v>
      </c>
      <c r="O86" s="142" t="s">
        <v>300</v>
      </c>
      <c r="P86" s="209" t="s">
        <v>377</v>
      </c>
      <c r="Q86" s="364"/>
      <c r="R86" s="364"/>
      <c r="S86" s="364"/>
      <c r="T86" s="364"/>
      <c r="U86" s="373"/>
      <c r="V86" s="373"/>
      <c r="W86" s="373"/>
      <c r="X86" s="373"/>
      <c r="Y86" s="373"/>
      <c r="Z86" s="373"/>
      <c r="AA86" s="373"/>
      <c r="AB86" s="373"/>
      <c r="AC86" s="373"/>
      <c r="AD86" s="373"/>
      <c r="AE86" s="373"/>
      <c r="AF86" s="373"/>
      <c r="AG86" s="373"/>
    </row>
    <row r="87" spans="1:33" s="94" customFormat="1" x14ac:dyDescent="0.3">
      <c r="A87" s="364"/>
      <c r="B87" s="130" t="s">
        <v>1315</v>
      </c>
      <c r="C87" s="43" t="s">
        <v>1364</v>
      </c>
      <c r="D87" s="92"/>
      <c r="E87" s="142" t="s">
        <v>300</v>
      </c>
      <c r="F87" s="152" t="s">
        <v>365</v>
      </c>
      <c r="G87" s="142" t="s">
        <v>300</v>
      </c>
      <c r="H87" s="152" t="s">
        <v>365</v>
      </c>
      <c r="I87" s="142" t="s">
        <v>300</v>
      </c>
      <c r="J87" s="92" t="s">
        <v>1365</v>
      </c>
      <c r="K87" s="781" t="s">
        <v>173</v>
      </c>
      <c r="L87" s="404" t="s">
        <v>173</v>
      </c>
      <c r="M87" s="142" t="s">
        <v>300</v>
      </c>
      <c r="N87" s="364">
        <v>95</v>
      </c>
      <c r="O87" s="142" t="s">
        <v>300</v>
      </c>
      <c r="P87" s="209" t="s">
        <v>377</v>
      </c>
      <c r="Q87" s="364"/>
      <c r="R87" s="364"/>
      <c r="S87" s="364"/>
      <c r="T87" s="364"/>
      <c r="U87" s="364"/>
      <c r="V87" s="364"/>
      <c r="W87" s="364"/>
      <c r="X87" s="364"/>
      <c r="Y87" s="364"/>
      <c r="Z87" s="364"/>
      <c r="AA87" s="364"/>
      <c r="AB87" s="364"/>
      <c r="AC87" s="364"/>
      <c r="AD87" s="364"/>
      <c r="AE87" s="364"/>
      <c r="AF87" s="364"/>
      <c r="AG87" s="364"/>
    </row>
    <row r="88" spans="1:33" s="94" customFormat="1" x14ac:dyDescent="0.3">
      <c r="A88" s="364"/>
      <c r="B88" s="180" t="s">
        <v>1304</v>
      </c>
      <c r="C88" s="867" t="s">
        <v>1366</v>
      </c>
      <c r="D88" s="156"/>
      <c r="E88" s="160" t="s">
        <v>300</v>
      </c>
      <c r="F88" s="162" t="s">
        <v>365</v>
      </c>
      <c r="G88" s="160" t="s">
        <v>300</v>
      </c>
      <c r="H88" s="162" t="s">
        <v>365</v>
      </c>
      <c r="I88" s="160" t="s">
        <v>300</v>
      </c>
      <c r="J88" s="156" t="s">
        <v>354</v>
      </c>
      <c r="K88" s="160" t="s">
        <v>300</v>
      </c>
      <c r="L88" s="212">
        <v>55</v>
      </c>
      <c r="M88" s="160" t="s">
        <v>300</v>
      </c>
      <c r="N88" s="157">
        <v>95</v>
      </c>
      <c r="O88" s="160" t="s">
        <v>300</v>
      </c>
      <c r="P88" s="212" t="s">
        <v>377</v>
      </c>
      <c r="Q88" s="364"/>
      <c r="R88" s="364"/>
      <c r="S88" s="364"/>
      <c r="T88" s="364"/>
      <c r="U88" s="364"/>
      <c r="V88" s="364"/>
      <c r="W88" s="364"/>
      <c r="X88" s="364"/>
      <c r="Y88" s="364"/>
      <c r="Z88" s="364"/>
      <c r="AA88" s="364"/>
      <c r="AB88" s="364"/>
      <c r="AC88" s="364"/>
      <c r="AD88" s="364"/>
      <c r="AE88" s="364"/>
      <c r="AF88" s="364"/>
      <c r="AG88" s="364"/>
    </row>
    <row r="89" spans="1:33" s="94" customFormat="1" x14ac:dyDescent="0.3">
      <c r="A89" s="364"/>
      <c r="B89" s="84"/>
      <c r="C89" s="30"/>
      <c r="D89" s="30"/>
      <c r="E89" s="364"/>
      <c r="F89" s="364"/>
      <c r="G89" s="364"/>
      <c r="H89" s="364"/>
      <c r="I89" s="364"/>
      <c r="J89" s="364"/>
      <c r="K89" s="364"/>
      <c r="L89" s="364"/>
      <c r="M89" s="364"/>
      <c r="N89" s="364"/>
      <c r="O89" s="364"/>
      <c r="P89" s="364"/>
      <c r="Q89" s="364"/>
      <c r="R89" s="364"/>
      <c r="S89" s="364"/>
      <c r="T89" s="364"/>
      <c r="U89" s="364"/>
      <c r="V89" s="364"/>
      <c r="W89" s="364"/>
      <c r="X89" s="364"/>
      <c r="Y89" s="364"/>
      <c r="Z89" s="364"/>
      <c r="AA89" s="364"/>
      <c r="AB89" s="364"/>
      <c r="AC89" s="364"/>
      <c r="AD89" s="364"/>
      <c r="AE89" s="364"/>
      <c r="AF89" s="364"/>
      <c r="AG89" s="364"/>
    </row>
    <row r="90" spans="1:33" s="89" customFormat="1" x14ac:dyDescent="0.3">
      <c r="B90" s="90"/>
      <c r="E90" s="91"/>
      <c r="G90" s="91"/>
      <c r="I90" s="91"/>
      <c r="K90" s="91"/>
      <c r="M90" s="91"/>
      <c r="O90" s="91"/>
      <c r="Q90" s="91"/>
      <c r="R90" s="364"/>
      <c r="S90" s="364"/>
      <c r="T90" s="364"/>
      <c r="U90" s="364"/>
      <c r="V90" s="364"/>
      <c r="W90" s="364"/>
      <c r="X90" s="364"/>
      <c r="Y90" s="364"/>
      <c r="Z90" s="364"/>
      <c r="AA90" s="364"/>
      <c r="AB90" s="364"/>
    </row>
    <row r="91" spans="1:33" s="109" customFormat="1" ht="27.6" x14ac:dyDescent="0.3">
      <c r="A91" s="364"/>
      <c r="B91" s="131" t="s">
        <v>1294</v>
      </c>
      <c r="C91" s="120" t="s">
        <v>382</v>
      </c>
      <c r="D91" s="120"/>
      <c r="E91" s="194"/>
      <c r="F91" s="117" t="s">
        <v>148</v>
      </c>
      <c r="G91" s="173"/>
      <c r="H91" s="173" t="s">
        <v>383</v>
      </c>
      <c r="I91" s="194"/>
      <c r="J91" s="117" t="s">
        <v>385</v>
      </c>
      <c r="K91" s="187"/>
      <c r="L91" s="117" t="s">
        <v>386</v>
      </c>
      <c r="M91" s="427"/>
      <c r="N91" s="117" t="s">
        <v>387</v>
      </c>
      <c r="O91" s="426"/>
      <c r="P91" s="117" t="s">
        <v>388</v>
      </c>
      <c r="Q91" s="364"/>
      <c r="R91" s="364"/>
      <c r="S91" s="364"/>
      <c r="T91" s="364"/>
      <c r="U91" s="364"/>
      <c r="V91" s="364"/>
      <c r="W91" s="364"/>
      <c r="X91" s="364"/>
      <c r="Y91" s="364"/>
      <c r="Z91" s="364"/>
      <c r="AA91" s="364"/>
      <c r="AB91" s="364"/>
      <c r="AC91" s="364"/>
      <c r="AD91" s="364"/>
      <c r="AE91" s="364"/>
      <c r="AF91" s="364"/>
      <c r="AG91" s="364"/>
    </row>
    <row r="92" spans="1:33" s="109" customFormat="1" ht="14.4" thickBot="1" x14ac:dyDescent="0.35">
      <c r="A92" s="364"/>
      <c r="B92" s="178" t="s">
        <v>417</v>
      </c>
      <c r="C92" s="176" t="s">
        <v>390</v>
      </c>
      <c r="D92" s="176"/>
      <c r="E92" s="183"/>
      <c r="F92" s="179" t="s">
        <v>391</v>
      </c>
      <c r="G92" s="177"/>
      <c r="H92" s="179" t="s">
        <v>392</v>
      </c>
      <c r="I92" s="183"/>
      <c r="J92" s="179" t="s">
        <v>394</v>
      </c>
      <c r="K92" s="189"/>
      <c r="L92" s="338" t="s">
        <v>395</v>
      </c>
      <c r="M92" s="178"/>
      <c r="N92" s="320" t="s">
        <v>396</v>
      </c>
      <c r="O92" s="176"/>
      <c r="P92" s="339" t="s">
        <v>397</v>
      </c>
      <c r="Q92" s="364"/>
      <c r="R92" s="364"/>
      <c r="S92" s="364"/>
      <c r="T92" s="364"/>
      <c r="U92" s="364"/>
      <c r="V92" s="364"/>
      <c r="W92" s="364"/>
      <c r="X92" s="364"/>
      <c r="Y92" s="364"/>
      <c r="Z92" s="364"/>
      <c r="AA92" s="364"/>
      <c r="AB92" s="364"/>
      <c r="AC92" s="364"/>
      <c r="AD92" s="364"/>
      <c r="AE92" s="364"/>
      <c r="AF92" s="364"/>
      <c r="AG92" s="364"/>
    </row>
    <row r="93" spans="1:33" s="89" customFormat="1" ht="12.75" customHeight="1" thickTop="1" x14ac:dyDescent="0.3">
      <c r="B93" s="876" t="s">
        <v>1361</v>
      </c>
      <c r="C93" s="92" t="s">
        <v>1367</v>
      </c>
      <c r="D93" s="92"/>
      <c r="E93" s="140" t="s">
        <v>300</v>
      </c>
      <c r="F93" s="192" t="s">
        <v>399</v>
      </c>
      <c r="G93" s="140" t="s">
        <v>300</v>
      </c>
      <c r="H93" s="442">
        <v>10.8446</v>
      </c>
      <c r="I93" s="140" t="s">
        <v>300</v>
      </c>
      <c r="J93" s="254">
        <v>1.1499999999999999</v>
      </c>
      <c r="K93" s="140" t="s">
        <v>300</v>
      </c>
      <c r="L93" s="152" t="s">
        <v>783</v>
      </c>
      <c r="M93" s="142" t="s">
        <v>300</v>
      </c>
      <c r="N93" s="152" t="s">
        <v>405</v>
      </c>
      <c r="O93" s="142" t="s">
        <v>300</v>
      </c>
      <c r="P93" s="152" t="s">
        <v>402</v>
      </c>
      <c r="Q93" s="91"/>
      <c r="R93" s="364"/>
      <c r="S93" s="364"/>
      <c r="T93" s="364"/>
      <c r="U93" s="364"/>
      <c r="V93" s="364"/>
      <c r="W93" s="364"/>
      <c r="X93" s="364"/>
      <c r="Y93" s="364"/>
      <c r="Z93" s="364"/>
      <c r="AA93" s="364"/>
      <c r="AB93" s="364"/>
    </row>
    <row r="94" spans="1:33" s="89" customFormat="1" ht="12.75" customHeight="1" x14ac:dyDescent="0.3">
      <c r="B94" s="876" t="s">
        <v>1362</v>
      </c>
      <c r="C94" s="92" t="s">
        <v>1368</v>
      </c>
      <c r="D94" s="92"/>
      <c r="E94" s="142" t="s">
        <v>300</v>
      </c>
      <c r="F94" s="192" t="s">
        <v>399</v>
      </c>
      <c r="G94" s="142" t="s">
        <v>300</v>
      </c>
      <c r="H94" s="442">
        <v>10.8446</v>
      </c>
      <c r="I94" s="142" t="s">
        <v>300</v>
      </c>
      <c r="J94" s="254">
        <v>1.1499999999999999</v>
      </c>
      <c r="K94" s="142" t="s">
        <v>300</v>
      </c>
      <c r="L94" s="152" t="s">
        <v>783</v>
      </c>
      <c r="M94" s="142" t="s">
        <v>300</v>
      </c>
      <c r="N94" s="152" t="s">
        <v>405</v>
      </c>
      <c r="O94" s="142" t="s">
        <v>300</v>
      </c>
      <c r="P94" s="152" t="s">
        <v>402</v>
      </c>
      <c r="Q94" s="91"/>
      <c r="R94" s="364"/>
      <c r="S94" s="364"/>
      <c r="T94" s="364"/>
      <c r="U94" s="364"/>
      <c r="V94" s="364"/>
      <c r="W94" s="364"/>
      <c r="X94" s="364"/>
      <c r="Y94" s="364"/>
      <c r="Z94" s="364"/>
      <c r="AA94" s="364"/>
      <c r="AB94" s="364"/>
    </row>
    <row r="95" spans="1:33" s="89" customFormat="1" ht="12.75" customHeight="1" x14ac:dyDescent="0.3">
      <c r="B95" s="876" t="s">
        <v>1363</v>
      </c>
      <c r="C95" s="92" t="s">
        <v>1369</v>
      </c>
      <c r="D95" s="92"/>
      <c r="E95" s="142" t="s">
        <v>300</v>
      </c>
      <c r="F95" s="192" t="s">
        <v>399</v>
      </c>
      <c r="G95" s="142" t="s">
        <v>300</v>
      </c>
      <c r="H95" s="442">
        <v>10.8446</v>
      </c>
      <c r="I95" s="142" t="s">
        <v>300</v>
      </c>
      <c r="J95" s="254">
        <v>1.1499999999999999</v>
      </c>
      <c r="K95" s="142" t="s">
        <v>300</v>
      </c>
      <c r="L95" s="152" t="s">
        <v>783</v>
      </c>
      <c r="M95" s="142" t="s">
        <v>300</v>
      </c>
      <c r="N95" s="152" t="s">
        <v>405</v>
      </c>
      <c r="O95" s="142" t="s">
        <v>300</v>
      </c>
      <c r="P95" s="152" t="s">
        <v>402</v>
      </c>
      <c r="Q95" s="91"/>
      <c r="R95" s="364"/>
      <c r="S95" s="364"/>
      <c r="T95" s="364"/>
      <c r="U95" s="364"/>
      <c r="V95" s="364"/>
      <c r="W95" s="364"/>
      <c r="X95" s="364"/>
      <c r="Y95" s="364"/>
      <c r="Z95" s="364"/>
      <c r="AA95" s="364"/>
      <c r="AB95" s="364"/>
    </row>
    <row r="96" spans="1:33" s="89" customFormat="1" ht="12.75" customHeight="1" x14ac:dyDescent="0.3">
      <c r="B96" s="876" t="s">
        <v>1364</v>
      </c>
      <c r="C96" s="92" t="s">
        <v>1370</v>
      </c>
      <c r="D96" s="92"/>
      <c r="E96" s="142" t="s">
        <v>300</v>
      </c>
      <c r="F96" s="192" t="s">
        <v>399</v>
      </c>
      <c r="G96" s="142" t="s">
        <v>300</v>
      </c>
      <c r="H96" s="442">
        <v>10.8446</v>
      </c>
      <c r="I96" s="142"/>
      <c r="J96" s="254">
        <v>1.1499999999999999</v>
      </c>
      <c r="K96" s="142" t="s">
        <v>300</v>
      </c>
      <c r="L96" s="152" t="s">
        <v>783</v>
      </c>
      <c r="M96" s="142" t="s">
        <v>300</v>
      </c>
      <c r="N96" s="152" t="s">
        <v>405</v>
      </c>
      <c r="O96" s="142" t="s">
        <v>300</v>
      </c>
      <c r="P96" s="152" t="s">
        <v>402</v>
      </c>
      <c r="Q96" s="91"/>
      <c r="R96" s="364"/>
      <c r="S96" s="364"/>
      <c r="T96" s="364"/>
      <c r="U96" s="364"/>
      <c r="V96" s="364"/>
      <c r="W96" s="364"/>
      <c r="X96" s="364"/>
      <c r="Y96" s="364"/>
      <c r="Z96" s="364"/>
      <c r="AA96" s="364"/>
      <c r="AB96" s="364"/>
      <c r="AC96" s="359"/>
      <c r="AD96" s="359"/>
      <c r="AE96" s="359"/>
      <c r="AF96" s="359"/>
      <c r="AG96" s="359"/>
    </row>
    <row r="97" spans="2:28" s="89" customFormat="1" ht="12.75" customHeight="1" x14ac:dyDescent="0.3">
      <c r="B97" s="877" t="s">
        <v>1366</v>
      </c>
      <c r="C97" s="156" t="s">
        <v>1371</v>
      </c>
      <c r="D97" s="156"/>
      <c r="E97" s="160" t="s">
        <v>300</v>
      </c>
      <c r="F97" s="193" t="s">
        <v>399</v>
      </c>
      <c r="G97" s="160" t="s">
        <v>300</v>
      </c>
      <c r="H97" s="443">
        <v>10.8446</v>
      </c>
      <c r="I97" s="160" t="s">
        <v>300</v>
      </c>
      <c r="J97" s="249">
        <v>1.1499999999999999</v>
      </c>
      <c r="K97" s="160" t="s">
        <v>300</v>
      </c>
      <c r="L97" s="162" t="s">
        <v>783</v>
      </c>
      <c r="M97" s="160" t="s">
        <v>300</v>
      </c>
      <c r="N97" s="162" t="s">
        <v>405</v>
      </c>
      <c r="O97" s="160" t="s">
        <v>300</v>
      </c>
      <c r="P97" s="162" t="s">
        <v>402</v>
      </c>
      <c r="Q97" s="91"/>
      <c r="R97" s="364"/>
      <c r="S97" s="364"/>
      <c r="T97" s="364"/>
      <c r="U97" s="364"/>
      <c r="V97" s="364"/>
      <c r="W97" s="364"/>
      <c r="X97" s="364"/>
      <c r="Y97" s="364"/>
      <c r="Z97" s="364"/>
      <c r="AA97" s="364"/>
      <c r="AB97" s="364"/>
    </row>
    <row r="98" spans="2:28" s="89" customFormat="1" x14ac:dyDescent="0.3">
      <c r="B98" s="90"/>
      <c r="E98" s="91"/>
      <c r="G98" s="91"/>
      <c r="I98" s="91"/>
      <c r="K98" s="30"/>
      <c r="L98" s="364"/>
      <c r="M98" s="364"/>
      <c r="N98" s="364"/>
      <c r="O98" s="364"/>
      <c r="P98" s="364"/>
      <c r="Q98" s="91"/>
      <c r="R98" s="364"/>
      <c r="S98" s="364"/>
      <c r="T98" s="364"/>
      <c r="U98" s="364"/>
      <c r="V98" s="364"/>
      <c r="W98" s="364"/>
      <c r="X98" s="364"/>
      <c r="Y98" s="364"/>
      <c r="Z98" s="364"/>
      <c r="AA98" s="364"/>
      <c r="AB98" s="364"/>
    </row>
    <row r="99" spans="2:28" s="89" customFormat="1" x14ac:dyDescent="0.3">
      <c r="B99" s="90"/>
      <c r="E99" s="91"/>
      <c r="G99" s="91"/>
      <c r="I99" s="91"/>
      <c r="K99" s="30"/>
      <c r="L99" s="364"/>
      <c r="M99" s="364"/>
      <c r="N99" s="364"/>
      <c r="O99" s="364"/>
      <c r="P99" s="364"/>
      <c r="Q99" s="91"/>
      <c r="R99" s="364"/>
      <c r="S99" s="364"/>
      <c r="T99" s="364"/>
      <c r="U99" s="364"/>
      <c r="V99" s="364"/>
      <c r="W99" s="364"/>
      <c r="X99" s="364"/>
      <c r="Y99" s="364"/>
      <c r="Z99" s="364"/>
      <c r="AA99" s="364"/>
      <c r="AB99" s="364"/>
    </row>
    <row r="100" spans="2:28" s="109" customFormat="1" ht="27.6" x14ac:dyDescent="0.3">
      <c r="B100" s="131" t="s">
        <v>1294</v>
      </c>
      <c r="C100" s="120" t="s">
        <v>413</v>
      </c>
      <c r="D100" s="120"/>
      <c r="E100" s="194"/>
      <c r="F100" s="117" t="s">
        <v>148</v>
      </c>
      <c r="G100" s="173"/>
      <c r="H100" s="173" t="s">
        <v>415</v>
      </c>
      <c r="I100" s="194"/>
      <c r="J100" s="117" t="s">
        <v>385</v>
      </c>
      <c r="K100" s="187"/>
      <c r="L100" s="117" t="s">
        <v>416</v>
      </c>
      <c r="M100" s="364"/>
      <c r="N100" s="364"/>
      <c r="O100" s="364"/>
      <c r="P100" s="364"/>
      <c r="Q100" s="364"/>
      <c r="R100" s="364"/>
      <c r="S100" s="364"/>
      <c r="T100" s="364"/>
      <c r="U100" s="364"/>
      <c r="V100" s="364"/>
      <c r="W100" s="364"/>
      <c r="X100" s="364"/>
      <c r="Y100" s="364"/>
      <c r="Z100" s="364"/>
      <c r="AA100" s="364"/>
      <c r="AB100" s="364"/>
    </row>
    <row r="101" spans="2:28" s="109" customFormat="1" ht="14.4" thickBot="1" x14ac:dyDescent="0.35">
      <c r="B101" s="178" t="s">
        <v>417</v>
      </c>
      <c r="C101" s="176" t="s">
        <v>418</v>
      </c>
      <c r="D101" s="176"/>
      <c r="E101" s="183"/>
      <c r="F101" s="179" t="s">
        <v>419</v>
      </c>
      <c r="G101" s="177"/>
      <c r="H101" s="176" t="s">
        <v>420</v>
      </c>
      <c r="I101" s="183"/>
      <c r="J101" s="179"/>
      <c r="K101" s="124"/>
      <c r="L101" s="179" t="s">
        <v>421</v>
      </c>
      <c r="M101" s="364"/>
      <c r="N101" s="364"/>
      <c r="O101" s="364"/>
      <c r="P101" s="364"/>
      <c r="Q101" s="364"/>
      <c r="R101" s="364"/>
      <c r="S101" s="364"/>
      <c r="T101" s="364"/>
      <c r="U101" s="364"/>
      <c r="V101" s="364"/>
      <c r="W101" s="364"/>
      <c r="X101" s="364"/>
      <c r="Y101" s="364"/>
      <c r="Z101" s="364"/>
      <c r="AA101" s="364"/>
      <c r="AB101" s="364"/>
    </row>
    <row r="102" spans="2:28" s="89" customFormat="1" ht="14.4" thickTop="1" x14ac:dyDescent="0.3">
      <c r="B102" s="876" t="s">
        <v>1361</v>
      </c>
      <c r="C102" s="72" t="s">
        <v>1372</v>
      </c>
      <c r="D102" s="72"/>
      <c r="E102" s="140" t="s">
        <v>300</v>
      </c>
      <c r="F102" s="360" t="s">
        <v>430</v>
      </c>
      <c r="G102" s="140" t="s">
        <v>300</v>
      </c>
      <c r="H102" s="874">
        <f>0.0051427*(78)+0.3989</f>
        <v>0.80003059999999993</v>
      </c>
      <c r="I102" s="140" t="s">
        <v>300</v>
      </c>
      <c r="J102" s="254">
        <f>44575.3/35660.3</f>
        <v>1.2499978968208343</v>
      </c>
      <c r="K102" s="142" t="s">
        <v>300</v>
      </c>
      <c r="L102" s="152" t="s">
        <v>431</v>
      </c>
      <c r="M102" s="364"/>
      <c r="R102" s="364"/>
      <c r="S102" s="364"/>
      <c r="T102" s="364"/>
      <c r="U102" s="364"/>
      <c r="V102" s="364"/>
      <c r="W102" s="364"/>
      <c r="X102" s="364"/>
      <c r="Y102" s="364"/>
      <c r="Z102" s="364"/>
      <c r="AA102" s="364"/>
      <c r="AB102" s="364"/>
    </row>
    <row r="103" spans="2:28" s="89" customFormat="1" x14ac:dyDescent="0.3">
      <c r="B103" s="876" t="s">
        <v>1362</v>
      </c>
      <c r="C103" s="72" t="s">
        <v>1373</v>
      </c>
      <c r="D103" s="72"/>
      <c r="E103" s="142" t="s">
        <v>300</v>
      </c>
      <c r="F103" s="360" t="s">
        <v>430</v>
      </c>
      <c r="G103" s="142" t="s">
        <v>300</v>
      </c>
      <c r="H103" s="874">
        <f t="shared" ref="H103:H106" si="0">0.0051427*(78)+0.3989</f>
        <v>0.80003059999999993</v>
      </c>
      <c r="I103" s="142" t="s">
        <v>300</v>
      </c>
      <c r="J103" s="360">
        <v>1.25</v>
      </c>
      <c r="K103" s="142" t="s">
        <v>300</v>
      </c>
      <c r="L103" s="152" t="s">
        <v>431</v>
      </c>
      <c r="M103" s="364"/>
      <c r="R103" s="364"/>
      <c r="S103" s="364"/>
      <c r="T103" s="364"/>
      <c r="U103" s="364"/>
      <c r="V103" s="364"/>
      <c r="W103" s="364"/>
      <c r="X103" s="364"/>
      <c r="Y103" s="364"/>
      <c r="Z103" s="364"/>
      <c r="AA103" s="364"/>
      <c r="AB103" s="364"/>
    </row>
    <row r="104" spans="2:28" s="89" customFormat="1" x14ac:dyDescent="0.3">
      <c r="B104" s="876" t="s">
        <v>1363</v>
      </c>
      <c r="C104" s="72" t="s">
        <v>1374</v>
      </c>
      <c r="D104" s="72"/>
      <c r="E104" s="142" t="s">
        <v>300</v>
      </c>
      <c r="F104" s="360" t="s">
        <v>430</v>
      </c>
      <c r="G104" s="142" t="s">
        <v>300</v>
      </c>
      <c r="H104" s="874">
        <f t="shared" si="0"/>
        <v>0.80003059999999993</v>
      </c>
      <c r="I104" s="142" t="s">
        <v>300</v>
      </c>
      <c r="J104" s="360">
        <v>1.25</v>
      </c>
      <c r="K104" s="142" t="s">
        <v>300</v>
      </c>
      <c r="L104" s="152" t="s">
        <v>431</v>
      </c>
      <c r="M104" s="364"/>
      <c r="R104" s="364"/>
      <c r="S104" s="364"/>
      <c r="T104" s="364"/>
      <c r="U104" s="364"/>
      <c r="V104" s="364"/>
      <c r="W104" s="364"/>
      <c r="X104" s="364"/>
      <c r="Y104" s="364"/>
      <c r="Z104" s="364"/>
      <c r="AA104" s="364"/>
      <c r="AB104" s="364"/>
    </row>
    <row r="105" spans="2:28" s="89" customFormat="1" x14ac:dyDescent="0.3">
      <c r="B105" s="876" t="s">
        <v>1364</v>
      </c>
      <c r="C105" s="72" t="s">
        <v>1375</v>
      </c>
      <c r="D105" s="72"/>
      <c r="E105" s="142" t="s">
        <v>300</v>
      </c>
      <c r="F105" s="360" t="s">
        <v>430</v>
      </c>
      <c r="G105" s="142" t="s">
        <v>300</v>
      </c>
      <c r="H105" s="874">
        <f t="shared" si="0"/>
        <v>0.80003059999999993</v>
      </c>
      <c r="I105" s="142" t="s">
        <v>300</v>
      </c>
      <c r="J105" s="360">
        <v>1.25</v>
      </c>
      <c r="K105" s="142" t="s">
        <v>300</v>
      </c>
      <c r="L105" s="152" t="s">
        <v>431</v>
      </c>
      <c r="M105" s="364"/>
      <c r="R105" s="364"/>
      <c r="S105" s="364"/>
      <c r="T105" s="364"/>
      <c r="U105" s="364"/>
      <c r="V105" s="364"/>
      <c r="W105" s="364"/>
      <c r="X105" s="364"/>
      <c r="Y105" s="364"/>
      <c r="Z105" s="364"/>
      <c r="AA105" s="364"/>
      <c r="AB105" s="364"/>
    </row>
    <row r="106" spans="2:28" s="89" customFormat="1" x14ac:dyDescent="0.3">
      <c r="B106" s="877" t="s">
        <v>1366</v>
      </c>
      <c r="C106" s="190" t="s">
        <v>1376</v>
      </c>
      <c r="D106" s="190"/>
      <c r="E106" s="160" t="s">
        <v>300</v>
      </c>
      <c r="F106" s="198" t="s">
        <v>430</v>
      </c>
      <c r="G106" s="160" t="s">
        <v>300</v>
      </c>
      <c r="H106" s="878">
        <f t="shared" si="0"/>
        <v>0.80003059999999993</v>
      </c>
      <c r="I106" s="160" t="s">
        <v>300</v>
      </c>
      <c r="J106" s="198">
        <v>1.25</v>
      </c>
      <c r="K106" s="160" t="s">
        <v>300</v>
      </c>
      <c r="L106" s="162" t="s">
        <v>431</v>
      </c>
      <c r="M106" s="364"/>
      <c r="R106" s="364"/>
      <c r="S106" s="364"/>
      <c r="T106" s="364"/>
      <c r="U106" s="364"/>
      <c r="V106" s="364"/>
      <c r="W106" s="364"/>
      <c r="X106" s="364"/>
      <c r="Y106" s="364"/>
      <c r="Z106" s="364"/>
      <c r="AA106" s="364"/>
      <c r="AB106" s="364"/>
    </row>
    <row r="107" spans="2:28" s="89" customFormat="1" x14ac:dyDescent="0.3">
      <c r="B107" s="90"/>
      <c r="E107" s="91"/>
      <c r="G107" s="91"/>
      <c r="I107" s="91"/>
      <c r="M107" s="364"/>
      <c r="N107" s="373"/>
      <c r="O107" s="364"/>
      <c r="Q107" s="91"/>
      <c r="S107" s="91"/>
    </row>
    <row r="108" spans="2:28" s="89" customFormat="1" x14ac:dyDescent="0.3">
      <c r="B108" s="90"/>
      <c r="E108" s="91"/>
      <c r="G108" s="91"/>
      <c r="I108" s="91"/>
      <c r="K108" s="91"/>
      <c r="M108" s="91"/>
      <c r="N108" s="373"/>
      <c r="O108" s="91"/>
      <c r="Q108" s="91"/>
      <c r="S108" s="91"/>
    </row>
    <row r="109" spans="2:28" s="109" customFormat="1" ht="27.6" x14ac:dyDescent="0.3">
      <c r="B109" s="131" t="s">
        <v>1294</v>
      </c>
      <c r="C109" s="120" t="s">
        <v>432</v>
      </c>
      <c r="D109" s="120"/>
      <c r="E109" s="131"/>
      <c r="F109" s="117" t="s">
        <v>433</v>
      </c>
      <c r="G109" s="120"/>
      <c r="H109" s="173" t="s">
        <v>434</v>
      </c>
      <c r="I109" s="131"/>
      <c r="J109" s="117" t="s">
        <v>435</v>
      </c>
      <c r="K109" s="131"/>
      <c r="L109" s="117" t="s">
        <v>436</v>
      </c>
      <c r="M109" s="173"/>
      <c r="N109" s="120" t="s">
        <v>437</v>
      </c>
      <c r="O109" s="194"/>
      <c r="P109" s="117" t="s">
        <v>438</v>
      </c>
      <c r="Q109" s="173"/>
      <c r="R109" s="173" t="s">
        <v>439</v>
      </c>
      <c r="S109" s="173"/>
      <c r="T109" s="117" t="s">
        <v>440</v>
      </c>
      <c r="U109" s="364"/>
      <c r="V109" s="364"/>
      <c r="W109" s="364"/>
      <c r="X109" s="364"/>
      <c r="Y109" s="364"/>
      <c r="Z109" s="364"/>
      <c r="AA109" s="364"/>
      <c r="AB109" s="364"/>
    </row>
    <row r="110" spans="2:28" s="109" customFormat="1" ht="14.4" thickBot="1" x14ac:dyDescent="0.35">
      <c r="B110" s="178" t="s">
        <v>417</v>
      </c>
      <c r="C110" s="176" t="s">
        <v>442</v>
      </c>
      <c r="D110" s="176"/>
      <c r="E110" s="183"/>
      <c r="F110" s="179" t="s">
        <v>443</v>
      </c>
      <c r="G110" s="177"/>
      <c r="H110" s="176" t="s">
        <v>444</v>
      </c>
      <c r="I110" s="183"/>
      <c r="J110" s="179"/>
      <c r="K110" s="183"/>
      <c r="L110" s="179" t="s">
        <v>445</v>
      </c>
      <c r="M110" s="177"/>
      <c r="N110" s="176" t="s">
        <v>446</v>
      </c>
      <c r="O110" s="183"/>
      <c r="P110" s="179" t="s">
        <v>447</v>
      </c>
      <c r="Q110" s="177"/>
      <c r="R110" s="176" t="s">
        <v>448</v>
      </c>
      <c r="S110" s="177"/>
      <c r="T110" s="179" t="s">
        <v>449</v>
      </c>
      <c r="U110" s="364"/>
      <c r="V110" s="364"/>
      <c r="W110" s="364"/>
      <c r="X110" s="364"/>
      <c r="Y110" s="364"/>
      <c r="Z110" s="364"/>
      <c r="AA110" s="364"/>
      <c r="AB110" s="364"/>
    </row>
    <row r="111" spans="2:28" s="94" customFormat="1" ht="14.4" thickTop="1" x14ac:dyDescent="0.3">
      <c r="B111" s="876" t="s">
        <v>1361</v>
      </c>
      <c r="C111" s="92" t="s">
        <v>1377</v>
      </c>
      <c r="D111" s="92"/>
      <c r="E111" s="140" t="s">
        <v>300</v>
      </c>
      <c r="F111" s="152" t="s">
        <v>1378</v>
      </c>
      <c r="G111" s="140"/>
      <c r="H111" s="43" t="s">
        <v>452</v>
      </c>
      <c r="I111" s="612"/>
      <c r="J111" s="643">
        <v>1099.17</v>
      </c>
      <c r="K111" s="416" t="s">
        <v>173</v>
      </c>
      <c r="L111" s="407">
        <f>0.00094*J111</f>
        <v>1.0332198000000001</v>
      </c>
      <c r="M111" s="140" t="s">
        <v>300</v>
      </c>
      <c r="N111" s="810">
        <v>0.65</v>
      </c>
      <c r="O111" s="140"/>
      <c r="P111" s="703">
        <v>3.8771200000000001</v>
      </c>
      <c r="Q111" s="140"/>
      <c r="R111" s="881">
        <v>1.5</v>
      </c>
      <c r="S111" s="140"/>
      <c r="T111" s="884">
        <v>0.86499999999999999</v>
      </c>
      <c r="U111" s="364"/>
      <c r="V111" s="364"/>
      <c r="W111" s="364"/>
      <c r="X111" s="364"/>
      <c r="Y111" s="364"/>
      <c r="Z111" s="364"/>
      <c r="AA111" s="364"/>
      <c r="AB111" s="364"/>
    </row>
    <row r="112" spans="2:28" s="94" customFormat="1" x14ac:dyDescent="0.3">
      <c r="B112" s="876" t="s">
        <v>1362</v>
      </c>
      <c r="C112" s="92" t="s">
        <v>1379</v>
      </c>
      <c r="D112" s="92"/>
      <c r="E112" s="142" t="s">
        <v>300</v>
      </c>
      <c r="F112" s="152" t="s">
        <v>1378</v>
      </c>
      <c r="G112" s="142"/>
      <c r="H112" s="43" t="s">
        <v>452</v>
      </c>
      <c r="I112" s="792"/>
      <c r="J112" s="643">
        <v>1104</v>
      </c>
      <c r="K112" s="417" t="s">
        <v>173</v>
      </c>
      <c r="L112" s="407">
        <f t="shared" ref="L112:L115" si="1">0.00094*J112</f>
        <v>1.03776</v>
      </c>
      <c r="M112" s="142" t="s">
        <v>300</v>
      </c>
      <c r="N112" s="834">
        <v>0.65</v>
      </c>
      <c r="O112" s="142"/>
      <c r="P112" s="703">
        <v>3.8771200000000001</v>
      </c>
      <c r="Q112" s="142"/>
      <c r="R112" s="882">
        <v>1.5</v>
      </c>
      <c r="S112" s="142"/>
      <c r="T112" s="885">
        <v>0.86499999999999999</v>
      </c>
      <c r="U112" s="364"/>
      <c r="V112" s="364"/>
      <c r="W112" s="364"/>
      <c r="X112" s="364"/>
      <c r="Y112" s="364"/>
      <c r="Z112" s="364"/>
      <c r="AA112" s="364"/>
      <c r="AB112" s="364"/>
    </row>
    <row r="113" spans="1:24" x14ac:dyDescent="0.3">
      <c r="A113" s="373"/>
      <c r="B113" s="876" t="s">
        <v>1363</v>
      </c>
      <c r="C113" s="92" t="s">
        <v>1380</v>
      </c>
      <c r="D113" s="92"/>
      <c r="E113" s="142" t="s">
        <v>300</v>
      </c>
      <c r="F113" s="152" t="s">
        <v>1378</v>
      </c>
      <c r="G113" s="142"/>
      <c r="H113" s="43" t="s">
        <v>452</v>
      </c>
      <c r="I113" s="792"/>
      <c r="J113" s="643">
        <v>574.36500000000001</v>
      </c>
      <c r="K113" s="417" t="s">
        <v>173</v>
      </c>
      <c r="L113" s="407">
        <f t="shared" si="1"/>
        <v>0.53990309999999997</v>
      </c>
      <c r="M113" s="142" t="s">
        <v>300</v>
      </c>
      <c r="N113" s="834">
        <v>0.65</v>
      </c>
      <c r="O113" s="142"/>
      <c r="P113" s="703">
        <v>3.8771200000000001</v>
      </c>
      <c r="Q113" s="142"/>
      <c r="R113" s="882">
        <v>0.75</v>
      </c>
      <c r="S113" s="142"/>
      <c r="T113" s="885">
        <v>0.85499999999999998</v>
      </c>
      <c r="U113" s="373"/>
      <c r="V113" s="364"/>
      <c r="W113" s="373"/>
      <c r="X113" s="373"/>
    </row>
    <row r="114" spans="1:24" s="94" customFormat="1" x14ac:dyDescent="0.3">
      <c r="A114" s="364"/>
      <c r="B114" s="876" t="s">
        <v>1364</v>
      </c>
      <c r="C114" s="92" t="s">
        <v>1381</v>
      </c>
      <c r="D114" s="92"/>
      <c r="E114" s="142" t="s">
        <v>300</v>
      </c>
      <c r="F114" s="152" t="s">
        <v>1378</v>
      </c>
      <c r="G114" s="142"/>
      <c r="H114" s="43" t="s">
        <v>452</v>
      </c>
      <c r="I114" s="792"/>
      <c r="J114" s="643">
        <v>852.91700000000003</v>
      </c>
      <c r="K114" s="417" t="s">
        <v>173</v>
      </c>
      <c r="L114" s="407">
        <f t="shared" si="1"/>
        <v>0.80174197999999997</v>
      </c>
      <c r="M114" s="142" t="s">
        <v>300</v>
      </c>
      <c r="N114" s="834">
        <v>0.65</v>
      </c>
      <c r="O114" s="142"/>
      <c r="P114" s="703">
        <v>3.8771200000000001</v>
      </c>
      <c r="Q114" s="142"/>
      <c r="R114" s="882">
        <v>1</v>
      </c>
      <c r="S114" s="142"/>
      <c r="T114" s="885">
        <v>0.85499999999999998</v>
      </c>
      <c r="U114" s="364"/>
      <c r="V114" s="364"/>
      <c r="W114" s="364"/>
      <c r="X114" s="364"/>
    </row>
    <row r="115" spans="1:24" s="94" customFormat="1" x14ac:dyDescent="0.3">
      <c r="A115" s="364"/>
      <c r="B115" s="877" t="s">
        <v>1366</v>
      </c>
      <c r="C115" s="156" t="s">
        <v>1382</v>
      </c>
      <c r="D115" s="156"/>
      <c r="E115" s="160" t="s">
        <v>300</v>
      </c>
      <c r="F115" s="162" t="s">
        <v>1378</v>
      </c>
      <c r="G115" s="160"/>
      <c r="H115" s="867" t="s">
        <v>452</v>
      </c>
      <c r="I115" s="793"/>
      <c r="J115" s="644">
        <v>623.01900000000001</v>
      </c>
      <c r="K115" s="444" t="s">
        <v>173</v>
      </c>
      <c r="L115" s="408">
        <f t="shared" si="1"/>
        <v>0.58563785999999995</v>
      </c>
      <c r="M115" s="160" t="s">
        <v>300</v>
      </c>
      <c r="N115" s="833">
        <v>0.65</v>
      </c>
      <c r="O115" s="160"/>
      <c r="P115" s="880">
        <v>3.8771200000000001</v>
      </c>
      <c r="Q115" s="160"/>
      <c r="R115" s="883">
        <v>0.75</v>
      </c>
      <c r="S115" s="160"/>
      <c r="T115" s="886">
        <v>0.85499999999999998</v>
      </c>
      <c r="U115" s="364"/>
      <c r="V115" s="364"/>
      <c r="W115" s="364"/>
      <c r="X115" s="364"/>
    </row>
    <row r="116" spans="1:24" s="94" customFormat="1" x14ac:dyDescent="0.3">
      <c r="A116" s="364"/>
      <c r="B116" s="84"/>
      <c r="C116" s="30"/>
      <c r="D116" s="30"/>
      <c r="E116" s="364"/>
      <c r="F116" s="364"/>
      <c r="G116" s="364"/>
      <c r="H116" s="364"/>
      <c r="I116" s="364"/>
      <c r="J116" s="364"/>
      <c r="K116" s="364"/>
      <c r="L116" s="364"/>
      <c r="M116" s="364"/>
      <c r="N116" s="82"/>
      <c r="O116" s="364"/>
      <c r="P116" s="82"/>
      <c r="Q116" s="364"/>
      <c r="R116" s="82"/>
      <c r="S116" s="364"/>
      <c r="T116" s="82"/>
      <c r="U116" s="364"/>
      <c r="V116" s="364"/>
      <c r="W116" s="364"/>
      <c r="X116" s="364"/>
    </row>
    <row r="117" spans="1:24" x14ac:dyDescent="0.3">
      <c r="A117" s="364"/>
      <c r="C117" s="90"/>
      <c r="D117" s="90"/>
      <c r="E117" s="365"/>
      <c r="F117" s="89"/>
      <c r="G117" s="365"/>
      <c r="H117" s="89"/>
      <c r="I117" s="365"/>
      <c r="J117" s="89"/>
      <c r="K117" s="365"/>
      <c r="L117" s="89"/>
      <c r="M117" s="365"/>
      <c r="N117" s="89"/>
      <c r="O117" s="365"/>
      <c r="P117" s="89"/>
      <c r="Q117" s="365"/>
      <c r="R117" s="114"/>
      <c r="S117" s="365"/>
      <c r="T117" s="114"/>
      <c r="U117" s="373"/>
      <c r="V117" s="364"/>
      <c r="W117" s="373"/>
      <c r="X117" s="373"/>
    </row>
    <row r="118" spans="1:24" s="38" customFormat="1" ht="27.6" x14ac:dyDescent="0.3">
      <c r="B118" s="194" t="s">
        <v>522</v>
      </c>
      <c r="C118" s="120" t="s">
        <v>523</v>
      </c>
      <c r="D118" s="120"/>
      <c r="E118" s="131"/>
      <c r="F118" s="148" t="s">
        <v>533</v>
      </c>
      <c r="G118" s="120"/>
      <c r="H118" s="148" t="s">
        <v>534</v>
      </c>
    </row>
    <row r="119" spans="1:24" s="113" customFormat="1" ht="14.4" thickBot="1" x14ac:dyDescent="0.35">
      <c r="A119" s="364"/>
      <c r="B119" s="178" t="s">
        <v>535</v>
      </c>
      <c r="C119" s="176" t="s">
        <v>536</v>
      </c>
      <c r="D119" s="176"/>
      <c r="E119" s="211"/>
      <c r="F119" s="179" t="s">
        <v>543</v>
      </c>
      <c r="G119" s="208"/>
      <c r="H119" s="179" t="s">
        <v>544</v>
      </c>
      <c r="I119" s="373"/>
      <c r="J119" s="373"/>
      <c r="K119" s="373"/>
      <c r="L119" s="373"/>
      <c r="M119" s="373"/>
      <c r="N119" s="373"/>
      <c r="O119" s="373"/>
      <c r="P119" s="373"/>
      <c r="Q119" s="365"/>
      <c r="R119" s="114"/>
      <c r="S119" s="365"/>
      <c r="T119" s="114"/>
      <c r="U119" s="373"/>
      <c r="V119" s="373"/>
      <c r="W119" s="373"/>
      <c r="X119" s="373"/>
    </row>
    <row r="120" spans="1:24" s="83" customFormat="1" ht="14.4" thickTop="1" x14ac:dyDescent="0.3">
      <c r="B120" s="130" t="s">
        <v>1312</v>
      </c>
      <c r="C120" s="92" t="s">
        <v>546</v>
      </c>
      <c r="D120" s="92"/>
      <c r="E120" s="140" t="s">
        <v>300</v>
      </c>
      <c r="F120" s="152" t="s">
        <v>964</v>
      </c>
      <c r="G120" s="140" t="s">
        <v>300</v>
      </c>
      <c r="H120" s="152" t="s">
        <v>965</v>
      </c>
      <c r="M120" s="85"/>
      <c r="N120" s="85"/>
      <c r="O120" s="85"/>
      <c r="P120" s="85"/>
      <c r="Q120" s="38"/>
      <c r="R120" s="85"/>
      <c r="S120" s="38"/>
      <c r="T120" s="85"/>
    </row>
    <row r="121" spans="1:24" s="94" customFormat="1" x14ac:dyDescent="0.3">
      <c r="A121" s="364"/>
      <c r="B121" s="130" t="s">
        <v>1297</v>
      </c>
      <c r="C121" s="92" t="s">
        <v>546</v>
      </c>
      <c r="D121" s="92"/>
      <c r="E121" s="142" t="s">
        <v>300</v>
      </c>
      <c r="F121" s="152" t="s">
        <v>550</v>
      </c>
      <c r="G121" s="142" t="s">
        <v>300</v>
      </c>
      <c r="H121" s="152" t="s">
        <v>965</v>
      </c>
      <c r="I121" s="364"/>
      <c r="J121" s="364"/>
      <c r="K121" s="364"/>
      <c r="L121" s="364"/>
      <c r="M121" s="85"/>
      <c r="N121" s="85"/>
      <c r="O121" s="85"/>
      <c r="P121" s="85"/>
      <c r="Q121" s="38"/>
      <c r="R121" s="85"/>
      <c r="S121" s="38"/>
      <c r="T121" s="85"/>
      <c r="U121" s="364"/>
      <c r="V121" s="364"/>
      <c r="W121" s="364"/>
      <c r="X121" s="364"/>
    </row>
    <row r="122" spans="1:24" s="94" customFormat="1" x14ac:dyDescent="0.3">
      <c r="A122" s="364"/>
      <c r="B122" s="130" t="s">
        <v>1301</v>
      </c>
      <c r="C122" s="92" t="s">
        <v>546</v>
      </c>
      <c r="D122" s="92"/>
      <c r="E122" s="142" t="s">
        <v>300</v>
      </c>
      <c r="F122" s="152" t="s">
        <v>550</v>
      </c>
      <c r="G122" s="142" t="s">
        <v>300</v>
      </c>
      <c r="H122" s="152" t="s">
        <v>965</v>
      </c>
      <c r="I122" s="364"/>
      <c r="J122" s="364"/>
      <c r="K122" s="364"/>
      <c r="L122" s="364"/>
      <c r="M122" s="85"/>
      <c r="N122" s="85"/>
      <c r="O122" s="85"/>
      <c r="P122" s="85"/>
      <c r="Q122" s="38"/>
      <c r="R122" s="85"/>
      <c r="S122" s="38"/>
      <c r="T122" s="85"/>
      <c r="U122" s="364"/>
      <c r="V122" s="364"/>
      <c r="W122" s="364"/>
      <c r="X122" s="364"/>
    </row>
    <row r="123" spans="1:24" x14ac:dyDescent="0.3">
      <c r="A123" s="373"/>
      <c r="B123" s="130" t="s">
        <v>1315</v>
      </c>
      <c r="C123" s="92" t="s">
        <v>546</v>
      </c>
      <c r="D123" s="92"/>
      <c r="E123" s="142"/>
      <c r="F123" s="152" t="s">
        <v>550</v>
      </c>
      <c r="G123" s="142" t="s">
        <v>300</v>
      </c>
      <c r="H123" s="152" t="s">
        <v>965</v>
      </c>
      <c r="I123" s="373"/>
      <c r="J123" s="373"/>
      <c r="K123" s="373"/>
      <c r="L123" s="373"/>
      <c r="M123" s="85"/>
      <c r="N123" s="85"/>
      <c r="O123" s="85"/>
      <c r="P123" s="85"/>
      <c r="Q123" s="38"/>
      <c r="R123" s="85"/>
      <c r="S123" s="38"/>
      <c r="T123" s="85"/>
      <c r="U123" s="373"/>
      <c r="V123" s="373"/>
      <c r="W123" s="373"/>
      <c r="X123" s="373"/>
    </row>
    <row r="124" spans="1:24" x14ac:dyDescent="0.3">
      <c r="A124" s="373"/>
      <c r="B124" s="180" t="s">
        <v>1304</v>
      </c>
      <c r="C124" s="156" t="s">
        <v>546</v>
      </c>
      <c r="D124" s="156"/>
      <c r="E124" s="160" t="s">
        <v>300</v>
      </c>
      <c r="F124" s="172" t="s">
        <v>550</v>
      </c>
      <c r="G124" s="160" t="s">
        <v>300</v>
      </c>
      <c r="H124" s="162" t="s">
        <v>965</v>
      </c>
      <c r="I124" s="373"/>
      <c r="J124" s="373"/>
      <c r="K124" s="373"/>
      <c r="L124" s="373"/>
      <c r="M124" s="85"/>
      <c r="N124" s="85"/>
      <c r="O124" s="85"/>
      <c r="P124" s="85"/>
      <c r="Q124" s="38"/>
      <c r="R124" s="85"/>
      <c r="S124" s="38"/>
      <c r="T124" s="85"/>
      <c r="U124" s="373"/>
      <c r="V124" s="373"/>
      <c r="W124" s="373"/>
      <c r="X124" s="373"/>
    </row>
    <row r="127" spans="1:24" s="397" customFormat="1" ht="14.4" x14ac:dyDescent="0.3">
      <c r="A127" s="534"/>
      <c r="B127" s="131" t="s">
        <v>331</v>
      </c>
      <c r="C127" s="120" t="s">
        <v>507</v>
      </c>
      <c r="D127" s="120" t="s">
        <v>122</v>
      </c>
      <c r="E127" s="293"/>
      <c r="F127" s="120" t="s">
        <v>508</v>
      </c>
      <c r="G127" s="131"/>
      <c r="H127" s="148" t="s">
        <v>509</v>
      </c>
      <c r="I127" s="131"/>
      <c r="J127" s="148" t="s">
        <v>1349</v>
      </c>
      <c r="K127" s="131"/>
      <c r="L127" s="148" t="s">
        <v>1350</v>
      </c>
      <c r="O127" s="567"/>
      <c r="P127" s="568"/>
      <c r="U127" s="534"/>
      <c r="V127" s="534"/>
      <c r="W127" s="534"/>
      <c r="X127" s="534"/>
    </row>
    <row r="128" spans="1:24" s="397" customFormat="1" ht="15" thickBot="1" x14ac:dyDescent="0.35">
      <c r="A128" s="534"/>
      <c r="B128" s="178" t="s">
        <v>342</v>
      </c>
      <c r="C128" s="176"/>
      <c r="D128" s="176"/>
      <c r="E128" s="580"/>
      <c r="F128" s="176" t="s">
        <v>510</v>
      </c>
      <c r="G128" s="580"/>
      <c r="H128" s="179" t="s">
        <v>511</v>
      </c>
      <c r="I128" s="580"/>
      <c r="J128" s="179" t="s">
        <v>1351</v>
      </c>
      <c r="K128" s="580"/>
      <c r="L128" s="179" t="s">
        <v>1352</v>
      </c>
      <c r="O128" s="567"/>
      <c r="P128" s="568"/>
      <c r="U128" s="534"/>
      <c r="V128" s="534"/>
      <c r="W128" s="534"/>
      <c r="X128" s="534"/>
    </row>
    <row r="129" spans="1:24" s="397" customFormat="1" ht="14.4" thickTop="1" x14ac:dyDescent="0.3">
      <c r="A129" s="533"/>
      <c r="B129" s="143" t="s">
        <v>1361</v>
      </c>
      <c r="C129" s="43" t="s">
        <v>1383</v>
      </c>
      <c r="D129" s="373" t="s">
        <v>137</v>
      </c>
      <c r="E129" s="140" t="s">
        <v>300</v>
      </c>
      <c r="F129" s="373" t="s">
        <v>519</v>
      </c>
      <c r="G129" s="375" t="s">
        <v>173</v>
      </c>
      <c r="H129" s="277" t="s">
        <v>173</v>
      </c>
      <c r="I129" s="375" t="s">
        <v>173</v>
      </c>
      <c r="J129" s="277" t="s">
        <v>173</v>
      </c>
      <c r="K129" s="740" t="s">
        <v>173</v>
      </c>
      <c r="L129" s="199" t="s">
        <v>173</v>
      </c>
      <c r="M129" s="533"/>
      <c r="N129" s="533"/>
      <c r="O129" s="567"/>
      <c r="P129" s="567"/>
      <c r="U129" s="533"/>
      <c r="V129" s="533"/>
      <c r="W129" s="533"/>
      <c r="X129" s="533"/>
    </row>
    <row r="130" spans="1:24" s="397" customFormat="1" x14ac:dyDescent="0.3">
      <c r="A130" s="533"/>
      <c r="B130" s="143" t="s">
        <v>1362</v>
      </c>
      <c r="C130" s="43" t="s">
        <v>1384</v>
      </c>
      <c r="D130" s="373" t="s">
        <v>137</v>
      </c>
      <c r="E130" s="142" t="s">
        <v>300</v>
      </c>
      <c r="F130" s="373" t="s">
        <v>519</v>
      </c>
      <c r="G130" s="375" t="s">
        <v>173</v>
      </c>
      <c r="H130" s="277" t="s">
        <v>173</v>
      </c>
      <c r="I130" s="375" t="s">
        <v>173</v>
      </c>
      <c r="J130" s="277" t="s">
        <v>173</v>
      </c>
      <c r="K130" s="740" t="s">
        <v>173</v>
      </c>
      <c r="L130" s="199" t="s">
        <v>173</v>
      </c>
      <c r="M130" s="533"/>
      <c r="N130" s="533"/>
      <c r="O130" s="567"/>
      <c r="P130" s="567"/>
      <c r="U130" s="533"/>
      <c r="V130" s="533"/>
      <c r="W130" s="533"/>
      <c r="X130" s="533"/>
    </row>
    <row r="131" spans="1:24" s="397" customFormat="1" x14ac:dyDescent="0.3">
      <c r="A131" s="533"/>
      <c r="B131" s="143" t="s">
        <v>1363</v>
      </c>
      <c r="C131" s="43" t="s">
        <v>1385</v>
      </c>
      <c r="D131" s="373" t="s">
        <v>137</v>
      </c>
      <c r="E131" s="142" t="s">
        <v>300</v>
      </c>
      <c r="F131" s="373" t="s">
        <v>519</v>
      </c>
      <c r="G131" s="375" t="s">
        <v>173</v>
      </c>
      <c r="H131" s="277" t="s">
        <v>173</v>
      </c>
      <c r="I131" s="375" t="s">
        <v>173</v>
      </c>
      <c r="J131" s="277" t="s">
        <v>173</v>
      </c>
      <c r="K131" s="740" t="s">
        <v>173</v>
      </c>
      <c r="L131" s="199" t="s">
        <v>173</v>
      </c>
      <c r="M131" s="533"/>
      <c r="N131" s="533"/>
      <c r="O131" s="567"/>
      <c r="P131" s="567"/>
      <c r="U131" s="533"/>
      <c r="V131" s="533"/>
      <c r="W131" s="533"/>
      <c r="X131" s="533"/>
    </row>
    <row r="132" spans="1:24" s="397" customFormat="1" x14ac:dyDescent="0.3">
      <c r="A132" s="533"/>
      <c r="B132" s="143" t="s">
        <v>1364</v>
      </c>
      <c r="C132" s="43" t="s">
        <v>1386</v>
      </c>
      <c r="D132" s="373" t="s">
        <v>137</v>
      </c>
      <c r="E132" s="142" t="s">
        <v>300</v>
      </c>
      <c r="F132" s="373" t="s">
        <v>519</v>
      </c>
      <c r="G132" s="375" t="s">
        <v>173</v>
      </c>
      <c r="H132" s="277" t="s">
        <v>173</v>
      </c>
      <c r="I132" s="375" t="s">
        <v>173</v>
      </c>
      <c r="J132" s="277" t="s">
        <v>173</v>
      </c>
      <c r="K132" s="740" t="s">
        <v>173</v>
      </c>
      <c r="L132" s="199" t="s">
        <v>173</v>
      </c>
      <c r="M132" s="533"/>
      <c r="N132" s="533"/>
      <c r="O132" s="567"/>
      <c r="P132" s="567"/>
      <c r="U132" s="533"/>
      <c r="V132" s="533"/>
      <c r="W132" s="533"/>
      <c r="X132" s="533"/>
    </row>
    <row r="133" spans="1:24" s="397" customFormat="1" x14ac:dyDescent="0.3">
      <c r="A133" s="533"/>
      <c r="B133" s="879" t="s">
        <v>1366</v>
      </c>
      <c r="C133" s="867" t="s">
        <v>1387</v>
      </c>
      <c r="D133" s="165" t="s">
        <v>137</v>
      </c>
      <c r="E133" s="160" t="s">
        <v>300</v>
      </c>
      <c r="F133" s="165" t="s">
        <v>519</v>
      </c>
      <c r="G133" s="273" t="s">
        <v>173</v>
      </c>
      <c r="H133" s="275" t="s">
        <v>173</v>
      </c>
      <c r="I133" s="321" t="s">
        <v>173</v>
      </c>
      <c r="J133" s="201" t="s">
        <v>173</v>
      </c>
      <c r="K133" s="321" t="s">
        <v>173</v>
      </c>
      <c r="L133" s="201" t="s">
        <v>173</v>
      </c>
      <c r="M133" s="533"/>
      <c r="N133" s="533"/>
      <c r="O133" s="567"/>
      <c r="P133" s="567"/>
      <c r="U133" s="533"/>
      <c r="V133" s="533"/>
      <c r="W133" s="533"/>
      <c r="X133" s="533"/>
    </row>
    <row r="136" spans="1:24" x14ac:dyDescent="0.3">
      <c r="A136" s="364"/>
      <c r="B136" s="194" t="s">
        <v>522</v>
      </c>
      <c r="C136" s="120"/>
      <c r="D136" s="120"/>
      <c r="E136" s="293"/>
      <c r="F136" s="148" t="s">
        <v>1359</v>
      </c>
      <c r="G136" s="373"/>
      <c r="H136" s="373"/>
      <c r="I136" s="373"/>
      <c r="J136" s="373"/>
      <c r="K136" s="373"/>
      <c r="L136" s="367"/>
      <c r="M136" s="373"/>
      <c r="N136" s="367"/>
      <c r="O136" s="373"/>
      <c r="P136" s="367"/>
      <c r="Q136" s="373"/>
      <c r="R136" s="367"/>
      <c r="U136" s="373"/>
      <c r="V136" s="373"/>
      <c r="W136" s="373"/>
      <c r="X136" s="373"/>
    </row>
    <row r="137" spans="1:24" ht="14.4" thickBot="1" x14ac:dyDescent="0.35">
      <c r="A137" s="364"/>
      <c r="B137" s="178" t="s">
        <v>535</v>
      </c>
      <c r="C137" s="176"/>
      <c r="D137" s="176"/>
      <c r="E137" s="580"/>
      <c r="F137" s="179" t="s">
        <v>1360</v>
      </c>
      <c r="G137" s="373"/>
      <c r="H137" s="373"/>
      <c r="I137" s="373"/>
      <c r="J137" s="373"/>
      <c r="K137" s="373"/>
      <c r="L137" s="367"/>
      <c r="M137" s="373"/>
      <c r="N137" s="367"/>
      <c r="O137" s="373"/>
      <c r="P137" s="367"/>
      <c r="Q137" s="373"/>
      <c r="R137" s="367"/>
      <c r="U137" s="373"/>
      <c r="V137" s="373"/>
      <c r="W137" s="373"/>
      <c r="X137" s="373"/>
    </row>
    <row r="138" spans="1:24" ht="14.4" thickTop="1" x14ac:dyDescent="0.3">
      <c r="A138" s="364"/>
      <c r="B138" s="130" t="s">
        <v>1315</v>
      </c>
      <c r="C138" s="373"/>
      <c r="D138" s="373"/>
      <c r="E138" s="740" t="s">
        <v>173</v>
      </c>
      <c r="F138" s="277">
        <v>0</v>
      </c>
      <c r="G138" s="373"/>
      <c r="H138" s="373"/>
      <c r="I138" s="373"/>
      <c r="J138" s="373"/>
      <c r="K138" s="373"/>
      <c r="L138" s="367"/>
      <c r="M138" s="373"/>
      <c r="N138" s="367"/>
      <c r="O138" s="373"/>
      <c r="P138" s="367"/>
      <c r="Q138" s="373"/>
      <c r="R138" s="367"/>
      <c r="U138" s="373"/>
      <c r="V138" s="373"/>
      <c r="W138" s="373"/>
      <c r="X138" s="373"/>
    </row>
    <row r="139" spans="1:24" x14ac:dyDescent="0.3">
      <c r="A139" s="364"/>
      <c r="B139" s="180" t="s">
        <v>1304</v>
      </c>
      <c r="C139" s="165"/>
      <c r="D139" s="165"/>
      <c r="E139" s="321" t="s">
        <v>173</v>
      </c>
      <c r="F139" s="275">
        <v>0</v>
      </c>
      <c r="G139" s="373"/>
      <c r="H139" s="373"/>
      <c r="I139" s="373"/>
      <c r="J139" s="373"/>
      <c r="K139" s="373"/>
      <c r="L139" s="367"/>
      <c r="M139" s="373"/>
      <c r="N139" s="367"/>
      <c r="O139" s="373"/>
      <c r="P139" s="367"/>
      <c r="Q139" s="373"/>
      <c r="R139" s="367"/>
      <c r="U139" s="373"/>
      <c r="V139" s="373"/>
      <c r="W139" s="373"/>
      <c r="X139" s="373"/>
    </row>
  </sheetData>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sheetPr>
  <dimension ref="A1:BG199"/>
  <sheetViews>
    <sheetView topLeftCell="M134" zoomScaleNormal="100" workbookViewId="0">
      <selection activeCell="T153" activeCellId="2" sqref="K8 R153:R155 T153:T158"/>
    </sheetView>
  </sheetViews>
  <sheetFormatPr defaultColWidth="9.109375" defaultRowHeight="14.4" outlineLevelCol="1" x14ac:dyDescent="0.3"/>
  <cols>
    <col min="1" max="1" width="3.6640625" style="364" customWidth="1"/>
    <col min="2" max="2" width="27" style="364" bestFit="1" customWidth="1"/>
    <col min="3" max="3" width="22.6640625" style="92" customWidth="1"/>
    <col min="4" max="4" width="11.6640625" style="364" bestFit="1" customWidth="1"/>
    <col min="5" max="5" width="2.6640625" style="83" customWidth="1"/>
    <col min="6" max="6" width="27.5546875" style="366" customWidth="1"/>
    <col min="7" max="7" width="2.6640625" style="83" customWidth="1"/>
    <col min="8" max="8" width="21.6640625" style="30" customWidth="1"/>
    <col min="9" max="9" width="2.6640625" style="364" customWidth="1"/>
    <col min="10" max="10" width="24.109375" style="92" bestFit="1" customWidth="1"/>
    <col min="11" max="11" width="2.6640625" style="364" customWidth="1"/>
    <col min="12" max="12" width="26.5546875" style="92" customWidth="1"/>
    <col min="13" max="13" width="2.6640625" style="364" customWidth="1"/>
    <col min="14" max="14" width="21" style="92" customWidth="1"/>
    <col min="15" max="15" width="2.6640625" style="364" customWidth="1"/>
    <col min="16" max="16" width="27.6640625" style="92" customWidth="1"/>
    <col min="17" max="17" width="2.6640625" style="364" customWidth="1"/>
    <col min="18" max="18" width="19.44140625" style="92" customWidth="1"/>
    <col min="19" max="19" width="2.6640625" style="364" customWidth="1"/>
    <col min="20" max="20" width="17" style="92" customWidth="1"/>
    <col min="21" max="21" width="2.6640625" style="364" customWidth="1"/>
    <col min="22" max="22" width="29" style="391" customWidth="1"/>
    <col min="23" max="23" width="2.6640625" style="391" customWidth="1"/>
    <col min="24" max="24" width="23.44140625" style="391" customWidth="1"/>
    <col min="25" max="59" width="9.109375" style="391" outlineLevel="1"/>
    <col min="60" max="16384" width="9.109375" style="391"/>
  </cols>
  <sheetData>
    <row r="1" spans="1:56" ht="12.75" customHeight="1" x14ac:dyDescent="0.3">
      <c r="P1" s="982"/>
      <c r="Q1" s="982"/>
      <c r="R1" s="982"/>
      <c r="S1" s="982"/>
      <c r="T1" s="982"/>
      <c r="U1" s="982"/>
      <c r="V1" s="982"/>
      <c r="W1" s="982"/>
      <c r="X1" s="982"/>
      <c r="Y1" s="982"/>
      <c r="Z1" s="982"/>
      <c r="AA1" s="982"/>
      <c r="AB1" s="982"/>
      <c r="AC1" s="982"/>
      <c r="AD1" s="982"/>
      <c r="AE1" s="982"/>
      <c r="AF1" s="982"/>
      <c r="AG1" s="982"/>
      <c r="AH1" s="982"/>
      <c r="AI1" s="982"/>
      <c r="AJ1" s="982"/>
      <c r="AK1" s="982"/>
      <c r="AL1" s="982"/>
      <c r="AM1" s="982"/>
      <c r="AN1" s="982"/>
      <c r="AO1" s="982"/>
      <c r="AP1" s="982"/>
      <c r="AQ1" s="982"/>
      <c r="AR1" s="982"/>
      <c r="AS1" s="982"/>
      <c r="AT1" s="982"/>
      <c r="AU1" s="982"/>
      <c r="AV1" s="982"/>
      <c r="AW1" s="982"/>
      <c r="AX1" s="982"/>
      <c r="AY1" s="982"/>
      <c r="AZ1" s="982"/>
      <c r="BA1" s="982"/>
      <c r="BB1" s="982"/>
      <c r="BC1" s="982"/>
      <c r="BD1" s="982"/>
    </row>
    <row r="2" spans="1:56" x14ac:dyDescent="0.3">
      <c r="B2" s="513" t="s">
        <v>0</v>
      </c>
      <c r="C2" s="516"/>
      <c r="D2" s="513"/>
      <c r="E2" s="520"/>
      <c r="F2" s="516" t="s">
        <v>1</v>
      </c>
      <c r="G2" s="364"/>
      <c r="K2" s="513"/>
      <c r="L2" s="516" t="s">
        <v>109</v>
      </c>
      <c r="V2" s="982"/>
      <c r="W2" s="982"/>
      <c r="X2" s="982"/>
      <c r="Y2" s="982"/>
      <c r="Z2" s="982"/>
      <c r="AA2" s="982"/>
      <c r="AB2" s="982"/>
      <c r="AC2" s="982"/>
      <c r="AD2" s="982"/>
      <c r="AE2" s="982"/>
      <c r="AF2" s="982"/>
      <c r="AG2" s="982"/>
      <c r="AH2" s="982"/>
      <c r="AI2" s="982"/>
      <c r="AJ2" s="982"/>
      <c r="AK2" s="982"/>
      <c r="AL2" s="982"/>
      <c r="AM2" s="982"/>
      <c r="AN2" s="982"/>
      <c r="AO2" s="982"/>
      <c r="AP2" s="982"/>
      <c r="AQ2" s="982"/>
      <c r="AR2" s="982"/>
      <c r="AS2" s="982"/>
      <c r="AT2" s="982"/>
      <c r="AU2" s="982"/>
      <c r="AV2" s="982"/>
      <c r="AW2" s="982"/>
      <c r="AX2" s="982"/>
      <c r="AY2" s="982"/>
      <c r="AZ2" s="982"/>
      <c r="BA2" s="982"/>
      <c r="BB2" s="982"/>
      <c r="BC2" s="982"/>
      <c r="BD2" s="982"/>
    </row>
    <row r="3" spans="1:56" ht="12.75" customHeight="1" x14ac:dyDescent="0.3">
      <c r="B3" s="364" t="s">
        <v>2</v>
      </c>
      <c r="C3" s="71" t="s">
        <v>75</v>
      </c>
      <c r="E3" s="364"/>
      <c r="F3" s="92" t="s">
        <v>3</v>
      </c>
      <c r="G3" s="364"/>
      <c r="H3" s="950" t="str">
        <f>'Documentation Main Sheet'!I2</f>
        <v>r6055</v>
      </c>
      <c r="K3" s="142"/>
      <c r="L3" s="364" t="s">
        <v>318</v>
      </c>
      <c r="V3" s="982"/>
      <c r="W3" s="982"/>
      <c r="X3" s="982"/>
      <c r="Y3" s="982"/>
      <c r="Z3" s="982"/>
      <c r="AA3" s="982"/>
      <c r="AB3" s="982"/>
      <c r="AC3" s="982"/>
      <c r="AD3" s="982"/>
      <c r="AE3" s="982"/>
      <c r="AF3" s="982"/>
      <c r="AG3" s="982"/>
      <c r="AH3" s="982"/>
      <c r="AI3" s="982"/>
      <c r="AJ3" s="982"/>
      <c r="AK3" s="982"/>
      <c r="AL3" s="982"/>
      <c r="AM3" s="982"/>
      <c r="AN3" s="982"/>
      <c r="AO3" s="982"/>
      <c r="AP3" s="982"/>
      <c r="AQ3" s="982"/>
      <c r="AR3" s="982"/>
      <c r="AS3" s="982"/>
      <c r="AT3" s="982"/>
      <c r="AU3" s="982"/>
      <c r="AV3" s="982"/>
      <c r="AW3" s="982"/>
      <c r="AX3" s="982"/>
      <c r="AY3" s="982"/>
      <c r="AZ3" s="982"/>
      <c r="BA3" s="982"/>
      <c r="BB3" s="982"/>
      <c r="BC3" s="982"/>
      <c r="BD3" s="982"/>
    </row>
    <row r="4" spans="1:56" ht="12.75" customHeight="1" x14ac:dyDescent="0.3">
      <c r="B4" s="364" t="s">
        <v>6</v>
      </c>
      <c r="C4" s="92" t="str">
        <f>C3&amp;".cibd19"</f>
        <v>030006-OffMed-Run19.cibd19</v>
      </c>
      <c r="F4" s="92" t="s">
        <v>7</v>
      </c>
      <c r="H4" s="387" t="str">
        <f>'Documentation Main Sheet'!I3</f>
        <v>Release package</v>
      </c>
      <c r="I4" s="68"/>
      <c r="K4" s="521"/>
      <c r="L4" s="364" t="s">
        <v>110</v>
      </c>
      <c r="T4" s="8"/>
      <c r="V4" s="982"/>
      <c r="W4" s="982"/>
      <c r="X4" s="982"/>
      <c r="Y4" s="982"/>
      <c r="Z4" s="982"/>
      <c r="AA4" s="982"/>
      <c r="AB4" s="982"/>
      <c r="AC4" s="982"/>
      <c r="AD4" s="982"/>
      <c r="AE4" s="982"/>
      <c r="AF4" s="982"/>
      <c r="AG4" s="982"/>
      <c r="AH4" s="982"/>
      <c r="AI4" s="982"/>
      <c r="AJ4" s="982"/>
      <c r="AK4" s="982"/>
      <c r="AL4" s="982"/>
      <c r="AM4" s="982"/>
      <c r="AN4" s="982"/>
      <c r="AO4" s="982"/>
      <c r="AP4" s="982"/>
      <c r="AQ4" s="982"/>
      <c r="AR4" s="982"/>
      <c r="AS4" s="982"/>
      <c r="AT4" s="982"/>
      <c r="AU4" s="982"/>
      <c r="AV4" s="982"/>
      <c r="AW4" s="982"/>
      <c r="AX4" s="982"/>
      <c r="AY4" s="982"/>
      <c r="AZ4" s="982"/>
      <c r="BA4" s="982"/>
      <c r="BB4" s="982"/>
      <c r="BC4" s="982"/>
      <c r="BD4" s="982"/>
    </row>
    <row r="5" spans="1:56" ht="12.75" customHeight="1" x14ac:dyDescent="0.3">
      <c r="B5" s="364" t="s">
        <v>9</v>
      </c>
      <c r="C5" s="92" t="s">
        <v>112</v>
      </c>
      <c r="F5" s="92" t="s">
        <v>10</v>
      </c>
      <c r="H5" s="387" t="str">
        <f>'Documentation Main Sheet'!I4</f>
        <v>CBECC-Com 2019.1.2 Release</v>
      </c>
      <c r="I5" s="68"/>
      <c r="K5" s="991">
        <v>1</v>
      </c>
      <c r="L5" s="373" t="s">
        <v>111</v>
      </c>
      <c r="T5" s="8"/>
      <c r="V5" s="982"/>
      <c r="W5" s="982"/>
      <c r="X5" s="982"/>
      <c r="Y5" s="982"/>
      <c r="Z5" s="982"/>
      <c r="AA5" s="982"/>
      <c r="AB5" s="982"/>
      <c r="AC5" s="982"/>
      <c r="AD5" s="982"/>
      <c r="AE5" s="982"/>
      <c r="AF5" s="982"/>
      <c r="AG5" s="982"/>
      <c r="AH5" s="982"/>
      <c r="AI5" s="982"/>
      <c r="AJ5" s="982"/>
      <c r="AK5" s="982"/>
      <c r="AL5" s="982"/>
      <c r="AM5" s="982"/>
      <c r="AN5" s="982"/>
      <c r="AO5" s="982"/>
      <c r="AP5" s="982"/>
      <c r="AQ5" s="982"/>
      <c r="AR5" s="982"/>
      <c r="AS5" s="982"/>
      <c r="AT5" s="982"/>
      <c r="AU5" s="982"/>
      <c r="AV5" s="982"/>
      <c r="AW5" s="982"/>
      <c r="AX5" s="982"/>
      <c r="AY5" s="982"/>
      <c r="AZ5" s="982"/>
      <c r="BA5" s="982"/>
      <c r="BB5" s="982"/>
      <c r="BC5" s="982"/>
      <c r="BD5" s="982"/>
    </row>
    <row r="6" spans="1:56" ht="12.75" customHeight="1" x14ac:dyDescent="0.3">
      <c r="B6" s="364" t="s">
        <v>17</v>
      </c>
      <c r="C6" s="92" t="s">
        <v>35</v>
      </c>
      <c r="F6" s="92" t="s">
        <v>12</v>
      </c>
      <c r="H6" s="387">
        <f>'Documentation Main Sheet'!I5</f>
        <v>43754</v>
      </c>
      <c r="J6" s="8"/>
      <c r="K6" s="526">
        <v>1</v>
      </c>
      <c r="L6" s="376" t="s">
        <v>113</v>
      </c>
      <c r="V6" s="982"/>
      <c r="W6" s="982"/>
      <c r="X6" s="982"/>
      <c r="Y6" s="982"/>
      <c r="Z6" s="982"/>
      <c r="AA6" s="982"/>
      <c r="AB6" s="982"/>
      <c r="AC6" s="982"/>
      <c r="AD6" s="982"/>
      <c r="AE6" s="982"/>
      <c r="AF6" s="982"/>
      <c r="AG6" s="982"/>
      <c r="AH6" s="982"/>
      <c r="AI6" s="982"/>
      <c r="AJ6" s="982"/>
      <c r="AK6" s="982"/>
      <c r="AL6" s="982"/>
      <c r="AM6" s="982"/>
      <c r="AN6" s="982"/>
      <c r="AO6" s="982"/>
      <c r="AP6" s="982"/>
      <c r="AQ6" s="982"/>
      <c r="AR6" s="982"/>
      <c r="AS6" s="982"/>
      <c r="AT6" s="982"/>
      <c r="AU6" s="982"/>
      <c r="AV6" s="982"/>
      <c r="AW6" s="982"/>
      <c r="AX6" s="982"/>
      <c r="AY6" s="982"/>
      <c r="AZ6" s="982"/>
      <c r="BA6" s="982"/>
      <c r="BB6" s="982"/>
      <c r="BC6" s="982"/>
      <c r="BD6" s="982"/>
    </row>
    <row r="7" spans="1:56" ht="12.75" customHeight="1" x14ac:dyDescent="0.3">
      <c r="B7" s="364" t="s">
        <v>20</v>
      </c>
      <c r="C7" s="92" t="s">
        <v>1388</v>
      </c>
      <c r="F7" s="92" t="s">
        <v>13</v>
      </c>
      <c r="H7" s="389" t="str">
        <f>'Documentation Main Sheet'!I6</f>
        <v>Jireh Peng</v>
      </c>
      <c r="K7" s="527">
        <v>1</v>
      </c>
      <c r="L7" s="373" t="s">
        <v>114</v>
      </c>
      <c r="V7" s="982"/>
      <c r="W7" s="982"/>
      <c r="X7" s="982"/>
      <c r="Y7" s="982"/>
      <c r="Z7" s="982"/>
      <c r="AA7" s="982"/>
      <c r="AB7" s="982"/>
      <c r="AC7" s="982"/>
      <c r="AD7" s="982"/>
      <c r="AE7" s="982"/>
      <c r="AF7" s="982"/>
      <c r="AG7" s="982"/>
      <c r="AH7" s="982"/>
      <c r="AI7" s="982"/>
      <c r="AJ7" s="982"/>
      <c r="AK7" s="982"/>
      <c r="AL7" s="982"/>
      <c r="AM7" s="982"/>
      <c r="AN7" s="982"/>
      <c r="AO7" s="982"/>
      <c r="AP7" s="982"/>
      <c r="AQ7" s="982"/>
      <c r="AR7" s="982"/>
      <c r="AS7" s="982"/>
      <c r="AT7" s="982"/>
      <c r="AU7" s="982"/>
      <c r="AV7" s="982"/>
      <c r="AW7" s="982"/>
      <c r="AX7" s="982"/>
      <c r="AY7" s="982"/>
      <c r="AZ7" s="982"/>
      <c r="BA7" s="982"/>
      <c r="BB7" s="982"/>
      <c r="BC7" s="982"/>
      <c r="BD7" s="982"/>
    </row>
    <row r="8" spans="1:56" ht="12.75" customHeight="1" x14ac:dyDescent="0.3">
      <c r="B8" s="364" t="s">
        <v>19</v>
      </c>
      <c r="C8" s="92" t="s">
        <v>27</v>
      </c>
      <c r="F8" s="364"/>
      <c r="G8" s="364"/>
      <c r="H8" s="364"/>
      <c r="K8" s="996">
        <v>1</v>
      </c>
      <c r="L8" s="364" t="s">
        <v>115</v>
      </c>
      <c r="V8" s="982"/>
      <c r="W8" s="982"/>
      <c r="X8" s="982"/>
      <c r="Y8" s="982"/>
      <c r="Z8" s="982"/>
      <c r="AA8" s="982"/>
      <c r="AB8" s="982"/>
      <c r="AC8" s="982"/>
      <c r="AD8" s="982"/>
      <c r="AE8" s="982"/>
      <c r="AF8" s="982"/>
      <c r="AG8" s="982"/>
      <c r="AH8" s="982"/>
      <c r="AI8" s="982"/>
      <c r="AJ8" s="982"/>
      <c r="AK8" s="982"/>
      <c r="AL8" s="982"/>
      <c r="AM8" s="982"/>
      <c r="AN8" s="982"/>
      <c r="AO8" s="982"/>
      <c r="AP8" s="982"/>
      <c r="AQ8" s="982"/>
      <c r="AR8" s="982"/>
      <c r="AS8" s="982"/>
      <c r="AT8" s="982"/>
      <c r="AU8" s="982"/>
      <c r="AV8" s="982"/>
      <c r="AW8" s="982"/>
      <c r="AX8" s="982"/>
      <c r="AY8" s="982"/>
      <c r="AZ8" s="982"/>
      <c r="BA8" s="982"/>
      <c r="BB8" s="982"/>
      <c r="BC8" s="982"/>
      <c r="BD8" s="982"/>
    </row>
    <row r="9" spans="1:56" x14ac:dyDescent="0.3">
      <c r="F9" s="364"/>
      <c r="G9" s="364"/>
      <c r="H9" s="364"/>
      <c r="V9" s="982"/>
      <c r="W9" s="982"/>
      <c r="X9" s="982"/>
      <c r="Y9" s="982"/>
      <c r="Z9" s="982"/>
      <c r="AA9" s="982"/>
      <c r="AB9" s="982"/>
      <c r="AC9" s="982"/>
      <c r="AD9" s="982"/>
      <c r="AE9" s="982"/>
      <c r="AF9" s="369" t="s">
        <v>923</v>
      </c>
      <c r="AG9" s="982"/>
      <c r="AH9" s="982"/>
      <c r="AI9" s="982"/>
      <c r="AJ9" s="982"/>
      <c r="AK9" s="982"/>
      <c r="AL9" s="982"/>
      <c r="AM9" s="982"/>
      <c r="AN9" s="982"/>
      <c r="AO9" s="982"/>
      <c r="AP9" s="982"/>
      <c r="AQ9" s="982"/>
      <c r="AR9" s="982"/>
      <c r="AS9" s="982"/>
      <c r="AT9" s="982"/>
      <c r="AU9" s="982"/>
      <c r="AV9" s="982"/>
      <c r="AW9" s="982"/>
      <c r="AX9" s="982"/>
      <c r="AY9" s="982"/>
      <c r="AZ9" s="982"/>
      <c r="BA9" s="982"/>
      <c r="BB9" s="982"/>
      <c r="BC9" s="982"/>
      <c r="BD9" s="982"/>
    </row>
    <row r="10" spans="1:56" x14ac:dyDescent="0.3">
      <c r="A10" s="281"/>
      <c r="B10" s="282" t="s">
        <v>134</v>
      </c>
      <c r="C10" s="283"/>
      <c r="D10" s="281"/>
      <c r="E10" s="281"/>
      <c r="F10" s="284"/>
      <c r="G10" s="281"/>
      <c r="H10" s="283"/>
      <c r="I10" s="281"/>
      <c r="J10" s="283"/>
      <c r="K10" s="281"/>
      <c r="L10" s="283"/>
      <c r="M10" s="281"/>
      <c r="N10" s="283"/>
      <c r="O10" s="281"/>
      <c r="P10" s="283"/>
      <c r="Q10" s="281"/>
      <c r="R10" s="283"/>
      <c r="S10" s="281"/>
      <c r="T10" s="283"/>
      <c r="U10" s="281"/>
      <c r="V10" s="283"/>
      <c r="W10" s="281"/>
      <c r="X10" s="283"/>
      <c r="Y10" s="982"/>
      <c r="Z10" s="89"/>
      <c r="AA10" s="89"/>
      <c r="AB10" s="89"/>
      <c r="AC10" s="89"/>
      <c r="AD10" s="89"/>
      <c r="AE10" s="89"/>
      <c r="AF10" s="369"/>
      <c r="AG10" s="982"/>
      <c r="AH10" s="982"/>
      <c r="AI10" s="982"/>
      <c r="AJ10" s="982"/>
      <c r="AK10" s="982" t="s">
        <v>924</v>
      </c>
      <c r="AL10" s="982"/>
      <c r="AM10" s="982"/>
      <c r="AN10" s="982"/>
      <c r="AO10" s="982" t="s">
        <v>925</v>
      </c>
      <c r="AP10" s="982"/>
      <c r="AQ10" s="982"/>
      <c r="AR10" s="982"/>
      <c r="AS10" s="982" t="s">
        <v>925</v>
      </c>
      <c r="AT10" s="982"/>
      <c r="AU10" s="982"/>
      <c r="AV10" s="982"/>
      <c r="AW10" s="373" t="s">
        <v>925</v>
      </c>
      <c r="AX10" s="982"/>
      <c r="AY10" s="982"/>
      <c r="AZ10" s="982"/>
      <c r="BA10" s="982" t="s">
        <v>925</v>
      </c>
      <c r="BB10" s="982"/>
      <c r="BC10" s="982"/>
      <c r="BD10" s="982"/>
    </row>
    <row r="11" spans="1:56" x14ac:dyDescent="0.3">
      <c r="A11" s="27"/>
      <c r="B11" s="29" t="s">
        <v>922</v>
      </c>
      <c r="C11" s="77"/>
      <c r="D11" s="27"/>
      <c r="E11" s="27"/>
      <c r="F11" s="440"/>
      <c r="G11" s="27"/>
      <c r="H11" s="77"/>
      <c r="I11" s="27"/>
      <c r="J11" s="77"/>
      <c r="K11" s="27"/>
      <c r="L11" s="77"/>
      <c r="M11" s="27"/>
      <c r="N11" s="77"/>
      <c r="O11" s="27"/>
      <c r="P11" s="77"/>
      <c r="Q11" s="27"/>
      <c r="R11" s="77"/>
      <c r="S11" s="27"/>
      <c r="T11" s="77"/>
      <c r="U11" s="27"/>
      <c r="V11" s="77"/>
      <c r="W11" s="27"/>
      <c r="X11" s="77"/>
      <c r="Y11" s="982"/>
      <c r="Z11" s="89"/>
      <c r="AA11" s="89"/>
      <c r="AB11" s="89"/>
      <c r="AC11" s="89"/>
      <c r="AD11" s="89"/>
      <c r="AE11" s="89"/>
      <c r="AF11" s="982" t="s">
        <v>870</v>
      </c>
      <c r="AG11" s="982"/>
      <c r="AH11" s="982"/>
      <c r="AI11" s="982"/>
      <c r="AJ11" s="982"/>
      <c r="AK11" s="982" t="s">
        <v>938</v>
      </c>
      <c r="AL11" s="982"/>
      <c r="AM11" s="982"/>
      <c r="AN11" s="982"/>
      <c r="AO11" s="982" t="s">
        <v>938</v>
      </c>
      <c r="AP11" s="982"/>
      <c r="AQ11" s="982"/>
      <c r="AR11" s="982"/>
      <c r="AS11" s="982" t="s">
        <v>939</v>
      </c>
      <c r="AT11" s="982"/>
      <c r="AU11" s="982"/>
      <c r="AV11" s="982"/>
      <c r="AW11" s="373" t="s">
        <v>940</v>
      </c>
      <c r="AX11" s="441"/>
      <c r="AY11" s="441"/>
      <c r="AZ11" s="441"/>
      <c r="BA11" s="441" t="s">
        <v>941</v>
      </c>
      <c r="BB11" s="441"/>
      <c r="BC11" s="441"/>
      <c r="BD11" s="441"/>
    </row>
    <row r="12" spans="1:56" s="441" customFormat="1" ht="41.4" x14ac:dyDescent="0.3">
      <c r="A12" s="93"/>
      <c r="B12" s="115" t="s">
        <v>580</v>
      </c>
      <c r="C12" s="123" t="s">
        <v>52</v>
      </c>
      <c r="D12" s="120" t="s">
        <v>524</v>
      </c>
      <c r="E12" s="274"/>
      <c r="F12" s="117" t="s">
        <v>931</v>
      </c>
      <c r="G12" s="274"/>
      <c r="H12" s="117" t="s">
        <v>932</v>
      </c>
      <c r="I12" s="93"/>
      <c r="J12" s="96"/>
      <c r="K12" s="93"/>
      <c r="L12" s="96"/>
      <c r="M12" s="93"/>
      <c r="N12" s="96"/>
      <c r="O12" s="93"/>
      <c r="P12" s="96"/>
      <c r="Q12" s="93"/>
      <c r="R12" s="96"/>
      <c r="S12" s="93"/>
      <c r="T12" s="96"/>
      <c r="U12" s="93"/>
      <c r="Z12" s="84"/>
      <c r="AA12" s="84"/>
      <c r="AB12" s="84"/>
      <c r="AC12" s="84"/>
      <c r="AD12" s="84"/>
      <c r="AE12" s="84"/>
      <c r="AF12" s="982" t="s">
        <v>121</v>
      </c>
      <c r="AG12" s="982" t="s">
        <v>523</v>
      </c>
      <c r="AH12" s="982" t="s">
        <v>52</v>
      </c>
      <c r="AI12" s="982" t="s">
        <v>896</v>
      </c>
      <c r="AJ12" s="982" t="s">
        <v>954</v>
      </c>
      <c r="AK12" s="982" t="s">
        <v>955</v>
      </c>
      <c r="AL12" s="982" t="s">
        <v>956</v>
      </c>
      <c r="AM12" s="982" t="s">
        <v>957</v>
      </c>
      <c r="AN12" s="982" t="s">
        <v>958</v>
      </c>
      <c r="AO12" s="982" t="s">
        <v>955</v>
      </c>
      <c r="AP12" s="982" t="s">
        <v>956</v>
      </c>
      <c r="AQ12" s="982" t="s">
        <v>957</v>
      </c>
      <c r="AR12" s="982" t="s">
        <v>958</v>
      </c>
      <c r="AS12" s="982" t="s">
        <v>955</v>
      </c>
      <c r="AT12" s="982" t="s">
        <v>956</v>
      </c>
      <c r="AU12" s="982" t="s">
        <v>957</v>
      </c>
      <c r="AV12" s="982" t="s">
        <v>958</v>
      </c>
      <c r="AW12" s="84" t="s">
        <v>955</v>
      </c>
      <c r="AX12" s="441" t="s">
        <v>956</v>
      </c>
      <c r="AY12" s="441" t="s">
        <v>957</v>
      </c>
      <c r="AZ12" s="441" t="s">
        <v>958</v>
      </c>
      <c r="BA12" s="441" t="s">
        <v>955</v>
      </c>
      <c r="BB12" s="441" t="s">
        <v>956</v>
      </c>
      <c r="BC12" s="441" t="s">
        <v>957</v>
      </c>
      <c r="BD12" s="441" t="s">
        <v>958</v>
      </c>
    </row>
    <row r="13" spans="1:56" s="441" customFormat="1" ht="15" thickBot="1" x14ac:dyDescent="0.35">
      <c r="A13" s="93"/>
      <c r="B13" s="139" t="s">
        <v>942</v>
      </c>
      <c r="C13" s="176"/>
      <c r="D13" s="371"/>
      <c r="E13" s="315"/>
      <c r="F13" s="993" t="s">
        <v>948</v>
      </c>
      <c r="G13" s="315"/>
      <c r="H13" s="993" t="s">
        <v>949</v>
      </c>
      <c r="I13" s="93"/>
      <c r="J13" s="96"/>
      <c r="K13" s="93"/>
      <c r="L13" s="96"/>
      <c r="M13" s="93"/>
      <c r="N13" s="96"/>
      <c r="O13" s="93"/>
      <c r="P13" s="96"/>
      <c r="Q13" s="93"/>
      <c r="R13" s="96"/>
      <c r="S13" s="93"/>
      <c r="T13" s="96"/>
      <c r="U13" s="93"/>
      <c r="Z13" s="364"/>
      <c r="AA13" s="364"/>
      <c r="AB13" s="364"/>
      <c r="AC13" s="364"/>
      <c r="AD13" s="364"/>
      <c r="AE13" s="364"/>
      <c r="AF13" s="982"/>
      <c r="AG13" s="982"/>
      <c r="AH13" s="982"/>
      <c r="AI13" s="982" t="s">
        <v>966</v>
      </c>
      <c r="AJ13" s="982"/>
      <c r="AK13" s="982" t="s">
        <v>967</v>
      </c>
      <c r="AL13" s="982"/>
      <c r="AM13" s="982" t="s">
        <v>968</v>
      </c>
      <c r="AN13" s="982" t="s">
        <v>969</v>
      </c>
      <c r="AO13" s="982" t="s">
        <v>967</v>
      </c>
      <c r="AP13" s="982"/>
      <c r="AQ13" s="982" t="s">
        <v>968</v>
      </c>
      <c r="AR13" s="982" t="s">
        <v>969</v>
      </c>
      <c r="AS13" s="982" t="s">
        <v>967</v>
      </c>
      <c r="AT13" s="982"/>
      <c r="AU13" s="982" t="s">
        <v>968</v>
      </c>
      <c r="AV13" s="982" t="s">
        <v>969</v>
      </c>
      <c r="AW13" s="364" t="s">
        <v>967</v>
      </c>
      <c r="AX13" s="42"/>
      <c r="AY13" s="42" t="s">
        <v>968</v>
      </c>
      <c r="AZ13" s="42" t="s">
        <v>969</v>
      </c>
      <c r="BA13" s="42" t="s">
        <v>967</v>
      </c>
      <c r="BB13" s="42"/>
      <c r="BC13" s="42" t="s">
        <v>968</v>
      </c>
      <c r="BD13" s="42" t="s">
        <v>969</v>
      </c>
    </row>
    <row r="14" spans="1:56" s="42" customFormat="1" ht="15" thickTop="1" x14ac:dyDescent="0.3">
      <c r="A14" s="93"/>
      <c r="B14" s="141" t="s">
        <v>970</v>
      </c>
      <c r="C14" s="366" t="s">
        <v>1389</v>
      </c>
      <c r="D14" s="373">
        <v>10586.7</v>
      </c>
      <c r="E14" s="973" t="str">
        <f>IF(ROUND(F14,1)=ROUND(AS14,1),"x","")</f>
        <v>x</v>
      </c>
      <c r="F14" s="723">
        <v>20</v>
      </c>
      <c r="G14" s="973" t="str">
        <f>IF(H14=AT14,"x","")</f>
        <v>x</v>
      </c>
      <c r="H14" s="723" t="s">
        <v>1390</v>
      </c>
      <c r="I14" s="93"/>
      <c r="J14" s="96"/>
      <c r="K14" s="93"/>
      <c r="L14" s="96"/>
      <c r="M14" s="93"/>
      <c r="N14" s="96"/>
      <c r="O14" s="93"/>
      <c r="P14" s="96"/>
      <c r="Q14" s="93"/>
      <c r="R14" s="96"/>
      <c r="S14" s="93"/>
      <c r="T14" s="96"/>
      <c r="U14" s="93"/>
      <c r="Y14" s="809"/>
      <c r="Z14" s="809"/>
      <c r="AA14" s="809"/>
      <c r="AB14" s="809"/>
      <c r="AC14" s="809"/>
      <c r="AD14" s="809"/>
      <c r="AE14" s="808" t="s">
        <v>1391</v>
      </c>
      <c r="AF14" s="949" t="s">
        <v>970</v>
      </c>
      <c r="AG14" s="949" t="s">
        <v>170</v>
      </c>
      <c r="AH14" s="949" t="s">
        <v>1389</v>
      </c>
      <c r="AI14" s="949">
        <v>10586.7</v>
      </c>
      <c r="AJ14" s="949">
        <v>1</v>
      </c>
      <c r="AK14" s="949">
        <v>0.5</v>
      </c>
      <c r="AL14" s="949" t="s">
        <v>1392</v>
      </c>
      <c r="AM14" s="949">
        <v>3062.45</v>
      </c>
      <c r="AN14" s="949">
        <v>16210.6</v>
      </c>
      <c r="AO14" s="949"/>
      <c r="AP14" s="949"/>
      <c r="AQ14" s="949"/>
      <c r="AR14" s="949"/>
      <c r="AS14" s="949">
        <v>20</v>
      </c>
      <c r="AT14" s="949" t="s">
        <v>1390</v>
      </c>
      <c r="AU14" s="949">
        <v>0</v>
      </c>
      <c r="AV14" s="949">
        <v>0</v>
      </c>
      <c r="AW14" s="364"/>
    </row>
    <row r="15" spans="1:56" s="42" customFormat="1" ht="27.6" x14ac:dyDescent="0.3">
      <c r="A15" s="93"/>
      <c r="B15" s="141" t="s">
        <v>981</v>
      </c>
      <c r="C15" s="92" t="s">
        <v>912</v>
      </c>
      <c r="D15" s="373">
        <v>2231.7600000000002</v>
      </c>
      <c r="E15" s="973" t="str">
        <f t="shared" ref="E15:E18" si="0">IF(ROUND(F15,1)=ROUND(AS15,1),"x","")</f>
        <v>x</v>
      </c>
      <c r="F15" s="723">
        <v>1.5</v>
      </c>
      <c r="G15" s="973" t="str">
        <f t="shared" ref="G15:G18" si="1">IF(H15=AT15,"x","")</f>
        <v>x</v>
      </c>
      <c r="H15" s="723" t="s">
        <v>962</v>
      </c>
      <c r="I15" s="93"/>
      <c r="J15" s="96"/>
      <c r="K15" s="93"/>
      <c r="L15" s="96"/>
      <c r="M15" s="93"/>
      <c r="N15" s="96"/>
      <c r="O15" s="93"/>
      <c r="P15" s="96"/>
      <c r="Q15" s="93"/>
      <c r="R15" s="96"/>
      <c r="S15" s="93"/>
      <c r="T15" s="96"/>
      <c r="U15" s="93"/>
      <c r="Z15" s="364"/>
      <c r="AA15" s="364"/>
      <c r="AB15" s="364"/>
      <c r="AC15" s="364"/>
      <c r="AD15" s="364"/>
      <c r="AE15" s="364"/>
      <c r="AF15" s="949" t="s">
        <v>981</v>
      </c>
      <c r="AG15" s="949" t="s">
        <v>170</v>
      </c>
      <c r="AH15" s="949" t="s">
        <v>915</v>
      </c>
      <c r="AI15" s="949">
        <v>2231.7600000000002</v>
      </c>
      <c r="AJ15" s="949">
        <v>1</v>
      </c>
      <c r="AK15" s="949">
        <v>0.8</v>
      </c>
      <c r="AL15" s="949" t="s">
        <v>961</v>
      </c>
      <c r="AM15" s="949">
        <v>2253.1</v>
      </c>
      <c r="AN15" s="949">
        <v>4022.71</v>
      </c>
      <c r="AO15" s="949"/>
      <c r="AP15" s="949"/>
      <c r="AQ15" s="949"/>
      <c r="AR15" s="949"/>
      <c r="AS15" s="949">
        <v>1.5</v>
      </c>
      <c r="AT15" s="949" t="s">
        <v>962</v>
      </c>
      <c r="AU15" s="949">
        <v>2855.5</v>
      </c>
      <c r="AV15" s="949">
        <v>9559.2000000000007</v>
      </c>
      <c r="AW15" s="364"/>
    </row>
    <row r="16" spans="1:56" s="42" customFormat="1" ht="27.6" x14ac:dyDescent="0.3">
      <c r="A16" s="93"/>
      <c r="B16" s="141" t="s">
        <v>984</v>
      </c>
      <c r="C16" s="92" t="s">
        <v>912</v>
      </c>
      <c r="D16" s="373">
        <v>1412.9</v>
      </c>
      <c r="E16" s="973" t="str">
        <f t="shared" si="0"/>
        <v>x</v>
      </c>
      <c r="F16" s="723">
        <v>1.5</v>
      </c>
      <c r="G16" s="973" t="str">
        <f t="shared" si="1"/>
        <v>x</v>
      </c>
      <c r="H16" s="723" t="s">
        <v>962</v>
      </c>
      <c r="I16" s="93"/>
      <c r="J16" s="96"/>
      <c r="K16" s="93"/>
      <c r="L16" s="96"/>
      <c r="M16" s="93"/>
      <c r="N16" s="96"/>
      <c r="O16" s="93"/>
      <c r="P16" s="96"/>
      <c r="Q16" s="93"/>
      <c r="R16" s="96"/>
      <c r="S16" s="93"/>
      <c r="T16" s="96"/>
      <c r="U16" s="93"/>
      <c r="Z16" s="373"/>
      <c r="AA16" s="373"/>
      <c r="AB16" s="373"/>
      <c r="AC16" s="373"/>
      <c r="AD16" s="373"/>
      <c r="AE16" s="373"/>
      <c r="AF16" s="949" t="s">
        <v>984</v>
      </c>
      <c r="AG16" s="949" t="s">
        <v>170</v>
      </c>
      <c r="AH16" s="949" t="s">
        <v>915</v>
      </c>
      <c r="AI16" s="949">
        <v>1412.9</v>
      </c>
      <c r="AJ16" s="949">
        <v>1</v>
      </c>
      <c r="AK16" s="949">
        <v>0.8</v>
      </c>
      <c r="AL16" s="949" t="s">
        <v>961</v>
      </c>
      <c r="AM16" s="949">
        <v>2253.1</v>
      </c>
      <c r="AN16" s="949">
        <v>2546.73</v>
      </c>
      <c r="AO16" s="949"/>
      <c r="AP16" s="949"/>
      <c r="AQ16" s="949"/>
      <c r="AR16" s="949"/>
      <c r="AS16" s="949">
        <v>1.5</v>
      </c>
      <c r="AT16" s="949" t="s">
        <v>962</v>
      </c>
      <c r="AU16" s="949">
        <v>2855.5</v>
      </c>
      <c r="AV16" s="949">
        <v>6051.81</v>
      </c>
      <c r="AW16" s="373"/>
    </row>
    <row r="17" spans="1:58" s="42" customFormat="1" ht="27.6" x14ac:dyDescent="0.3">
      <c r="A17" s="93"/>
      <c r="B17" s="141" t="s">
        <v>987</v>
      </c>
      <c r="C17" s="92" t="s">
        <v>912</v>
      </c>
      <c r="D17" s="373">
        <v>2231.7600000000002</v>
      </c>
      <c r="E17" s="973" t="str">
        <f t="shared" si="0"/>
        <v>x</v>
      </c>
      <c r="F17" s="723">
        <v>1.5</v>
      </c>
      <c r="G17" s="973" t="str">
        <f t="shared" si="1"/>
        <v>x</v>
      </c>
      <c r="H17" s="723" t="s">
        <v>962</v>
      </c>
      <c r="I17" s="93"/>
      <c r="J17" s="96"/>
      <c r="K17" s="93"/>
      <c r="L17" s="96"/>
      <c r="M17" s="93"/>
      <c r="N17" s="96"/>
      <c r="O17" s="93"/>
      <c r="P17" s="96"/>
      <c r="Q17" s="93"/>
      <c r="R17" s="96"/>
      <c r="S17" s="93"/>
      <c r="T17" s="96"/>
      <c r="U17" s="93"/>
      <c r="Z17" s="364"/>
      <c r="AA17" s="364"/>
      <c r="AB17" s="364"/>
      <c r="AC17" s="364"/>
      <c r="AD17" s="364"/>
      <c r="AE17" s="364"/>
      <c r="AF17" s="949" t="s">
        <v>987</v>
      </c>
      <c r="AG17" s="949" t="s">
        <v>170</v>
      </c>
      <c r="AH17" s="949" t="s">
        <v>915</v>
      </c>
      <c r="AI17" s="949">
        <v>2231.7600000000002</v>
      </c>
      <c r="AJ17" s="949">
        <v>1</v>
      </c>
      <c r="AK17" s="949">
        <v>0.8</v>
      </c>
      <c r="AL17" s="949" t="s">
        <v>961</v>
      </c>
      <c r="AM17" s="949">
        <v>2253.1</v>
      </c>
      <c r="AN17" s="949">
        <v>4022.71</v>
      </c>
      <c r="AO17" s="949"/>
      <c r="AP17" s="949"/>
      <c r="AQ17" s="949"/>
      <c r="AR17" s="949"/>
      <c r="AS17" s="949">
        <v>1.5</v>
      </c>
      <c r="AT17" s="949" t="s">
        <v>962</v>
      </c>
      <c r="AU17" s="949">
        <v>2855.5</v>
      </c>
      <c r="AV17" s="949">
        <v>9559.2000000000007</v>
      </c>
      <c r="AW17" s="364"/>
    </row>
    <row r="18" spans="1:58" s="42" customFormat="1" ht="27.6" x14ac:dyDescent="0.3">
      <c r="A18" s="93"/>
      <c r="B18" s="141" t="s">
        <v>989</v>
      </c>
      <c r="C18" s="92" t="s">
        <v>912</v>
      </c>
      <c r="D18" s="373">
        <v>1412.8</v>
      </c>
      <c r="E18" s="973" t="str">
        <f t="shared" si="0"/>
        <v>x</v>
      </c>
      <c r="F18" s="723">
        <v>1.5</v>
      </c>
      <c r="G18" s="973" t="str">
        <f t="shared" si="1"/>
        <v>x</v>
      </c>
      <c r="H18" s="723" t="s">
        <v>962</v>
      </c>
      <c r="I18" s="93"/>
      <c r="J18" s="96"/>
      <c r="K18" s="93"/>
      <c r="L18" s="96"/>
      <c r="M18" s="93"/>
      <c r="N18" s="96"/>
      <c r="O18" s="93"/>
      <c r="P18" s="96"/>
      <c r="Q18" s="93"/>
      <c r="R18" s="96"/>
      <c r="S18" s="93"/>
      <c r="T18" s="96"/>
      <c r="U18" s="93"/>
      <c r="Z18" s="364"/>
      <c r="AA18" s="364"/>
      <c r="AB18" s="364"/>
      <c r="AC18" s="364"/>
      <c r="AD18" s="364"/>
      <c r="AE18" s="364"/>
      <c r="AF18" s="949" t="s">
        <v>989</v>
      </c>
      <c r="AG18" s="949" t="s">
        <v>170</v>
      </c>
      <c r="AH18" s="949" t="s">
        <v>915</v>
      </c>
      <c r="AI18" s="949">
        <v>1412.8</v>
      </c>
      <c r="AJ18" s="949">
        <v>1</v>
      </c>
      <c r="AK18" s="949">
        <v>0.8</v>
      </c>
      <c r="AL18" s="949" t="s">
        <v>961</v>
      </c>
      <c r="AM18" s="949">
        <v>2253.1</v>
      </c>
      <c r="AN18" s="949">
        <v>2546.54</v>
      </c>
      <c r="AO18" s="949"/>
      <c r="AP18" s="949"/>
      <c r="AQ18" s="949"/>
      <c r="AR18" s="949"/>
      <c r="AS18" s="949">
        <v>1.5</v>
      </c>
      <c r="AT18" s="949" t="s">
        <v>962</v>
      </c>
      <c r="AU18" s="949">
        <v>2855.5</v>
      </c>
      <c r="AV18" s="949">
        <v>6051.37</v>
      </c>
      <c r="AW18" s="364"/>
    </row>
    <row r="19" spans="1:58" s="42" customFormat="1" ht="27.6" x14ac:dyDescent="0.3">
      <c r="A19" s="93"/>
      <c r="B19" s="141" t="s">
        <v>1211</v>
      </c>
      <c r="C19" s="366" t="s">
        <v>979</v>
      </c>
      <c r="D19" s="373">
        <v>0</v>
      </c>
      <c r="E19" s="403" t="s">
        <v>173</v>
      </c>
      <c r="F19" s="724" t="s">
        <v>173</v>
      </c>
      <c r="G19" s="403" t="s">
        <v>173</v>
      </c>
      <c r="H19" s="724" t="s">
        <v>173</v>
      </c>
      <c r="I19" s="93"/>
      <c r="J19" s="96"/>
      <c r="K19" s="93"/>
      <c r="L19" s="96"/>
      <c r="M19" s="93"/>
      <c r="N19" s="96"/>
      <c r="O19" s="93"/>
      <c r="P19" s="96"/>
      <c r="Q19" s="93"/>
      <c r="R19" s="96"/>
      <c r="S19" s="93"/>
      <c r="T19" s="96"/>
      <c r="U19" s="93"/>
      <c r="Z19" s="364"/>
      <c r="AA19" s="364"/>
      <c r="AB19" s="364"/>
      <c r="AC19" s="364"/>
      <c r="AD19" s="364"/>
      <c r="AE19" s="364"/>
      <c r="AF19" s="949" t="s">
        <v>1211</v>
      </c>
      <c r="AG19" s="949" t="s">
        <v>983</v>
      </c>
      <c r="AH19" s="949" t="s">
        <v>979</v>
      </c>
      <c r="AI19" s="949">
        <v>0</v>
      </c>
      <c r="AJ19" s="949">
        <v>1</v>
      </c>
      <c r="AK19" s="949"/>
      <c r="AL19" s="949"/>
      <c r="AM19" s="949"/>
      <c r="AN19" s="949"/>
      <c r="AO19" s="949"/>
      <c r="AP19" s="949"/>
      <c r="AQ19" s="949"/>
      <c r="AR19" s="949"/>
      <c r="AS19" s="949"/>
      <c r="AT19" s="949"/>
      <c r="AU19" s="949"/>
      <c r="AV19" s="949"/>
      <c r="AW19" s="364"/>
    </row>
    <row r="20" spans="1:58" s="42" customFormat="1" ht="13.8" x14ac:dyDescent="0.3">
      <c r="A20" s="93"/>
      <c r="B20" s="141" t="s">
        <v>990</v>
      </c>
      <c r="C20" s="366" t="s">
        <v>1389</v>
      </c>
      <c r="D20" s="373">
        <v>10586.7</v>
      </c>
      <c r="E20" s="973" t="str">
        <f>IF(ROUND(F20,1)=ROUND(AS20,1),"x","")</f>
        <v>x</v>
      </c>
      <c r="F20" s="723">
        <v>20</v>
      </c>
      <c r="G20" s="973" t="str">
        <f>IF(H20=AT20,"x","")</f>
        <v>x</v>
      </c>
      <c r="H20" s="723" t="s">
        <v>1390</v>
      </c>
      <c r="I20" s="93"/>
      <c r="J20" s="96"/>
      <c r="K20" s="93"/>
      <c r="L20" s="96"/>
      <c r="M20" s="93"/>
      <c r="N20" s="96"/>
      <c r="O20" s="93"/>
      <c r="P20" s="96"/>
      <c r="Q20" s="93"/>
      <c r="R20" s="96"/>
      <c r="S20" s="93"/>
      <c r="T20" s="96"/>
      <c r="U20" s="93"/>
      <c r="Z20" s="364"/>
      <c r="AA20" s="364"/>
      <c r="AB20" s="364"/>
      <c r="AC20" s="364"/>
      <c r="AD20" s="364"/>
      <c r="AE20" s="364"/>
      <c r="AF20" s="949" t="s">
        <v>990</v>
      </c>
      <c r="AG20" s="949" t="s">
        <v>170</v>
      </c>
      <c r="AH20" s="949" t="s">
        <v>1389</v>
      </c>
      <c r="AI20" s="949">
        <v>10586.7</v>
      </c>
      <c r="AJ20" s="949">
        <v>1</v>
      </c>
      <c r="AK20" s="949">
        <v>0.5</v>
      </c>
      <c r="AL20" s="949" t="s">
        <v>1392</v>
      </c>
      <c r="AM20" s="949">
        <v>3062.45</v>
      </c>
      <c r="AN20" s="949">
        <v>16210.6</v>
      </c>
      <c r="AO20" s="949"/>
      <c r="AP20" s="949"/>
      <c r="AQ20" s="949"/>
      <c r="AR20" s="949"/>
      <c r="AS20" s="949">
        <v>20</v>
      </c>
      <c r="AT20" s="949" t="s">
        <v>1390</v>
      </c>
      <c r="AU20" s="949">
        <v>0</v>
      </c>
      <c r="AV20" s="949">
        <v>0</v>
      </c>
      <c r="AW20" s="364"/>
    </row>
    <row r="21" spans="1:58" s="42" customFormat="1" ht="27.6" x14ac:dyDescent="0.3">
      <c r="A21" s="93"/>
      <c r="B21" s="141" t="s">
        <v>1000</v>
      </c>
      <c r="C21" s="92" t="s">
        <v>912</v>
      </c>
      <c r="D21" s="373">
        <v>2231.7600000000002</v>
      </c>
      <c r="E21" s="973" t="str">
        <f t="shared" ref="E21:E24" si="2">IF(ROUND(F21,1)=ROUND(AS21,1),"x","")</f>
        <v>x</v>
      </c>
      <c r="F21" s="723">
        <v>1.5</v>
      </c>
      <c r="G21" s="973" t="str">
        <f t="shared" ref="G21:G24" si="3">IF(H21=AT21,"x","")</f>
        <v>x</v>
      </c>
      <c r="H21" s="723" t="s">
        <v>962</v>
      </c>
      <c r="I21" s="93"/>
      <c r="J21" s="96"/>
      <c r="K21" s="93"/>
      <c r="L21" s="96"/>
      <c r="M21" s="93"/>
      <c r="N21" s="96"/>
      <c r="O21" s="93"/>
      <c r="P21" s="96"/>
      <c r="Q21" s="93"/>
      <c r="R21" s="96"/>
      <c r="S21" s="93"/>
      <c r="T21" s="96"/>
      <c r="U21" s="93"/>
      <c r="Z21" s="364"/>
      <c r="AA21" s="364"/>
      <c r="AB21" s="364"/>
      <c r="AC21" s="364"/>
      <c r="AD21" s="364"/>
      <c r="AE21" s="364"/>
      <c r="AF21" s="949" t="s">
        <v>1000</v>
      </c>
      <c r="AG21" s="949" t="s">
        <v>170</v>
      </c>
      <c r="AH21" s="949" t="s">
        <v>915</v>
      </c>
      <c r="AI21" s="949">
        <v>2231.7600000000002</v>
      </c>
      <c r="AJ21" s="949">
        <v>1</v>
      </c>
      <c r="AK21" s="949">
        <v>0.8</v>
      </c>
      <c r="AL21" s="949" t="s">
        <v>961</v>
      </c>
      <c r="AM21" s="949">
        <v>2253.1</v>
      </c>
      <c r="AN21" s="949">
        <v>4022.71</v>
      </c>
      <c r="AO21" s="949"/>
      <c r="AP21" s="949"/>
      <c r="AQ21" s="949"/>
      <c r="AR21" s="949"/>
      <c r="AS21" s="949">
        <v>1.5</v>
      </c>
      <c r="AT21" s="949" t="s">
        <v>962</v>
      </c>
      <c r="AU21" s="949">
        <v>2855.5</v>
      </c>
      <c r="AV21" s="949">
        <v>9559.2000000000007</v>
      </c>
      <c r="AW21" s="364"/>
    </row>
    <row r="22" spans="1:58" s="42" customFormat="1" ht="27.6" x14ac:dyDescent="0.3">
      <c r="A22" s="93"/>
      <c r="B22" s="141" t="s">
        <v>1001</v>
      </c>
      <c r="C22" s="92" t="s">
        <v>912</v>
      </c>
      <c r="D22" s="373">
        <v>1412.9</v>
      </c>
      <c r="E22" s="973" t="str">
        <f t="shared" si="2"/>
        <v>x</v>
      </c>
      <c r="F22" s="723">
        <v>1.5</v>
      </c>
      <c r="G22" s="973" t="str">
        <f t="shared" si="3"/>
        <v>x</v>
      </c>
      <c r="H22" s="723" t="s">
        <v>962</v>
      </c>
      <c r="I22" s="93"/>
      <c r="J22" s="96"/>
      <c r="K22" s="93"/>
      <c r="L22" s="96"/>
      <c r="M22" s="93"/>
      <c r="N22" s="96"/>
      <c r="O22" s="93"/>
      <c r="P22" s="96"/>
      <c r="Q22" s="93"/>
      <c r="R22" s="96"/>
      <c r="S22" s="93"/>
      <c r="T22" s="96"/>
      <c r="U22" s="93"/>
      <c r="Z22" s="364"/>
      <c r="AA22" s="364"/>
      <c r="AB22" s="364"/>
      <c r="AC22" s="364"/>
      <c r="AD22" s="364"/>
      <c r="AE22" s="364"/>
      <c r="AF22" s="949" t="s">
        <v>1001</v>
      </c>
      <c r="AG22" s="949" t="s">
        <v>170</v>
      </c>
      <c r="AH22" s="949" t="s">
        <v>915</v>
      </c>
      <c r="AI22" s="949">
        <v>1412.9</v>
      </c>
      <c r="AJ22" s="949">
        <v>1</v>
      </c>
      <c r="AK22" s="949">
        <v>0.8</v>
      </c>
      <c r="AL22" s="949" t="s">
        <v>961</v>
      </c>
      <c r="AM22" s="949">
        <v>2253.1</v>
      </c>
      <c r="AN22" s="949">
        <v>2546.73</v>
      </c>
      <c r="AO22" s="949"/>
      <c r="AP22" s="949"/>
      <c r="AQ22" s="949"/>
      <c r="AR22" s="949"/>
      <c r="AS22" s="949">
        <v>1.5</v>
      </c>
      <c r="AT22" s="949" t="s">
        <v>962</v>
      </c>
      <c r="AU22" s="949">
        <v>2855.5</v>
      </c>
      <c r="AV22" s="949">
        <v>6051.81</v>
      </c>
      <c r="AW22" s="364"/>
    </row>
    <row r="23" spans="1:58" s="42" customFormat="1" ht="27.6" x14ac:dyDescent="0.3">
      <c r="A23" s="93"/>
      <c r="B23" s="141" t="s">
        <v>1002</v>
      </c>
      <c r="C23" s="92" t="s">
        <v>912</v>
      </c>
      <c r="D23" s="373">
        <v>2231.7600000000002</v>
      </c>
      <c r="E23" s="973" t="str">
        <f t="shared" si="2"/>
        <v>x</v>
      </c>
      <c r="F23" s="723">
        <v>1.5</v>
      </c>
      <c r="G23" s="973" t="str">
        <f t="shared" si="3"/>
        <v>x</v>
      </c>
      <c r="H23" s="723" t="s">
        <v>962</v>
      </c>
      <c r="I23" s="93"/>
      <c r="J23" s="96"/>
      <c r="K23" s="93"/>
      <c r="L23" s="96"/>
      <c r="M23" s="93"/>
      <c r="N23" s="96"/>
      <c r="O23" s="93"/>
      <c r="P23" s="96"/>
      <c r="Q23" s="93"/>
      <c r="R23" s="96"/>
      <c r="S23" s="93"/>
      <c r="T23" s="96"/>
      <c r="U23" s="93"/>
      <c r="Z23" s="364"/>
      <c r="AA23" s="364"/>
      <c r="AB23" s="364"/>
      <c r="AC23" s="364"/>
      <c r="AD23" s="364"/>
      <c r="AE23" s="364"/>
      <c r="AF23" s="949" t="s">
        <v>1002</v>
      </c>
      <c r="AG23" s="949" t="s">
        <v>170</v>
      </c>
      <c r="AH23" s="949" t="s">
        <v>915</v>
      </c>
      <c r="AI23" s="949">
        <v>2231.7600000000002</v>
      </c>
      <c r="AJ23" s="949">
        <v>1</v>
      </c>
      <c r="AK23" s="949">
        <v>0.8</v>
      </c>
      <c r="AL23" s="949" t="s">
        <v>961</v>
      </c>
      <c r="AM23" s="949">
        <v>2253.1</v>
      </c>
      <c r="AN23" s="949">
        <v>4022.71</v>
      </c>
      <c r="AO23" s="949"/>
      <c r="AP23" s="949"/>
      <c r="AQ23" s="949"/>
      <c r="AR23" s="949"/>
      <c r="AS23" s="949">
        <v>1.5</v>
      </c>
      <c r="AT23" s="949" t="s">
        <v>962</v>
      </c>
      <c r="AU23" s="949">
        <v>2855.5</v>
      </c>
      <c r="AV23" s="949">
        <v>9559.2000000000007</v>
      </c>
      <c r="AW23" s="364"/>
    </row>
    <row r="24" spans="1:58" s="42" customFormat="1" ht="27.6" x14ac:dyDescent="0.3">
      <c r="A24" s="93"/>
      <c r="B24" s="141" t="s">
        <v>1003</v>
      </c>
      <c r="C24" s="92" t="s">
        <v>912</v>
      </c>
      <c r="D24" s="373">
        <v>1412.8</v>
      </c>
      <c r="E24" s="973" t="str">
        <f t="shared" si="2"/>
        <v>x</v>
      </c>
      <c r="F24" s="723">
        <v>1.5</v>
      </c>
      <c r="G24" s="973" t="str">
        <f t="shared" si="3"/>
        <v>x</v>
      </c>
      <c r="H24" s="723" t="s">
        <v>962</v>
      </c>
      <c r="I24" s="93"/>
      <c r="J24" s="96"/>
      <c r="K24" s="93"/>
      <c r="L24" s="96"/>
      <c r="M24" s="93"/>
      <c r="N24" s="96"/>
      <c r="O24" s="93"/>
      <c r="P24" s="96"/>
      <c r="Q24" s="93"/>
      <c r="R24" s="96"/>
      <c r="S24" s="93"/>
      <c r="T24" s="96"/>
      <c r="U24" s="93"/>
      <c r="Z24" s="364"/>
      <c r="AA24" s="364"/>
      <c r="AB24" s="364"/>
      <c r="AC24" s="364"/>
      <c r="AD24" s="364"/>
      <c r="AE24" s="364"/>
      <c r="AF24" s="949" t="s">
        <v>1003</v>
      </c>
      <c r="AG24" s="949" t="s">
        <v>170</v>
      </c>
      <c r="AH24" s="949" t="s">
        <v>915</v>
      </c>
      <c r="AI24" s="949">
        <v>1412.8</v>
      </c>
      <c r="AJ24" s="949">
        <v>1</v>
      </c>
      <c r="AK24" s="949">
        <v>0.8</v>
      </c>
      <c r="AL24" s="949" t="s">
        <v>961</v>
      </c>
      <c r="AM24" s="949">
        <v>2253.1</v>
      </c>
      <c r="AN24" s="949">
        <v>2546.54</v>
      </c>
      <c r="AO24" s="949"/>
      <c r="AP24" s="949"/>
      <c r="AQ24" s="949"/>
      <c r="AR24" s="949"/>
      <c r="AS24" s="949">
        <v>1.5</v>
      </c>
      <c r="AT24" s="949" t="s">
        <v>962</v>
      </c>
      <c r="AU24" s="949">
        <v>2855.5</v>
      </c>
      <c r="AV24" s="949">
        <v>6051.37</v>
      </c>
      <c r="AW24" s="364"/>
    </row>
    <row r="25" spans="1:58" s="42" customFormat="1" ht="27.6" x14ac:dyDescent="0.3">
      <c r="A25" s="93"/>
      <c r="B25" s="141" t="s">
        <v>998</v>
      </c>
      <c r="C25" s="366" t="s">
        <v>979</v>
      </c>
      <c r="D25" s="373">
        <v>0</v>
      </c>
      <c r="E25" s="403" t="s">
        <v>173</v>
      </c>
      <c r="F25" s="724" t="s">
        <v>173</v>
      </c>
      <c r="G25" s="403" t="s">
        <v>173</v>
      </c>
      <c r="H25" s="724" t="s">
        <v>173</v>
      </c>
      <c r="I25" s="93"/>
      <c r="J25" s="96"/>
      <c r="K25" s="93"/>
      <c r="L25" s="96"/>
      <c r="M25" s="93"/>
      <c r="N25" s="96"/>
      <c r="O25" s="93"/>
      <c r="P25" s="96"/>
      <c r="Q25" s="93"/>
      <c r="R25" s="96"/>
      <c r="S25" s="93"/>
      <c r="T25" s="96"/>
      <c r="U25" s="93"/>
      <c r="Z25" s="364"/>
      <c r="AA25" s="364"/>
      <c r="AB25" s="364"/>
      <c r="AC25" s="364"/>
      <c r="AD25" s="364"/>
      <c r="AE25" s="364"/>
      <c r="AF25" s="949" t="s">
        <v>998</v>
      </c>
      <c r="AG25" s="949" t="s">
        <v>983</v>
      </c>
      <c r="AH25" s="949" t="s">
        <v>979</v>
      </c>
      <c r="AI25" s="949">
        <v>0</v>
      </c>
      <c r="AJ25" s="949">
        <v>1</v>
      </c>
      <c r="AK25" s="949"/>
      <c r="AL25" s="949"/>
      <c r="AM25" s="949"/>
      <c r="AN25" s="949"/>
      <c r="AO25" s="949"/>
      <c r="AP25" s="949"/>
      <c r="AQ25" s="949"/>
      <c r="AR25" s="949"/>
      <c r="AS25" s="949"/>
      <c r="AT25" s="949"/>
      <c r="AU25" s="949"/>
      <c r="AV25" s="949"/>
      <c r="AW25" s="364"/>
    </row>
    <row r="26" spans="1:58" s="42" customFormat="1" ht="13.8" x14ac:dyDescent="0.3">
      <c r="A26" s="93"/>
      <c r="B26" s="141" t="s">
        <v>1013</v>
      </c>
      <c r="C26" s="366" t="s">
        <v>1389</v>
      </c>
      <c r="D26" s="373">
        <v>10586.7</v>
      </c>
      <c r="E26" s="973" t="str">
        <f>IF(ROUND(F26,1)=ROUND(AS26,1),"x","")</f>
        <v>x</v>
      </c>
      <c r="F26" s="723">
        <v>20</v>
      </c>
      <c r="G26" s="973" t="str">
        <f>IF(H26=AT26,"x","")</f>
        <v>x</v>
      </c>
      <c r="H26" s="723" t="s">
        <v>1390</v>
      </c>
      <c r="I26" s="93"/>
      <c r="J26" s="96"/>
      <c r="K26" s="93"/>
      <c r="L26" s="96"/>
      <c r="M26" s="93"/>
      <c r="N26" s="96"/>
      <c r="O26" s="93"/>
      <c r="P26" s="96"/>
      <c r="Q26" s="93"/>
      <c r="R26" s="96"/>
      <c r="S26" s="93"/>
      <c r="T26" s="96"/>
      <c r="U26" s="93"/>
      <c r="Z26" s="364"/>
      <c r="AA26" s="364"/>
      <c r="AB26" s="364"/>
      <c r="AC26" s="364"/>
      <c r="AD26" s="364"/>
      <c r="AE26" s="364"/>
      <c r="AF26" s="949" t="s">
        <v>1013</v>
      </c>
      <c r="AG26" s="949" t="s">
        <v>170</v>
      </c>
      <c r="AH26" s="949" t="s">
        <v>1389</v>
      </c>
      <c r="AI26" s="949">
        <v>10586.7</v>
      </c>
      <c r="AJ26" s="949">
        <v>1</v>
      </c>
      <c r="AK26" s="949">
        <v>0.5</v>
      </c>
      <c r="AL26" s="949" t="s">
        <v>1392</v>
      </c>
      <c r="AM26" s="949">
        <v>3062.45</v>
      </c>
      <c r="AN26" s="949">
        <v>16210.6</v>
      </c>
      <c r="AO26" s="949"/>
      <c r="AP26" s="949"/>
      <c r="AQ26" s="949"/>
      <c r="AR26" s="949"/>
      <c r="AS26" s="949">
        <v>20</v>
      </c>
      <c r="AT26" s="949" t="s">
        <v>1390</v>
      </c>
      <c r="AU26" s="949">
        <v>0</v>
      </c>
      <c r="AV26" s="949">
        <v>0</v>
      </c>
      <c r="AW26" s="364"/>
    </row>
    <row r="27" spans="1:58" s="42" customFormat="1" ht="27.6" x14ac:dyDescent="0.3">
      <c r="A27" s="93"/>
      <c r="B27" s="141" t="s">
        <v>1021</v>
      </c>
      <c r="C27" s="92" t="s">
        <v>912</v>
      </c>
      <c r="D27" s="373">
        <v>2231.7600000000002</v>
      </c>
      <c r="E27" s="973" t="str">
        <f t="shared" ref="E27:E30" si="4">IF(ROUND(F27,1)=ROUND(AS27,1),"x","")</f>
        <v>x</v>
      </c>
      <c r="F27" s="723">
        <v>1.5</v>
      </c>
      <c r="G27" s="973" t="str">
        <f t="shared" ref="G27:G30" si="5">IF(H27=AT27,"x","")</f>
        <v>x</v>
      </c>
      <c r="H27" s="723" t="s">
        <v>962</v>
      </c>
      <c r="I27" s="93"/>
      <c r="J27" s="96"/>
      <c r="K27" s="93"/>
      <c r="L27" s="96"/>
      <c r="M27" s="93"/>
      <c r="N27" s="96"/>
      <c r="O27" s="93"/>
      <c r="P27" s="96"/>
      <c r="Q27" s="93"/>
      <c r="R27" s="96"/>
      <c r="S27" s="93"/>
      <c r="T27" s="96"/>
      <c r="U27" s="93"/>
      <c r="Z27" s="364"/>
      <c r="AA27" s="364"/>
      <c r="AB27" s="364"/>
      <c r="AC27" s="364"/>
      <c r="AD27" s="364"/>
      <c r="AE27" s="364"/>
      <c r="AF27" s="949" t="s">
        <v>1021</v>
      </c>
      <c r="AG27" s="949" t="s">
        <v>170</v>
      </c>
      <c r="AH27" s="949" t="s">
        <v>915</v>
      </c>
      <c r="AI27" s="949">
        <v>2231.7600000000002</v>
      </c>
      <c r="AJ27" s="949">
        <v>1</v>
      </c>
      <c r="AK27" s="949">
        <v>0.6</v>
      </c>
      <c r="AL27" s="949" t="s">
        <v>961</v>
      </c>
      <c r="AM27" s="949">
        <v>2253.1</v>
      </c>
      <c r="AN27" s="949">
        <v>3017.03</v>
      </c>
      <c r="AO27" s="949"/>
      <c r="AP27" s="949"/>
      <c r="AQ27" s="949"/>
      <c r="AR27" s="949"/>
      <c r="AS27" s="949">
        <v>1.5</v>
      </c>
      <c r="AT27" s="949" t="s">
        <v>962</v>
      </c>
      <c r="AU27" s="949">
        <v>2855.5</v>
      </c>
      <c r="AV27" s="949">
        <v>9559.2000000000007</v>
      </c>
      <c r="AW27" s="364"/>
    </row>
    <row r="28" spans="1:58" s="42" customFormat="1" ht="27.6" x14ac:dyDescent="0.3">
      <c r="A28" s="93"/>
      <c r="B28" s="141" t="s">
        <v>1023</v>
      </c>
      <c r="C28" s="92" t="s">
        <v>912</v>
      </c>
      <c r="D28" s="373">
        <v>1412.9</v>
      </c>
      <c r="E28" s="973" t="str">
        <f t="shared" si="4"/>
        <v>x</v>
      </c>
      <c r="F28" s="723">
        <v>1.5</v>
      </c>
      <c r="G28" s="973" t="str">
        <f t="shared" si="5"/>
        <v>x</v>
      </c>
      <c r="H28" s="723" t="s">
        <v>962</v>
      </c>
      <c r="I28" s="93"/>
      <c r="J28" s="96"/>
      <c r="K28" s="93"/>
      <c r="L28" s="96"/>
      <c r="M28" s="93"/>
      <c r="N28" s="96"/>
      <c r="O28" s="93"/>
      <c r="P28" s="96"/>
      <c r="Q28" s="93"/>
      <c r="R28" s="96"/>
      <c r="S28" s="93"/>
      <c r="T28" s="96"/>
      <c r="U28" s="93"/>
      <c r="Z28" s="364"/>
      <c r="AA28" s="364"/>
      <c r="AB28" s="364"/>
      <c r="AC28" s="364"/>
      <c r="AD28" s="364"/>
      <c r="AE28" s="364"/>
      <c r="AF28" s="949" t="s">
        <v>1023</v>
      </c>
      <c r="AG28" s="949" t="s">
        <v>170</v>
      </c>
      <c r="AH28" s="949" t="s">
        <v>915</v>
      </c>
      <c r="AI28" s="949">
        <v>1412.9</v>
      </c>
      <c r="AJ28" s="949">
        <v>1</v>
      </c>
      <c r="AK28" s="949">
        <v>0.6</v>
      </c>
      <c r="AL28" s="949" t="s">
        <v>961</v>
      </c>
      <c r="AM28" s="949">
        <v>2253.1</v>
      </c>
      <c r="AN28" s="949">
        <v>1910.05</v>
      </c>
      <c r="AO28" s="949"/>
      <c r="AP28" s="949"/>
      <c r="AQ28" s="949"/>
      <c r="AR28" s="949"/>
      <c r="AS28" s="949">
        <v>1.5</v>
      </c>
      <c r="AT28" s="949" t="s">
        <v>962</v>
      </c>
      <c r="AU28" s="949">
        <v>2855.5</v>
      </c>
      <c r="AV28" s="949">
        <v>6051.81</v>
      </c>
      <c r="AW28" s="364"/>
    </row>
    <row r="29" spans="1:58" s="42" customFormat="1" ht="27.6" x14ac:dyDescent="0.3">
      <c r="A29" s="93"/>
      <c r="B29" s="141" t="s">
        <v>1024</v>
      </c>
      <c r="C29" s="92" t="s">
        <v>912</v>
      </c>
      <c r="D29" s="373">
        <v>2231.7600000000002</v>
      </c>
      <c r="E29" s="973" t="str">
        <f t="shared" si="4"/>
        <v>x</v>
      </c>
      <c r="F29" s="723">
        <v>1.5</v>
      </c>
      <c r="G29" s="973" t="str">
        <f t="shared" si="5"/>
        <v>x</v>
      </c>
      <c r="H29" s="723" t="s">
        <v>962</v>
      </c>
      <c r="I29" s="93"/>
      <c r="J29" s="96"/>
      <c r="K29" s="93"/>
      <c r="L29" s="96"/>
      <c r="M29" s="93"/>
      <c r="N29" s="96"/>
      <c r="O29" s="93"/>
      <c r="P29" s="96"/>
      <c r="Q29" s="93"/>
      <c r="R29" s="96"/>
      <c r="S29" s="93"/>
      <c r="T29" s="96"/>
      <c r="U29" s="93"/>
      <c r="Z29" s="364"/>
      <c r="AA29" s="364"/>
      <c r="AB29" s="364"/>
      <c r="AC29" s="364"/>
      <c r="AD29" s="364"/>
      <c r="AE29" s="364"/>
      <c r="AF29" s="949" t="s">
        <v>1024</v>
      </c>
      <c r="AG29" s="949" t="s">
        <v>170</v>
      </c>
      <c r="AH29" s="949" t="s">
        <v>915</v>
      </c>
      <c r="AI29" s="949">
        <v>2231.7600000000002</v>
      </c>
      <c r="AJ29" s="949">
        <v>1</v>
      </c>
      <c r="AK29" s="949">
        <v>0.6</v>
      </c>
      <c r="AL29" s="949" t="s">
        <v>961</v>
      </c>
      <c r="AM29" s="949">
        <v>2253.1</v>
      </c>
      <c r="AN29" s="949">
        <v>3017.03</v>
      </c>
      <c r="AO29" s="949"/>
      <c r="AP29" s="949"/>
      <c r="AQ29" s="949"/>
      <c r="AR29" s="949"/>
      <c r="AS29" s="949">
        <v>1.5</v>
      </c>
      <c r="AT29" s="949" t="s">
        <v>962</v>
      </c>
      <c r="AU29" s="949">
        <v>2855.5</v>
      </c>
      <c r="AV29" s="949">
        <v>9559.2000000000007</v>
      </c>
      <c r="AW29" s="364"/>
    </row>
    <row r="30" spans="1:58" s="42" customFormat="1" ht="27.6" x14ac:dyDescent="0.3">
      <c r="A30" s="93"/>
      <c r="B30" s="141" t="s">
        <v>1025</v>
      </c>
      <c r="C30" s="92" t="s">
        <v>912</v>
      </c>
      <c r="D30" s="373">
        <v>1412.8</v>
      </c>
      <c r="E30" s="973" t="str">
        <f t="shared" si="4"/>
        <v>x</v>
      </c>
      <c r="F30" s="723">
        <v>1.5</v>
      </c>
      <c r="G30" s="973" t="str">
        <f t="shared" si="5"/>
        <v>x</v>
      </c>
      <c r="H30" s="723" t="s">
        <v>962</v>
      </c>
      <c r="I30" s="93"/>
      <c r="J30" s="96"/>
      <c r="K30" s="93"/>
      <c r="L30" s="96"/>
      <c r="M30" s="93"/>
      <c r="N30" s="96"/>
      <c r="O30" s="93"/>
      <c r="P30" s="96"/>
      <c r="Q30" s="93"/>
      <c r="R30" s="96"/>
      <c r="S30" s="93"/>
      <c r="T30" s="96"/>
      <c r="U30" s="93"/>
      <c r="Z30" s="364"/>
      <c r="AA30" s="364"/>
      <c r="AB30" s="364"/>
      <c r="AC30" s="364"/>
      <c r="AD30" s="364"/>
      <c r="AE30" s="364"/>
      <c r="AF30" s="949" t="s">
        <v>1025</v>
      </c>
      <c r="AG30" s="949" t="s">
        <v>170</v>
      </c>
      <c r="AH30" s="949" t="s">
        <v>915</v>
      </c>
      <c r="AI30" s="949">
        <v>1412.8</v>
      </c>
      <c r="AJ30" s="949">
        <v>1</v>
      </c>
      <c r="AK30" s="949">
        <v>0.6</v>
      </c>
      <c r="AL30" s="949" t="s">
        <v>961</v>
      </c>
      <c r="AM30" s="949">
        <v>2253.1</v>
      </c>
      <c r="AN30" s="949">
        <v>1909.91</v>
      </c>
      <c r="AO30" s="949"/>
      <c r="AP30" s="949"/>
      <c r="AQ30" s="949"/>
      <c r="AR30" s="949"/>
      <c r="AS30" s="949">
        <v>1.5</v>
      </c>
      <c r="AT30" s="949" t="s">
        <v>962</v>
      </c>
      <c r="AU30" s="949">
        <v>2855.5</v>
      </c>
      <c r="AV30" s="949">
        <v>6051.37</v>
      </c>
      <c r="AW30" s="364"/>
    </row>
    <row r="31" spans="1:58" s="42" customFormat="1" ht="27.6" x14ac:dyDescent="0.3">
      <c r="A31" s="93"/>
      <c r="B31" s="309" t="s">
        <v>1026</v>
      </c>
      <c r="C31" s="167" t="s">
        <v>979</v>
      </c>
      <c r="D31" s="165">
        <v>0</v>
      </c>
      <c r="E31" s="405" t="s">
        <v>173</v>
      </c>
      <c r="F31" s="406" t="s">
        <v>173</v>
      </c>
      <c r="G31" s="405" t="s">
        <v>173</v>
      </c>
      <c r="H31" s="406" t="s">
        <v>173</v>
      </c>
      <c r="I31" s="93"/>
      <c r="J31" s="96"/>
      <c r="K31" s="93"/>
      <c r="L31" s="96"/>
      <c r="M31" s="93"/>
      <c r="N31" s="96"/>
      <c r="O31" s="93"/>
      <c r="P31" s="96"/>
      <c r="Q31" s="93"/>
      <c r="R31" s="96"/>
      <c r="S31" s="93"/>
      <c r="T31" s="96"/>
      <c r="U31" s="93"/>
      <c r="Z31" s="364"/>
      <c r="AA31" s="364"/>
      <c r="AB31" s="364"/>
      <c r="AC31" s="364"/>
      <c r="AD31" s="364"/>
      <c r="AE31" s="364"/>
      <c r="AF31" s="97" t="s">
        <v>1026</v>
      </c>
      <c r="AG31" s="97" t="s">
        <v>983</v>
      </c>
      <c r="AH31" s="97" t="s">
        <v>979</v>
      </c>
      <c r="AI31" s="97">
        <v>0</v>
      </c>
      <c r="AJ31" s="97">
        <v>1</v>
      </c>
      <c r="AK31" s="97"/>
      <c r="AL31" s="97"/>
      <c r="AM31" s="97"/>
      <c r="AN31" s="97"/>
      <c r="AO31" s="97"/>
      <c r="AP31" s="97"/>
      <c r="AQ31" s="97"/>
      <c r="AR31" s="97"/>
      <c r="AS31" s="97"/>
      <c r="AT31" s="97"/>
      <c r="AU31" s="97"/>
      <c r="AV31" s="97"/>
      <c r="AW31" s="364"/>
      <c r="AX31" s="441"/>
      <c r="AY31" s="441"/>
      <c r="AZ31" s="441"/>
      <c r="BA31" s="441"/>
      <c r="BB31" s="441"/>
      <c r="BC31" s="441"/>
      <c r="BD31" s="441"/>
    </row>
    <row r="32" spans="1:58" s="441" customFormat="1" x14ac:dyDescent="0.3">
      <c r="A32" s="93"/>
      <c r="B32" s="14"/>
      <c r="C32" s="96"/>
      <c r="D32" s="93"/>
      <c r="E32" s="93"/>
      <c r="F32" s="25"/>
      <c r="G32" s="93"/>
      <c r="H32" s="96"/>
      <c r="I32" s="93"/>
      <c r="J32" s="96"/>
      <c r="K32" s="93"/>
      <c r="L32" s="96"/>
      <c r="M32" s="93"/>
      <c r="N32" s="96"/>
      <c r="O32" s="93"/>
      <c r="P32" s="96"/>
      <c r="Q32" s="93"/>
      <c r="R32" s="96"/>
      <c r="S32" s="93"/>
      <c r="T32" s="96"/>
      <c r="U32" s="93"/>
      <c r="Z32" s="982"/>
      <c r="AA32" s="982"/>
      <c r="AB32" s="982"/>
      <c r="AC32" s="982"/>
      <c r="AD32" s="982"/>
      <c r="AE32" s="982"/>
      <c r="AF32" s="369" t="s">
        <v>1393</v>
      </c>
      <c r="AG32" s="369"/>
      <c r="AH32" s="982"/>
      <c r="AI32" s="982"/>
      <c r="AJ32" s="982"/>
      <c r="AK32" s="982"/>
      <c r="AL32" s="982"/>
      <c r="AM32" s="982"/>
      <c r="AN32" s="982"/>
      <c r="AO32" s="982"/>
      <c r="AP32" s="982"/>
      <c r="AQ32" s="982"/>
      <c r="AR32" s="982"/>
      <c r="AS32" s="982"/>
      <c r="AT32" s="982"/>
      <c r="AU32" s="982"/>
      <c r="AV32" s="982"/>
      <c r="AW32" s="982"/>
      <c r="AX32" s="982"/>
      <c r="AY32" s="982"/>
      <c r="AZ32" s="982"/>
      <c r="BA32" s="982"/>
      <c r="BB32" s="982"/>
      <c r="BC32" s="982"/>
      <c r="BD32" s="982"/>
      <c r="BE32" s="982"/>
      <c r="BF32" s="982"/>
    </row>
    <row r="33" spans="1:58" x14ac:dyDescent="0.3">
      <c r="A33" s="27"/>
      <c r="B33" s="29" t="s">
        <v>329</v>
      </c>
      <c r="C33" s="90"/>
      <c r="D33" s="982"/>
      <c r="E33" s="364"/>
      <c r="F33" s="364"/>
      <c r="G33" s="364"/>
      <c r="H33" s="364"/>
      <c r="J33" s="364"/>
      <c r="L33" s="72"/>
      <c r="N33" s="72"/>
      <c r="P33" s="72"/>
      <c r="R33" s="72"/>
      <c r="T33" s="72"/>
      <c r="V33" s="982"/>
      <c r="W33" s="982"/>
      <c r="X33" s="982"/>
      <c r="Y33" s="982"/>
      <c r="Z33" s="982"/>
      <c r="AA33" s="982"/>
      <c r="AB33" s="982"/>
      <c r="AC33" s="982"/>
      <c r="AD33" s="982"/>
      <c r="AE33" s="982"/>
      <c r="AF33" s="982"/>
      <c r="AG33" s="982"/>
      <c r="AH33" s="982"/>
      <c r="AI33" s="982"/>
      <c r="AJ33" s="982"/>
      <c r="AK33" s="982" t="s">
        <v>1394</v>
      </c>
      <c r="AL33" s="982"/>
      <c r="AM33" s="982"/>
      <c r="AN33" s="982"/>
      <c r="AO33" s="982" t="s">
        <v>1395</v>
      </c>
      <c r="AP33" s="982"/>
      <c r="AQ33" s="982"/>
      <c r="AR33" s="982" t="s">
        <v>1396</v>
      </c>
      <c r="AS33" s="982"/>
      <c r="AT33" s="982"/>
      <c r="AU33" s="982" t="s">
        <v>1397</v>
      </c>
      <c r="AV33" s="982"/>
      <c r="AW33" s="982"/>
      <c r="AX33" s="982"/>
      <c r="AY33" s="982"/>
      <c r="AZ33" s="982"/>
      <c r="BA33" s="982"/>
      <c r="BB33" s="982"/>
      <c r="BC33" s="982"/>
      <c r="BD33" s="982"/>
      <c r="BE33" s="982"/>
      <c r="BF33" s="982"/>
    </row>
    <row r="34" spans="1:58" ht="41.4" x14ac:dyDescent="0.3">
      <c r="A34" s="89"/>
      <c r="B34" s="115" t="s">
        <v>330</v>
      </c>
      <c r="C34" s="123" t="s">
        <v>331</v>
      </c>
      <c r="D34" s="119" t="s">
        <v>122</v>
      </c>
      <c r="E34" s="182"/>
      <c r="F34" s="120" t="s">
        <v>332</v>
      </c>
      <c r="G34" s="182"/>
      <c r="H34" s="116" t="s">
        <v>148</v>
      </c>
      <c r="I34" s="182"/>
      <c r="J34" s="123" t="s">
        <v>333</v>
      </c>
      <c r="K34" s="182"/>
      <c r="L34" s="116" t="s">
        <v>334</v>
      </c>
      <c r="M34" s="182"/>
      <c r="N34" s="116" t="s">
        <v>335</v>
      </c>
      <c r="O34" s="131"/>
      <c r="P34" s="148" t="s">
        <v>336</v>
      </c>
      <c r="Q34" s="182"/>
      <c r="R34" s="116" t="s">
        <v>337</v>
      </c>
      <c r="S34" s="131"/>
      <c r="T34" s="148" t="s">
        <v>338</v>
      </c>
      <c r="U34" s="131"/>
      <c r="V34" s="148" t="s">
        <v>339</v>
      </c>
      <c r="W34" s="982"/>
      <c r="X34" s="982"/>
      <c r="Y34" s="982"/>
      <c r="Z34" s="982"/>
      <c r="AA34" s="982"/>
      <c r="AB34" s="982"/>
      <c r="AC34" s="982"/>
      <c r="AD34" s="982"/>
      <c r="AE34" s="982"/>
      <c r="AF34" s="982" t="s">
        <v>121</v>
      </c>
      <c r="AG34" s="982" t="s">
        <v>148</v>
      </c>
      <c r="AH34" s="982" t="s">
        <v>122</v>
      </c>
      <c r="AI34" s="982" t="s">
        <v>1398</v>
      </c>
      <c r="AJ34" s="982" t="s">
        <v>1399</v>
      </c>
      <c r="AK34" s="982" t="s">
        <v>1400</v>
      </c>
      <c r="AL34" s="982" t="s">
        <v>1401</v>
      </c>
      <c r="AM34" s="982" t="s">
        <v>1402</v>
      </c>
      <c r="AN34" s="982" t="s">
        <v>1403</v>
      </c>
      <c r="AO34" s="982" t="s">
        <v>1400</v>
      </c>
      <c r="AP34" s="982" t="s">
        <v>1401</v>
      </c>
      <c r="AQ34" s="982" t="s">
        <v>1402</v>
      </c>
      <c r="AR34" s="982" t="s">
        <v>1404</v>
      </c>
      <c r="AS34" s="982" t="s">
        <v>1405</v>
      </c>
      <c r="AT34" s="982" t="s">
        <v>1406</v>
      </c>
      <c r="AU34" s="982" t="s">
        <v>1407</v>
      </c>
      <c r="AV34" s="982" t="s">
        <v>1408</v>
      </c>
      <c r="AW34" s="982" t="s">
        <v>1409</v>
      </c>
      <c r="AX34" s="982" t="s">
        <v>1410</v>
      </c>
      <c r="AY34" s="982" t="s">
        <v>1411</v>
      </c>
      <c r="AZ34" s="982" t="s">
        <v>1412</v>
      </c>
      <c r="BA34" s="982" t="s">
        <v>1413</v>
      </c>
      <c r="BB34" s="982" t="s">
        <v>1414</v>
      </c>
      <c r="BC34" s="982" t="s">
        <v>1415</v>
      </c>
      <c r="BD34" s="982" t="s">
        <v>334</v>
      </c>
      <c r="BE34" s="982" t="s">
        <v>1416</v>
      </c>
      <c r="BF34" s="982"/>
    </row>
    <row r="35" spans="1:58" ht="15" thickBot="1" x14ac:dyDescent="0.35">
      <c r="A35" s="89"/>
      <c r="B35" s="139" t="s">
        <v>341</v>
      </c>
      <c r="C35" s="126" t="s">
        <v>342</v>
      </c>
      <c r="D35" s="371"/>
      <c r="E35" s="183"/>
      <c r="F35" s="371"/>
      <c r="G35" s="370"/>
      <c r="H35" s="998" t="s">
        <v>343</v>
      </c>
      <c r="I35" s="370"/>
      <c r="J35" s="126" t="s">
        <v>344</v>
      </c>
      <c r="K35" s="370"/>
      <c r="L35" s="998" t="s">
        <v>345</v>
      </c>
      <c r="M35" s="370"/>
      <c r="N35" s="998" t="s">
        <v>346</v>
      </c>
      <c r="O35" s="211"/>
      <c r="P35" s="998" t="s">
        <v>347</v>
      </c>
      <c r="Q35" s="370"/>
      <c r="R35" s="998" t="s">
        <v>348</v>
      </c>
      <c r="S35" s="211"/>
      <c r="T35" s="998" t="s">
        <v>349</v>
      </c>
      <c r="U35" s="211"/>
      <c r="V35" s="998" t="s">
        <v>350</v>
      </c>
      <c r="W35" s="982"/>
      <c r="X35" s="982"/>
      <c r="Y35" s="982"/>
      <c r="Z35" s="982"/>
      <c r="AA35" s="982"/>
      <c r="AB35" s="982"/>
      <c r="AC35" s="982"/>
      <c r="AD35" s="982"/>
      <c r="AE35" s="982"/>
      <c r="AF35" s="982"/>
      <c r="AG35" s="982"/>
      <c r="AH35" s="982"/>
      <c r="AI35" s="982" t="s">
        <v>1417</v>
      </c>
      <c r="AJ35" s="982" t="s">
        <v>966</v>
      </c>
      <c r="AK35" s="982" t="s">
        <v>1418</v>
      </c>
      <c r="AL35" s="982" t="s">
        <v>1419</v>
      </c>
      <c r="AM35" s="982" t="s">
        <v>1420</v>
      </c>
      <c r="AN35" s="982" t="s">
        <v>1421</v>
      </c>
      <c r="AO35" s="982" t="s">
        <v>1418</v>
      </c>
      <c r="AP35" s="982" t="s">
        <v>1419</v>
      </c>
      <c r="AQ35" s="982" t="s">
        <v>1420</v>
      </c>
      <c r="AR35" s="982" t="s">
        <v>1068</v>
      </c>
      <c r="AS35" s="982" t="s">
        <v>1066</v>
      </c>
      <c r="AT35" s="982" t="s">
        <v>1068</v>
      </c>
      <c r="AU35" s="982" t="s">
        <v>1066</v>
      </c>
      <c r="AV35" s="982"/>
      <c r="AW35" s="982"/>
      <c r="AX35" s="982" t="s">
        <v>1419</v>
      </c>
      <c r="AY35" s="982" t="s">
        <v>1419</v>
      </c>
      <c r="AZ35" s="982" t="s">
        <v>1419</v>
      </c>
      <c r="BA35" s="982" t="s">
        <v>1419</v>
      </c>
      <c r="BB35" s="982" t="s">
        <v>1422</v>
      </c>
      <c r="BC35" s="982"/>
      <c r="BD35" s="982"/>
      <c r="BE35" s="982"/>
      <c r="BF35" s="982"/>
    </row>
    <row r="36" spans="1:58" s="359" customFormat="1" ht="28.2" thickTop="1" x14ac:dyDescent="0.3">
      <c r="A36" s="373"/>
      <c r="B36" s="141" t="s">
        <v>1423</v>
      </c>
      <c r="C36" s="373" t="s">
        <v>1424</v>
      </c>
      <c r="D36" s="373" t="s">
        <v>137</v>
      </c>
      <c r="E36" s="137"/>
      <c r="F36" s="366" t="s">
        <v>1425</v>
      </c>
      <c r="G36" s="973" t="str">
        <f>IF(H36=AG36,"x","")</f>
        <v>x</v>
      </c>
      <c r="H36" s="202" t="s">
        <v>353</v>
      </c>
      <c r="I36" s="411" t="s">
        <v>300</v>
      </c>
      <c r="J36" s="373" t="s">
        <v>353</v>
      </c>
      <c r="K36" s="973" t="str">
        <f>IF(L36=BD36,"x","")</f>
        <v>x</v>
      </c>
      <c r="L36" s="202" t="s">
        <v>354</v>
      </c>
      <c r="M36" s="973" t="str">
        <f>IF(N36=AL36,"x","")</f>
        <v>x</v>
      </c>
      <c r="N36" s="202">
        <v>55</v>
      </c>
      <c r="O36" s="973" t="str">
        <f>IF(P36=AP36,"x","")</f>
        <v>x</v>
      </c>
      <c r="P36" s="202">
        <v>60</v>
      </c>
      <c r="Q36" s="973" t="str">
        <f>IF(R36=AW36,"x","")</f>
        <v>x</v>
      </c>
      <c r="R36" s="202" t="s">
        <v>355</v>
      </c>
      <c r="S36" s="973" t="str">
        <f>IF(T36=AY36,"x","")</f>
        <v>x</v>
      </c>
      <c r="T36" s="202">
        <v>60</v>
      </c>
      <c r="U36" s="973" t="str">
        <f>IF(V36=BA36,"x","")</f>
        <v>x</v>
      </c>
      <c r="V36" s="202">
        <v>55</v>
      </c>
      <c r="Y36" s="809"/>
      <c r="Z36" s="809"/>
      <c r="AA36" s="809"/>
      <c r="AB36" s="809"/>
      <c r="AC36" s="809"/>
      <c r="AD36" s="809"/>
      <c r="AE36" s="808" t="s">
        <v>1426</v>
      </c>
      <c r="AF36" s="949" t="s">
        <v>1424</v>
      </c>
      <c r="AG36" s="949" t="s">
        <v>353</v>
      </c>
      <c r="AH36" s="949" t="s">
        <v>137</v>
      </c>
      <c r="AI36" s="949">
        <v>1</v>
      </c>
      <c r="AJ36" s="949">
        <v>7289.23</v>
      </c>
      <c r="AK36" s="949">
        <v>252953</v>
      </c>
      <c r="AL36" s="949">
        <v>55</v>
      </c>
      <c r="AM36" s="949">
        <v>34.702300000000001</v>
      </c>
      <c r="AN36" s="949">
        <v>400</v>
      </c>
      <c r="AO36" s="949">
        <v>103812</v>
      </c>
      <c r="AP36" s="949">
        <v>60</v>
      </c>
      <c r="AQ36" s="949">
        <v>14.2418</v>
      </c>
      <c r="AR36" s="949">
        <v>8431.76</v>
      </c>
      <c r="AS36" s="949">
        <v>1.1567400000000001</v>
      </c>
      <c r="AT36" s="949">
        <v>1093.3800000000001</v>
      </c>
      <c r="AU36" s="949">
        <v>0.15</v>
      </c>
      <c r="AV36" s="949" t="s">
        <v>1010</v>
      </c>
      <c r="AW36" s="949" t="s">
        <v>355</v>
      </c>
      <c r="AX36" s="949"/>
      <c r="AY36" s="949">
        <v>60</v>
      </c>
      <c r="AZ36" s="949"/>
      <c r="BA36" s="949">
        <v>55</v>
      </c>
      <c r="BB36" s="949"/>
      <c r="BC36" s="949" t="s">
        <v>1427</v>
      </c>
      <c r="BD36" s="949" t="s">
        <v>354</v>
      </c>
      <c r="BE36" s="949" t="s">
        <v>1428</v>
      </c>
      <c r="BF36" s="982"/>
    </row>
    <row r="37" spans="1:58" s="359" customFormat="1" x14ac:dyDescent="0.3">
      <c r="A37" s="373"/>
      <c r="B37" s="141" t="s">
        <v>1429</v>
      </c>
      <c r="C37" s="373" t="s">
        <v>1430</v>
      </c>
      <c r="D37" s="373" t="s">
        <v>137</v>
      </c>
      <c r="E37" s="137"/>
      <c r="F37" s="366" t="s">
        <v>1431</v>
      </c>
      <c r="G37" s="973" t="str">
        <f t="shared" ref="G37:G41" si="6">IF(H37=AG37,"x","")</f>
        <v>x</v>
      </c>
      <c r="H37" s="202" t="s">
        <v>353</v>
      </c>
      <c r="I37" s="412" t="s">
        <v>300</v>
      </c>
      <c r="J37" s="373" t="s">
        <v>353</v>
      </c>
      <c r="K37" s="973" t="str">
        <f t="shared" ref="K37:K41" si="7">IF(L37=BD37,"x","")</f>
        <v>x</v>
      </c>
      <c r="L37" s="202" t="s">
        <v>354</v>
      </c>
      <c r="M37" s="973" t="str">
        <f t="shared" ref="M37:M41" si="8">IF(N37=AL37,"x","")</f>
        <v>x</v>
      </c>
      <c r="N37" s="202">
        <v>55</v>
      </c>
      <c r="O37" s="973" t="str">
        <f>IF(P37=AP37,"x","")</f>
        <v>x</v>
      </c>
      <c r="P37" s="202">
        <v>60</v>
      </c>
      <c r="Q37" s="973" t="str">
        <f t="shared" ref="Q37:Q41" si="9">IF(R37=AW37,"x","")</f>
        <v>x</v>
      </c>
      <c r="R37" s="202" t="s">
        <v>355</v>
      </c>
      <c r="S37" s="973" t="str">
        <f>IF(T37=AY37,"x","")</f>
        <v>x</v>
      </c>
      <c r="T37" s="202">
        <v>60</v>
      </c>
      <c r="U37" s="973" t="str">
        <f>IF(V37=BA37,"x","")</f>
        <v>x</v>
      </c>
      <c r="V37" s="202">
        <v>55</v>
      </c>
      <c r="AF37" s="949" t="s">
        <v>1430</v>
      </c>
      <c r="AG37" s="949" t="s">
        <v>353</v>
      </c>
      <c r="AH37" s="949" t="s">
        <v>137</v>
      </c>
      <c r="AI37" s="949">
        <v>1</v>
      </c>
      <c r="AJ37" s="949">
        <v>7289.23</v>
      </c>
      <c r="AK37" s="949">
        <v>325500</v>
      </c>
      <c r="AL37" s="949">
        <v>55</v>
      </c>
      <c r="AM37" s="949">
        <v>44.654899999999998</v>
      </c>
      <c r="AN37" s="949">
        <v>400</v>
      </c>
      <c r="AO37" s="949">
        <v>133585</v>
      </c>
      <c r="AP37" s="949">
        <v>60</v>
      </c>
      <c r="AQ37" s="949">
        <v>18.3264</v>
      </c>
      <c r="AR37" s="949">
        <v>10850</v>
      </c>
      <c r="AS37" s="949">
        <v>1.4884999999999999</v>
      </c>
      <c r="AT37" s="949">
        <v>1093.3800000000001</v>
      </c>
      <c r="AU37" s="949">
        <v>0.15</v>
      </c>
      <c r="AV37" s="949" t="s">
        <v>1010</v>
      </c>
      <c r="AW37" s="949" t="s">
        <v>355</v>
      </c>
      <c r="AX37" s="949"/>
      <c r="AY37" s="949">
        <v>60</v>
      </c>
      <c r="AZ37" s="949"/>
      <c r="BA37" s="949">
        <v>55</v>
      </c>
      <c r="BB37" s="949"/>
      <c r="BC37" s="949" t="s">
        <v>1427</v>
      </c>
      <c r="BD37" s="949" t="s">
        <v>354</v>
      </c>
      <c r="BE37" s="949" t="s">
        <v>1428</v>
      </c>
      <c r="BF37" s="982"/>
    </row>
    <row r="38" spans="1:58" s="357" customFormat="1" x14ac:dyDescent="0.3">
      <c r="A38" s="89"/>
      <c r="B38" s="141" t="s">
        <v>1160</v>
      </c>
      <c r="C38" s="373" t="s">
        <v>1432</v>
      </c>
      <c r="D38" s="373" t="s">
        <v>137</v>
      </c>
      <c r="E38" s="137"/>
      <c r="F38" s="366" t="s">
        <v>1433</v>
      </c>
      <c r="G38" s="973" t="str">
        <f t="shared" si="6"/>
        <v>x</v>
      </c>
      <c r="H38" s="202" t="s">
        <v>365</v>
      </c>
      <c r="I38" s="412" t="s">
        <v>300</v>
      </c>
      <c r="J38" s="373" t="s">
        <v>365</v>
      </c>
      <c r="K38" s="973" t="str">
        <f t="shared" si="7"/>
        <v>x</v>
      </c>
      <c r="L38" s="202" t="s">
        <v>1434</v>
      </c>
      <c r="M38" s="973" t="str">
        <f t="shared" si="8"/>
        <v>x</v>
      </c>
      <c r="N38" s="202">
        <v>60</v>
      </c>
      <c r="O38" s="403" t="s">
        <v>173</v>
      </c>
      <c r="P38" s="404" t="s">
        <v>173</v>
      </c>
      <c r="Q38" s="973" t="str">
        <f t="shared" si="9"/>
        <v>x</v>
      </c>
      <c r="R38" s="202" t="s">
        <v>377</v>
      </c>
      <c r="S38" s="403" t="s">
        <v>173</v>
      </c>
      <c r="T38" s="404" t="s">
        <v>173</v>
      </c>
      <c r="U38" s="403" t="s">
        <v>173</v>
      </c>
      <c r="V38" s="404" t="s">
        <v>173</v>
      </c>
      <c r="AF38" s="949" t="s">
        <v>1432</v>
      </c>
      <c r="AG38" s="949" t="s">
        <v>365</v>
      </c>
      <c r="AH38" s="949" t="s">
        <v>137</v>
      </c>
      <c r="AI38" s="949">
        <v>1</v>
      </c>
      <c r="AJ38" s="949">
        <v>10586.7</v>
      </c>
      <c r="AK38" s="963">
        <v>1404000</v>
      </c>
      <c r="AL38" s="949">
        <v>60</v>
      </c>
      <c r="AM38" s="949">
        <v>132.619</v>
      </c>
      <c r="AN38" s="949">
        <v>400</v>
      </c>
      <c r="AO38" s="949">
        <v>0</v>
      </c>
      <c r="AP38" s="949">
        <v>-99996</v>
      </c>
      <c r="AQ38" s="949">
        <v>0</v>
      </c>
      <c r="AR38" s="949">
        <v>46800</v>
      </c>
      <c r="AS38" s="949">
        <v>4.4206399999999997</v>
      </c>
      <c r="AT38" s="949">
        <v>1588.01</v>
      </c>
      <c r="AU38" s="949">
        <v>0.15</v>
      </c>
      <c r="AV38" s="949" t="s">
        <v>1160</v>
      </c>
      <c r="AW38" s="949" t="s">
        <v>377</v>
      </c>
      <c r="AX38" s="949"/>
      <c r="AY38" s="949">
        <v>-99996</v>
      </c>
      <c r="AZ38" s="949"/>
      <c r="BA38" s="949">
        <v>-99996</v>
      </c>
      <c r="BB38" s="949"/>
      <c r="BC38" s="949" t="s">
        <v>311</v>
      </c>
      <c r="BD38" s="949" t="s">
        <v>1434</v>
      </c>
      <c r="BE38" s="949" t="s">
        <v>1435</v>
      </c>
      <c r="BF38" s="982"/>
    </row>
    <row r="39" spans="1:58" s="357" customFormat="1" x14ac:dyDescent="0.3">
      <c r="A39" s="89"/>
      <c r="B39" s="141" t="s">
        <v>1166</v>
      </c>
      <c r="C39" s="373" t="s">
        <v>1436</v>
      </c>
      <c r="D39" s="373" t="s">
        <v>137</v>
      </c>
      <c r="E39" s="137"/>
      <c r="F39" s="366" t="s">
        <v>1437</v>
      </c>
      <c r="G39" s="973" t="str">
        <f t="shared" si="6"/>
        <v>x</v>
      </c>
      <c r="H39" s="202" t="s">
        <v>365</v>
      </c>
      <c r="I39" s="412" t="s">
        <v>300</v>
      </c>
      <c r="J39" s="373" t="s">
        <v>365</v>
      </c>
      <c r="K39" s="973" t="str">
        <f t="shared" si="7"/>
        <v>x</v>
      </c>
      <c r="L39" s="202" t="s">
        <v>1434</v>
      </c>
      <c r="M39" s="973" t="str">
        <f t="shared" si="8"/>
        <v>x</v>
      </c>
      <c r="N39" s="202">
        <v>60</v>
      </c>
      <c r="O39" s="403" t="s">
        <v>173</v>
      </c>
      <c r="P39" s="404" t="s">
        <v>173</v>
      </c>
      <c r="Q39" s="973" t="str">
        <f t="shared" si="9"/>
        <v>x</v>
      </c>
      <c r="R39" s="202" t="s">
        <v>377</v>
      </c>
      <c r="S39" s="403" t="s">
        <v>173</v>
      </c>
      <c r="T39" s="404" t="s">
        <v>173</v>
      </c>
      <c r="U39" s="403" t="s">
        <v>173</v>
      </c>
      <c r="V39" s="404" t="s">
        <v>173</v>
      </c>
      <c r="AF39" s="949" t="s">
        <v>1436</v>
      </c>
      <c r="AG39" s="949" t="s">
        <v>365</v>
      </c>
      <c r="AH39" s="949" t="s">
        <v>137</v>
      </c>
      <c r="AI39" s="949">
        <v>1</v>
      </c>
      <c r="AJ39" s="949">
        <v>10586.7</v>
      </c>
      <c r="AK39" s="963">
        <v>1404000</v>
      </c>
      <c r="AL39" s="949">
        <v>60</v>
      </c>
      <c r="AM39" s="949">
        <v>132.619</v>
      </c>
      <c r="AN39" s="949">
        <v>400</v>
      </c>
      <c r="AO39" s="949">
        <v>0</v>
      </c>
      <c r="AP39" s="949">
        <v>-99996</v>
      </c>
      <c r="AQ39" s="949">
        <v>0</v>
      </c>
      <c r="AR39" s="949">
        <v>46800</v>
      </c>
      <c r="AS39" s="949">
        <v>4.4206399999999997</v>
      </c>
      <c r="AT39" s="949">
        <v>1588.01</v>
      </c>
      <c r="AU39" s="949">
        <v>0.15</v>
      </c>
      <c r="AV39" s="949" t="s">
        <v>1166</v>
      </c>
      <c r="AW39" s="949" t="s">
        <v>377</v>
      </c>
      <c r="AX39" s="949"/>
      <c r="AY39" s="949">
        <v>-99996</v>
      </c>
      <c r="AZ39" s="949"/>
      <c r="BA39" s="949">
        <v>-99996</v>
      </c>
      <c r="BB39" s="949"/>
      <c r="BC39" s="949" t="s">
        <v>311</v>
      </c>
      <c r="BD39" s="949" t="s">
        <v>1434</v>
      </c>
      <c r="BE39" s="949" t="s">
        <v>1435</v>
      </c>
      <c r="BF39" s="982"/>
    </row>
    <row r="40" spans="1:58" s="357" customFormat="1" x14ac:dyDescent="0.3">
      <c r="A40" s="89"/>
      <c r="B40" s="141" t="s">
        <v>1178</v>
      </c>
      <c r="C40" s="373" t="s">
        <v>1438</v>
      </c>
      <c r="D40" s="373" t="s">
        <v>137</v>
      </c>
      <c r="E40" s="137"/>
      <c r="F40" s="366" t="s">
        <v>1439</v>
      </c>
      <c r="G40" s="973" t="str">
        <f t="shared" si="6"/>
        <v>x</v>
      </c>
      <c r="H40" s="202" t="s">
        <v>365</v>
      </c>
      <c r="I40" s="412" t="s">
        <v>300</v>
      </c>
      <c r="J40" s="373" t="s">
        <v>365</v>
      </c>
      <c r="K40" s="973" t="str">
        <f t="shared" si="7"/>
        <v>x</v>
      </c>
      <c r="L40" s="202" t="s">
        <v>1434</v>
      </c>
      <c r="M40" s="973" t="str">
        <f t="shared" si="8"/>
        <v>x</v>
      </c>
      <c r="N40" s="202">
        <v>60</v>
      </c>
      <c r="O40" s="403" t="s">
        <v>173</v>
      </c>
      <c r="P40" s="404" t="s">
        <v>173</v>
      </c>
      <c r="Q40" s="973" t="str">
        <f t="shared" si="9"/>
        <v>x</v>
      </c>
      <c r="R40" s="202" t="s">
        <v>377</v>
      </c>
      <c r="S40" s="403" t="s">
        <v>173</v>
      </c>
      <c r="T40" s="404" t="s">
        <v>173</v>
      </c>
      <c r="U40" s="403" t="s">
        <v>173</v>
      </c>
      <c r="V40" s="404" t="s">
        <v>173</v>
      </c>
      <c r="AF40" s="949" t="s">
        <v>1438</v>
      </c>
      <c r="AG40" s="949" t="s">
        <v>365</v>
      </c>
      <c r="AH40" s="949" t="s">
        <v>137</v>
      </c>
      <c r="AI40" s="949">
        <v>1</v>
      </c>
      <c r="AJ40" s="949">
        <v>10586.7</v>
      </c>
      <c r="AK40" s="963">
        <v>1404000</v>
      </c>
      <c r="AL40" s="949">
        <v>60</v>
      </c>
      <c r="AM40" s="949">
        <v>132.619</v>
      </c>
      <c r="AN40" s="949">
        <v>400</v>
      </c>
      <c r="AO40" s="949">
        <v>0</v>
      </c>
      <c r="AP40" s="949">
        <v>-99996</v>
      </c>
      <c r="AQ40" s="949">
        <v>0</v>
      </c>
      <c r="AR40" s="949">
        <v>46800</v>
      </c>
      <c r="AS40" s="949">
        <v>4.4206399999999997</v>
      </c>
      <c r="AT40" s="949">
        <v>1588.01</v>
      </c>
      <c r="AU40" s="949">
        <v>0.15</v>
      </c>
      <c r="AV40" s="949" t="s">
        <v>1178</v>
      </c>
      <c r="AW40" s="949" t="s">
        <v>377</v>
      </c>
      <c r="AX40" s="949"/>
      <c r="AY40" s="949">
        <v>-99996</v>
      </c>
      <c r="AZ40" s="949"/>
      <c r="BA40" s="949">
        <v>-99996</v>
      </c>
      <c r="BB40" s="949"/>
      <c r="BC40" s="949" t="s">
        <v>311</v>
      </c>
      <c r="BD40" s="949" t="s">
        <v>1434</v>
      </c>
      <c r="BE40" s="949" t="s">
        <v>1435</v>
      </c>
      <c r="BF40" s="982"/>
    </row>
    <row r="41" spans="1:58" s="359" customFormat="1" x14ac:dyDescent="0.3">
      <c r="A41" s="373"/>
      <c r="B41" s="309" t="s">
        <v>1440</v>
      </c>
      <c r="C41" s="165" t="s">
        <v>351</v>
      </c>
      <c r="D41" s="165" t="s">
        <v>137</v>
      </c>
      <c r="E41" s="236"/>
      <c r="F41" s="167" t="s">
        <v>1441</v>
      </c>
      <c r="G41" s="974" t="str">
        <f t="shared" si="6"/>
        <v>x</v>
      </c>
      <c r="H41" s="204" t="s">
        <v>353</v>
      </c>
      <c r="I41" s="410" t="s">
        <v>300</v>
      </c>
      <c r="J41" s="165" t="s">
        <v>353</v>
      </c>
      <c r="K41" s="974" t="str">
        <f t="shared" si="7"/>
        <v>x</v>
      </c>
      <c r="L41" s="204" t="s">
        <v>354</v>
      </c>
      <c r="M41" s="974" t="str">
        <f t="shared" si="8"/>
        <v>x</v>
      </c>
      <c r="N41" s="204">
        <v>55</v>
      </c>
      <c r="O41" s="974" t="str">
        <f>IF(P41=AP41,"x","")</f>
        <v>x</v>
      </c>
      <c r="P41" s="204">
        <v>60</v>
      </c>
      <c r="Q41" s="974" t="str">
        <f t="shared" si="9"/>
        <v>x</v>
      </c>
      <c r="R41" s="204" t="s">
        <v>355</v>
      </c>
      <c r="S41" s="974" t="str">
        <f>IF(T41=AY41,"x","")</f>
        <v>x</v>
      </c>
      <c r="T41" s="204">
        <v>60</v>
      </c>
      <c r="U41" s="974" t="str">
        <f>IF(V41=BA41,"x","")</f>
        <v>x</v>
      </c>
      <c r="V41" s="204">
        <v>55</v>
      </c>
      <c r="AF41" s="949" t="s">
        <v>351</v>
      </c>
      <c r="AG41" s="949" t="s">
        <v>353</v>
      </c>
      <c r="AH41" s="949" t="s">
        <v>137</v>
      </c>
      <c r="AI41" s="949">
        <v>1</v>
      </c>
      <c r="AJ41" s="949">
        <v>7289.23</v>
      </c>
      <c r="AK41" s="949">
        <v>270850</v>
      </c>
      <c r="AL41" s="949">
        <v>55</v>
      </c>
      <c r="AM41" s="949">
        <v>37.157600000000002</v>
      </c>
      <c r="AN41" s="949">
        <v>414.03</v>
      </c>
      <c r="AO41" s="949">
        <v>134027</v>
      </c>
      <c r="AP41" s="949">
        <v>60</v>
      </c>
      <c r="AQ41" s="949">
        <v>18.387</v>
      </c>
      <c r="AR41" s="949">
        <v>9345</v>
      </c>
      <c r="AS41" s="949">
        <v>1.28203</v>
      </c>
      <c r="AT41" s="949">
        <v>1093.3800000000001</v>
      </c>
      <c r="AU41" s="949">
        <v>0.15</v>
      </c>
      <c r="AV41" s="949" t="s">
        <v>1010</v>
      </c>
      <c r="AW41" s="949" t="s">
        <v>355</v>
      </c>
      <c r="AX41" s="949"/>
      <c r="AY41" s="949">
        <v>60</v>
      </c>
      <c r="AZ41" s="949"/>
      <c r="BA41" s="949">
        <v>55</v>
      </c>
      <c r="BB41" s="949"/>
      <c r="BC41" s="949" t="s">
        <v>311</v>
      </c>
      <c r="BD41" s="949" t="s">
        <v>354</v>
      </c>
      <c r="BE41" s="949" t="s">
        <v>1428</v>
      </c>
      <c r="BF41" s="982"/>
    </row>
    <row r="42" spans="1:58" x14ac:dyDescent="0.3">
      <c r="A42" s="89"/>
      <c r="B42" s="84"/>
      <c r="C42" s="82"/>
      <c r="D42" s="30"/>
      <c r="E42" s="364"/>
      <c r="F42" s="364"/>
      <c r="G42" s="364"/>
      <c r="H42" s="364"/>
      <c r="J42" s="364"/>
      <c r="K42" s="91"/>
      <c r="L42" s="89"/>
      <c r="N42" s="364"/>
      <c r="P42" s="364"/>
      <c r="R42" s="364"/>
      <c r="T42" s="364"/>
      <c r="V42" s="982"/>
      <c r="W42" s="982"/>
      <c r="X42" s="982"/>
      <c r="Y42" s="982"/>
      <c r="Z42" s="982"/>
      <c r="AA42" s="982"/>
      <c r="AB42" s="982"/>
      <c r="AC42" s="982"/>
      <c r="AD42" s="982"/>
      <c r="AE42" s="982"/>
      <c r="AF42" s="369" t="s">
        <v>1442</v>
      </c>
      <c r="AG42" s="982"/>
      <c r="AH42" s="982"/>
      <c r="AI42" s="982"/>
      <c r="AJ42" s="982"/>
      <c r="AK42" s="982"/>
      <c r="AL42" s="982"/>
      <c r="AM42" s="982"/>
      <c r="AN42" s="982"/>
      <c r="AO42" s="982"/>
      <c r="AP42" s="982"/>
      <c r="AQ42" s="982"/>
      <c r="AR42" s="982"/>
      <c r="AS42" s="982"/>
      <c r="AT42" s="982"/>
      <c r="AU42" s="982"/>
      <c r="AV42" s="982"/>
      <c r="AW42" s="982"/>
      <c r="AX42" s="982"/>
      <c r="AY42" s="982"/>
      <c r="AZ42" s="982"/>
      <c r="BA42" s="982"/>
      <c r="BB42" s="982"/>
      <c r="BC42" s="982"/>
      <c r="BD42" s="982"/>
      <c r="BE42" s="982"/>
      <c r="BF42" s="982"/>
    </row>
    <row r="43" spans="1:58" x14ac:dyDescent="0.3">
      <c r="A43" s="89"/>
      <c r="B43" s="84"/>
      <c r="C43" s="91"/>
      <c r="D43" s="89"/>
      <c r="E43" s="91"/>
      <c r="F43" s="89"/>
      <c r="G43" s="91"/>
      <c r="H43" s="89"/>
      <c r="I43" s="91"/>
      <c r="J43" s="89"/>
      <c r="K43" s="91"/>
      <c r="L43" s="89"/>
      <c r="N43" s="364"/>
      <c r="P43" s="364"/>
      <c r="R43" s="364"/>
      <c r="T43" s="364"/>
      <c r="V43" s="982"/>
      <c r="W43" s="982"/>
      <c r="X43" s="982"/>
      <c r="Y43" s="982"/>
      <c r="Z43" s="982"/>
      <c r="AA43" s="982"/>
      <c r="AB43" s="982"/>
      <c r="AC43" s="982"/>
      <c r="AD43" s="982"/>
      <c r="AE43" s="982"/>
      <c r="AF43" s="982"/>
      <c r="AG43" s="982"/>
      <c r="AH43" s="982"/>
      <c r="AI43" s="982"/>
      <c r="AJ43" s="982" t="s">
        <v>1443</v>
      </c>
      <c r="AK43" s="982"/>
      <c r="AL43" s="982"/>
      <c r="AM43" s="982" t="s">
        <v>1444</v>
      </c>
      <c r="AN43" s="982"/>
      <c r="AO43" s="982"/>
      <c r="AP43" s="982"/>
      <c r="AQ43" s="982" t="s">
        <v>410</v>
      </c>
      <c r="AR43" s="982"/>
      <c r="AS43" s="982"/>
      <c r="AT43" s="982" t="s">
        <v>399</v>
      </c>
      <c r="AU43" s="982"/>
      <c r="AV43" s="982"/>
      <c r="AW43" s="982"/>
      <c r="AX43" s="982"/>
      <c r="AY43" s="982"/>
      <c r="AZ43" s="982"/>
      <c r="BA43" s="982"/>
      <c r="BB43" s="982"/>
      <c r="BC43" s="982"/>
      <c r="BD43" s="982"/>
      <c r="BE43" s="982"/>
      <c r="BF43" s="982"/>
    </row>
    <row r="44" spans="1:58" ht="41.4" x14ac:dyDescent="0.3">
      <c r="A44" s="89"/>
      <c r="B44" s="115" t="s">
        <v>331</v>
      </c>
      <c r="C44" s="123" t="s">
        <v>382</v>
      </c>
      <c r="D44" s="119" t="s">
        <v>122</v>
      </c>
      <c r="E44" s="182"/>
      <c r="F44" s="117" t="s">
        <v>148</v>
      </c>
      <c r="G44" s="182"/>
      <c r="H44" s="117" t="s">
        <v>383</v>
      </c>
      <c r="I44" s="175"/>
      <c r="J44" s="173" t="s">
        <v>384</v>
      </c>
      <c r="K44" s="194"/>
      <c r="L44" s="117" t="s">
        <v>385</v>
      </c>
      <c r="M44" s="187"/>
      <c r="N44" s="117" t="s">
        <v>386</v>
      </c>
      <c r="O44" s="427"/>
      <c r="P44" s="117" t="s">
        <v>387</v>
      </c>
      <c r="Q44" s="426"/>
      <c r="R44" s="117" t="s">
        <v>388</v>
      </c>
      <c r="T44" s="364"/>
      <c r="V44" s="364"/>
      <c r="W44" s="364"/>
      <c r="X44" s="982"/>
      <c r="Y44" s="982"/>
      <c r="Z44" s="982"/>
      <c r="AA44" s="982"/>
      <c r="AB44" s="982"/>
      <c r="AC44" s="982"/>
      <c r="AD44" s="982"/>
      <c r="AE44" s="982"/>
      <c r="AF44" s="982" t="s">
        <v>121</v>
      </c>
      <c r="AG44" s="982" t="s">
        <v>148</v>
      </c>
      <c r="AH44" s="982" t="s">
        <v>122</v>
      </c>
      <c r="AI44" s="982" t="s">
        <v>1445</v>
      </c>
      <c r="AJ44" s="982" t="s">
        <v>1446</v>
      </c>
      <c r="AK44" s="982" t="s">
        <v>1447</v>
      </c>
      <c r="AL44" s="982" t="s">
        <v>1448</v>
      </c>
      <c r="AM44" s="982" t="s">
        <v>1449</v>
      </c>
      <c r="AN44" s="982" t="s">
        <v>1450</v>
      </c>
      <c r="AO44" s="982" t="s">
        <v>1451</v>
      </c>
      <c r="AP44" s="982" t="s">
        <v>1452</v>
      </c>
      <c r="AQ44" s="982" t="s">
        <v>1453</v>
      </c>
      <c r="AR44" s="982" t="s">
        <v>688</v>
      </c>
      <c r="AS44" s="982" t="s">
        <v>1454</v>
      </c>
      <c r="AT44" s="982" t="s">
        <v>1455</v>
      </c>
      <c r="AU44" s="982" t="s">
        <v>1456</v>
      </c>
      <c r="AV44" s="982" t="s">
        <v>1457</v>
      </c>
      <c r="AW44" s="982" t="s">
        <v>1458</v>
      </c>
      <c r="AX44" s="982" t="s">
        <v>1459</v>
      </c>
      <c r="AY44" s="982" t="s">
        <v>1460</v>
      </c>
      <c r="AZ44" s="982" t="s">
        <v>1461</v>
      </c>
      <c r="BA44" s="982" t="s">
        <v>1462</v>
      </c>
      <c r="BB44" s="982"/>
      <c r="BC44" s="982"/>
      <c r="BD44" s="982"/>
      <c r="BE44" s="982"/>
      <c r="BF44" s="982"/>
    </row>
    <row r="45" spans="1:58" ht="15" thickBot="1" x14ac:dyDescent="0.35">
      <c r="A45" s="89"/>
      <c r="B45" s="139" t="s">
        <v>389</v>
      </c>
      <c r="C45" s="126" t="s">
        <v>390</v>
      </c>
      <c r="D45" s="371"/>
      <c r="E45" s="183"/>
      <c r="F45" s="998" t="s">
        <v>391</v>
      </c>
      <c r="G45" s="183"/>
      <c r="H45" s="998" t="s">
        <v>392</v>
      </c>
      <c r="I45" s="177"/>
      <c r="J45" s="126" t="s">
        <v>393</v>
      </c>
      <c r="K45" s="183"/>
      <c r="L45" s="998" t="s">
        <v>394</v>
      </c>
      <c r="M45" s="189"/>
      <c r="N45" s="126" t="s">
        <v>395</v>
      </c>
      <c r="O45" s="178"/>
      <c r="P45" s="998" t="s">
        <v>396</v>
      </c>
      <c r="Q45" s="176"/>
      <c r="R45" s="993" t="s">
        <v>397</v>
      </c>
      <c r="T45" s="364"/>
      <c r="V45" s="364"/>
      <c r="W45" s="364"/>
      <c r="X45" s="982"/>
      <c r="Y45" s="982"/>
      <c r="Z45" s="982"/>
      <c r="AA45" s="982"/>
      <c r="AB45" s="982"/>
      <c r="AC45" s="982"/>
      <c r="AD45" s="982"/>
      <c r="AE45" s="982"/>
      <c r="AF45" s="982"/>
      <c r="AG45" s="982"/>
      <c r="AH45" s="982"/>
      <c r="AI45" s="982"/>
      <c r="AJ45" s="982"/>
      <c r="AK45" s="982" t="s">
        <v>1417</v>
      </c>
      <c r="AL45" s="982"/>
      <c r="AM45" s="982" t="s">
        <v>1418</v>
      </c>
      <c r="AN45" s="982" t="s">
        <v>1418</v>
      </c>
      <c r="AO45" s="982" t="s">
        <v>1418</v>
      </c>
      <c r="AP45" s="982" t="s">
        <v>1418</v>
      </c>
      <c r="AQ45" s="982" t="s">
        <v>1463</v>
      </c>
      <c r="AR45" s="982"/>
      <c r="AS45" s="982"/>
      <c r="AT45" s="982"/>
      <c r="AU45" s="982"/>
      <c r="AV45" s="982"/>
      <c r="AW45" s="982"/>
      <c r="AX45" s="982"/>
      <c r="AY45" s="982"/>
      <c r="AZ45" s="982"/>
      <c r="BA45" s="982"/>
      <c r="BB45" s="982"/>
      <c r="BC45" s="982"/>
      <c r="BD45" s="982"/>
      <c r="BE45" s="982"/>
      <c r="BF45" s="982"/>
    </row>
    <row r="46" spans="1:58" s="359" customFormat="1" ht="28.2" thickTop="1" x14ac:dyDescent="0.3">
      <c r="A46" s="373"/>
      <c r="B46" s="141" t="s">
        <v>1424</v>
      </c>
      <c r="C46" s="373" t="s">
        <v>1464</v>
      </c>
      <c r="D46" s="373" t="s">
        <v>137</v>
      </c>
      <c r="E46" s="973" t="str">
        <f>IF(F46=AG46,"x","")</f>
        <v>x</v>
      </c>
      <c r="F46" s="202" t="s">
        <v>399</v>
      </c>
      <c r="G46" s="973" t="str">
        <f>IF(ROUND(H46,2)=ROUND(AV46,2),"x","")</f>
        <v>x</v>
      </c>
      <c r="H46" s="202">
        <v>12.96</v>
      </c>
      <c r="I46" s="962" t="str">
        <f>IF(ROUND(J46,2)=ROUND(AX46,2),"x","")</f>
        <v>x</v>
      </c>
      <c r="J46" s="1">
        <v>15.12</v>
      </c>
      <c r="K46" s="403" t="s">
        <v>173</v>
      </c>
      <c r="L46" s="404" t="s">
        <v>173</v>
      </c>
      <c r="M46" s="411" t="s">
        <v>300</v>
      </c>
      <c r="N46" s="366" t="s">
        <v>400</v>
      </c>
      <c r="O46" s="649" t="s">
        <v>300</v>
      </c>
      <c r="P46" s="366" t="s">
        <v>401</v>
      </c>
      <c r="Q46" s="649" t="s">
        <v>300</v>
      </c>
      <c r="R46" s="633" t="s">
        <v>402</v>
      </c>
      <c r="S46" s="373"/>
      <c r="T46" s="373"/>
      <c r="U46" s="373"/>
      <c r="V46" s="373"/>
      <c r="W46" s="373"/>
      <c r="Y46" s="809"/>
      <c r="Z46" s="809"/>
      <c r="AA46" s="809"/>
      <c r="AB46" s="809"/>
      <c r="AC46" s="809"/>
      <c r="AD46" s="809"/>
      <c r="AE46" s="808" t="s">
        <v>1465</v>
      </c>
      <c r="AF46" s="949" t="s">
        <v>1464</v>
      </c>
      <c r="AG46" s="949" t="s">
        <v>399</v>
      </c>
      <c r="AH46" s="949" t="s">
        <v>137</v>
      </c>
      <c r="AI46" s="949" t="s">
        <v>703</v>
      </c>
      <c r="AJ46" s="949" t="s">
        <v>1424</v>
      </c>
      <c r="AK46" s="949">
        <v>1</v>
      </c>
      <c r="AL46" s="949" t="s">
        <v>311</v>
      </c>
      <c r="AM46" s="949">
        <v>252953</v>
      </c>
      <c r="AN46" s="949">
        <v>263908</v>
      </c>
      <c r="AO46" s="949" t="s">
        <v>1010</v>
      </c>
      <c r="AP46" s="949" t="s">
        <v>1010</v>
      </c>
      <c r="AQ46" s="949">
        <v>-99996</v>
      </c>
      <c r="AR46" s="949" t="s">
        <v>1466</v>
      </c>
      <c r="AS46" s="949">
        <v>1</v>
      </c>
      <c r="AT46" s="949">
        <v>-99996</v>
      </c>
      <c r="AU46" s="949">
        <v>-99996</v>
      </c>
      <c r="AV46" s="949">
        <v>12.96</v>
      </c>
      <c r="AW46" s="949">
        <v>9.8000000000000007</v>
      </c>
      <c r="AX46" s="949">
        <v>15.12</v>
      </c>
      <c r="AY46" s="949">
        <v>11.4</v>
      </c>
      <c r="AZ46" s="949">
        <v>0.21005299999999999</v>
      </c>
      <c r="BA46" s="949">
        <v>1.4065300000000001</v>
      </c>
    </row>
    <row r="47" spans="1:58" s="359" customFormat="1" ht="27.6" x14ac:dyDescent="0.3">
      <c r="A47" s="373"/>
      <c r="B47" s="141" t="s">
        <v>1430</v>
      </c>
      <c r="C47" s="373" t="s">
        <v>1467</v>
      </c>
      <c r="D47" s="373" t="s">
        <v>137</v>
      </c>
      <c r="E47" s="973" t="str">
        <f t="shared" ref="E47:E51" si="10">IF(F47=AG47,"x","")</f>
        <v>x</v>
      </c>
      <c r="F47" s="202" t="s">
        <v>399</v>
      </c>
      <c r="G47" s="973" t="str">
        <f t="shared" ref="G47:G51" si="11">IF(ROUND(H47,2)=ROUND(AV47,2),"x","")</f>
        <v>x</v>
      </c>
      <c r="H47" s="202">
        <v>12.96</v>
      </c>
      <c r="I47" s="962" t="str">
        <f t="shared" ref="I47:I50" si="12">IF(ROUND(J47,2)=ROUND(AX47,2),"x","")</f>
        <v>x</v>
      </c>
      <c r="J47" s="1">
        <v>15.12</v>
      </c>
      <c r="K47" s="403" t="s">
        <v>173</v>
      </c>
      <c r="L47" s="404" t="s">
        <v>173</v>
      </c>
      <c r="M47" s="412" t="s">
        <v>300</v>
      </c>
      <c r="N47" s="366" t="s">
        <v>400</v>
      </c>
      <c r="O47" s="650" t="s">
        <v>300</v>
      </c>
      <c r="P47" s="366" t="s">
        <v>401</v>
      </c>
      <c r="Q47" s="650" t="s">
        <v>300</v>
      </c>
      <c r="R47" s="362" t="s">
        <v>402</v>
      </c>
      <c r="S47" s="373"/>
      <c r="T47" s="373"/>
      <c r="U47" s="373"/>
      <c r="V47" s="373"/>
      <c r="W47" s="373"/>
      <c r="AF47" s="949" t="s">
        <v>1467</v>
      </c>
      <c r="AG47" s="949" t="s">
        <v>399</v>
      </c>
      <c r="AH47" s="949" t="s">
        <v>137</v>
      </c>
      <c r="AI47" s="949" t="s">
        <v>703</v>
      </c>
      <c r="AJ47" s="949" t="s">
        <v>1430</v>
      </c>
      <c r="AK47" s="949">
        <v>1</v>
      </c>
      <c r="AL47" s="949" t="s">
        <v>311</v>
      </c>
      <c r="AM47" s="949">
        <v>325500</v>
      </c>
      <c r="AN47" s="949">
        <v>339598</v>
      </c>
      <c r="AO47" s="949" t="s">
        <v>1010</v>
      </c>
      <c r="AP47" s="949" t="s">
        <v>1010</v>
      </c>
      <c r="AQ47" s="949">
        <v>-99996</v>
      </c>
      <c r="AR47" s="949" t="s">
        <v>1466</v>
      </c>
      <c r="AS47" s="949">
        <v>1</v>
      </c>
      <c r="AT47" s="949">
        <v>-99996</v>
      </c>
      <c r="AU47" s="949">
        <v>-99996</v>
      </c>
      <c r="AV47" s="949">
        <v>12.96</v>
      </c>
      <c r="AW47" s="949">
        <v>9.8000000000000007</v>
      </c>
      <c r="AX47" s="949">
        <v>15.12</v>
      </c>
      <c r="AY47" s="949">
        <v>11.4</v>
      </c>
      <c r="AZ47" s="949">
        <v>0.21005299999999999</v>
      </c>
      <c r="BA47" s="949">
        <v>1.61737</v>
      </c>
    </row>
    <row r="48" spans="1:58" s="359" customFormat="1" ht="27.6" x14ac:dyDescent="0.3">
      <c r="A48" s="373"/>
      <c r="B48" s="141" t="s">
        <v>1432</v>
      </c>
      <c r="C48" s="373" t="s">
        <v>1468</v>
      </c>
      <c r="D48" s="373" t="s">
        <v>137</v>
      </c>
      <c r="E48" s="973" t="str">
        <f t="shared" si="10"/>
        <v>x</v>
      </c>
      <c r="F48" s="202" t="s">
        <v>399</v>
      </c>
      <c r="G48" s="973" t="str">
        <f t="shared" si="11"/>
        <v>x</v>
      </c>
      <c r="H48" s="202">
        <v>13.65</v>
      </c>
      <c r="I48" s="962" t="str">
        <f t="shared" si="12"/>
        <v>x</v>
      </c>
      <c r="J48" s="1">
        <v>15.7</v>
      </c>
      <c r="K48" s="403" t="s">
        <v>173</v>
      </c>
      <c r="L48" s="404" t="s">
        <v>173</v>
      </c>
      <c r="M48" s="412" t="s">
        <v>300</v>
      </c>
      <c r="N48" s="366" t="s">
        <v>400</v>
      </c>
      <c r="O48" s="650" t="s">
        <v>300</v>
      </c>
      <c r="P48" s="366" t="s">
        <v>401</v>
      </c>
      <c r="Q48" s="650" t="s">
        <v>300</v>
      </c>
      <c r="R48" s="362" t="s">
        <v>402</v>
      </c>
      <c r="S48" s="373"/>
      <c r="T48" s="373"/>
      <c r="U48" s="373"/>
      <c r="V48" s="373"/>
      <c r="W48" s="373"/>
      <c r="AF48" s="949" t="s">
        <v>1468</v>
      </c>
      <c r="AG48" s="949" t="s">
        <v>399</v>
      </c>
      <c r="AH48" s="949" t="s">
        <v>137</v>
      </c>
      <c r="AI48" s="949" t="s">
        <v>703</v>
      </c>
      <c r="AJ48" s="949" t="s">
        <v>1432</v>
      </c>
      <c r="AK48" s="949">
        <v>1</v>
      </c>
      <c r="AL48" s="949" t="s">
        <v>1469</v>
      </c>
      <c r="AM48" s="963">
        <v>1404000</v>
      </c>
      <c r="AN48" s="963">
        <v>1464810</v>
      </c>
      <c r="AO48" s="949" t="s">
        <v>1010</v>
      </c>
      <c r="AP48" s="949" t="s">
        <v>1010</v>
      </c>
      <c r="AQ48" s="949">
        <v>-99996</v>
      </c>
      <c r="AR48" s="949" t="s">
        <v>1466</v>
      </c>
      <c r="AS48" s="949">
        <v>1</v>
      </c>
      <c r="AT48" s="949">
        <v>-99996</v>
      </c>
      <c r="AU48" s="949">
        <v>-99996</v>
      </c>
      <c r="AV48" s="949">
        <v>13.65</v>
      </c>
      <c r="AW48" s="949">
        <v>9.6999999999999993</v>
      </c>
      <c r="AX48" s="949">
        <v>15.7</v>
      </c>
      <c r="AY48" s="949">
        <v>11.2</v>
      </c>
      <c r="AZ48" s="949">
        <v>0.19719999999999999</v>
      </c>
      <c r="BA48" s="949">
        <v>1.65358</v>
      </c>
    </row>
    <row r="49" spans="1:57" s="359" customFormat="1" ht="27.6" x14ac:dyDescent="0.3">
      <c r="A49" s="373"/>
      <c r="B49" s="141" t="s">
        <v>1436</v>
      </c>
      <c r="C49" s="373" t="s">
        <v>1470</v>
      </c>
      <c r="D49" s="373" t="s">
        <v>137</v>
      </c>
      <c r="E49" s="973" t="str">
        <f t="shared" si="10"/>
        <v>x</v>
      </c>
      <c r="F49" s="202" t="s">
        <v>399</v>
      </c>
      <c r="G49" s="973" t="str">
        <f t="shared" si="11"/>
        <v>x</v>
      </c>
      <c r="H49" s="202">
        <v>13.65</v>
      </c>
      <c r="I49" s="962" t="str">
        <f t="shared" si="12"/>
        <v>x</v>
      </c>
      <c r="J49" s="1">
        <v>15.7</v>
      </c>
      <c r="K49" s="403" t="s">
        <v>173</v>
      </c>
      <c r="L49" s="404" t="s">
        <v>173</v>
      </c>
      <c r="M49" s="412" t="s">
        <v>300</v>
      </c>
      <c r="N49" s="366" t="s">
        <v>400</v>
      </c>
      <c r="O49" s="650" t="s">
        <v>300</v>
      </c>
      <c r="P49" s="366" t="s">
        <v>401</v>
      </c>
      <c r="Q49" s="650" t="s">
        <v>300</v>
      </c>
      <c r="R49" s="362" t="s">
        <v>402</v>
      </c>
      <c r="S49" s="373"/>
      <c r="T49" s="373"/>
      <c r="U49" s="373"/>
      <c r="V49" s="373"/>
      <c r="W49" s="373"/>
      <c r="AF49" s="949" t="s">
        <v>1470</v>
      </c>
      <c r="AG49" s="949" t="s">
        <v>399</v>
      </c>
      <c r="AH49" s="949" t="s">
        <v>137</v>
      </c>
      <c r="AI49" s="949" t="s">
        <v>703</v>
      </c>
      <c r="AJ49" s="949" t="s">
        <v>1436</v>
      </c>
      <c r="AK49" s="949">
        <v>1</v>
      </c>
      <c r="AL49" s="949" t="s">
        <v>1469</v>
      </c>
      <c r="AM49" s="963">
        <v>1404000</v>
      </c>
      <c r="AN49" s="963">
        <v>1464810</v>
      </c>
      <c r="AO49" s="949" t="s">
        <v>1010</v>
      </c>
      <c r="AP49" s="949" t="s">
        <v>1010</v>
      </c>
      <c r="AQ49" s="949">
        <v>-99996</v>
      </c>
      <c r="AR49" s="949" t="s">
        <v>1466</v>
      </c>
      <c r="AS49" s="949">
        <v>1</v>
      </c>
      <c r="AT49" s="949">
        <v>-99996</v>
      </c>
      <c r="AU49" s="949">
        <v>-99996</v>
      </c>
      <c r="AV49" s="949">
        <v>13.65</v>
      </c>
      <c r="AW49" s="949">
        <v>9.6999999999999993</v>
      </c>
      <c r="AX49" s="949">
        <v>15.7</v>
      </c>
      <c r="AY49" s="949">
        <v>11.2</v>
      </c>
      <c r="AZ49" s="949">
        <v>0.19719999999999999</v>
      </c>
      <c r="BA49" s="949">
        <v>1.6567799999999999</v>
      </c>
    </row>
    <row r="50" spans="1:57" s="357" customFormat="1" ht="27.6" x14ac:dyDescent="0.3">
      <c r="A50" s="89"/>
      <c r="B50" s="141" t="s">
        <v>1438</v>
      </c>
      <c r="C50" s="373" t="s">
        <v>1471</v>
      </c>
      <c r="D50" s="373" t="s">
        <v>137</v>
      </c>
      <c r="E50" s="973" t="str">
        <f t="shared" si="10"/>
        <v>x</v>
      </c>
      <c r="F50" s="202" t="s">
        <v>399</v>
      </c>
      <c r="G50" s="973" t="str">
        <f t="shared" si="11"/>
        <v>x</v>
      </c>
      <c r="H50" s="202">
        <v>13.65</v>
      </c>
      <c r="I50" s="962" t="str">
        <f t="shared" si="12"/>
        <v>x</v>
      </c>
      <c r="J50" s="1">
        <v>15.7</v>
      </c>
      <c r="K50" s="403" t="s">
        <v>173</v>
      </c>
      <c r="L50" s="404" t="s">
        <v>173</v>
      </c>
      <c r="M50" s="412" t="s">
        <v>300</v>
      </c>
      <c r="N50" s="366" t="s">
        <v>400</v>
      </c>
      <c r="O50" s="650" t="s">
        <v>300</v>
      </c>
      <c r="P50" s="366" t="s">
        <v>401</v>
      </c>
      <c r="Q50" s="650" t="s">
        <v>300</v>
      </c>
      <c r="R50" s="362" t="s">
        <v>402</v>
      </c>
      <c r="S50" s="364"/>
      <c r="T50" s="364"/>
      <c r="U50" s="364"/>
      <c r="V50" s="364"/>
      <c r="W50" s="364"/>
      <c r="AF50" s="949" t="s">
        <v>1471</v>
      </c>
      <c r="AG50" s="949" t="s">
        <v>399</v>
      </c>
      <c r="AH50" s="949" t="s">
        <v>137</v>
      </c>
      <c r="AI50" s="949" t="s">
        <v>703</v>
      </c>
      <c r="AJ50" s="949" t="s">
        <v>1438</v>
      </c>
      <c r="AK50" s="949">
        <v>1</v>
      </c>
      <c r="AL50" s="949" t="s">
        <v>1469</v>
      </c>
      <c r="AM50" s="963">
        <v>1404000</v>
      </c>
      <c r="AN50" s="963">
        <v>1464810</v>
      </c>
      <c r="AO50" s="949" t="s">
        <v>1010</v>
      </c>
      <c r="AP50" s="949" t="s">
        <v>1010</v>
      </c>
      <c r="AQ50" s="949">
        <v>-99996</v>
      </c>
      <c r="AR50" s="949" t="s">
        <v>1466</v>
      </c>
      <c r="AS50" s="949">
        <v>1</v>
      </c>
      <c r="AT50" s="949">
        <v>-99996</v>
      </c>
      <c r="AU50" s="949">
        <v>-99996</v>
      </c>
      <c r="AV50" s="949">
        <v>13.65</v>
      </c>
      <c r="AW50" s="949">
        <v>9.6999999999999993</v>
      </c>
      <c r="AX50" s="949">
        <v>15.7</v>
      </c>
      <c r="AY50" s="949">
        <v>11.2</v>
      </c>
      <c r="AZ50" s="949">
        <v>0.19719999999999999</v>
      </c>
      <c r="BA50" s="949">
        <v>1.57877</v>
      </c>
    </row>
    <row r="51" spans="1:57" s="357" customFormat="1" ht="27.6" x14ac:dyDescent="0.3">
      <c r="A51" s="89"/>
      <c r="B51" s="309" t="s">
        <v>351</v>
      </c>
      <c r="C51" s="165" t="s">
        <v>398</v>
      </c>
      <c r="D51" s="165" t="s">
        <v>137</v>
      </c>
      <c r="E51" s="974" t="str">
        <f t="shared" si="10"/>
        <v>x</v>
      </c>
      <c r="F51" s="204" t="s">
        <v>399</v>
      </c>
      <c r="G51" s="974" t="str">
        <f t="shared" si="11"/>
        <v>x</v>
      </c>
      <c r="H51" s="204">
        <v>9.8000000000000007</v>
      </c>
      <c r="I51" s="405" t="s">
        <v>173</v>
      </c>
      <c r="J51" s="406" t="s">
        <v>173</v>
      </c>
      <c r="K51" s="405"/>
      <c r="L51" s="406"/>
      <c r="M51" s="410" t="s">
        <v>300</v>
      </c>
      <c r="N51" s="167" t="s">
        <v>400</v>
      </c>
      <c r="O51" s="825" t="s">
        <v>300</v>
      </c>
      <c r="P51" s="167" t="s">
        <v>401</v>
      </c>
      <c r="Q51" s="825" t="s">
        <v>300</v>
      </c>
      <c r="R51" s="172" t="s">
        <v>782</v>
      </c>
      <c r="S51" s="364"/>
      <c r="T51" s="364"/>
      <c r="U51" s="364"/>
      <c r="V51" s="364"/>
      <c r="W51" s="364"/>
      <c r="AF51" s="949" t="s">
        <v>398</v>
      </c>
      <c r="AG51" s="949" t="s">
        <v>399</v>
      </c>
      <c r="AH51" s="949" t="s">
        <v>137</v>
      </c>
      <c r="AI51" s="949" t="s">
        <v>703</v>
      </c>
      <c r="AJ51" s="949" t="s">
        <v>351</v>
      </c>
      <c r="AK51" s="949">
        <v>1</v>
      </c>
      <c r="AL51" s="949" t="s">
        <v>311</v>
      </c>
      <c r="AM51" s="949">
        <v>270850</v>
      </c>
      <c r="AN51" s="949">
        <v>282581</v>
      </c>
      <c r="AO51" s="949" t="s">
        <v>1010</v>
      </c>
      <c r="AP51" s="949" t="s">
        <v>1010</v>
      </c>
      <c r="AQ51" s="949">
        <v>-99996</v>
      </c>
      <c r="AR51" s="949" t="s">
        <v>1466</v>
      </c>
      <c r="AS51" s="949">
        <v>2</v>
      </c>
      <c r="AT51" s="949">
        <v>-99996</v>
      </c>
      <c r="AU51" s="949">
        <v>-99996</v>
      </c>
      <c r="AV51" s="949">
        <v>9.8000000000000007</v>
      </c>
      <c r="AW51" s="949">
        <v>-99996</v>
      </c>
      <c r="AX51" s="949">
        <v>-99996</v>
      </c>
      <c r="AY51" s="949">
        <v>-99996</v>
      </c>
      <c r="AZ51" s="949">
        <v>0.29219699999999998</v>
      </c>
      <c r="BA51" s="949">
        <v>1.1499999999999999</v>
      </c>
    </row>
    <row r="52" spans="1:57" x14ac:dyDescent="0.3">
      <c r="A52" s="89"/>
      <c r="B52" s="84"/>
      <c r="C52" s="82"/>
      <c r="D52" s="89"/>
      <c r="E52" s="91"/>
      <c r="F52" s="89"/>
      <c r="G52" s="91"/>
      <c r="H52" s="89"/>
      <c r="I52" s="91"/>
      <c r="J52" s="89"/>
      <c r="K52" s="30"/>
      <c r="L52" s="364"/>
      <c r="N52" s="364"/>
      <c r="P52" s="364"/>
      <c r="R52" s="364"/>
      <c r="T52" s="364"/>
      <c r="V52" s="982"/>
      <c r="W52" s="982"/>
      <c r="X52" s="982"/>
      <c r="Y52" s="982"/>
      <c r="Z52" s="982"/>
      <c r="AA52" s="982"/>
      <c r="AB52" s="982"/>
      <c r="AC52" s="982"/>
      <c r="AD52" s="982"/>
      <c r="AE52" s="982"/>
      <c r="AF52" s="369" t="s">
        <v>1472</v>
      </c>
      <c r="AG52" s="982"/>
      <c r="AH52" s="982"/>
      <c r="AI52" s="982"/>
      <c r="AJ52" s="982"/>
      <c r="AK52" s="982"/>
      <c r="AL52" s="982"/>
      <c r="AM52" s="982"/>
      <c r="AN52" s="982"/>
      <c r="AO52" s="982"/>
      <c r="AP52" s="982"/>
      <c r="AQ52" s="982"/>
      <c r="AR52" s="982"/>
      <c r="AS52" s="982"/>
      <c r="AT52" s="982"/>
      <c r="AU52" s="982"/>
      <c r="AV52" s="982"/>
      <c r="AW52" s="982"/>
      <c r="AX52" s="982"/>
      <c r="AY52" s="982"/>
      <c r="AZ52" s="982"/>
      <c r="BA52" s="982"/>
      <c r="BB52" s="982"/>
      <c r="BC52" s="982"/>
      <c r="BD52" s="982"/>
      <c r="BE52" s="982"/>
    </row>
    <row r="53" spans="1:57" x14ac:dyDescent="0.3">
      <c r="G53" s="364"/>
      <c r="H53" s="92"/>
      <c r="S53" s="982"/>
      <c r="T53" s="982"/>
      <c r="U53" s="982"/>
      <c r="V53" s="982"/>
      <c r="W53" s="982"/>
      <c r="X53" s="982"/>
      <c r="Y53" s="982"/>
      <c r="Z53" s="982"/>
      <c r="AA53" s="982"/>
      <c r="AB53" s="982"/>
      <c r="AC53" s="982"/>
      <c r="AD53" s="982"/>
      <c r="AE53" s="982"/>
      <c r="AF53" s="982"/>
      <c r="AG53" s="982"/>
      <c r="AH53" s="982"/>
      <c r="AI53" s="982"/>
      <c r="AJ53" s="982" t="s">
        <v>1443</v>
      </c>
      <c r="AK53" s="982"/>
      <c r="AL53" s="982"/>
      <c r="AM53" s="982" t="s">
        <v>1444</v>
      </c>
      <c r="AN53" s="982"/>
      <c r="AO53" s="982" t="s">
        <v>423</v>
      </c>
      <c r="AP53" s="982"/>
      <c r="AQ53" s="982"/>
      <c r="AR53" s="982" t="s">
        <v>1333</v>
      </c>
      <c r="AS53" s="982"/>
      <c r="AT53" s="982"/>
      <c r="AU53" s="982"/>
      <c r="AV53" s="982"/>
      <c r="AW53" s="982"/>
      <c r="AX53" s="982"/>
      <c r="AY53" s="982"/>
      <c r="AZ53" s="982"/>
      <c r="BA53" s="982" t="s">
        <v>788</v>
      </c>
      <c r="BB53" s="982"/>
      <c r="BC53" s="982"/>
      <c r="BD53" s="982"/>
      <c r="BE53" s="982"/>
    </row>
    <row r="54" spans="1:57" x14ac:dyDescent="0.3">
      <c r="A54" s="89"/>
      <c r="B54" s="115" t="s">
        <v>331</v>
      </c>
      <c r="C54" s="123" t="s">
        <v>413</v>
      </c>
      <c r="D54" s="119" t="s">
        <v>122</v>
      </c>
      <c r="E54" s="182"/>
      <c r="F54" s="117" t="s">
        <v>414</v>
      </c>
      <c r="G54" s="364"/>
      <c r="H54" s="381"/>
      <c r="L54" s="364"/>
      <c r="N54" s="364"/>
      <c r="P54" s="364"/>
      <c r="R54" s="364"/>
      <c r="S54" s="982"/>
      <c r="T54" s="982"/>
      <c r="U54" s="982"/>
      <c r="V54" s="982"/>
      <c r="W54" s="982"/>
      <c r="X54" s="982"/>
      <c r="Y54" s="982"/>
      <c r="Z54" s="982"/>
      <c r="AA54" s="982"/>
      <c r="AB54" s="982"/>
      <c r="AC54" s="982"/>
      <c r="AD54" s="982"/>
      <c r="AE54" s="982"/>
      <c r="AF54" s="982" t="s">
        <v>121</v>
      </c>
      <c r="AG54" s="982" t="s">
        <v>148</v>
      </c>
      <c r="AH54" s="982" t="s">
        <v>122</v>
      </c>
      <c r="AI54" s="982" t="s">
        <v>1445</v>
      </c>
      <c r="AJ54" s="982" t="s">
        <v>1446</v>
      </c>
      <c r="AK54" s="982" t="s">
        <v>1447</v>
      </c>
      <c r="AL54" s="982" t="s">
        <v>1448</v>
      </c>
      <c r="AM54" s="982" t="s">
        <v>1449</v>
      </c>
      <c r="AN54" s="982" t="s">
        <v>1450</v>
      </c>
      <c r="AO54" s="982" t="s">
        <v>1473</v>
      </c>
      <c r="AP54" s="982" t="s">
        <v>1474</v>
      </c>
      <c r="AQ54" s="982" t="s">
        <v>1453</v>
      </c>
      <c r="AR54" s="982" t="s">
        <v>688</v>
      </c>
      <c r="AS54" s="982" t="s">
        <v>1454</v>
      </c>
      <c r="AT54" s="982" t="s">
        <v>1475</v>
      </c>
      <c r="AU54" s="982" t="s">
        <v>1476</v>
      </c>
      <c r="AV54" s="982" t="s">
        <v>1477</v>
      </c>
      <c r="AW54" s="982" t="s">
        <v>1478</v>
      </c>
      <c r="AX54" s="982" t="s">
        <v>1461</v>
      </c>
      <c r="AY54" s="982" t="s">
        <v>1479</v>
      </c>
      <c r="AZ54" s="982" t="s">
        <v>1480</v>
      </c>
      <c r="BA54" s="982" t="s">
        <v>1481</v>
      </c>
      <c r="BB54" s="982" t="s">
        <v>1482</v>
      </c>
      <c r="BC54" s="982" t="s">
        <v>1483</v>
      </c>
      <c r="BD54" s="982" t="s">
        <v>1484</v>
      </c>
      <c r="BE54" s="982" t="s">
        <v>1485</v>
      </c>
    </row>
    <row r="55" spans="1:57" ht="15" thickBot="1" x14ac:dyDescent="0.35">
      <c r="A55" s="89"/>
      <c r="B55" s="139" t="s">
        <v>417</v>
      </c>
      <c r="C55" s="126" t="s">
        <v>418</v>
      </c>
      <c r="D55" s="176"/>
      <c r="E55" s="183"/>
      <c r="F55" s="998" t="s">
        <v>419</v>
      </c>
      <c r="G55" s="364"/>
      <c r="H55" s="381"/>
      <c r="L55" s="364"/>
      <c r="N55" s="364"/>
      <c r="P55" s="364"/>
      <c r="R55" s="364"/>
      <c r="S55" s="982"/>
      <c r="T55" s="982"/>
      <c r="U55" s="982"/>
      <c r="V55" s="982"/>
      <c r="W55" s="982"/>
      <c r="X55" s="982"/>
      <c r="Y55" s="982"/>
      <c r="Z55" s="982"/>
      <c r="AA55" s="982"/>
      <c r="AB55" s="982"/>
      <c r="AC55" s="982"/>
      <c r="AD55" s="982"/>
      <c r="AE55" s="982"/>
      <c r="AF55" s="982"/>
      <c r="AG55" s="982"/>
      <c r="AH55" s="982"/>
      <c r="AI55" s="982"/>
      <c r="AJ55" s="982"/>
      <c r="AK55" s="982" t="s">
        <v>1417</v>
      </c>
      <c r="AL55" s="982"/>
      <c r="AM55" s="982" t="s">
        <v>1418</v>
      </c>
      <c r="AN55" s="982" t="s">
        <v>1418</v>
      </c>
      <c r="AO55" s="982"/>
      <c r="AP55" s="982"/>
      <c r="AQ55" s="982" t="s">
        <v>1486</v>
      </c>
      <c r="AR55" s="982"/>
      <c r="AS55" s="982"/>
      <c r="AT55" s="982"/>
      <c r="AU55" s="982"/>
      <c r="AV55" s="982"/>
      <c r="AW55" s="982"/>
      <c r="AX55" s="982"/>
      <c r="AY55" s="982" t="s">
        <v>1487</v>
      </c>
      <c r="AZ55" s="982" t="s">
        <v>1488</v>
      </c>
      <c r="BA55" s="982"/>
      <c r="BB55" s="982"/>
      <c r="BC55" s="982"/>
      <c r="BD55" s="982"/>
      <c r="BE55" s="982"/>
    </row>
    <row r="56" spans="1:57" s="359" customFormat="1" ht="15" thickTop="1" x14ac:dyDescent="0.3">
      <c r="A56" s="373"/>
      <c r="B56" s="141" t="s">
        <v>1424</v>
      </c>
      <c r="C56" s="373" t="s">
        <v>1489</v>
      </c>
      <c r="D56" s="373" t="s">
        <v>137</v>
      </c>
      <c r="E56" s="975" t="str">
        <f>IF(F56=AG56,"x","")</f>
        <v>x</v>
      </c>
      <c r="F56" s="266" t="s">
        <v>423</v>
      </c>
      <c r="G56" s="373"/>
      <c r="H56" s="381"/>
      <c r="I56" s="373"/>
      <c r="J56" s="366"/>
      <c r="K56" s="373"/>
      <c r="L56" s="373"/>
      <c r="M56" s="373"/>
      <c r="N56" s="373"/>
      <c r="O56" s="373"/>
      <c r="P56" s="373"/>
      <c r="Q56" s="373"/>
      <c r="R56" s="373"/>
      <c r="Y56" s="809"/>
      <c r="Z56" s="809"/>
      <c r="AA56" s="809"/>
      <c r="AB56" s="809"/>
      <c r="AC56" s="809"/>
      <c r="AD56" s="809"/>
      <c r="AE56" s="808" t="s">
        <v>1490</v>
      </c>
      <c r="AF56" s="949" t="s">
        <v>1489</v>
      </c>
      <c r="AG56" s="949" t="s">
        <v>423</v>
      </c>
      <c r="AH56" s="949" t="s">
        <v>137</v>
      </c>
      <c r="AI56" s="949" t="s">
        <v>203</v>
      </c>
      <c r="AJ56" s="949" t="s">
        <v>1424</v>
      </c>
      <c r="AK56" s="949">
        <v>1</v>
      </c>
      <c r="AL56" s="949" t="s">
        <v>311</v>
      </c>
      <c r="AM56" s="949">
        <v>46138.6</v>
      </c>
      <c r="AN56" s="949">
        <v>46138.6</v>
      </c>
      <c r="AO56" s="949" t="s">
        <v>1491</v>
      </c>
      <c r="AP56" s="949" t="s">
        <v>1492</v>
      </c>
      <c r="AQ56" s="949">
        <v>2.3060499999999999</v>
      </c>
      <c r="AR56" s="949" t="s">
        <v>311</v>
      </c>
      <c r="AS56" s="949">
        <v>-99996</v>
      </c>
      <c r="AT56" s="949">
        <v>-99996</v>
      </c>
      <c r="AU56" s="949">
        <v>-99996</v>
      </c>
      <c r="AV56" s="949">
        <v>-99996</v>
      </c>
      <c r="AW56" s="949">
        <v>-99996</v>
      </c>
      <c r="AX56" s="949">
        <v>-99996</v>
      </c>
      <c r="AY56" s="949">
        <v>-99996</v>
      </c>
      <c r="AZ56" s="949">
        <v>-99996</v>
      </c>
      <c r="BA56" s="949">
        <v>-99996</v>
      </c>
      <c r="BB56" s="949">
        <v>-99996</v>
      </c>
      <c r="BC56" s="949">
        <v>-99996</v>
      </c>
      <c r="BD56" s="949">
        <v>-99996</v>
      </c>
      <c r="BE56" s="949">
        <v>3.2624200000000001</v>
      </c>
    </row>
    <row r="57" spans="1:57" s="359" customFormat="1" ht="13.8" x14ac:dyDescent="0.3">
      <c r="A57" s="373"/>
      <c r="B57" s="141" t="s">
        <v>1430</v>
      </c>
      <c r="C57" s="373" t="s">
        <v>1493</v>
      </c>
      <c r="D57" s="373" t="s">
        <v>137</v>
      </c>
      <c r="E57" s="973" t="str">
        <f>IF(F57=AG61,"x","")</f>
        <v>x</v>
      </c>
      <c r="F57" s="266" t="s">
        <v>423</v>
      </c>
      <c r="G57" s="373"/>
      <c r="H57" s="381"/>
      <c r="I57" s="373"/>
      <c r="J57" s="366"/>
      <c r="K57" s="373"/>
      <c r="L57" s="373"/>
      <c r="M57" s="373"/>
      <c r="N57" s="373"/>
      <c r="O57" s="373"/>
      <c r="P57" s="373"/>
      <c r="Q57" s="373"/>
      <c r="R57" s="373"/>
      <c r="AF57" s="949" t="s">
        <v>1494</v>
      </c>
      <c r="AG57" s="949" t="s">
        <v>423</v>
      </c>
      <c r="AH57" s="949" t="s">
        <v>137</v>
      </c>
      <c r="AI57" s="949" t="s">
        <v>203</v>
      </c>
      <c r="AJ57" s="949" t="s">
        <v>1424</v>
      </c>
      <c r="AK57" s="949">
        <v>1</v>
      </c>
      <c r="AL57" s="949" t="s">
        <v>1162</v>
      </c>
      <c r="AM57" s="949">
        <v>17784</v>
      </c>
      <c r="AN57" s="949">
        <v>17784</v>
      </c>
      <c r="AO57" s="949" t="s">
        <v>1491</v>
      </c>
      <c r="AP57" s="949" t="s">
        <v>1492</v>
      </c>
      <c r="AQ57" s="949">
        <v>0.88886200000000004</v>
      </c>
      <c r="AR57" s="949" t="s">
        <v>311</v>
      </c>
      <c r="AS57" s="949">
        <v>-99996</v>
      </c>
      <c r="AT57" s="949">
        <v>-99996</v>
      </c>
      <c r="AU57" s="949">
        <v>-99996</v>
      </c>
      <c r="AV57" s="949">
        <v>-99996</v>
      </c>
      <c r="AW57" s="949">
        <v>-99996</v>
      </c>
      <c r="AX57" s="949">
        <v>-99996</v>
      </c>
      <c r="AY57" s="949">
        <v>-99996</v>
      </c>
      <c r="AZ57" s="949">
        <v>-99996</v>
      </c>
      <c r="BA57" s="949">
        <v>-99996</v>
      </c>
      <c r="BB57" s="949">
        <v>-99996</v>
      </c>
      <c r="BC57" s="949">
        <v>-99996</v>
      </c>
      <c r="BD57" s="949">
        <v>-99996</v>
      </c>
      <c r="BE57" s="949">
        <v>1.01305</v>
      </c>
    </row>
    <row r="58" spans="1:57" s="359" customFormat="1" ht="13.8" x14ac:dyDescent="0.3">
      <c r="A58" s="373"/>
      <c r="B58" s="141" t="s">
        <v>1495</v>
      </c>
      <c r="C58" s="373" t="s">
        <v>1496</v>
      </c>
      <c r="D58" s="373" t="s">
        <v>137</v>
      </c>
      <c r="E58" s="973" t="str">
        <f>IF(F58=AG66,"x","")</f>
        <v>x</v>
      </c>
      <c r="F58" s="266" t="s">
        <v>423</v>
      </c>
      <c r="G58" s="373"/>
      <c r="H58" s="381"/>
      <c r="I58" s="373"/>
      <c r="J58" s="366"/>
      <c r="K58" s="373"/>
      <c r="L58" s="373"/>
      <c r="M58" s="373"/>
      <c r="N58" s="373"/>
      <c r="O58" s="373"/>
      <c r="P58" s="373"/>
      <c r="Q58" s="373"/>
      <c r="R58" s="373"/>
      <c r="AF58" s="949" t="s">
        <v>1497</v>
      </c>
      <c r="AG58" s="949" t="s">
        <v>423</v>
      </c>
      <c r="AH58" s="949" t="s">
        <v>137</v>
      </c>
      <c r="AI58" s="949" t="s">
        <v>203</v>
      </c>
      <c r="AJ58" s="949" t="s">
        <v>1424</v>
      </c>
      <c r="AK58" s="949">
        <v>1</v>
      </c>
      <c r="AL58" s="949" t="s">
        <v>1163</v>
      </c>
      <c r="AM58" s="949">
        <v>10944</v>
      </c>
      <c r="AN58" s="949">
        <v>10944</v>
      </c>
      <c r="AO58" s="949" t="s">
        <v>1491</v>
      </c>
      <c r="AP58" s="949" t="s">
        <v>1492</v>
      </c>
      <c r="AQ58" s="949">
        <v>0.54699200000000003</v>
      </c>
      <c r="AR58" s="949" t="s">
        <v>311</v>
      </c>
      <c r="AS58" s="949">
        <v>-99996</v>
      </c>
      <c r="AT58" s="949">
        <v>-99996</v>
      </c>
      <c r="AU58" s="949">
        <v>-99996</v>
      </c>
      <c r="AV58" s="949">
        <v>-99996</v>
      </c>
      <c r="AW58" s="949">
        <v>-99996</v>
      </c>
      <c r="AX58" s="949">
        <v>-99996</v>
      </c>
      <c r="AY58" s="949">
        <v>-99996</v>
      </c>
      <c r="AZ58" s="949">
        <v>-99996</v>
      </c>
      <c r="BA58" s="949">
        <v>-99996</v>
      </c>
      <c r="BB58" s="949">
        <v>-99996</v>
      </c>
      <c r="BC58" s="949">
        <v>-99996</v>
      </c>
      <c r="BD58" s="949">
        <v>-99996</v>
      </c>
      <c r="BE58" s="949">
        <v>0.96229799999999999</v>
      </c>
    </row>
    <row r="59" spans="1:57" s="359" customFormat="1" ht="13.8" x14ac:dyDescent="0.3">
      <c r="A59" s="373"/>
      <c r="B59" s="141" t="s">
        <v>1424</v>
      </c>
      <c r="C59" s="373" t="s">
        <v>427</v>
      </c>
      <c r="D59" s="373" t="s">
        <v>137</v>
      </c>
      <c r="E59" s="973" t="str">
        <f>IF(F59=AG57,"x","")</f>
        <v>x</v>
      </c>
      <c r="F59" s="266" t="s">
        <v>423</v>
      </c>
      <c r="G59" s="373"/>
      <c r="H59" s="381"/>
      <c r="I59" s="373"/>
      <c r="J59" s="366"/>
      <c r="K59" s="373"/>
      <c r="L59" s="373"/>
      <c r="M59" s="373"/>
      <c r="N59" s="373"/>
      <c r="O59" s="373"/>
      <c r="P59" s="373"/>
      <c r="Q59" s="373"/>
      <c r="R59" s="373"/>
      <c r="AF59" s="949" t="s">
        <v>1498</v>
      </c>
      <c r="AG59" s="949" t="s">
        <v>423</v>
      </c>
      <c r="AH59" s="949" t="s">
        <v>137</v>
      </c>
      <c r="AI59" s="949" t="s">
        <v>203</v>
      </c>
      <c r="AJ59" s="949" t="s">
        <v>1424</v>
      </c>
      <c r="AK59" s="949">
        <v>1</v>
      </c>
      <c r="AL59" s="949" t="s">
        <v>1164</v>
      </c>
      <c r="AM59" s="949">
        <v>15265.3</v>
      </c>
      <c r="AN59" s="949">
        <v>15265.3</v>
      </c>
      <c r="AO59" s="949" t="s">
        <v>1491</v>
      </c>
      <c r="AP59" s="949" t="s">
        <v>1492</v>
      </c>
      <c r="AQ59" s="949">
        <v>0.76297300000000001</v>
      </c>
      <c r="AR59" s="949" t="s">
        <v>311</v>
      </c>
      <c r="AS59" s="949">
        <v>-99996</v>
      </c>
      <c r="AT59" s="949">
        <v>-99996</v>
      </c>
      <c r="AU59" s="949">
        <v>-99996</v>
      </c>
      <c r="AV59" s="949">
        <v>-99996</v>
      </c>
      <c r="AW59" s="949">
        <v>-99996</v>
      </c>
      <c r="AX59" s="949">
        <v>-99996</v>
      </c>
      <c r="AY59" s="949">
        <v>-99996</v>
      </c>
      <c r="AZ59" s="949">
        <v>-99996</v>
      </c>
      <c r="BA59" s="949">
        <v>-99996</v>
      </c>
      <c r="BB59" s="949">
        <v>-99996</v>
      </c>
      <c r="BC59" s="949">
        <v>-99996</v>
      </c>
      <c r="BD59" s="949">
        <v>-99996</v>
      </c>
      <c r="BE59" s="949">
        <v>0.91100099999999995</v>
      </c>
    </row>
    <row r="60" spans="1:57" s="359" customFormat="1" ht="13.8" x14ac:dyDescent="0.3">
      <c r="A60" s="373"/>
      <c r="B60" s="141" t="s">
        <v>1430</v>
      </c>
      <c r="C60" s="373" t="s">
        <v>427</v>
      </c>
      <c r="D60" s="373" t="s">
        <v>137</v>
      </c>
      <c r="E60" s="973" t="str">
        <f>IF(F60=AG62,"x","")</f>
        <v>x</v>
      </c>
      <c r="F60" s="266" t="s">
        <v>423</v>
      </c>
      <c r="G60" s="373"/>
      <c r="H60" s="381"/>
      <c r="I60" s="373"/>
      <c r="J60" s="366"/>
      <c r="K60" s="373"/>
      <c r="L60" s="373"/>
      <c r="M60" s="373"/>
      <c r="N60" s="373"/>
      <c r="O60" s="373"/>
      <c r="P60" s="373"/>
      <c r="Q60" s="373"/>
      <c r="R60" s="373"/>
      <c r="AF60" s="949" t="s">
        <v>1499</v>
      </c>
      <c r="AG60" s="949" t="s">
        <v>423</v>
      </c>
      <c r="AH60" s="949" t="s">
        <v>137</v>
      </c>
      <c r="AI60" s="949" t="s">
        <v>203</v>
      </c>
      <c r="AJ60" s="949" t="s">
        <v>1424</v>
      </c>
      <c r="AK60" s="949">
        <v>1</v>
      </c>
      <c r="AL60" s="949" t="s">
        <v>1165</v>
      </c>
      <c r="AM60" s="949">
        <v>13680</v>
      </c>
      <c r="AN60" s="949">
        <v>13680</v>
      </c>
      <c r="AO60" s="949" t="s">
        <v>1491</v>
      </c>
      <c r="AP60" s="949" t="s">
        <v>1492</v>
      </c>
      <c r="AQ60" s="949">
        <v>0.68374000000000001</v>
      </c>
      <c r="AR60" s="949" t="s">
        <v>311</v>
      </c>
      <c r="AS60" s="949">
        <v>-99996</v>
      </c>
      <c r="AT60" s="949">
        <v>-99996</v>
      </c>
      <c r="AU60" s="949">
        <v>-99996</v>
      </c>
      <c r="AV60" s="949">
        <v>-99996</v>
      </c>
      <c r="AW60" s="949">
        <v>-99996</v>
      </c>
      <c r="AX60" s="949">
        <v>-99996</v>
      </c>
      <c r="AY60" s="949">
        <v>-99996</v>
      </c>
      <c r="AZ60" s="949">
        <v>-99996</v>
      </c>
      <c r="BA60" s="949">
        <v>-99996</v>
      </c>
      <c r="BB60" s="949">
        <v>-99996</v>
      </c>
      <c r="BC60" s="949">
        <v>-99996</v>
      </c>
      <c r="BD60" s="949">
        <v>-99996</v>
      </c>
      <c r="BE60" s="949">
        <v>1.11866</v>
      </c>
    </row>
    <row r="61" spans="1:57" s="359" customFormat="1" ht="13.8" x14ac:dyDescent="0.3">
      <c r="A61" s="373"/>
      <c r="B61" s="278" t="s">
        <v>1500</v>
      </c>
      <c r="C61" s="167" t="s">
        <v>427</v>
      </c>
      <c r="D61" s="452" t="s">
        <v>137</v>
      </c>
      <c r="E61" s="974" t="str">
        <f>IF(F61=AG67,"x","")</f>
        <v>x</v>
      </c>
      <c r="F61" s="198" t="s">
        <v>423</v>
      </c>
      <c r="G61" s="373"/>
      <c r="H61" s="366"/>
      <c r="I61" s="373"/>
      <c r="J61" s="366"/>
      <c r="K61" s="373"/>
      <c r="L61" s="373"/>
      <c r="M61" s="373"/>
      <c r="N61" s="373"/>
      <c r="O61" s="373"/>
      <c r="P61" s="373"/>
      <c r="Q61" s="373"/>
      <c r="R61" s="373"/>
      <c r="AF61" s="949" t="s">
        <v>1493</v>
      </c>
      <c r="AG61" s="949" t="s">
        <v>423</v>
      </c>
      <c r="AH61" s="949" t="s">
        <v>137</v>
      </c>
      <c r="AI61" s="949" t="s">
        <v>203</v>
      </c>
      <c r="AJ61" s="949" t="s">
        <v>1430</v>
      </c>
      <c r="AK61" s="949">
        <v>1</v>
      </c>
      <c r="AL61" s="949" t="s">
        <v>311</v>
      </c>
      <c r="AM61" s="949">
        <v>59371.199999999997</v>
      </c>
      <c r="AN61" s="949">
        <v>59371.199999999997</v>
      </c>
      <c r="AO61" s="949" t="s">
        <v>1491</v>
      </c>
      <c r="AP61" s="949" t="s">
        <v>1492</v>
      </c>
      <c r="AQ61" s="949">
        <v>2.9674299999999998</v>
      </c>
      <c r="AR61" s="949" t="s">
        <v>311</v>
      </c>
      <c r="AS61" s="949">
        <v>-99996</v>
      </c>
      <c r="AT61" s="949">
        <v>-99996</v>
      </c>
      <c r="AU61" s="949">
        <v>-99996</v>
      </c>
      <c r="AV61" s="949">
        <v>-99996</v>
      </c>
      <c r="AW61" s="949">
        <v>-99996</v>
      </c>
      <c r="AX61" s="949">
        <v>-99996</v>
      </c>
      <c r="AY61" s="949">
        <v>-99996</v>
      </c>
      <c r="AZ61" s="949">
        <v>-99996</v>
      </c>
      <c r="BA61" s="949">
        <v>-99996</v>
      </c>
      <c r="BB61" s="949">
        <v>-99996</v>
      </c>
      <c r="BC61" s="949">
        <v>-99996</v>
      </c>
      <c r="BD61" s="949">
        <v>-99996</v>
      </c>
      <c r="BE61" s="949">
        <v>4.67075</v>
      </c>
    </row>
    <row r="62" spans="1:57" x14ac:dyDescent="0.3">
      <c r="A62" s="89"/>
      <c r="B62" s="380"/>
      <c r="C62" s="380"/>
      <c r="D62" s="982"/>
      <c r="E62" s="357"/>
      <c r="F62" s="982"/>
      <c r="G62" s="357"/>
      <c r="H62" s="982"/>
      <c r="I62" s="357"/>
      <c r="J62" s="982"/>
      <c r="K62" s="357"/>
      <c r="L62" s="982"/>
      <c r="N62" s="364"/>
      <c r="P62" s="364"/>
      <c r="R62" s="364"/>
      <c r="T62" s="364"/>
      <c r="V62" s="982"/>
      <c r="W62" s="982"/>
      <c r="X62" s="982"/>
      <c r="Y62" s="982"/>
      <c r="Z62" s="982"/>
      <c r="AA62" s="982"/>
      <c r="AB62" s="982"/>
      <c r="AC62" s="982"/>
      <c r="AD62" s="982"/>
      <c r="AE62" s="982"/>
      <c r="AF62" s="949" t="s">
        <v>1501</v>
      </c>
      <c r="AG62" s="949" t="s">
        <v>423</v>
      </c>
      <c r="AH62" s="949" t="s">
        <v>137</v>
      </c>
      <c r="AI62" s="949" t="s">
        <v>203</v>
      </c>
      <c r="AJ62" s="949" t="s">
        <v>1430</v>
      </c>
      <c r="AK62" s="949">
        <v>1</v>
      </c>
      <c r="AL62" s="949" t="s">
        <v>1168</v>
      </c>
      <c r="AM62" s="949">
        <v>29070</v>
      </c>
      <c r="AN62" s="949">
        <v>29070</v>
      </c>
      <c r="AO62" s="949" t="s">
        <v>1491</v>
      </c>
      <c r="AP62" s="949" t="s">
        <v>1492</v>
      </c>
      <c r="AQ62" s="949">
        <v>1.45295</v>
      </c>
      <c r="AR62" s="949" t="s">
        <v>311</v>
      </c>
      <c r="AS62" s="949">
        <v>-99996</v>
      </c>
      <c r="AT62" s="949">
        <v>-99996</v>
      </c>
      <c r="AU62" s="949">
        <v>-99996</v>
      </c>
      <c r="AV62" s="949">
        <v>-99996</v>
      </c>
      <c r="AW62" s="949">
        <v>-99996</v>
      </c>
      <c r="AX62" s="949">
        <v>-99996</v>
      </c>
      <c r="AY62" s="949">
        <v>-99996</v>
      </c>
      <c r="AZ62" s="949">
        <v>-99996</v>
      </c>
      <c r="BA62" s="949">
        <v>-99996</v>
      </c>
      <c r="BB62" s="949">
        <v>-99996</v>
      </c>
      <c r="BC62" s="949">
        <v>-99996</v>
      </c>
      <c r="BD62" s="949">
        <v>-99996</v>
      </c>
      <c r="BE62" s="949">
        <v>1.1573100000000001</v>
      </c>
    </row>
    <row r="63" spans="1:57" x14ac:dyDescent="0.3">
      <c r="A63" s="89"/>
      <c r="B63" s="90"/>
      <c r="C63" s="93"/>
      <c r="D63" s="89"/>
      <c r="E63" s="91"/>
      <c r="F63" s="89"/>
      <c r="G63" s="91"/>
      <c r="H63" s="89"/>
      <c r="I63" s="91"/>
      <c r="J63" s="89"/>
      <c r="K63" s="91"/>
      <c r="L63" s="89"/>
      <c r="M63" s="91"/>
      <c r="N63" s="89"/>
      <c r="O63" s="91"/>
      <c r="P63" s="89"/>
      <c r="Q63" s="91"/>
      <c r="R63" s="89"/>
      <c r="S63" s="91"/>
      <c r="T63" s="89"/>
      <c r="V63" s="982"/>
      <c r="W63" s="982"/>
      <c r="X63" s="982"/>
      <c r="Y63" s="982"/>
      <c r="Z63" s="982"/>
      <c r="AA63" s="982"/>
      <c r="AB63" s="982"/>
      <c r="AC63" s="982"/>
      <c r="AD63" s="982"/>
      <c r="AE63" s="982"/>
      <c r="AF63" s="949" t="s">
        <v>1502</v>
      </c>
      <c r="AG63" s="949" t="s">
        <v>423</v>
      </c>
      <c r="AH63" s="949" t="s">
        <v>137</v>
      </c>
      <c r="AI63" s="949" t="s">
        <v>203</v>
      </c>
      <c r="AJ63" s="949" t="s">
        <v>1430</v>
      </c>
      <c r="AK63" s="949">
        <v>1</v>
      </c>
      <c r="AL63" s="949" t="s">
        <v>1169</v>
      </c>
      <c r="AM63" s="949">
        <v>13680</v>
      </c>
      <c r="AN63" s="949">
        <v>13680</v>
      </c>
      <c r="AO63" s="949" t="s">
        <v>1491</v>
      </c>
      <c r="AP63" s="949" t="s">
        <v>1492</v>
      </c>
      <c r="AQ63" s="949">
        <v>0.68374000000000001</v>
      </c>
      <c r="AR63" s="949" t="s">
        <v>311</v>
      </c>
      <c r="AS63" s="949">
        <v>-99996</v>
      </c>
      <c r="AT63" s="949">
        <v>-99996</v>
      </c>
      <c r="AU63" s="949">
        <v>-99996</v>
      </c>
      <c r="AV63" s="949">
        <v>-99996</v>
      </c>
      <c r="AW63" s="949">
        <v>-99996</v>
      </c>
      <c r="AX63" s="949">
        <v>-99996</v>
      </c>
      <c r="AY63" s="949">
        <v>-99996</v>
      </c>
      <c r="AZ63" s="949">
        <v>-99996</v>
      </c>
      <c r="BA63" s="949">
        <v>-99996</v>
      </c>
      <c r="BB63" s="949">
        <v>-99996</v>
      </c>
      <c r="BC63" s="949">
        <v>-99996</v>
      </c>
      <c r="BD63" s="949">
        <v>-99996</v>
      </c>
      <c r="BE63" s="949">
        <v>0.920427</v>
      </c>
    </row>
    <row r="64" spans="1:57" ht="27.6" x14ac:dyDescent="0.3">
      <c r="A64" s="89"/>
      <c r="B64" s="115" t="s">
        <v>330</v>
      </c>
      <c r="C64" s="123" t="s">
        <v>432</v>
      </c>
      <c r="D64" s="119" t="s">
        <v>122</v>
      </c>
      <c r="E64" s="182"/>
      <c r="F64" s="117" t="s">
        <v>433</v>
      </c>
      <c r="G64" s="182"/>
      <c r="H64" s="117" t="s">
        <v>434</v>
      </c>
      <c r="I64" s="131"/>
      <c r="J64" s="173" t="s">
        <v>435</v>
      </c>
      <c r="K64" s="131"/>
      <c r="L64" s="117" t="s">
        <v>436</v>
      </c>
      <c r="M64" s="194"/>
      <c r="N64" s="148" t="s">
        <v>1503</v>
      </c>
      <c r="O64" s="194"/>
      <c r="P64" s="148" t="s">
        <v>438</v>
      </c>
      <c r="Q64" s="182"/>
      <c r="R64" s="117" t="s">
        <v>439</v>
      </c>
      <c r="S64" s="182"/>
      <c r="T64" s="117" t="s">
        <v>440</v>
      </c>
      <c r="U64" s="194"/>
      <c r="V64" s="117" t="s">
        <v>1504</v>
      </c>
      <c r="W64" s="982"/>
      <c r="X64" s="982"/>
      <c r="Y64" s="982"/>
      <c r="Z64" s="982"/>
      <c r="AA64" s="982"/>
      <c r="AB64" s="982"/>
      <c r="AC64" s="982"/>
      <c r="AD64" s="982"/>
      <c r="AE64" s="982"/>
      <c r="AF64" s="949" t="s">
        <v>1505</v>
      </c>
      <c r="AG64" s="949" t="s">
        <v>423</v>
      </c>
      <c r="AH64" s="949" t="s">
        <v>137</v>
      </c>
      <c r="AI64" s="949" t="s">
        <v>203</v>
      </c>
      <c r="AJ64" s="949" t="s">
        <v>1430</v>
      </c>
      <c r="AK64" s="949">
        <v>1</v>
      </c>
      <c r="AL64" s="949" t="s">
        <v>1170</v>
      </c>
      <c r="AM64" s="949">
        <v>17784</v>
      </c>
      <c r="AN64" s="949">
        <v>17784</v>
      </c>
      <c r="AO64" s="949" t="s">
        <v>1491</v>
      </c>
      <c r="AP64" s="949" t="s">
        <v>1492</v>
      </c>
      <c r="AQ64" s="949">
        <v>0.88886200000000004</v>
      </c>
      <c r="AR64" s="949" t="s">
        <v>311</v>
      </c>
      <c r="AS64" s="949">
        <v>-99996</v>
      </c>
      <c r="AT64" s="949">
        <v>-99996</v>
      </c>
      <c r="AU64" s="949">
        <v>-99996</v>
      </c>
      <c r="AV64" s="949">
        <v>-99996</v>
      </c>
      <c r="AW64" s="949">
        <v>-99996</v>
      </c>
      <c r="AX64" s="949">
        <v>-99996</v>
      </c>
      <c r="AY64" s="949">
        <v>-99996</v>
      </c>
      <c r="AZ64" s="949">
        <v>-99996</v>
      </c>
      <c r="BA64" s="949">
        <v>-99996</v>
      </c>
      <c r="BB64" s="949">
        <v>-99996</v>
      </c>
      <c r="BC64" s="949">
        <v>-99996</v>
      </c>
      <c r="BD64" s="949">
        <v>-99996</v>
      </c>
      <c r="BE64" s="949">
        <v>0.81727899999999998</v>
      </c>
    </row>
    <row r="65" spans="1:57" ht="15" thickBot="1" x14ac:dyDescent="0.35">
      <c r="A65" s="89"/>
      <c r="B65" s="139" t="s">
        <v>441</v>
      </c>
      <c r="C65" s="126" t="s">
        <v>442</v>
      </c>
      <c r="D65" s="176"/>
      <c r="E65" s="183"/>
      <c r="F65" s="998" t="s">
        <v>443</v>
      </c>
      <c r="G65" s="183"/>
      <c r="H65" s="998" t="s">
        <v>444</v>
      </c>
      <c r="I65" s="183"/>
      <c r="J65" s="176"/>
      <c r="K65" s="183"/>
      <c r="L65" s="998" t="s">
        <v>445</v>
      </c>
      <c r="M65" s="183"/>
      <c r="N65" s="998" t="s">
        <v>446</v>
      </c>
      <c r="O65" s="183"/>
      <c r="P65" s="998" t="s">
        <v>447</v>
      </c>
      <c r="Q65" s="183"/>
      <c r="R65" s="998" t="s">
        <v>448</v>
      </c>
      <c r="S65" s="183"/>
      <c r="T65" s="998" t="s">
        <v>449</v>
      </c>
      <c r="U65" s="178"/>
      <c r="V65" s="998" t="s">
        <v>739</v>
      </c>
      <c r="W65" s="982"/>
      <c r="X65" s="982"/>
      <c r="Y65" s="982"/>
      <c r="Z65" s="982"/>
      <c r="AA65" s="982"/>
      <c r="AB65" s="982"/>
      <c r="AC65" s="982"/>
      <c r="AD65" s="982"/>
      <c r="AE65" s="982"/>
      <c r="AF65" s="949" t="s">
        <v>1506</v>
      </c>
      <c r="AG65" s="949" t="s">
        <v>423</v>
      </c>
      <c r="AH65" s="949" t="s">
        <v>137</v>
      </c>
      <c r="AI65" s="949" t="s">
        <v>203</v>
      </c>
      <c r="AJ65" s="949" t="s">
        <v>1430</v>
      </c>
      <c r="AK65" s="949">
        <v>1</v>
      </c>
      <c r="AL65" s="949" t="s">
        <v>1171</v>
      </c>
      <c r="AM65" s="949">
        <v>13680</v>
      </c>
      <c r="AN65" s="949">
        <v>13680</v>
      </c>
      <c r="AO65" s="949" t="s">
        <v>1491</v>
      </c>
      <c r="AP65" s="949" t="s">
        <v>1492</v>
      </c>
      <c r="AQ65" s="949">
        <v>0.68374000000000001</v>
      </c>
      <c r="AR65" s="949" t="s">
        <v>311</v>
      </c>
      <c r="AS65" s="949">
        <v>-99996</v>
      </c>
      <c r="AT65" s="949">
        <v>-99996</v>
      </c>
      <c r="AU65" s="949">
        <v>-99996</v>
      </c>
      <c r="AV65" s="949">
        <v>-99996</v>
      </c>
      <c r="AW65" s="949">
        <v>-99996</v>
      </c>
      <c r="AX65" s="949">
        <v>-99996</v>
      </c>
      <c r="AY65" s="949">
        <v>-99996</v>
      </c>
      <c r="AZ65" s="949">
        <v>-99996</v>
      </c>
      <c r="BA65" s="949">
        <v>-99996</v>
      </c>
      <c r="BB65" s="949">
        <v>-99996</v>
      </c>
      <c r="BC65" s="949">
        <v>-99996</v>
      </c>
      <c r="BD65" s="949">
        <v>-99996</v>
      </c>
      <c r="BE65" s="949">
        <v>0.92063899999999999</v>
      </c>
    </row>
    <row r="66" spans="1:57" s="359" customFormat="1" ht="28.2" thickTop="1" x14ac:dyDescent="0.3">
      <c r="A66" s="373"/>
      <c r="B66" s="141" t="s">
        <v>1423</v>
      </c>
      <c r="C66" s="373" t="s">
        <v>1507</v>
      </c>
      <c r="D66" s="373" t="s">
        <v>137</v>
      </c>
      <c r="E66" s="973" t="str">
        <f>IF(F66=AG75,"x","")</f>
        <v>x</v>
      </c>
      <c r="F66" s="202" t="s">
        <v>451</v>
      </c>
      <c r="G66" s="973" t="str">
        <f>IF(H66=AQ75,"x","")</f>
        <v>x</v>
      </c>
      <c r="H66" s="202" t="s">
        <v>452</v>
      </c>
      <c r="I66" s="118" t="s">
        <v>173</v>
      </c>
      <c r="J66" s="76" t="s">
        <v>173</v>
      </c>
      <c r="K66" s="973" t="str">
        <f>IF(ROUND(L66,2)=ROUND(AR75,2),"x","")</f>
        <v>x</v>
      </c>
      <c r="L66" s="202">
        <v>6.21</v>
      </c>
      <c r="M66" s="403" t="s">
        <v>173</v>
      </c>
      <c r="N66" s="404" t="s">
        <v>173</v>
      </c>
      <c r="O66" s="403" t="s">
        <v>173</v>
      </c>
      <c r="P66" s="404" t="s">
        <v>173</v>
      </c>
      <c r="Q66" s="973" t="str">
        <f>IF(ROUND(R66,2)=ROUND(AU75,2),"x","")</f>
        <v>x</v>
      </c>
      <c r="R66" s="202">
        <v>7.5</v>
      </c>
      <c r="S66" s="973" t="str">
        <f>IF(ROUND(T66,3)=ROUND(AW75,3),"x","")</f>
        <v>x</v>
      </c>
      <c r="T66" s="202">
        <v>0.9</v>
      </c>
      <c r="U66" s="409" t="s">
        <v>300</v>
      </c>
      <c r="V66" s="485" t="s">
        <v>1508</v>
      </c>
      <c r="AF66" s="949" t="s">
        <v>422</v>
      </c>
      <c r="AG66" s="949" t="s">
        <v>423</v>
      </c>
      <c r="AH66" s="949" t="s">
        <v>137</v>
      </c>
      <c r="AI66" s="949" t="s">
        <v>203</v>
      </c>
      <c r="AJ66" s="949" t="s">
        <v>351</v>
      </c>
      <c r="AK66" s="949">
        <v>1</v>
      </c>
      <c r="AL66" s="949" t="s">
        <v>311</v>
      </c>
      <c r="AM66" s="949">
        <v>0</v>
      </c>
      <c r="AN66" s="949">
        <v>0</v>
      </c>
      <c r="AO66" s="949" t="s">
        <v>1509</v>
      </c>
      <c r="AP66" s="949" t="s">
        <v>1510</v>
      </c>
      <c r="AQ66" s="949">
        <v>0</v>
      </c>
      <c r="AR66" s="949" t="s">
        <v>311</v>
      </c>
      <c r="AS66" s="949">
        <v>-99996</v>
      </c>
      <c r="AT66" s="949">
        <v>-99996</v>
      </c>
      <c r="AU66" s="949">
        <v>-99996</v>
      </c>
      <c r="AV66" s="949">
        <v>-99996</v>
      </c>
      <c r="AW66" s="949">
        <v>-99996</v>
      </c>
      <c r="AX66" s="949">
        <v>-99996</v>
      </c>
      <c r="AY66" s="949">
        <v>-99996</v>
      </c>
      <c r="AZ66" s="949">
        <v>-99996</v>
      </c>
      <c r="BA66" s="949">
        <v>-99996</v>
      </c>
      <c r="BB66" s="949">
        <v>-99996</v>
      </c>
      <c r="BC66" s="949">
        <v>-99996</v>
      </c>
      <c r="BD66" s="949">
        <v>-99996</v>
      </c>
      <c r="BE66" s="949">
        <v>-1</v>
      </c>
    </row>
    <row r="67" spans="1:57" s="359" customFormat="1" ht="27.6" x14ac:dyDescent="0.3">
      <c r="A67" s="373"/>
      <c r="B67" s="141" t="s">
        <v>1429</v>
      </c>
      <c r="C67" s="373" t="s">
        <v>1511</v>
      </c>
      <c r="D67" s="373" t="s">
        <v>137</v>
      </c>
      <c r="E67" s="973" t="str">
        <f t="shared" ref="E67:E71" si="13">IF(F67=AG76,"x","")</f>
        <v>x</v>
      </c>
      <c r="F67" s="202" t="s">
        <v>451</v>
      </c>
      <c r="G67" s="973" t="str">
        <f t="shared" ref="G67:G71" si="14">IF(H67=AQ76,"x","")</f>
        <v>x</v>
      </c>
      <c r="H67" s="202" t="s">
        <v>1348</v>
      </c>
      <c r="I67" s="118" t="s">
        <v>173</v>
      </c>
      <c r="J67" s="76">
        <v>10850</v>
      </c>
      <c r="K67" s="118" t="s">
        <v>173</v>
      </c>
      <c r="L67" s="428">
        <f>J67*P67*(0.1175/745.6)/N67</f>
        <v>7.8916824859689658</v>
      </c>
      <c r="M67" s="973" t="str">
        <f>IF(ROUND(N67,2)=ROUND(AP76,2),"x","")</f>
        <v>x</v>
      </c>
      <c r="N67" s="361">
        <v>0.65</v>
      </c>
      <c r="O67" s="973" t="str">
        <f>IF(ROUND(P67,2)=ROUND(AS76,2),"x","")</f>
        <v>x</v>
      </c>
      <c r="P67" s="361">
        <v>3</v>
      </c>
      <c r="Q67" s="973" t="str">
        <f t="shared" ref="Q67:Q71" si="15">IF(ROUND(R67,2)=ROUND(AU76,2),"x","")</f>
        <v>x</v>
      </c>
      <c r="R67" s="202">
        <v>10</v>
      </c>
      <c r="S67" s="973" t="str">
        <f t="shared" ref="S67:S71" si="16">IF(ROUND(T67,3)=ROUND(AW76,3),"x","")</f>
        <v>x</v>
      </c>
      <c r="T67" s="202">
        <v>0.9</v>
      </c>
      <c r="U67" s="411" t="s">
        <v>300</v>
      </c>
      <c r="V67" s="485" t="s">
        <v>1508</v>
      </c>
      <c r="AF67" s="949" t="s">
        <v>1512</v>
      </c>
      <c r="AG67" s="949" t="s">
        <v>423</v>
      </c>
      <c r="AH67" s="949" t="s">
        <v>137</v>
      </c>
      <c r="AI67" s="949" t="s">
        <v>203</v>
      </c>
      <c r="AJ67" s="949" t="s">
        <v>351</v>
      </c>
      <c r="AK67" s="949">
        <v>1</v>
      </c>
      <c r="AL67" s="949" t="s">
        <v>1179</v>
      </c>
      <c r="AM67" s="949">
        <v>40518.400000000001</v>
      </c>
      <c r="AN67" s="949">
        <v>40518.400000000001</v>
      </c>
      <c r="AO67" s="949" t="s">
        <v>1509</v>
      </c>
      <c r="AP67" s="949" t="s">
        <v>1510</v>
      </c>
      <c r="AQ67" s="949">
        <v>2.02515</v>
      </c>
      <c r="AR67" s="949" t="s">
        <v>311</v>
      </c>
      <c r="AS67" s="949">
        <v>-99996</v>
      </c>
      <c r="AT67" s="949">
        <v>-99996</v>
      </c>
      <c r="AU67" s="949">
        <v>-99996</v>
      </c>
      <c r="AV67" s="949">
        <v>-99996</v>
      </c>
      <c r="AW67" s="949">
        <v>-99996</v>
      </c>
      <c r="AX67" s="949">
        <v>-99996</v>
      </c>
      <c r="AY67" s="949">
        <v>-99996</v>
      </c>
      <c r="AZ67" s="949">
        <v>-99996</v>
      </c>
      <c r="BA67" s="949">
        <v>-99996</v>
      </c>
      <c r="BB67" s="949">
        <v>-99996</v>
      </c>
      <c r="BC67" s="949">
        <v>-99996</v>
      </c>
      <c r="BD67" s="949">
        <v>-99996</v>
      </c>
      <c r="BE67" s="949">
        <v>1.25</v>
      </c>
    </row>
    <row r="68" spans="1:57" s="359" customFormat="1" x14ac:dyDescent="0.3">
      <c r="A68" s="373"/>
      <c r="B68" s="141" t="s">
        <v>1160</v>
      </c>
      <c r="C68" s="373" t="s">
        <v>1513</v>
      </c>
      <c r="D68" s="373" t="s">
        <v>137</v>
      </c>
      <c r="E68" s="973" t="str">
        <f t="shared" si="13"/>
        <v>x</v>
      </c>
      <c r="F68" s="202" t="s">
        <v>458</v>
      </c>
      <c r="G68" s="973" t="str">
        <f t="shared" si="14"/>
        <v>x</v>
      </c>
      <c r="H68" s="202" t="s">
        <v>452</v>
      </c>
      <c r="I68" s="118" t="s">
        <v>173</v>
      </c>
      <c r="J68" s="76" t="s">
        <v>173</v>
      </c>
      <c r="K68" s="973" t="str">
        <f t="shared" ref="K68:K70" si="17">IF(ROUND(L68,2)=ROUND(AR77,2),"x","")</f>
        <v>x</v>
      </c>
      <c r="L68" s="203">
        <v>9.5</v>
      </c>
      <c r="M68" s="403" t="s">
        <v>173</v>
      </c>
      <c r="N68" s="404" t="s">
        <v>173</v>
      </c>
      <c r="O68" s="403" t="s">
        <v>173</v>
      </c>
      <c r="P68" s="404" t="s">
        <v>173</v>
      </c>
      <c r="Q68" s="973" t="str">
        <f t="shared" si="15"/>
        <v>x</v>
      </c>
      <c r="R68" s="202">
        <v>10</v>
      </c>
      <c r="S68" s="973" t="str">
        <f t="shared" si="16"/>
        <v>x</v>
      </c>
      <c r="T68" s="202">
        <v>0.91700000000000004</v>
      </c>
      <c r="U68" s="403" t="s">
        <v>173</v>
      </c>
      <c r="V68" s="404" t="s">
        <v>173</v>
      </c>
      <c r="AF68" s="949" t="s">
        <v>1514</v>
      </c>
      <c r="AG68" s="949" t="s">
        <v>423</v>
      </c>
      <c r="AH68" s="949" t="s">
        <v>137</v>
      </c>
      <c r="AI68" s="949" t="s">
        <v>203</v>
      </c>
      <c r="AJ68" s="949" t="s">
        <v>351</v>
      </c>
      <c r="AK68" s="949">
        <v>1</v>
      </c>
      <c r="AL68" s="949" t="s">
        <v>1180</v>
      </c>
      <c r="AM68" s="949">
        <v>26494.6</v>
      </c>
      <c r="AN68" s="949">
        <v>26494.6</v>
      </c>
      <c r="AO68" s="949" t="s">
        <v>1509</v>
      </c>
      <c r="AP68" s="949" t="s">
        <v>1510</v>
      </c>
      <c r="AQ68" s="949">
        <v>1.32422</v>
      </c>
      <c r="AR68" s="949" t="s">
        <v>311</v>
      </c>
      <c r="AS68" s="949">
        <v>-99996</v>
      </c>
      <c r="AT68" s="949">
        <v>-99996</v>
      </c>
      <c r="AU68" s="949">
        <v>-99996</v>
      </c>
      <c r="AV68" s="949">
        <v>-99996</v>
      </c>
      <c r="AW68" s="949">
        <v>-99996</v>
      </c>
      <c r="AX68" s="949">
        <v>-99996</v>
      </c>
      <c r="AY68" s="949">
        <v>-99996</v>
      </c>
      <c r="AZ68" s="949">
        <v>-99996</v>
      </c>
      <c r="BA68" s="949">
        <v>-99996</v>
      </c>
      <c r="BB68" s="949">
        <v>-99996</v>
      </c>
      <c r="BC68" s="949">
        <v>-99996</v>
      </c>
      <c r="BD68" s="949">
        <v>-99996</v>
      </c>
      <c r="BE68" s="949">
        <v>1.25</v>
      </c>
    </row>
    <row r="69" spans="1:57" s="359" customFormat="1" x14ac:dyDescent="0.3">
      <c r="A69" s="373"/>
      <c r="B69" s="141" t="s">
        <v>1166</v>
      </c>
      <c r="C69" s="373" t="s">
        <v>1515</v>
      </c>
      <c r="D69" s="373" t="s">
        <v>137</v>
      </c>
      <c r="E69" s="973" t="str">
        <f t="shared" si="13"/>
        <v>x</v>
      </c>
      <c r="F69" s="202" t="s">
        <v>458</v>
      </c>
      <c r="G69" s="973" t="str">
        <f t="shared" si="14"/>
        <v>x</v>
      </c>
      <c r="H69" s="202" t="s">
        <v>452</v>
      </c>
      <c r="I69" s="118" t="s">
        <v>173</v>
      </c>
      <c r="J69" s="76" t="s">
        <v>173</v>
      </c>
      <c r="K69" s="973" t="str">
        <f t="shared" si="17"/>
        <v>x</v>
      </c>
      <c r="L69" s="203">
        <v>9.5</v>
      </c>
      <c r="M69" s="403" t="s">
        <v>173</v>
      </c>
      <c r="N69" s="404" t="s">
        <v>173</v>
      </c>
      <c r="O69" s="403" t="s">
        <v>173</v>
      </c>
      <c r="P69" s="404" t="s">
        <v>173</v>
      </c>
      <c r="Q69" s="973" t="str">
        <f t="shared" si="15"/>
        <v>x</v>
      </c>
      <c r="R69" s="202">
        <v>10</v>
      </c>
      <c r="S69" s="973" t="str">
        <f t="shared" si="16"/>
        <v>x</v>
      </c>
      <c r="T69" s="202">
        <v>0.91700000000000004</v>
      </c>
      <c r="U69" s="403" t="s">
        <v>173</v>
      </c>
      <c r="V69" s="404" t="s">
        <v>173</v>
      </c>
      <c r="AF69" s="949" t="s">
        <v>1516</v>
      </c>
      <c r="AG69" s="949" t="s">
        <v>423</v>
      </c>
      <c r="AH69" s="949" t="s">
        <v>137</v>
      </c>
      <c r="AI69" s="949" t="s">
        <v>203</v>
      </c>
      <c r="AJ69" s="949" t="s">
        <v>351</v>
      </c>
      <c r="AK69" s="949">
        <v>1</v>
      </c>
      <c r="AL69" s="949" t="s">
        <v>1181</v>
      </c>
      <c r="AM69" s="949">
        <v>40518.5</v>
      </c>
      <c r="AN69" s="949">
        <v>40518.5</v>
      </c>
      <c r="AO69" s="949" t="s">
        <v>1509</v>
      </c>
      <c r="AP69" s="949" t="s">
        <v>1510</v>
      </c>
      <c r="AQ69" s="949">
        <v>2.02515</v>
      </c>
      <c r="AR69" s="949" t="s">
        <v>311</v>
      </c>
      <c r="AS69" s="949">
        <v>-99996</v>
      </c>
      <c r="AT69" s="949">
        <v>-99996</v>
      </c>
      <c r="AU69" s="949">
        <v>-99996</v>
      </c>
      <c r="AV69" s="949">
        <v>-99996</v>
      </c>
      <c r="AW69" s="949">
        <v>-99996</v>
      </c>
      <c r="AX69" s="949">
        <v>-99996</v>
      </c>
      <c r="AY69" s="949">
        <v>-99996</v>
      </c>
      <c r="AZ69" s="949">
        <v>-99996</v>
      </c>
      <c r="BA69" s="949">
        <v>-99996</v>
      </c>
      <c r="BB69" s="949">
        <v>-99996</v>
      </c>
      <c r="BC69" s="949">
        <v>-99996</v>
      </c>
      <c r="BD69" s="949">
        <v>-99996</v>
      </c>
      <c r="BE69" s="949">
        <v>1.25</v>
      </c>
    </row>
    <row r="70" spans="1:57" s="357" customFormat="1" x14ac:dyDescent="0.3">
      <c r="A70" s="89"/>
      <c r="B70" s="141" t="s">
        <v>1178</v>
      </c>
      <c r="C70" s="373" t="s">
        <v>1517</v>
      </c>
      <c r="D70" s="373" t="s">
        <v>137</v>
      </c>
      <c r="E70" s="973" t="str">
        <f t="shared" si="13"/>
        <v>x</v>
      </c>
      <c r="F70" s="202" t="s">
        <v>458</v>
      </c>
      <c r="G70" s="973" t="str">
        <f t="shared" si="14"/>
        <v>x</v>
      </c>
      <c r="H70" s="202" t="s">
        <v>452</v>
      </c>
      <c r="I70" s="118" t="s">
        <v>173</v>
      </c>
      <c r="J70" s="76" t="s">
        <v>173</v>
      </c>
      <c r="K70" s="973" t="str">
        <f t="shared" si="17"/>
        <v>x</v>
      </c>
      <c r="L70" s="203">
        <v>9.5</v>
      </c>
      <c r="M70" s="403" t="s">
        <v>173</v>
      </c>
      <c r="N70" s="404" t="s">
        <v>173</v>
      </c>
      <c r="O70" s="403" t="s">
        <v>173</v>
      </c>
      <c r="P70" s="404" t="s">
        <v>173</v>
      </c>
      <c r="Q70" s="973" t="str">
        <f t="shared" si="15"/>
        <v>x</v>
      </c>
      <c r="R70" s="202">
        <v>10</v>
      </c>
      <c r="S70" s="973" t="str">
        <f t="shared" si="16"/>
        <v>x</v>
      </c>
      <c r="T70" s="202">
        <v>0.91700000000000004</v>
      </c>
      <c r="U70" s="403" t="s">
        <v>173</v>
      </c>
      <c r="V70" s="404" t="s">
        <v>173</v>
      </c>
      <c r="AF70" s="949" t="s">
        <v>1518</v>
      </c>
      <c r="AG70" s="949" t="s">
        <v>423</v>
      </c>
      <c r="AH70" s="949" t="s">
        <v>137</v>
      </c>
      <c r="AI70" s="949" t="s">
        <v>203</v>
      </c>
      <c r="AJ70" s="949" t="s">
        <v>351</v>
      </c>
      <c r="AK70" s="949">
        <v>1</v>
      </c>
      <c r="AL70" s="949" t="s">
        <v>1182</v>
      </c>
      <c r="AM70" s="949">
        <v>26495.599999999999</v>
      </c>
      <c r="AN70" s="949">
        <v>26495.599999999999</v>
      </c>
      <c r="AO70" s="949" t="s">
        <v>1509</v>
      </c>
      <c r="AP70" s="949" t="s">
        <v>1510</v>
      </c>
      <c r="AQ70" s="949">
        <v>1.3242799999999999</v>
      </c>
      <c r="AR70" s="949" t="s">
        <v>311</v>
      </c>
      <c r="AS70" s="949">
        <v>-99996</v>
      </c>
      <c r="AT70" s="949">
        <v>-99996</v>
      </c>
      <c r="AU70" s="949">
        <v>-99996</v>
      </c>
      <c r="AV70" s="949">
        <v>-99996</v>
      </c>
      <c r="AW70" s="949">
        <v>-99996</v>
      </c>
      <c r="AX70" s="949">
        <v>-99996</v>
      </c>
      <c r="AY70" s="949">
        <v>-99996</v>
      </c>
      <c r="AZ70" s="949">
        <v>-99996</v>
      </c>
      <c r="BA70" s="949">
        <v>-99996</v>
      </c>
      <c r="BB70" s="949">
        <v>-99996</v>
      </c>
      <c r="BC70" s="949">
        <v>-99996</v>
      </c>
      <c r="BD70" s="949">
        <v>-99996</v>
      </c>
      <c r="BE70" s="949">
        <v>1.25</v>
      </c>
    </row>
    <row r="71" spans="1:57" s="357" customFormat="1" ht="27.6" x14ac:dyDescent="0.3">
      <c r="A71" s="89"/>
      <c r="B71" s="309" t="s">
        <v>1440</v>
      </c>
      <c r="C71" s="165" t="s">
        <v>450</v>
      </c>
      <c r="D71" s="165" t="s">
        <v>137</v>
      </c>
      <c r="E71" s="974" t="str">
        <f t="shared" si="13"/>
        <v>x</v>
      </c>
      <c r="F71" s="204" t="s">
        <v>451</v>
      </c>
      <c r="G71" s="974" t="str">
        <f t="shared" si="14"/>
        <v>x</v>
      </c>
      <c r="H71" s="204" t="s">
        <v>452</v>
      </c>
      <c r="I71" s="118" t="s">
        <v>173</v>
      </c>
      <c r="J71" s="263">
        <v>9584.24</v>
      </c>
      <c r="K71" s="444"/>
      <c r="L71" s="460">
        <f t="shared" ref="L71" si="18">J71*P71*(0.1175/745.6)/N71</f>
        <v>12.459501617600692</v>
      </c>
      <c r="M71" s="974"/>
      <c r="N71" s="726">
        <v>0.65</v>
      </c>
      <c r="O71" s="974" t="str">
        <f>IF(ROUND(P71,2)=ROUND(AS80,2),"x","")</f>
        <v>x</v>
      </c>
      <c r="P71" s="726">
        <v>5.3619700000000003</v>
      </c>
      <c r="Q71" s="974" t="str">
        <f t="shared" si="15"/>
        <v>x</v>
      </c>
      <c r="R71" s="204">
        <v>15</v>
      </c>
      <c r="S71" s="974" t="str">
        <f t="shared" si="16"/>
        <v>x</v>
      </c>
      <c r="T71" s="204">
        <v>0.92400000000000004</v>
      </c>
      <c r="U71" s="410" t="s">
        <v>300</v>
      </c>
      <c r="V71" s="887" t="s">
        <v>1508</v>
      </c>
      <c r="AF71" s="369" t="s">
        <v>1519</v>
      </c>
      <c r="AG71" s="982"/>
      <c r="AH71" s="982"/>
      <c r="AI71" s="982"/>
      <c r="AJ71" s="982"/>
      <c r="AK71" s="982"/>
      <c r="AL71" s="982"/>
      <c r="AM71" s="982"/>
      <c r="AN71" s="982"/>
      <c r="AO71" s="982"/>
      <c r="AP71" s="982"/>
      <c r="AQ71" s="982"/>
      <c r="AR71" s="982"/>
      <c r="AS71" s="982"/>
      <c r="AT71" s="982"/>
      <c r="AU71" s="982"/>
      <c r="AV71" s="982"/>
      <c r="AW71" s="982"/>
    </row>
    <row r="72" spans="1:57" s="357" customFormat="1" x14ac:dyDescent="0.3">
      <c r="A72" s="89"/>
      <c r="B72" s="89"/>
      <c r="C72" s="380"/>
      <c r="D72" s="89"/>
      <c r="E72" s="89"/>
      <c r="F72" s="89"/>
      <c r="G72" s="89"/>
      <c r="H72" s="89"/>
      <c r="I72" s="89"/>
      <c r="J72" s="89"/>
      <c r="K72" s="89"/>
      <c r="L72" s="89"/>
      <c r="M72" s="89"/>
      <c r="N72" s="397"/>
      <c r="O72" s="89"/>
      <c r="P72" s="89"/>
      <c r="Q72" s="89"/>
      <c r="R72" s="89"/>
      <c r="S72" s="89"/>
      <c r="T72" s="364"/>
      <c r="U72" s="364"/>
      <c r="AF72" s="982"/>
      <c r="AG72" s="982"/>
      <c r="AH72" s="982"/>
      <c r="AI72" s="982"/>
      <c r="AJ72" s="982"/>
      <c r="AK72" s="982" t="s">
        <v>1443</v>
      </c>
      <c r="AL72" s="982"/>
      <c r="AM72" s="982"/>
      <c r="AN72" s="982" t="s">
        <v>1444</v>
      </c>
      <c r="AO72" s="982"/>
      <c r="AP72" s="982"/>
      <c r="AQ72" s="982" t="s">
        <v>1089</v>
      </c>
      <c r="AR72" s="982"/>
      <c r="AS72" s="982"/>
      <c r="AT72" s="982"/>
      <c r="AU72" s="982" t="s">
        <v>1520</v>
      </c>
      <c r="AV72" s="982"/>
      <c r="AW72" s="982"/>
    </row>
    <row r="73" spans="1:57" x14ac:dyDescent="0.3">
      <c r="A73" s="982"/>
      <c r="B73" s="982"/>
      <c r="C73" s="982"/>
      <c r="D73" s="982"/>
      <c r="E73" s="357"/>
      <c r="F73" s="982"/>
      <c r="G73" s="357"/>
      <c r="H73" s="982"/>
      <c r="I73" s="357"/>
      <c r="J73" s="982"/>
      <c r="K73" s="982"/>
      <c r="L73" s="982"/>
      <c r="M73" s="357"/>
      <c r="N73" s="982"/>
      <c r="O73" s="127"/>
      <c r="P73" s="118"/>
      <c r="Q73" s="89"/>
      <c r="R73" s="89"/>
      <c r="S73" s="89"/>
      <c r="T73" s="89"/>
      <c r="V73" s="982"/>
      <c r="W73" s="982"/>
      <c r="X73" s="982"/>
      <c r="Y73" s="982"/>
      <c r="Z73" s="982"/>
      <c r="AA73" s="982"/>
      <c r="AB73" s="982"/>
      <c r="AC73" s="982"/>
      <c r="AD73" s="982"/>
      <c r="AE73" s="982"/>
      <c r="AF73" s="982" t="s">
        <v>121</v>
      </c>
      <c r="AG73" s="982" t="s">
        <v>433</v>
      </c>
      <c r="AH73" s="982" t="s">
        <v>122</v>
      </c>
      <c r="AI73" s="982" t="s">
        <v>1521</v>
      </c>
      <c r="AJ73" s="982" t="s">
        <v>1522</v>
      </c>
      <c r="AK73" s="982" t="s">
        <v>1446</v>
      </c>
      <c r="AL73" s="982" t="s">
        <v>1447</v>
      </c>
      <c r="AM73" s="982" t="s">
        <v>1448</v>
      </c>
      <c r="AN73" s="982" t="s">
        <v>548</v>
      </c>
      <c r="AO73" s="982" t="s">
        <v>1149</v>
      </c>
      <c r="AP73" s="982" t="s">
        <v>1523</v>
      </c>
      <c r="AQ73" s="982" t="s">
        <v>434</v>
      </c>
      <c r="AR73" s="982" t="s">
        <v>1524</v>
      </c>
      <c r="AS73" s="982" t="s">
        <v>1525</v>
      </c>
      <c r="AT73" s="982" t="s">
        <v>1526</v>
      </c>
      <c r="AU73" s="982" t="s">
        <v>1527</v>
      </c>
      <c r="AV73" s="982" t="s">
        <v>1528</v>
      </c>
      <c r="AW73" s="982" t="s">
        <v>1523</v>
      </c>
      <c r="AX73" s="982"/>
      <c r="AY73" s="982"/>
      <c r="AZ73" s="982"/>
      <c r="BA73" s="982"/>
      <c r="BB73" s="982"/>
      <c r="BC73" s="982"/>
      <c r="BD73" s="982"/>
      <c r="BE73" s="982"/>
    </row>
    <row r="74" spans="1:57" x14ac:dyDescent="0.3">
      <c r="A74" s="982"/>
      <c r="B74" s="115" t="s">
        <v>331</v>
      </c>
      <c r="C74" s="120"/>
      <c r="D74" s="119" t="s">
        <v>122</v>
      </c>
      <c r="E74" s="210"/>
      <c r="F74" s="148" t="s">
        <v>508</v>
      </c>
      <c r="G74" s="131"/>
      <c r="H74" s="148" t="s">
        <v>509</v>
      </c>
      <c r="I74" s="131"/>
      <c r="J74" s="148" t="s">
        <v>1349</v>
      </c>
      <c r="K74" s="131"/>
      <c r="L74" s="148" t="s">
        <v>1350</v>
      </c>
      <c r="M74" s="357"/>
      <c r="N74" s="982"/>
      <c r="O74" s="127"/>
      <c r="P74" s="118"/>
      <c r="Q74" s="89"/>
      <c r="R74" s="89"/>
      <c r="S74" s="89"/>
      <c r="T74" s="89"/>
      <c r="V74" s="982"/>
      <c r="W74" s="982"/>
      <c r="X74" s="982"/>
      <c r="Y74" s="982"/>
      <c r="Z74" s="982"/>
      <c r="AA74" s="982"/>
      <c r="AB74" s="982"/>
      <c r="AC74" s="982"/>
      <c r="AD74" s="982"/>
      <c r="AE74" s="982"/>
      <c r="AF74" s="982"/>
      <c r="AG74" s="982"/>
      <c r="AH74" s="982"/>
      <c r="AI74" s="982"/>
      <c r="AJ74" s="982"/>
      <c r="AK74" s="982"/>
      <c r="AL74" s="982" t="s">
        <v>1417</v>
      </c>
      <c r="AM74" s="982"/>
      <c r="AN74" s="982" t="s">
        <v>1068</v>
      </c>
      <c r="AO74" s="982" t="s">
        <v>1068</v>
      </c>
      <c r="AP74" s="982"/>
      <c r="AQ74" s="982"/>
      <c r="AR74" s="982" t="s">
        <v>1529</v>
      </c>
      <c r="AS74" s="982" t="s">
        <v>1530</v>
      </c>
      <c r="AT74" s="982" t="s">
        <v>1531</v>
      </c>
      <c r="AU74" s="982" t="s">
        <v>1532</v>
      </c>
      <c r="AV74" s="982"/>
      <c r="AW74" s="982"/>
      <c r="AX74" s="982"/>
      <c r="AY74" s="982"/>
      <c r="AZ74" s="982"/>
      <c r="BA74" s="982"/>
      <c r="BB74" s="982"/>
      <c r="BC74" s="982"/>
      <c r="BD74" s="982"/>
      <c r="BE74" s="982"/>
    </row>
    <row r="75" spans="1:57" ht="15" thickBot="1" x14ac:dyDescent="0.35">
      <c r="A75" s="982"/>
      <c r="B75" s="139" t="s">
        <v>342</v>
      </c>
      <c r="C75" s="176"/>
      <c r="D75" s="176"/>
      <c r="E75" s="211"/>
      <c r="F75" s="998" t="s">
        <v>510</v>
      </c>
      <c r="G75" s="211"/>
      <c r="H75" s="998" t="s">
        <v>511</v>
      </c>
      <c r="I75" s="211"/>
      <c r="J75" s="998" t="s">
        <v>1351</v>
      </c>
      <c r="K75" s="211"/>
      <c r="L75" s="998" t="s">
        <v>1352</v>
      </c>
      <c r="M75" s="357"/>
      <c r="N75" s="982"/>
      <c r="O75" s="127"/>
      <c r="P75" s="118"/>
      <c r="Q75" s="89"/>
      <c r="R75" s="89"/>
      <c r="S75" s="89"/>
      <c r="T75" s="89"/>
      <c r="V75" s="982"/>
      <c r="W75" s="982"/>
      <c r="X75" s="982"/>
      <c r="Y75" s="809"/>
      <c r="Z75" s="809"/>
      <c r="AA75" s="809"/>
      <c r="AB75" s="809"/>
      <c r="AC75" s="809"/>
      <c r="AD75" s="809"/>
      <c r="AE75" s="808" t="s">
        <v>1533</v>
      </c>
      <c r="AF75" s="949" t="s">
        <v>1507</v>
      </c>
      <c r="AG75" s="949" t="s">
        <v>451</v>
      </c>
      <c r="AH75" s="949" t="s">
        <v>137</v>
      </c>
      <c r="AI75" s="949" t="s">
        <v>1534</v>
      </c>
      <c r="AJ75" s="949" t="s">
        <v>1535</v>
      </c>
      <c r="AK75" s="949" t="s">
        <v>1424</v>
      </c>
      <c r="AL75" s="949">
        <v>1</v>
      </c>
      <c r="AM75" s="949" t="s">
        <v>311</v>
      </c>
      <c r="AN75" s="949">
        <v>8431.76</v>
      </c>
      <c r="AO75" s="949">
        <v>1686.35</v>
      </c>
      <c r="AP75" s="949">
        <v>0.65</v>
      </c>
      <c r="AQ75" s="949" t="s">
        <v>452</v>
      </c>
      <c r="AR75" s="949">
        <v>6.21</v>
      </c>
      <c r="AS75" s="949">
        <v>3.0377700000000001</v>
      </c>
      <c r="AT75" s="949">
        <v>0.61014999999999997</v>
      </c>
      <c r="AU75" s="949">
        <v>7.5</v>
      </c>
      <c r="AV75" s="949" t="s">
        <v>1536</v>
      </c>
      <c r="AW75" s="949">
        <v>0.9</v>
      </c>
      <c r="AX75" s="982"/>
      <c r="AY75" s="982"/>
      <c r="AZ75" s="982"/>
      <c r="BA75" s="982"/>
      <c r="BB75" s="982"/>
      <c r="BC75" s="982"/>
      <c r="BD75" s="982"/>
      <c r="BE75" s="982"/>
    </row>
    <row r="76" spans="1:57" s="357" customFormat="1" thickTop="1" x14ac:dyDescent="0.3">
      <c r="B76" s="420" t="s">
        <v>1424</v>
      </c>
      <c r="C76" s="260"/>
      <c r="D76" s="260" t="s">
        <v>137</v>
      </c>
      <c r="E76" s="973" t="str">
        <f>IF(F76=AG85,"x","")</f>
        <v>x</v>
      </c>
      <c r="F76" s="432" t="s">
        <v>1537</v>
      </c>
      <c r="G76" s="973" t="str">
        <f>IF(H76=AL85,"x","")</f>
        <v>x</v>
      </c>
      <c r="H76" s="259" t="s">
        <v>514</v>
      </c>
      <c r="I76" s="403" t="s">
        <v>173</v>
      </c>
      <c r="J76" s="404" t="s">
        <v>173</v>
      </c>
      <c r="K76" s="962" t="str">
        <f>IF(ROUND(L76,2)=ROUND(AP85,2),"x","")</f>
        <v>x</v>
      </c>
      <c r="L76" s="259">
        <v>30</v>
      </c>
      <c r="O76" s="127"/>
      <c r="P76" s="127"/>
      <c r="Q76" s="89"/>
      <c r="R76" s="89"/>
      <c r="S76" s="89"/>
      <c r="T76" s="89"/>
      <c r="U76" s="364"/>
      <c r="AF76" s="949" t="s">
        <v>1511</v>
      </c>
      <c r="AG76" s="949" t="s">
        <v>451</v>
      </c>
      <c r="AH76" s="949" t="s">
        <v>137</v>
      </c>
      <c r="AI76" s="949" t="s">
        <v>1534</v>
      </c>
      <c r="AJ76" s="949" t="s">
        <v>1535</v>
      </c>
      <c r="AK76" s="949" t="s">
        <v>1430</v>
      </c>
      <c r="AL76" s="949">
        <v>1</v>
      </c>
      <c r="AM76" s="949" t="s">
        <v>311</v>
      </c>
      <c r="AN76" s="949">
        <v>10850</v>
      </c>
      <c r="AO76" s="949">
        <v>2170</v>
      </c>
      <c r="AP76" s="949">
        <v>0.65</v>
      </c>
      <c r="AQ76" s="949" t="s">
        <v>1348</v>
      </c>
      <c r="AR76" s="949">
        <v>7.89168</v>
      </c>
      <c r="AS76" s="949">
        <v>3</v>
      </c>
      <c r="AT76" s="949">
        <v>0.60256399999999999</v>
      </c>
      <c r="AU76" s="949">
        <v>10</v>
      </c>
      <c r="AV76" s="949" t="s">
        <v>1536</v>
      </c>
      <c r="AW76" s="949">
        <v>0.9</v>
      </c>
    </row>
    <row r="77" spans="1:57" s="357" customFormat="1" ht="13.8" x14ac:dyDescent="0.3">
      <c r="B77" s="141" t="s">
        <v>1430</v>
      </c>
      <c r="C77" s="373"/>
      <c r="D77" s="373" t="s">
        <v>137</v>
      </c>
      <c r="E77" s="973" t="str">
        <f t="shared" ref="E77:E81" si="19">IF(F77=AG86,"x","")</f>
        <v>x</v>
      </c>
      <c r="F77" s="202" t="s">
        <v>1354</v>
      </c>
      <c r="G77" s="973" t="str">
        <f t="shared" ref="G77:G81" si="20">IF(H77=AL86,"x","")</f>
        <v>x</v>
      </c>
      <c r="H77" s="266" t="s">
        <v>1355</v>
      </c>
      <c r="I77" s="962" t="str">
        <f>IF(ROUND(J77,2)=ROUND(AN86,2),"x","")</f>
        <v>x</v>
      </c>
      <c r="J77" s="266">
        <v>75</v>
      </c>
      <c r="K77" s="403" t="s">
        <v>173</v>
      </c>
      <c r="L77" s="404" t="s">
        <v>173</v>
      </c>
      <c r="O77" s="127"/>
      <c r="P77" s="127"/>
      <c r="Q77" s="89"/>
      <c r="R77" s="89"/>
      <c r="S77" s="89"/>
      <c r="T77" s="89"/>
      <c r="U77" s="364"/>
      <c r="AF77" s="949" t="s">
        <v>1513</v>
      </c>
      <c r="AG77" s="949" t="s">
        <v>458</v>
      </c>
      <c r="AH77" s="949" t="s">
        <v>137</v>
      </c>
      <c r="AI77" s="949" t="s">
        <v>1534</v>
      </c>
      <c r="AJ77" s="949" t="s">
        <v>1535</v>
      </c>
      <c r="AK77" s="949" t="s">
        <v>1432</v>
      </c>
      <c r="AL77" s="949">
        <v>1</v>
      </c>
      <c r="AM77" s="949" t="s">
        <v>1469</v>
      </c>
      <c r="AN77" s="949">
        <v>46800</v>
      </c>
      <c r="AO77" s="949">
        <v>-99996</v>
      </c>
      <c r="AP77" s="949">
        <v>0.65</v>
      </c>
      <c r="AQ77" s="949" t="s">
        <v>452</v>
      </c>
      <c r="AR77" s="949">
        <v>9.5</v>
      </c>
      <c r="AS77" s="949">
        <v>0.83725799999999995</v>
      </c>
      <c r="AT77" s="949">
        <v>0.16505</v>
      </c>
      <c r="AU77" s="949">
        <v>10</v>
      </c>
      <c r="AV77" s="949" t="s">
        <v>1538</v>
      </c>
      <c r="AW77" s="949">
        <v>0.91700000000000004</v>
      </c>
    </row>
    <row r="78" spans="1:57" s="357" customFormat="1" ht="13.8" x14ac:dyDescent="0.3">
      <c r="B78" s="141" t="s">
        <v>1432</v>
      </c>
      <c r="C78" s="373"/>
      <c r="D78" s="373" t="s">
        <v>137</v>
      </c>
      <c r="E78" s="973" t="str">
        <f t="shared" si="19"/>
        <v>x</v>
      </c>
      <c r="F78" s="202" t="s">
        <v>513</v>
      </c>
      <c r="G78" s="973" t="str">
        <f t="shared" si="20"/>
        <v>x</v>
      </c>
      <c r="H78" s="266" t="s">
        <v>514</v>
      </c>
      <c r="I78" s="403" t="s">
        <v>173</v>
      </c>
      <c r="J78" s="404" t="s">
        <v>173</v>
      </c>
      <c r="K78" s="403" t="s">
        <v>173</v>
      </c>
      <c r="L78" s="404" t="s">
        <v>173</v>
      </c>
      <c r="O78" s="127"/>
      <c r="P78" s="127"/>
      <c r="Q78" s="89"/>
      <c r="R78" s="89"/>
      <c r="S78" s="89"/>
      <c r="T78" s="89"/>
      <c r="U78" s="364"/>
      <c r="AF78" s="949" t="s">
        <v>1515</v>
      </c>
      <c r="AG78" s="949" t="s">
        <v>458</v>
      </c>
      <c r="AH78" s="949" t="s">
        <v>137</v>
      </c>
      <c r="AI78" s="949" t="s">
        <v>1534</v>
      </c>
      <c r="AJ78" s="949" t="s">
        <v>1535</v>
      </c>
      <c r="AK78" s="949" t="s">
        <v>1436</v>
      </c>
      <c r="AL78" s="949">
        <v>1</v>
      </c>
      <c r="AM78" s="949" t="s">
        <v>1469</v>
      </c>
      <c r="AN78" s="949">
        <v>46800</v>
      </c>
      <c r="AO78" s="949">
        <v>-99996</v>
      </c>
      <c r="AP78" s="949">
        <v>0.65</v>
      </c>
      <c r="AQ78" s="949" t="s">
        <v>452</v>
      </c>
      <c r="AR78" s="949">
        <v>9.5</v>
      </c>
      <c r="AS78" s="949">
        <v>0.83725799999999995</v>
      </c>
      <c r="AT78" s="949">
        <v>0.16505</v>
      </c>
      <c r="AU78" s="949">
        <v>10</v>
      </c>
      <c r="AV78" s="949" t="s">
        <v>1538</v>
      </c>
      <c r="AW78" s="949">
        <v>0.91700000000000004</v>
      </c>
    </row>
    <row r="79" spans="1:57" s="357" customFormat="1" ht="13.8" x14ac:dyDescent="0.3">
      <c r="B79" s="141" t="s">
        <v>1436</v>
      </c>
      <c r="C79" s="373"/>
      <c r="D79" s="373" t="s">
        <v>137</v>
      </c>
      <c r="E79" s="973" t="str">
        <f t="shared" si="19"/>
        <v>x</v>
      </c>
      <c r="F79" s="202" t="s">
        <v>513</v>
      </c>
      <c r="G79" s="973" t="str">
        <f t="shared" si="20"/>
        <v>x</v>
      </c>
      <c r="H79" s="266" t="s">
        <v>514</v>
      </c>
      <c r="I79" s="403" t="s">
        <v>173</v>
      </c>
      <c r="J79" s="404" t="s">
        <v>173</v>
      </c>
      <c r="K79" s="403" t="s">
        <v>173</v>
      </c>
      <c r="L79" s="404" t="s">
        <v>173</v>
      </c>
      <c r="O79" s="127"/>
      <c r="P79" s="127"/>
      <c r="Q79" s="89"/>
      <c r="R79" s="89"/>
      <c r="S79" s="89"/>
      <c r="T79" s="89"/>
      <c r="U79" s="364"/>
      <c r="AF79" s="949" t="s">
        <v>1517</v>
      </c>
      <c r="AG79" s="949" t="s">
        <v>458</v>
      </c>
      <c r="AH79" s="949" t="s">
        <v>137</v>
      </c>
      <c r="AI79" s="949" t="s">
        <v>1534</v>
      </c>
      <c r="AJ79" s="949" t="s">
        <v>1535</v>
      </c>
      <c r="AK79" s="949" t="s">
        <v>1438</v>
      </c>
      <c r="AL79" s="949">
        <v>1</v>
      </c>
      <c r="AM79" s="949" t="s">
        <v>1469</v>
      </c>
      <c r="AN79" s="949">
        <v>46800</v>
      </c>
      <c r="AO79" s="949">
        <v>-99996</v>
      </c>
      <c r="AP79" s="949">
        <v>0.65</v>
      </c>
      <c r="AQ79" s="949" t="s">
        <v>452</v>
      </c>
      <c r="AR79" s="949">
        <v>9.5</v>
      </c>
      <c r="AS79" s="949">
        <v>0.83725799999999995</v>
      </c>
      <c r="AT79" s="949">
        <v>0.16505</v>
      </c>
      <c r="AU79" s="949">
        <v>10</v>
      </c>
      <c r="AV79" s="949" t="s">
        <v>1538</v>
      </c>
      <c r="AW79" s="949">
        <v>0.91700000000000004</v>
      </c>
    </row>
    <row r="80" spans="1:57" s="357" customFormat="1" ht="13.8" x14ac:dyDescent="0.3">
      <c r="B80" s="141" t="s">
        <v>1438</v>
      </c>
      <c r="C80" s="373"/>
      <c r="D80" s="373" t="s">
        <v>137</v>
      </c>
      <c r="E80" s="973" t="str">
        <f t="shared" si="19"/>
        <v>x</v>
      </c>
      <c r="F80" s="202" t="s">
        <v>513</v>
      </c>
      <c r="G80" s="973" t="str">
        <f t="shared" si="20"/>
        <v>x</v>
      </c>
      <c r="H80" s="266" t="s">
        <v>514</v>
      </c>
      <c r="I80" s="403" t="s">
        <v>173</v>
      </c>
      <c r="J80" s="404" t="s">
        <v>173</v>
      </c>
      <c r="K80" s="403" t="s">
        <v>173</v>
      </c>
      <c r="L80" s="404" t="s">
        <v>173</v>
      </c>
      <c r="O80" s="127"/>
      <c r="P80" s="127"/>
      <c r="Q80" s="89"/>
      <c r="R80" s="89"/>
      <c r="S80" s="89"/>
      <c r="T80" s="89"/>
      <c r="U80" s="364"/>
      <c r="AF80" s="949" t="s">
        <v>450</v>
      </c>
      <c r="AG80" s="949" t="s">
        <v>451</v>
      </c>
      <c r="AH80" s="949" t="s">
        <v>137</v>
      </c>
      <c r="AI80" s="949" t="s">
        <v>1534</v>
      </c>
      <c r="AJ80" s="949" t="s">
        <v>1535</v>
      </c>
      <c r="AK80" s="949" t="s">
        <v>351</v>
      </c>
      <c r="AL80" s="949">
        <v>1</v>
      </c>
      <c r="AM80" s="949" t="s">
        <v>311</v>
      </c>
      <c r="AN80" s="949">
        <v>9345</v>
      </c>
      <c r="AO80" s="949">
        <v>1853.66</v>
      </c>
      <c r="AP80" s="949">
        <v>0.65</v>
      </c>
      <c r="AQ80" s="949" t="s">
        <v>452</v>
      </c>
      <c r="AR80" s="949">
        <v>12.1485</v>
      </c>
      <c r="AS80" s="949">
        <v>5.3619700000000003</v>
      </c>
      <c r="AT80" s="949">
        <v>1.0489999999999999</v>
      </c>
      <c r="AU80" s="949">
        <v>15</v>
      </c>
      <c r="AV80" s="949" t="s">
        <v>1538</v>
      </c>
      <c r="AW80" s="949">
        <v>0.92400000000000004</v>
      </c>
    </row>
    <row r="81" spans="1:45" s="357" customFormat="1" x14ac:dyDescent="0.3">
      <c r="B81" s="309" t="s">
        <v>351</v>
      </c>
      <c r="C81" s="165"/>
      <c r="D81" s="165" t="s">
        <v>137</v>
      </c>
      <c r="E81" s="974" t="str">
        <f t="shared" si="19"/>
        <v>x</v>
      </c>
      <c r="F81" s="204" t="s">
        <v>513</v>
      </c>
      <c r="G81" s="974" t="str">
        <f t="shared" si="20"/>
        <v>x</v>
      </c>
      <c r="H81" s="204" t="s">
        <v>514</v>
      </c>
      <c r="I81" s="405" t="s">
        <v>173</v>
      </c>
      <c r="J81" s="406" t="s">
        <v>173</v>
      </c>
      <c r="K81" s="405" t="s">
        <v>173</v>
      </c>
      <c r="L81" s="406" t="s">
        <v>173</v>
      </c>
      <c r="O81" s="127"/>
      <c r="P81" s="127"/>
      <c r="Q81" s="89"/>
      <c r="R81" s="89"/>
      <c r="S81" s="89"/>
      <c r="T81" s="89"/>
      <c r="U81" s="364"/>
      <c r="AF81" s="369" t="s">
        <v>1539</v>
      </c>
      <c r="AG81" s="982"/>
      <c r="AH81" s="982"/>
      <c r="AI81" s="982"/>
      <c r="AJ81" s="982"/>
      <c r="AK81" s="982"/>
      <c r="AL81" s="982"/>
      <c r="AM81" s="982"/>
      <c r="AN81" s="982"/>
      <c r="AO81" s="982"/>
      <c r="AP81" s="982"/>
      <c r="AQ81" s="982"/>
      <c r="AR81" s="982"/>
      <c r="AS81" s="982"/>
    </row>
    <row r="82" spans="1:45" x14ac:dyDescent="0.3">
      <c r="A82" s="982"/>
      <c r="B82" s="92"/>
      <c r="D82" s="92"/>
      <c r="E82" s="92"/>
      <c r="F82" s="92"/>
      <c r="G82" s="92"/>
      <c r="H82" s="92"/>
      <c r="I82" s="92"/>
      <c r="J82" s="982"/>
      <c r="K82" s="982"/>
      <c r="L82" s="982"/>
      <c r="M82" s="357"/>
      <c r="N82" s="982"/>
      <c r="O82" s="127"/>
      <c r="P82" s="118"/>
      <c r="Q82" s="89"/>
      <c r="R82" s="89"/>
      <c r="S82" s="89"/>
      <c r="T82" s="89"/>
      <c r="V82" s="982"/>
      <c r="W82" s="982"/>
      <c r="X82" s="982"/>
      <c r="Y82" s="982"/>
      <c r="Z82" s="982"/>
      <c r="AA82" s="982"/>
      <c r="AB82" s="982"/>
      <c r="AC82" s="982"/>
      <c r="AD82" s="982"/>
      <c r="AE82" s="982"/>
      <c r="AF82" s="982"/>
      <c r="AG82" s="982"/>
      <c r="AH82" s="982"/>
      <c r="AI82" s="982"/>
      <c r="AJ82" s="982" t="s">
        <v>1443</v>
      </c>
      <c r="AK82" s="982"/>
      <c r="AL82" s="982" t="s">
        <v>527</v>
      </c>
      <c r="AM82" s="982"/>
      <c r="AN82" s="982"/>
      <c r="AO82" s="982"/>
      <c r="AP82" s="982"/>
      <c r="AQ82" s="982"/>
      <c r="AR82" s="982"/>
      <c r="AS82" s="982"/>
    </row>
    <row r="83" spans="1:45" x14ac:dyDescent="0.3">
      <c r="A83" s="89"/>
      <c r="B83" s="92"/>
      <c r="C83" s="90"/>
      <c r="D83" s="982"/>
      <c r="E83" s="89"/>
      <c r="F83" s="89"/>
      <c r="G83" s="89"/>
      <c r="H83" s="89"/>
      <c r="I83" s="89"/>
      <c r="J83" s="89"/>
      <c r="K83" s="89"/>
      <c r="L83" s="89"/>
      <c r="M83" s="89"/>
      <c r="N83" s="89"/>
      <c r="O83" s="89"/>
      <c r="P83" s="89"/>
      <c r="Q83" s="89"/>
      <c r="R83" s="89"/>
      <c r="S83" s="89"/>
      <c r="T83" s="89"/>
      <c r="V83" s="982"/>
      <c r="W83" s="982"/>
      <c r="X83" s="982"/>
      <c r="Y83" s="982"/>
      <c r="Z83" s="982"/>
      <c r="AA83" s="982"/>
      <c r="AB83" s="982"/>
      <c r="AC83" s="982"/>
      <c r="AD83" s="982"/>
      <c r="AE83" s="982"/>
      <c r="AF83" s="982" t="s">
        <v>121</v>
      </c>
      <c r="AG83" s="982" t="s">
        <v>527</v>
      </c>
      <c r="AH83" s="982" t="s">
        <v>122</v>
      </c>
      <c r="AI83" s="982" t="s">
        <v>1406</v>
      </c>
      <c r="AJ83" s="982" t="s">
        <v>121</v>
      </c>
      <c r="AK83" s="982" t="s">
        <v>1398</v>
      </c>
      <c r="AL83" s="982" t="s">
        <v>1540</v>
      </c>
      <c r="AM83" s="982" t="s">
        <v>1541</v>
      </c>
      <c r="AN83" s="982" t="s">
        <v>1542</v>
      </c>
      <c r="AO83" s="982" t="s">
        <v>1543</v>
      </c>
      <c r="AP83" s="982" t="s">
        <v>1350</v>
      </c>
      <c r="AQ83" s="982" t="s">
        <v>1544</v>
      </c>
      <c r="AR83" s="982" t="s">
        <v>1545</v>
      </c>
      <c r="AS83" s="982" t="s">
        <v>956</v>
      </c>
    </row>
    <row r="84" spans="1:45" ht="27.6" x14ac:dyDescent="0.3">
      <c r="A84" s="89"/>
      <c r="B84" s="115" t="s">
        <v>522</v>
      </c>
      <c r="C84" s="120" t="s">
        <v>523</v>
      </c>
      <c r="D84" s="119" t="s">
        <v>122</v>
      </c>
      <c r="E84" s="210"/>
      <c r="F84" s="148" t="s">
        <v>533</v>
      </c>
      <c r="G84" s="131"/>
      <c r="H84" s="148" t="s">
        <v>534</v>
      </c>
      <c r="I84" s="982"/>
      <c r="J84" s="982"/>
      <c r="K84" s="982"/>
      <c r="L84" s="982"/>
      <c r="M84" s="89"/>
      <c r="N84" s="89"/>
      <c r="O84" s="982"/>
      <c r="P84" s="982"/>
      <c r="Q84" s="982"/>
      <c r="R84" s="982"/>
      <c r="S84" s="982"/>
      <c r="T84" s="982"/>
      <c r="V84" s="982"/>
      <c r="W84" s="982"/>
      <c r="X84" s="982"/>
      <c r="Y84" s="982"/>
      <c r="Z84" s="982"/>
      <c r="AA84" s="982"/>
      <c r="AB84" s="982"/>
      <c r="AC84" s="982"/>
      <c r="AD84" s="982"/>
      <c r="AE84" s="982"/>
      <c r="AF84" s="982"/>
      <c r="AG84" s="982"/>
      <c r="AH84" s="982"/>
      <c r="AI84" s="982" t="s">
        <v>1068</v>
      </c>
      <c r="AJ84" s="982"/>
      <c r="AK84" s="982" t="s">
        <v>1417</v>
      </c>
      <c r="AL84" s="982"/>
      <c r="AM84" s="982"/>
      <c r="AN84" s="982" t="s">
        <v>1546</v>
      </c>
      <c r="AO84" s="982" t="s">
        <v>1546</v>
      </c>
      <c r="AP84" s="982" t="s">
        <v>1547</v>
      </c>
      <c r="AQ84" s="982"/>
      <c r="AR84" s="982" t="s">
        <v>1548</v>
      </c>
      <c r="AS84" s="982"/>
    </row>
    <row r="85" spans="1:45" ht="15" thickBot="1" x14ac:dyDescent="0.35">
      <c r="A85" s="89"/>
      <c r="B85" s="139" t="s">
        <v>535</v>
      </c>
      <c r="C85" s="126" t="s">
        <v>536</v>
      </c>
      <c r="D85" s="371"/>
      <c r="E85" s="211"/>
      <c r="F85" s="998" t="s">
        <v>543</v>
      </c>
      <c r="G85" s="211"/>
      <c r="H85" s="998" t="s">
        <v>544</v>
      </c>
      <c r="I85" s="982"/>
      <c r="J85" s="982"/>
      <c r="K85" s="982"/>
      <c r="L85" s="982"/>
      <c r="M85" s="89"/>
      <c r="N85" s="89"/>
      <c r="O85" s="982"/>
      <c r="P85" s="982"/>
      <c r="Q85" s="982"/>
      <c r="R85" s="982"/>
      <c r="S85" s="982"/>
      <c r="T85" s="982"/>
      <c r="V85" s="982"/>
      <c r="W85" s="982"/>
      <c r="X85" s="982"/>
      <c r="Y85" s="809"/>
      <c r="Z85" s="809"/>
      <c r="AA85" s="809"/>
      <c r="AB85" s="809"/>
      <c r="AC85" s="809"/>
      <c r="AD85" s="809"/>
      <c r="AE85" s="808" t="s">
        <v>1549</v>
      </c>
      <c r="AF85" s="949" t="s">
        <v>1550</v>
      </c>
      <c r="AG85" s="949" t="s">
        <v>1537</v>
      </c>
      <c r="AH85" s="949" t="s">
        <v>137</v>
      </c>
      <c r="AI85" s="949">
        <v>1093.3800000000001</v>
      </c>
      <c r="AJ85" s="949" t="s">
        <v>1424</v>
      </c>
      <c r="AK85" s="949">
        <v>1</v>
      </c>
      <c r="AL85" s="949" t="s">
        <v>514</v>
      </c>
      <c r="AM85" s="949">
        <v>0.95</v>
      </c>
      <c r="AN85" s="949">
        <v>-99996</v>
      </c>
      <c r="AO85" s="949">
        <v>-99996</v>
      </c>
      <c r="AP85" s="949">
        <v>30</v>
      </c>
      <c r="AQ85" s="949" t="s">
        <v>1551</v>
      </c>
      <c r="AR85" s="949">
        <v>0</v>
      </c>
      <c r="AS85" s="949" t="s">
        <v>1010</v>
      </c>
    </row>
    <row r="86" spans="1:45" s="357" customFormat="1" thickTop="1" x14ac:dyDescent="0.3">
      <c r="A86" s="89"/>
      <c r="B86" s="141" t="s">
        <v>1552</v>
      </c>
      <c r="C86" s="373" t="s">
        <v>546</v>
      </c>
      <c r="D86" s="376" t="s">
        <v>137</v>
      </c>
      <c r="E86" s="411" t="s">
        <v>300</v>
      </c>
      <c r="F86" s="373" t="s">
        <v>550</v>
      </c>
      <c r="G86" s="411" t="s">
        <v>300</v>
      </c>
      <c r="H86" s="259" t="s">
        <v>551</v>
      </c>
      <c r="M86" s="89"/>
      <c r="N86" s="89"/>
      <c r="U86" s="364"/>
      <c r="AF86" s="949" t="s">
        <v>1553</v>
      </c>
      <c r="AG86" s="949" t="s">
        <v>1354</v>
      </c>
      <c r="AH86" s="949" t="s">
        <v>137</v>
      </c>
      <c r="AI86" s="949">
        <v>1093.3800000000001</v>
      </c>
      <c r="AJ86" s="949" t="s">
        <v>1430</v>
      </c>
      <c r="AK86" s="949">
        <v>1</v>
      </c>
      <c r="AL86" s="949" t="s">
        <v>1355</v>
      </c>
      <c r="AM86" s="949">
        <v>1</v>
      </c>
      <c r="AN86" s="949">
        <v>75</v>
      </c>
      <c r="AO86" s="949">
        <v>-99996</v>
      </c>
      <c r="AP86" s="949">
        <v>-99996</v>
      </c>
      <c r="AQ86" s="949" t="s">
        <v>1551</v>
      </c>
      <c r="AR86" s="949">
        <v>0</v>
      </c>
      <c r="AS86" s="949" t="s">
        <v>1010</v>
      </c>
    </row>
    <row r="87" spans="1:45" s="357" customFormat="1" ht="13.8" x14ac:dyDescent="0.3">
      <c r="A87" s="89"/>
      <c r="B87" s="141" t="s">
        <v>1554</v>
      </c>
      <c r="C87" s="373" t="s">
        <v>546</v>
      </c>
      <c r="D87" s="376" t="s">
        <v>137</v>
      </c>
      <c r="E87" s="411" t="s">
        <v>300</v>
      </c>
      <c r="F87" s="373" t="s">
        <v>1555</v>
      </c>
      <c r="G87" s="411" t="s">
        <v>300</v>
      </c>
      <c r="H87" s="266" t="s">
        <v>1556</v>
      </c>
      <c r="M87" s="89"/>
      <c r="N87" s="89"/>
      <c r="U87" s="364"/>
      <c r="AF87" s="949" t="s">
        <v>1557</v>
      </c>
      <c r="AG87" s="949" t="s">
        <v>513</v>
      </c>
      <c r="AH87" s="949" t="s">
        <v>137</v>
      </c>
      <c r="AI87" s="949">
        <v>1588.01</v>
      </c>
      <c r="AJ87" s="949" t="s">
        <v>1432</v>
      </c>
      <c r="AK87" s="949">
        <v>1</v>
      </c>
      <c r="AL87" s="949" t="s">
        <v>514</v>
      </c>
      <c r="AM87" s="949">
        <v>0.95</v>
      </c>
      <c r="AN87" s="949">
        <v>-99996</v>
      </c>
      <c r="AO87" s="949">
        <v>-99996</v>
      </c>
      <c r="AP87" s="949">
        <v>-99996</v>
      </c>
      <c r="AQ87" s="949" t="s">
        <v>1551</v>
      </c>
      <c r="AR87" s="949">
        <v>0</v>
      </c>
      <c r="AS87" s="949" t="s">
        <v>1010</v>
      </c>
    </row>
    <row r="88" spans="1:45" s="357" customFormat="1" ht="13.8" x14ac:dyDescent="0.3">
      <c r="A88" s="89"/>
      <c r="B88" s="180" t="s">
        <v>1558</v>
      </c>
      <c r="C88" s="156" t="s">
        <v>983</v>
      </c>
      <c r="D88" s="157" t="s">
        <v>137</v>
      </c>
      <c r="E88" s="158" t="s">
        <v>173</v>
      </c>
      <c r="F88" s="164" t="s">
        <v>173</v>
      </c>
      <c r="G88" s="158" t="s">
        <v>173</v>
      </c>
      <c r="H88" s="164" t="s">
        <v>173</v>
      </c>
      <c r="M88" s="89"/>
      <c r="N88" s="89"/>
      <c r="U88" s="364"/>
      <c r="AF88" s="949" t="s">
        <v>1559</v>
      </c>
      <c r="AG88" s="949" t="s">
        <v>513</v>
      </c>
      <c r="AH88" s="949" t="s">
        <v>137</v>
      </c>
      <c r="AI88" s="949">
        <v>1588.01</v>
      </c>
      <c r="AJ88" s="949" t="s">
        <v>1436</v>
      </c>
      <c r="AK88" s="949">
        <v>1</v>
      </c>
      <c r="AL88" s="949" t="s">
        <v>514</v>
      </c>
      <c r="AM88" s="949">
        <v>1</v>
      </c>
      <c r="AN88" s="949">
        <v>-99996</v>
      </c>
      <c r="AO88" s="949">
        <v>-99996</v>
      </c>
      <c r="AP88" s="949">
        <v>-99996</v>
      </c>
      <c r="AQ88" s="949" t="s">
        <v>1551</v>
      </c>
      <c r="AR88" s="949">
        <v>0</v>
      </c>
      <c r="AS88" s="949" t="s">
        <v>1010</v>
      </c>
    </row>
    <row r="89" spans="1:45" s="17" customFormat="1" ht="13.8" x14ac:dyDescent="0.3">
      <c r="A89" s="397"/>
      <c r="B89" s="373"/>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949" t="s">
        <v>1560</v>
      </c>
      <c r="AG89" s="949" t="s">
        <v>513</v>
      </c>
      <c r="AH89" s="949" t="s">
        <v>137</v>
      </c>
      <c r="AI89" s="949">
        <v>1588.01</v>
      </c>
      <c r="AJ89" s="949" t="s">
        <v>1438</v>
      </c>
      <c r="AK89" s="949">
        <v>1</v>
      </c>
      <c r="AL89" s="949" t="s">
        <v>514</v>
      </c>
      <c r="AM89" s="949">
        <v>1</v>
      </c>
      <c r="AN89" s="949">
        <v>-99996</v>
      </c>
      <c r="AO89" s="949">
        <v>-99996</v>
      </c>
      <c r="AP89" s="949">
        <v>-99996</v>
      </c>
      <c r="AQ89" s="949" t="s">
        <v>1551</v>
      </c>
      <c r="AR89" s="949">
        <v>0</v>
      </c>
      <c r="AS89" s="949" t="s">
        <v>1010</v>
      </c>
    </row>
    <row r="90" spans="1:45" s="534" customFormat="1" x14ac:dyDescent="0.3">
      <c r="I90" s="533"/>
      <c r="M90" s="533"/>
      <c r="O90" s="567"/>
      <c r="P90" s="568"/>
      <c r="Q90" s="397"/>
      <c r="R90" s="397"/>
      <c r="S90" s="397"/>
      <c r="T90" s="397"/>
      <c r="AF90" s="949" t="s">
        <v>512</v>
      </c>
      <c r="AG90" s="949" t="s">
        <v>513</v>
      </c>
      <c r="AH90" s="949" t="s">
        <v>137</v>
      </c>
      <c r="AI90" s="949">
        <v>-99996</v>
      </c>
      <c r="AJ90" s="949" t="s">
        <v>351</v>
      </c>
      <c r="AK90" s="949">
        <v>1</v>
      </c>
      <c r="AL90" s="949" t="s">
        <v>514</v>
      </c>
      <c r="AM90" s="949">
        <v>1</v>
      </c>
      <c r="AN90" s="949">
        <v>-99996</v>
      </c>
      <c r="AO90" s="949">
        <v>-99996</v>
      </c>
      <c r="AP90" s="949">
        <v>-99996</v>
      </c>
      <c r="AQ90" s="949" t="s">
        <v>1551</v>
      </c>
      <c r="AR90" s="949">
        <v>0</v>
      </c>
      <c r="AS90" s="949" t="s">
        <v>1010</v>
      </c>
    </row>
    <row r="91" spans="1:45" x14ac:dyDescent="0.3">
      <c r="A91" s="27"/>
      <c r="B91" s="29" t="s">
        <v>669</v>
      </c>
      <c r="C91" s="982"/>
      <c r="D91" s="982"/>
      <c r="E91" s="357"/>
      <c r="F91" s="982"/>
      <c r="G91" s="357"/>
      <c r="H91" s="982"/>
      <c r="I91" s="357"/>
      <c r="J91" s="982"/>
      <c r="K91" s="357"/>
      <c r="L91" s="982"/>
      <c r="M91" s="357"/>
      <c r="N91" s="982"/>
      <c r="O91" s="127"/>
      <c r="P91" s="118"/>
      <c r="Q91" s="89"/>
      <c r="R91" s="89"/>
      <c r="S91" s="89"/>
      <c r="T91" s="89"/>
      <c r="U91" s="358"/>
      <c r="V91" s="358"/>
      <c r="W91" s="358"/>
      <c r="X91" s="358"/>
      <c r="Y91" s="982"/>
      <c r="Z91" s="982"/>
      <c r="AA91" s="982"/>
      <c r="AB91" s="982"/>
      <c r="AC91" s="982"/>
      <c r="AD91" s="982"/>
      <c r="AE91" s="982"/>
      <c r="AF91" s="369" t="s">
        <v>1561</v>
      </c>
      <c r="AG91" s="982"/>
      <c r="AH91" s="982"/>
      <c r="AI91" s="982"/>
      <c r="AJ91" s="982"/>
      <c r="AK91" s="982"/>
      <c r="AL91" s="982"/>
      <c r="AM91" s="982"/>
      <c r="AN91" s="982"/>
      <c r="AO91" s="982"/>
      <c r="AP91" s="982"/>
      <c r="AQ91" s="982"/>
      <c r="AR91" s="982"/>
      <c r="AS91" s="982"/>
    </row>
    <row r="92" spans="1:45" ht="27.6" x14ac:dyDescent="0.3">
      <c r="A92" s="982"/>
      <c r="B92" s="115" t="s">
        <v>670</v>
      </c>
      <c r="C92" s="119"/>
      <c r="D92" s="120" t="s">
        <v>122</v>
      </c>
      <c r="E92" s="234"/>
      <c r="F92" s="116" t="s">
        <v>671</v>
      </c>
      <c r="G92" s="213"/>
      <c r="H92" s="123" t="s">
        <v>672</v>
      </c>
      <c r="I92" s="234"/>
      <c r="J92" s="116" t="s">
        <v>673</v>
      </c>
      <c r="K92" s="435"/>
      <c r="L92" s="436" t="s">
        <v>674</v>
      </c>
      <c r="M92" s="234"/>
      <c r="N92" s="116" t="s">
        <v>675</v>
      </c>
      <c r="O92" s="127"/>
      <c r="P92" s="118"/>
      <c r="Q92" s="982"/>
      <c r="R92" s="982"/>
      <c r="S92" s="982"/>
      <c r="T92" s="982"/>
      <c r="U92" s="358"/>
      <c r="V92" s="358"/>
      <c r="W92" s="358"/>
      <c r="X92" s="358"/>
      <c r="Y92" s="982"/>
      <c r="Z92" s="982"/>
      <c r="AA92" s="982"/>
      <c r="AB92" s="982"/>
      <c r="AC92" s="982"/>
      <c r="AD92" s="982"/>
      <c r="AE92" s="982"/>
      <c r="AF92" s="982" t="s">
        <v>121</v>
      </c>
      <c r="AG92" s="982" t="s">
        <v>685</v>
      </c>
      <c r="AH92" s="982" t="s">
        <v>122</v>
      </c>
      <c r="AI92" s="982" t="s">
        <v>148</v>
      </c>
      <c r="AJ92" s="982" t="s">
        <v>1562</v>
      </c>
      <c r="AK92" s="982" t="s">
        <v>1563</v>
      </c>
      <c r="AL92" s="982" t="s">
        <v>754</v>
      </c>
      <c r="AM92" s="982" t="s">
        <v>1481</v>
      </c>
      <c r="AN92" s="982" t="s">
        <v>1564</v>
      </c>
      <c r="AO92" s="982" t="s">
        <v>1565</v>
      </c>
      <c r="AP92" s="982" t="s">
        <v>1566</v>
      </c>
      <c r="AQ92" s="982"/>
      <c r="AR92" s="982"/>
      <c r="AS92" s="982"/>
    </row>
    <row r="93" spans="1:45" x14ac:dyDescent="0.3">
      <c r="A93" s="982"/>
      <c r="B93" s="136"/>
      <c r="C93" s="83"/>
      <c r="D93" s="91"/>
      <c r="E93" s="746"/>
      <c r="F93" s="1018" t="s">
        <v>676</v>
      </c>
      <c r="G93" s="968"/>
      <c r="H93" s="1019" t="s">
        <v>677</v>
      </c>
      <c r="I93" s="969"/>
      <c r="J93" s="1018" t="s">
        <v>678</v>
      </c>
      <c r="K93" s="353"/>
      <c r="L93" s="1019" t="s">
        <v>679</v>
      </c>
      <c r="M93" s="969"/>
      <c r="N93" s="1018" t="s">
        <v>680</v>
      </c>
      <c r="O93" s="127"/>
      <c r="P93" s="118"/>
      <c r="Q93" s="982"/>
      <c r="R93" s="982"/>
      <c r="S93" s="982"/>
      <c r="T93" s="982"/>
      <c r="U93" s="358"/>
      <c r="V93" s="358"/>
      <c r="W93" s="358"/>
      <c r="X93" s="358"/>
      <c r="Y93" s="982"/>
      <c r="Z93" s="982"/>
      <c r="AA93" s="982"/>
      <c r="AB93" s="982"/>
      <c r="AC93" s="982"/>
      <c r="AD93" s="982"/>
      <c r="AE93" s="982"/>
      <c r="AF93" s="982"/>
      <c r="AG93" s="982"/>
      <c r="AH93" s="982"/>
      <c r="AI93" s="982"/>
      <c r="AJ93" s="982"/>
      <c r="AK93" s="982"/>
      <c r="AL93" s="982" t="s">
        <v>1567</v>
      </c>
      <c r="AM93" s="982"/>
      <c r="AN93" s="982"/>
      <c r="AO93" s="982" t="s">
        <v>1568</v>
      </c>
      <c r="AP93" s="982"/>
      <c r="AQ93" s="982"/>
      <c r="AR93" s="982"/>
      <c r="AS93" s="982"/>
    </row>
    <row r="94" spans="1:45" s="357" customFormat="1" x14ac:dyDescent="0.3">
      <c r="B94" s="826" t="s">
        <v>1569</v>
      </c>
      <c r="C94" s="748"/>
      <c r="D94" s="748" t="s">
        <v>137</v>
      </c>
      <c r="E94" s="118" t="s">
        <v>1262</v>
      </c>
      <c r="F94" s="1014">
        <v>1700000</v>
      </c>
      <c r="G94" s="967" t="str">
        <f>IF(ROUND(H94,2)=ROUND(AN94,2),"x","")</f>
        <v>x</v>
      </c>
      <c r="H94" s="831">
        <v>0.8</v>
      </c>
      <c r="I94" s="967" t="str">
        <f>IF(J94=AI94,"x","")</f>
        <v>x</v>
      </c>
      <c r="J94" s="831" t="s">
        <v>423</v>
      </c>
      <c r="K94" s="409" t="s">
        <v>300</v>
      </c>
      <c r="L94" s="831" t="s">
        <v>682</v>
      </c>
      <c r="M94" s="967" t="str">
        <f>IF(ROUND(N94,2)=ROUND(AP94,2),"x","")</f>
        <v>x</v>
      </c>
      <c r="N94" s="831">
        <v>0.25</v>
      </c>
      <c r="O94" s="127"/>
      <c r="P94" s="127"/>
      <c r="Q94" s="89"/>
      <c r="R94" s="89"/>
      <c r="S94" s="89"/>
      <c r="T94" s="89"/>
      <c r="U94" s="359"/>
      <c r="V94" s="359"/>
      <c r="W94" s="359"/>
      <c r="X94" s="359"/>
      <c r="Y94" s="809"/>
      <c r="Z94" s="809"/>
      <c r="AA94" s="809"/>
      <c r="AB94" s="809"/>
      <c r="AC94" s="809"/>
      <c r="AD94" s="809"/>
      <c r="AE94" s="808" t="s">
        <v>1570</v>
      </c>
      <c r="AF94" s="949" t="s">
        <v>1569</v>
      </c>
      <c r="AG94" s="949" t="s">
        <v>1571</v>
      </c>
      <c r="AH94" s="949" t="s">
        <v>137</v>
      </c>
      <c r="AI94" s="949" t="s">
        <v>423</v>
      </c>
      <c r="AJ94" s="949" t="s">
        <v>1572</v>
      </c>
      <c r="AK94" s="949" t="s">
        <v>629</v>
      </c>
      <c r="AL94" s="949">
        <v>237397</v>
      </c>
      <c r="AM94" s="949">
        <v>-99996</v>
      </c>
      <c r="AN94" s="949">
        <v>0.8</v>
      </c>
      <c r="AO94" s="949">
        <v>-99996</v>
      </c>
      <c r="AP94" s="949">
        <v>0.25</v>
      </c>
      <c r="AQ94" s="982"/>
    </row>
    <row r="95" spans="1:45" s="357" customFormat="1" x14ac:dyDescent="0.3">
      <c r="B95" s="827" t="s">
        <v>741</v>
      </c>
      <c r="C95" s="828"/>
      <c r="D95" s="828" t="s">
        <v>137</v>
      </c>
      <c r="E95" s="749"/>
      <c r="F95" s="1014">
        <v>67991</v>
      </c>
      <c r="G95" s="967" t="str">
        <f t="shared" ref="G95:G96" si="21">IF(ROUND(H95,2)=ROUND(AN95,2),"x","")</f>
        <v>x</v>
      </c>
      <c r="H95" s="831">
        <v>0.82250000000000001</v>
      </c>
      <c r="I95" s="962" t="str">
        <f t="shared" ref="I95:I96" si="22">IF(J95=AI95,"x","")</f>
        <v>x</v>
      </c>
      <c r="J95" s="831" t="s">
        <v>423</v>
      </c>
      <c r="K95" s="411" t="s">
        <v>300</v>
      </c>
      <c r="L95" s="831" t="s">
        <v>682</v>
      </c>
      <c r="M95" s="967" t="str">
        <f t="shared" ref="M95:M96" si="23">IF(ROUND(N95,2)=ROUND(AP95,2),"x","")</f>
        <v>x</v>
      </c>
      <c r="N95" s="831">
        <v>0.25</v>
      </c>
      <c r="O95" s="127"/>
      <c r="P95" s="127"/>
      <c r="Q95" s="89"/>
      <c r="R95" s="89"/>
      <c r="S95" s="89"/>
      <c r="T95" s="89"/>
      <c r="U95" s="359"/>
      <c r="V95" s="359"/>
      <c r="W95" s="359"/>
      <c r="X95" s="359"/>
      <c r="AF95" s="949" t="s">
        <v>741</v>
      </c>
      <c r="AG95" s="949" t="s">
        <v>1573</v>
      </c>
      <c r="AH95" s="949" t="s">
        <v>137</v>
      </c>
      <c r="AI95" s="949" t="s">
        <v>423</v>
      </c>
      <c r="AJ95" s="949" t="s">
        <v>1572</v>
      </c>
      <c r="AK95" s="949" t="s">
        <v>1574</v>
      </c>
      <c r="AL95" s="949">
        <v>67990.5</v>
      </c>
      <c r="AM95" s="949">
        <v>0.82</v>
      </c>
      <c r="AN95" s="949">
        <v>0.82250000000000001</v>
      </c>
      <c r="AO95" s="949">
        <v>5.43924E-2</v>
      </c>
      <c r="AP95" s="949">
        <v>0.25</v>
      </c>
      <c r="AQ95" s="982"/>
    </row>
    <row r="96" spans="1:45" s="357" customFormat="1" x14ac:dyDescent="0.3">
      <c r="B96" s="829" t="s">
        <v>745</v>
      </c>
      <c r="C96" s="830"/>
      <c r="D96" s="830" t="s">
        <v>137</v>
      </c>
      <c r="E96" s="747"/>
      <c r="F96" s="1015">
        <f>F95</f>
        <v>67991</v>
      </c>
      <c r="G96" s="970" t="str">
        <f t="shared" si="21"/>
        <v>x</v>
      </c>
      <c r="H96" s="832">
        <v>0.82250000000000001</v>
      </c>
      <c r="I96" s="965" t="str">
        <f t="shared" si="22"/>
        <v>x</v>
      </c>
      <c r="J96" s="832" t="s">
        <v>423</v>
      </c>
      <c r="K96" s="410" t="s">
        <v>300</v>
      </c>
      <c r="L96" s="832" t="s">
        <v>682</v>
      </c>
      <c r="M96" s="971" t="str">
        <f t="shared" si="23"/>
        <v>x</v>
      </c>
      <c r="N96" s="832">
        <v>0.25</v>
      </c>
      <c r="O96" s="127"/>
      <c r="P96" s="127"/>
      <c r="Q96" s="89"/>
      <c r="R96" s="89"/>
      <c r="S96" s="89"/>
      <c r="T96" s="89"/>
      <c r="U96" s="359"/>
      <c r="V96" s="359"/>
      <c r="W96" s="359"/>
      <c r="X96" s="359"/>
      <c r="AF96" s="949" t="s">
        <v>745</v>
      </c>
      <c r="AG96" s="949" t="s">
        <v>1573</v>
      </c>
      <c r="AH96" s="949" t="s">
        <v>137</v>
      </c>
      <c r="AI96" s="949" t="s">
        <v>423</v>
      </c>
      <c r="AJ96" s="949" t="s">
        <v>1572</v>
      </c>
      <c r="AK96" s="949" t="s">
        <v>1574</v>
      </c>
      <c r="AL96" s="949">
        <v>67990.5</v>
      </c>
      <c r="AM96" s="949">
        <v>0.82</v>
      </c>
      <c r="AN96" s="949">
        <v>0.82250000000000001</v>
      </c>
      <c r="AO96" s="949">
        <v>5.43924E-2</v>
      </c>
      <c r="AP96" s="949">
        <v>0.25</v>
      </c>
      <c r="AQ96" s="982"/>
    </row>
    <row r="97" spans="1:56" s="17" customFormat="1" x14ac:dyDescent="0.3">
      <c r="A97" s="397"/>
      <c r="B97" s="401"/>
      <c r="C97" s="74"/>
      <c r="E97" s="533"/>
      <c r="G97" s="570"/>
      <c r="I97" s="570"/>
      <c r="K97" s="570"/>
      <c r="M97" s="570"/>
      <c r="O97" s="570"/>
      <c r="Q97" s="397"/>
      <c r="R97" s="397"/>
      <c r="S97" s="397"/>
      <c r="T97" s="397"/>
      <c r="U97" s="534"/>
      <c r="V97" s="534"/>
      <c r="W97" s="534"/>
      <c r="X97" s="534"/>
    </row>
    <row r="98" spans="1:56" s="93" customFormat="1" x14ac:dyDescent="0.3">
      <c r="A98" s="89"/>
      <c r="B98" s="92"/>
      <c r="C98" s="90"/>
      <c r="E98" s="357"/>
      <c r="G98" s="25"/>
      <c r="I98" s="96"/>
      <c r="K98" s="96"/>
      <c r="M98" s="96"/>
      <c r="O98" s="96"/>
      <c r="Q98" s="96"/>
      <c r="S98" s="96"/>
      <c r="U98" s="364"/>
      <c r="Y98" s="982"/>
      <c r="Z98" s="982"/>
      <c r="AA98" s="982"/>
      <c r="AB98" s="982"/>
      <c r="AC98" s="982"/>
      <c r="AD98" s="982"/>
      <c r="AE98" s="982"/>
      <c r="AF98" s="369" t="s">
        <v>923</v>
      </c>
      <c r="AG98" s="982"/>
      <c r="AH98" s="982"/>
      <c r="AI98" s="982"/>
      <c r="AJ98" s="982"/>
      <c r="AK98" s="982"/>
      <c r="AL98" s="982"/>
      <c r="AM98" s="982"/>
      <c r="AN98" s="982"/>
      <c r="AO98" s="982"/>
      <c r="AP98" s="982"/>
      <c r="AQ98" s="982"/>
      <c r="AR98" s="982"/>
      <c r="AS98" s="982"/>
      <c r="AT98" s="982"/>
      <c r="AU98" s="982"/>
      <c r="AV98" s="982"/>
      <c r="AW98" s="982"/>
      <c r="AX98" s="982"/>
      <c r="AY98" s="982"/>
      <c r="AZ98" s="982"/>
      <c r="BA98" s="982"/>
      <c r="BB98" s="982"/>
      <c r="BC98" s="982"/>
      <c r="BD98" s="982"/>
    </row>
    <row r="99" spans="1:56" s="93" customFormat="1" x14ac:dyDescent="0.3">
      <c r="A99" s="286"/>
      <c r="B99" s="286" t="s">
        <v>243</v>
      </c>
      <c r="C99" s="287"/>
      <c r="D99" s="285"/>
      <c r="E99" s="287"/>
      <c r="F99" s="285"/>
      <c r="G99" s="288"/>
      <c r="H99" s="285"/>
      <c r="I99" s="287"/>
      <c r="J99" s="285"/>
      <c r="K99" s="287"/>
      <c r="L99" s="285"/>
      <c r="M99" s="285"/>
      <c r="N99" s="285"/>
      <c r="O99" s="287"/>
      <c r="P99" s="285"/>
      <c r="Q99" s="287"/>
      <c r="R99" s="287"/>
      <c r="S99" s="287"/>
      <c r="T99" s="287"/>
      <c r="U99" s="287"/>
      <c r="V99" s="287"/>
      <c r="W99" s="287"/>
      <c r="X99" s="287"/>
      <c r="Y99" s="982"/>
      <c r="Z99" s="89"/>
      <c r="AA99" s="89"/>
      <c r="AB99" s="89"/>
      <c r="AC99" s="89"/>
      <c r="AD99" s="89"/>
      <c r="AE99" s="89"/>
      <c r="AF99" s="369"/>
      <c r="AG99" s="982"/>
      <c r="AH99" s="982"/>
      <c r="AI99" s="982"/>
      <c r="AJ99" s="982"/>
      <c r="AK99" s="982" t="s">
        <v>924</v>
      </c>
      <c r="AL99" s="982"/>
      <c r="AM99" s="982"/>
      <c r="AN99" s="982"/>
      <c r="AO99" s="982" t="s">
        <v>925</v>
      </c>
      <c r="AP99" s="982"/>
      <c r="AQ99" s="982"/>
      <c r="AR99" s="982"/>
      <c r="AS99" s="982" t="s">
        <v>925</v>
      </c>
      <c r="AT99" s="982"/>
      <c r="AU99" s="982"/>
      <c r="AV99" s="982"/>
      <c r="AW99" s="373" t="s">
        <v>925</v>
      </c>
      <c r="AX99" s="982"/>
      <c r="AY99" s="982"/>
      <c r="AZ99" s="982"/>
      <c r="BA99" s="982" t="s">
        <v>925</v>
      </c>
      <c r="BB99" s="982"/>
      <c r="BC99" s="982"/>
      <c r="BD99" s="982"/>
    </row>
    <row r="100" spans="1:56" x14ac:dyDescent="0.3">
      <c r="A100" s="23"/>
      <c r="B100" s="23" t="s">
        <v>922</v>
      </c>
      <c r="C100" s="96"/>
      <c r="D100" s="93"/>
      <c r="E100" s="93"/>
      <c r="F100" s="25"/>
      <c r="G100" s="93"/>
      <c r="H100" s="96"/>
      <c r="I100" s="93"/>
      <c r="J100" s="96"/>
      <c r="K100" s="93"/>
      <c r="L100" s="96"/>
      <c r="M100" s="93"/>
      <c r="N100" s="96"/>
      <c r="O100" s="93"/>
      <c r="P100" s="96"/>
      <c r="Q100" s="93"/>
      <c r="R100" s="96"/>
      <c r="S100" s="93"/>
      <c r="T100" s="96"/>
      <c r="U100" s="93"/>
      <c r="V100" s="982"/>
      <c r="W100" s="982"/>
      <c r="X100" s="982"/>
      <c r="Y100" s="982"/>
      <c r="Z100" s="89"/>
      <c r="AA100" s="89"/>
      <c r="AB100" s="89"/>
      <c r="AC100" s="89"/>
      <c r="AD100" s="89"/>
      <c r="AE100" s="89"/>
      <c r="AF100" s="982" t="s">
        <v>870</v>
      </c>
      <c r="AG100" s="982"/>
      <c r="AH100" s="982"/>
      <c r="AI100" s="982"/>
      <c r="AJ100" s="982"/>
      <c r="AK100" s="982" t="s">
        <v>938</v>
      </c>
      <c r="AL100" s="982"/>
      <c r="AM100" s="982"/>
      <c r="AN100" s="982"/>
      <c r="AO100" s="982" t="s">
        <v>938</v>
      </c>
      <c r="AP100" s="982"/>
      <c r="AQ100" s="982"/>
      <c r="AR100" s="982"/>
      <c r="AS100" s="982" t="s">
        <v>939</v>
      </c>
      <c r="AT100" s="982"/>
      <c r="AU100" s="982"/>
      <c r="AV100" s="982"/>
      <c r="AW100" s="373" t="s">
        <v>940</v>
      </c>
      <c r="AX100" s="441"/>
      <c r="AY100" s="441"/>
      <c r="AZ100" s="441"/>
      <c r="BA100" s="441" t="s">
        <v>941</v>
      </c>
      <c r="BB100" s="441"/>
      <c r="BC100" s="441"/>
      <c r="BD100" s="441"/>
    </row>
    <row r="101" spans="1:56" s="441" customFormat="1" ht="41.4" x14ac:dyDescent="0.3">
      <c r="A101" s="93"/>
      <c r="B101" s="115" t="s">
        <v>580</v>
      </c>
      <c r="C101" s="123" t="s">
        <v>52</v>
      </c>
      <c r="D101" s="120" t="s">
        <v>524</v>
      </c>
      <c r="E101" s="274"/>
      <c r="F101" s="117" t="s">
        <v>931</v>
      </c>
      <c r="G101" s="274"/>
      <c r="H101" s="117" t="s">
        <v>932</v>
      </c>
      <c r="I101" s="93"/>
      <c r="J101" s="96"/>
      <c r="K101" s="93"/>
      <c r="L101" s="96"/>
      <c r="M101" s="93"/>
      <c r="N101" s="96"/>
      <c r="O101" s="93"/>
      <c r="P101" s="96"/>
      <c r="Q101" s="93"/>
      <c r="R101" s="96"/>
      <c r="S101" s="93"/>
      <c r="T101" s="96"/>
      <c r="U101" s="93"/>
      <c r="Z101" s="84"/>
      <c r="AA101" s="84"/>
      <c r="AB101" s="84"/>
      <c r="AC101" s="84"/>
      <c r="AD101" s="84"/>
      <c r="AE101" s="84"/>
      <c r="AF101" s="982" t="s">
        <v>121</v>
      </c>
      <c r="AG101" s="982" t="s">
        <v>523</v>
      </c>
      <c r="AH101" s="982" t="s">
        <v>52</v>
      </c>
      <c r="AI101" s="982" t="s">
        <v>896</v>
      </c>
      <c r="AJ101" s="982" t="s">
        <v>954</v>
      </c>
      <c r="AK101" s="982" t="s">
        <v>955</v>
      </c>
      <c r="AL101" s="982" t="s">
        <v>956</v>
      </c>
      <c r="AM101" s="982" t="s">
        <v>957</v>
      </c>
      <c r="AN101" s="982" t="s">
        <v>958</v>
      </c>
      <c r="AO101" s="982" t="s">
        <v>955</v>
      </c>
      <c r="AP101" s="982" t="s">
        <v>956</v>
      </c>
      <c r="AQ101" s="982" t="s">
        <v>957</v>
      </c>
      <c r="AR101" s="982" t="s">
        <v>958</v>
      </c>
      <c r="AS101" s="982" t="s">
        <v>955</v>
      </c>
      <c r="AT101" s="982" t="s">
        <v>956</v>
      </c>
      <c r="AU101" s="982" t="s">
        <v>957</v>
      </c>
      <c r="AV101" s="982" t="s">
        <v>958</v>
      </c>
      <c r="AW101" s="84" t="s">
        <v>955</v>
      </c>
      <c r="AX101" s="441" t="s">
        <v>956</v>
      </c>
      <c r="AY101" s="441" t="s">
        <v>957</v>
      </c>
      <c r="AZ101" s="441" t="s">
        <v>958</v>
      </c>
      <c r="BA101" s="441" t="s">
        <v>955</v>
      </c>
      <c r="BB101" s="441" t="s">
        <v>956</v>
      </c>
      <c r="BC101" s="441" t="s">
        <v>957</v>
      </c>
      <c r="BD101" s="441" t="s">
        <v>958</v>
      </c>
    </row>
    <row r="102" spans="1:56" s="441" customFormat="1" ht="15" thickBot="1" x14ac:dyDescent="0.35">
      <c r="A102" s="93"/>
      <c r="B102" s="139" t="s">
        <v>942</v>
      </c>
      <c r="C102" s="176"/>
      <c r="D102" s="371"/>
      <c r="E102" s="315"/>
      <c r="F102" s="993" t="s">
        <v>948</v>
      </c>
      <c r="G102" s="315"/>
      <c r="H102" s="993" t="s">
        <v>949</v>
      </c>
      <c r="I102" s="93"/>
      <c r="J102" s="96"/>
      <c r="K102" s="93"/>
      <c r="L102" s="96"/>
      <c r="M102" s="93"/>
      <c r="N102" s="96"/>
      <c r="O102" s="93"/>
      <c r="P102" s="96"/>
      <c r="Q102" s="93"/>
      <c r="R102" s="96"/>
      <c r="S102" s="93"/>
      <c r="T102" s="96"/>
      <c r="U102" s="93"/>
      <c r="Z102" s="364"/>
      <c r="AA102" s="364"/>
      <c r="AB102" s="364"/>
      <c r="AC102" s="364"/>
      <c r="AD102" s="364"/>
      <c r="AE102" s="364"/>
      <c r="AF102" s="982"/>
      <c r="AG102" s="982"/>
      <c r="AH102" s="982"/>
      <c r="AI102" s="982" t="s">
        <v>966</v>
      </c>
      <c r="AJ102" s="982"/>
      <c r="AK102" s="982" t="s">
        <v>967</v>
      </c>
      <c r="AL102" s="982"/>
      <c r="AM102" s="982" t="s">
        <v>968</v>
      </c>
      <c r="AN102" s="982" t="s">
        <v>969</v>
      </c>
      <c r="AO102" s="982" t="s">
        <v>967</v>
      </c>
      <c r="AP102" s="982"/>
      <c r="AQ102" s="982" t="s">
        <v>968</v>
      </c>
      <c r="AR102" s="982" t="s">
        <v>969</v>
      </c>
      <c r="AS102" s="982" t="s">
        <v>967</v>
      </c>
      <c r="AT102" s="982"/>
      <c r="AU102" s="982" t="s">
        <v>968</v>
      </c>
      <c r="AV102" s="982" t="s">
        <v>969</v>
      </c>
      <c r="AW102" s="364" t="s">
        <v>967</v>
      </c>
      <c r="AX102" s="42"/>
      <c r="AY102" s="42" t="s">
        <v>968</v>
      </c>
      <c r="AZ102" s="42" t="s">
        <v>969</v>
      </c>
      <c r="BA102" s="42" t="s">
        <v>967</v>
      </c>
      <c r="BB102" s="42"/>
      <c r="BC102" s="42" t="s">
        <v>968</v>
      </c>
      <c r="BD102" s="42" t="s">
        <v>969</v>
      </c>
    </row>
    <row r="103" spans="1:56" s="42" customFormat="1" ht="15" thickTop="1" x14ac:dyDescent="0.3">
      <c r="A103" s="93"/>
      <c r="B103" s="141" t="s">
        <v>970</v>
      </c>
      <c r="C103" s="366" t="s">
        <v>1389</v>
      </c>
      <c r="D103" s="373">
        <v>10586.7</v>
      </c>
      <c r="E103" s="973" t="str">
        <f>IF(ROUND(F103,1)=ROUND(AS103,1),"x","")</f>
        <v>x</v>
      </c>
      <c r="F103" s="723">
        <v>20</v>
      </c>
      <c r="G103" s="973" t="str">
        <f>IF(H103=AT103,"x","")</f>
        <v>x</v>
      </c>
      <c r="H103" s="723" t="s">
        <v>1390</v>
      </c>
      <c r="I103" s="93"/>
      <c r="J103" s="96"/>
      <c r="K103" s="93"/>
      <c r="L103" s="96"/>
      <c r="M103" s="93"/>
      <c r="N103" s="96"/>
      <c r="O103" s="93"/>
      <c r="P103" s="96"/>
      <c r="Q103" s="93"/>
      <c r="R103" s="96"/>
      <c r="S103" s="93"/>
      <c r="T103" s="96"/>
      <c r="U103" s="93"/>
      <c r="Z103" s="812"/>
      <c r="AA103" s="812"/>
      <c r="AB103" s="812"/>
      <c r="AC103" s="812"/>
      <c r="AD103" s="812"/>
      <c r="AE103" s="813" t="s">
        <v>1575</v>
      </c>
      <c r="AF103" s="949" t="s">
        <v>970</v>
      </c>
      <c r="AG103" s="949" t="s">
        <v>170</v>
      </c>
      <c r="AH103" s="949" t="s">
        <v>1389</v>
      </c>
      <c r="AI103" s="949">
        <v>10586.7</v>
      </c>
      <c r="AJ103" s="949">
        <v>1</v>
      </c>
      <c r="AK103" s="949">
        <v>0.5</v>
      </c>
      <c r="AL103" s="949" t="s">
        <v>1392</v>
      </c>
      <c r="AM103" s="949">
        <v>3062.45</v>
      </c>
      <c r="AN103" s="949">
        <v>16210.6</v>
      </c>
      <c r="AO103" s="949"/>
      <c r="AP103" s="949"/>
      <c r="AQ103" s="949"/>
      <c r="AR103" s="949"/>
      <c r="AS103" s="949">
        <v>20</v>
      </c>
      <c r="AT103" s="949" t="s">
        <v>1390</v>
      </c>
      <c r="AU103" s="949">
        <v>0</v>
      </c>
      <c r="AV103" s="949">
        <v>0</v>
      </c>
      <c r="AW103" s="364"/>
    </row>
    <row r="104" spans="1:56" s="42" customFormat="1" ht="27.6" x14ac:dyDescent="0.3">
      <c r="A104" s="93"/>
      <c r="B104" s="141" t="s">
        <v>981</v>
      </c>
      <c r="C104" s="92" t="s">
        <v>912</v>
      </c>
      <c r="D104" s="373">
        <v>2231.7600000000002</v>
      </c>
      <c r="E104" s="973" t="str">
        <f t="shared" ref="E104:E107" si="24">IF(ROUND(F104,1)=ROUND(AS104,1),"x","")</f>
        <v>x</v>
      </c>
      <c r="F104" s="723">
        <v>1.5</v>
      </c>
      <c r="G104" s="973" t="str">
        <f t="shared" ref="G104:G107" si="25">IF(H104=AT104,"x","")</f>
        <v>x</v>
      </c>
      <c r="H104" s="723" t="s">
        <v>962</v>
      </c>
      <c r="I104" s="93"/>
      <c r="J104" s="96"/>
      <c r="K104" s="93"/>
      <c r="L104" s="96"/>
      <c r="M104" s="93"/>
      <c r="N104" s="96"/>
      <c r="O104" s="93"/>
      <c r="P104" s="96"/>
      <c r="Q104" s="93"/>
      <c r="R104" s="96"/>
      <c r="S104" s="93"/>
      <c r="T104" s="96"/>
      <c r="U104" s="93"/>
      <c r="Z104" s="364"/>
      <c r="AA104" s="364"/>
      <c r="AB104" s="364"/>
      <c r="AC104" s="364"/>
      <c r="AD104" s="364"/>
      <c r="AE104" s="364"/>
      <c r="AF104" s="949" t="s">
        <v>981</v>
      </c>
      <c r="AG104" s="949" t="s">
        <v>170</v>
      </c>
      <c r="AH104" s="949" t="s">
        <v>915</v>
      </c>
      <c r="AI104" s="949">
        <v>2231.7600000000002</v>
      </c>
      <c r="AJ104" s="949">
        <v>1</v>
      </c>
      <c r="AK104" s="949">
        <v>0.6</v>
      </c>
      <c r="AL104" s="949" t="s">
        <v>961</v>
      </c>
      <c r="AM104" s="949">
        <v>2253.1</v>
      </c>
      <c r="AN104" s="949">
        <v>3017.03</v>
      </c>
      <c r="AO104" s="949"/>
      <c r="AP104" s="949"/>
      <c r="AQ104" s="949"/>
      <c r="AR104" s="949"/>
      <c r="AS104" s="949">
        <v>1.5</v>
      </c>
      <c r="AT104" s="949" t="s">
        <v>962</v>
      </c>
      <c r="AU104" s="949">
        <v>2855.5</v>
      </c>
      <c r="AV104" s="949">
        <v>9559.2000000000007</v>
      </c>
      <c r="AW104" s="364"/>
    </row>
    <row r="105" spans="1:56" s="42" customFormat="1" ht="27.6" x14ac:dyDescent="0.3">
      <c r="A105" s="93"/>
      <c r="B105" s="141" t="s">
        <v>984</v>
      </c>
      <c r="C105" s="92" t="s">
        <v>912</v>
      </c>
      <c r="D105" s="373">
        <v>1412.9</v>
      </c>
      <c r="E105" s="973" t="str">
        <f t="shared" si="24"/>
        <v>x</v>
      </c>
      <c r="F105" s="723">
        <v>1.5</v>
      </c>
      <c r="G105" s="973" t="str">
        <f t="shared" si="25"/>
        <v>x</v>
      </c>
      <c r="H105" s="723" t="s">
        <v>962</v>
      </c>
      <c r="I105" s="93"/>
      <c r="J105" s="96"/>
      <c r="K105" s="93"/>
      <c r="L105" s="96"/>
      <c r="M105" s="93"/>
      <c r="N105" s="96"/>
      <c r="O105" s="93"/>
      <c r="P105" s="96"/>
      <c r="Q105" s="93"/>
      <c r="R105" s="96"/>
      <c r="S105" s="93"/>
      <c r="T105" s="96"/>
      <c r="U105" s="93"/>
      <c r="Z105" s="373"/>
      <c r="AA105" s="373"/>
      <c r="AB105" s="373"/>
      <c r="AC105" s="373"/>
      <c r="AD105" s="373"/>
      <c r="AE105" s="373"/>
      <c r="AF105" s="949" t="s">
        <v>984</v>
      </c>
      <c r="AG105" s="949" t="s">
        <v>170</v>
      </c>
      <c r="AH105" s="949" t="s">
        <v>915</v>
      </c>
      <c r="AI105" s="949">
        <v>1412.9</v>
      </c>
      <c r="AJ105" s="949">
        <v>1</v>
      </c>
      <c r="AK105" s="949">
        <v>0.6</v>
      </c>
      <c r="AL105" s="949" t="s">
        <v>961</v>
      </c>
      <c r="AM105" s="949">
        <v>2253.1</v>
      </c>
      <c r="AN105" s="949">
        <v>1910.05</v>
      </c>
      <c r="AO105" s="949"/>
      <c r="AP105" s="949"/>
      <c r="AQ105" s="949"/>
      <c r="AR105" s="949"/>
      <c r="AS105" s="949">
        <v>1.5</v>
      </c>
      <c r="AT105" s="949" t="s">
        <v>962</v>
      </c>
      <c r="AU105" s="949">
        <v>2855.5</v>
      </c>
      <c r="AV105" s="949">
        <v>6051.81</v>
      </c>
      <c r="AW105" s="373"/>
    </row>
    <row r="106" spans="1:56" s="42" customFormat="1" ht="27.6" x14ac:dyDescent="0.3">
      <c r="A106" s="93"/>
      <c r="B106" s="141" t="s">
        <v>987</v>
      </c>
      <c r="C106" s="92" t="s">
        <v>912</v>
      </c>
      <c r="D106" s="373">
        <v>2231.7600000000002</v>
      </c>
      <c r="E106" s="973" t="str">
        <f t="shared" si="24"/>
        <v>x</v>
      </c>
      <c r="F106" s="723">
        <v>1.5</v>
      </c>
      <c r="G106" s="973" t="str">
        <f t="shared" si="25"/>
        <v>x</v>
      </c>
      <c r="H106" s="723" t="s">
        <v>962</v>
      </c>
      <c r="I106" s="93"/>
      <c r="J106" s="96"/>
      <c r="K106" s="93"/>
      <c r="L106" s="96"/>
      <c r="M106" s="93"/>
      <c r="N106" s="96"/>
      <c r="O106" s="93"/>
      <c r="P106" s="96"/>
      <c r="Q106" s="93"/>
      <c r="R106" s="96"/>
      <c r="S106" s="93"/>
      <c r="T106" s="96"/>
      <c r="U106" s="93"/>
      <c r="Z106" s="364"/>
      <c r="AA106" s="364"/>
      <c r="AB106" s="364"/>
      <c r="AC106" s="364"/>
      <c r="AD106" s="364"/>
      <c r="AE106" s="364"/>
      <c r="AF106" s="949" t="s">
        <v>987</v>
      </c>
      <c r="AG106" s="949" t="s">
        <v>170</v>
      </c>
      <c r="AH106" s="949" t="s">
        <v>915</v>
      </c>
      <c r="AI106" s="949">
        <v>2231.7600000000002</v>
      </c>
      <c r="AJ106" s="949">
        <v>1</v>
      </c>
      <c r="AK106" s="949">
        <v>0.6</v>
      </c>
      <c r="AL106" s="949" t="s">
        <v>961</v>
      </c>
      <c r="AM106" s="949">
        <v>2253.1</v>
      </c>
      <c r="AN106" s="949">
        <v>3017.03</v>
      </c>
      <c r="AO106" s="949"/>
      <c r="AP106" s="949"/>
      <c r="AQ106" s="949"/>
      <c r="AR106" s="949"/>
      <c r="AS106" s="949">
        <v>1.5</v>
      </c>
      <c r="AT106" s="949" t="s">
        <v>962</v>
      </c>
      <c r="AU106" s="949">
        <v>2855.5</v>
      </c>
      <c r="AV106" s="949">
        <v>9559.2000000000007</v>
      </c>
      <c r="AW106" s="364"/>
    </row>
    <row r="107" spans="1:56" s="42" customFormat="1" ht="27.6" x14ac:dyDescent="0.3">
      <c r="A107" s="93"/>
      <c r="B107" s="141" t="s">
        <v>989</v>
      </c>
      <c r="C107" s="92" t="s">
        <v>912</v>
      </c>
      <c r="D107" s="373">
        <v>1412.8</v>
      </c>
      <c r="E107" s="973" t="str">
        <f t="shared" si="24"/>
        <v>x</v>
      </c>
      <c r="F107" s="723">
        <v>1.5</v>
      </c>
      <c r="G107" s="973" t="str">
        <f t="shared" si="25"/>
        <v>x</v>
      </c>
      <c r="H107" s="723" t="s">
        <v>962</v>
      </c>
      <c r="I107" s="93"/>
      <c r="J107" s="96"/>
      <c r="K107" s="93"/>
      <c r="L107" s="96"/>
      <c r="M107" s="93"/>
      <c r="N107" s="96"/>
      <c r="O107" s="93"/>
      <c r="P107" s="96"/>
      <c r="Q107" s="93"/>
      <c r="R107" s="96"/>
      <c r="S107" s="93"/>
      <c r="T107" s="96"/>
      <c r="U107" s="93"/>
      <c r="Z107" s="364"/>
      <c r="AA107" s="364"/>
      <c r="AB107" s="364"/>
      <c r="AC107" s="364"/>
      <c r="AD107" s="364"/>
      <c r="AE107" s="364"/>
      <c r="AF107" s="949" t="s">
        <v>989</v>
      </c>
      <c r="AG107" s="949" t="s">
        <v>170</v>
      </c>
      <c r="AH107" s="949" t="s">
        <v>915</v>
      </c>
      <c r="AI107" s="949">
        <v>1412.8</v>
      </c>
      <c r="AJ107" s="949">
        <v>1</v>
      </c>
      <c r="AK107" s="949">
        <v>0.6</v>
      </c>
      <c r="AL107" s="949" t="s">
        <v>961</v>
      </c>
      <c r="AM107" s="949">
        <v>2253.1</v>
      </c>
      <c r="AN107" s="949">
        <v>1909.91</v>
      </c>
      <c r="AO107" s="949"/>
      <c r="AP107" s="949"/>
      <c r="AQ107" s="949"/>
      <c r="AR107" s="949"/>
      <c r="AS107" s="949">
        <v>1.5</v>
      </c>
      <c r="AT107" s="949" t="s">
        <v>962</v>
      </c>
      <c r="AU107" s="949">
        <v>2855.5</v>
      </c>
      <c r="AV107" s="949">
        <v>6051.37</v>
      </c>
      <c r="AW107" s="364"/>
    </row>
    <row r="108" spans="1:56" s="42" customFormat="1" ht="27.6" x14ac:dyDescent="0.3">
      <c r="A108" s="93"/>
      <c r="B108" s="141" t="s">
        <v>1211</v>
      </c>
      <c r="C108" s="366" t="s">
        <v>979</v>
      </c>
      <c r="D108" s="373">
        <v>0</v>
      </c>
      <c r="E108" s="403" t="s">
        <v>173</v>
      </c>
      <c r="F108" s="724" t="s">
        <v>173</v>
      </c>
      <c r="G108" s="403" t="s">
        <v>173</v>
      </c>
      <c r="H108" s="724" t="s">
        <v>173</v>
      </c>
      <c r="I108" s="93"/>
      <c r="J108" s="96"/>
      <c r="K108" s="93"/>
      <c r="L108" s="96"/>
      <c r="M108" s="93"/>
      <c r="N108" s="96"/>
      <c r="O108" s="93"/>
      <c r="P108" s="96"/>
      <c r="Q108" s="93"/>
      <c r="R108" s="96"/>
      <c r="S108" s="93"/>
      <c r="T108" s="96"/>
      <c r="U108" s="93"/>
      <c r="Z108" s="364"/>
      <c r="AA108" s="364"/>
      <c r="AB108" s="364"/>
      <c r="AC108" s="364"/>
      <c r="AD108" s="364"/>
      <c r="AE108" s="364"/>
      <c r="AF108" s="949" t="s">
        <v>1211</v>
      </c>
      <c r="AG108" s="949" t="s">
        <v>983</v>
      </c>
      <c r="AH108" s="949" t="s">
        <v>979</v>
      </c>
      <c r="AI108" s="949">
        <v>0</v>
      </c>
      <c r="AJ108" s="949">
        <v>1</v>
      </c>
      <c r="AK108" s="949"/>
      <c r="AL108" s="949"/>
      <c r="AM108" s="949"/>
      <c r="AN108" s="949"/>
      <c r="AO108" s="949"/>
      <c r="AP108" s="949"/>
      <c r="AQ108" s="949"/>
      <c r="AR108" s="949"/>
      <c r="AS108" s="949"/>
      <c r="AT108" s="949"/>
      <c r="AU108" s="949"/>
      <c r="AV108" s="949"/>
      <c r="AW108" s="364"/>
    </row>
    <row r="109" spans="1:56" s="42" customFormat="1" ht="13.8" x14ac:dyDescent="0.3">
      <c r="A109" s="93"/>
      <c r="B109" s="141" t="s">
        <v>990</v>
      </c>
      <c r="C109" s="366" t="s">
        <v>1389</v>
      </c>
      <c r="D109" s="373">
        <v>10586.7</v>
      </c>
      <c r="E109" s="973" t="str">
        <f>IF(ROUND(F109,1)=ROUND(AS109,1),"x","")</f>
        <v>x</v>
      </c>
      <c r="F109" s="723">
        <v>20</v>
      </c>
      <c r="G109" s="973" t="str">
        <f>IF(H109=AT109,"x","")</f>
        <v>x</v>
      </c>
      <c r="H109" s="723" t="s">
        <v>1390</v>
      </c>
      <c r="I109" s="93"/>
      <c r="J109" s="96"/>
      <c r="K109" s="93"/>
      <c r="L109" s="96"/>
      <c r="M109" s="93"/>
      <c r="N109" s="96"/>
      <c r="O109" s="93"/>
      <c r="P109" s="96"/>
      <c r="Q109" s="93"/>
      <c r="R109" s="96"/>
      <c r="S109" s="93"/>
      <c r="T109" s="96"/>
      <c r="U109" s="93"/>
      <c r="Z109" s="364"/>
      <c r="AA109" s="364"/>
      <c r="AB109" s="364"/>
      <c r="AC109" s="364"/>
      <c r="AD109" s="364"/>
      <c r="AE109" s="364"/>
      <c r="AF109" s="949" t="s">
        <v>990</v>
      </c>
      <c r="AG109" s="949" t="s">
        <v>170</v>
      </c>
      <c r="AH109" s="949" t="s">
        <v>1389</v>
      </c>
      <c r="AI109" s="949">
        <v>10586.7</v>
      </c>
      <c r="AJ109" s="949">
        <v>1</v>
      </c>
      <c r="AK109" s="949">
        <v>0.5</v>
      </c>
      <c r="AL109" s="949" t="s">
        <v>1392</v>
      </c>
      <c r="AM109" s="949">
        <v>3062.45</v>
      </c>
      <c r="AN109" s="949">
        <v>16210.6</v>
      </c>
      <c r="AO109" s="949"/>
      <c r="AP109" s="949"/>
      <c r="AQ109" s="949"/>
      <c r="AR109" s="949"/>
      <c r="AS109" s="949">
        <v>20</v>
      </c>
      <c r="AT109" s="949" t="s">
        <v>1390</v>
      </c>
      <c r="AU109" s="949">
        <v>0</v>
      </c>
      <c r="AV109" s="949">
        <v>0</v>
      </c>
      <c r="AW109" s="364"/>
    </row>
    <row r="110" spans="1:56" s="42" customFormat="1" ht="27.6" x14ac:dyDescent="0.3">
      <c r="A110" s="93"/>
      <c r="B110" s="141" t="s">
        <v>1000</v>
      </c>
      <c r="C110" s="92" t="s">
        <v>912</v>
      </c>
      <c r="D110" s="373">
        <v>2231.7600000000002</v>
      </c>
      <c r="E110" s="973" t="str">
        <f t="shared" ref="E110:E113" si="26">IF(ROUND(F110,1)=ROUND(AS110,1),"x","")</f>
        <v>x</v>
      </c>
      <c r="F110" s="723">
        <v>1.5</v>
      </c>
      <c r="G110" s="973" t="str">
        <f t="shared" ref="G110:G113" si="27">IF(H110=AT110,"x","")</f>
        <v>x</v>
      </c>
      <c r="H110" s="723" t="s">
        <v>962</v>
      </c>
      <c r="I110" s="93"/>
      <c r="J110" s="96"/>
      <c r="K110" s="93"/>
      <c r="L110" s="96"/>
      <c r="M110" s="93"/>
      <c r="N110" s="96"/>
      <c r="O110" s="93"/>
      <c r="P110" s="96"/>
      <c r="Q110" s="93"/>
      <c r="R110" s="96"/>
      <c r="S110" s="93"/>
      <c r="T110" s="96"/>
      <c r="U110" s="93"/>
      <c r="Z110" s="364"/>
      <c r="AA110" s="364"/>
      <c r="AB110" s="364"/>
      <c r="AC110" s="364"/>
      <c r="AD110" s="364"/>
      <c r="AE110" s="364"/>
      <c r="AF110" s="949" t="s">
        <v>1000</v>
      </c>
      <c r="AG110" s="949" t="s">
        <v>170</v>
      </c>
      <c r="AH110" s="949" t="s">
        <v>915</v>
      </c>
      <c r="AI110" s="949">
        <v>2231.7600000000002</v>
      </c>
      <c r="AJ110" s="949">
        <v>1</v>
      </c>
      <c r="AK110" s="949">
        <v>0.6</v>
      </c>
      <c r="AL110" s="949" t="s">
        <v>961</v>
      </c>
      <c r="AM110" s="949">
        <v>2253.1</v>
      </c>
      <c r="AN110" s="949">
        <v>3017.03</v>
      </c>
      <c r="AO110" s="949"/>
      <c r="AP110" s="949"/>
      <c r="AQ110" s="949"/>
      <c r="AR110" s="949"/>
      <c r="AS110" s="949">
        <v>1.5</v>
      </c>
      <c r="AT110" s="949" t="s">
        <v>962</v>
      </c>
      <c r="AU110" s="949">
        <v>2855.5</v>
      </c>
      <c r="AV110" s="949">
        <v>9559.2000000000007</v>
      </c>
      <c r="AW110" s="364"/>
    </row>
    <row r="111" spans="1:56" s="42" customFormat="1" ht="27.6" x14ac:dyDescent="0.3">
      <c r="A111" s="93"/>
      <c r="B111" s="141" t="s">
        <v>1001</v>
      </c>
      <c r="C111" s="92" t="s">
        <v>912</v>
      </c>
      <c r="D111" s="373">
        <v>1412.9</v>
      </c>
      <c r="E111" s="973" t="str">
        <f t="shared" si="26"/>
        <v>x</v>
      </c>
      <c r="F111" s="723">
        <v>1.5</v>
      </c>
      <c r="G111" s="973" t="str">
        <f t="shared" si="27"/>
        <v>x</v>
      </c>
      <c r="H111" s="723" t="s">
        <v>962</v>
      </c>
      <c r="I111" s="93"/>
      <c r="J111" s="96"/>
      <c r="K111" s="93"/>
      <c r="L111" s="96"/>
      <c r="M111" s="93"/>
      <c r="N111" s="96"/>
      <c r="O111" s="93"/>
      <c r="P111" s="96"/>
      <c r="Q111" s="93"/>
      <c r="R111" s="96"/>
      <c r="S111" s="93"/>
      <c r="T111" s="96"/>
      <c r="U111" s="93"/>
      <c r="Z111" s="364"/>
      <c r="AA111" s="364"/>
      <c r="AB111" s="364"/>
      <c r="AC111" s="364"/>
      <c r="AD111" s="364"/>
      <c r="AE111" s="364"/>
      <c r="AF111" s="949" t="s">
        <v>1001</v>
      </c>
      <c r="AG111" s="949" t="s">
        <v>170</v>
      </c>
      <c r="AH111" s="949" t="s">
        <v>915</v>
      </c>
      <c r="AI111" s="949">
        <v>1412.9</v>
      </c>
      <c r="AJ111" s="949">
        <v>1</v>
      </c>
      <c r="AK111" s="949">
        <v>0.6</v>
      </c>
      <c r="AL111" s="949" t="s">
        <v>961</v>
      </c>
      <c r="AM111" s="949">
        <v>2253.1</v>
      </c>
      <c r="AN111" s="949">
        <v>1910.05</v>
      </c>
      <c r="AO111" s="949"/>
      <c r="AP111" s="949"/>
      <c r="AQ111" s="949"/>
      <c r="AR111" s="949"/>
      <c r="AS111" s="949">
        <v>1.5</v>
      </c>
      <c r="AT111" s="949" t="s">
        <v>962</v>
      </c>
      <c r="AU111" s="949">
        <v>2855.5</v>
      </c>
      <c r="AV111" s="949">
        <v>6051.81</v>
      </c>
      <c r="AW111" s="364"/>
    </row>
    <row r="112" spans="1:56" s="42" customFormat="1" ht="27.6" x14ac:dyDescent="0.3">
      <c r="A112" s="93"/>
      <c r="B112" s="141" t="s">
        <v>1002</v>
      </c>
      <c r="C112" s="92" t="s">
        <v>912</v>
      </c>
      <c r="D112" s="373">
        <v>2231.7600000000002</v>
      </c>
      <c r="E112" s="973" t="str">
        <f t="shared" si="26"/>
        <v>x</v>
      </c>
      <c r="F112" s="723">
        <v>1.5</v>
      </c>
      <c r="G112" s="973" t="str">
        <f t="shared" si="27"/>
        <v>x</v>
      </c>
      <c r="H112" s="723" t="s">
        <v>962</v>
      </c>
      <c r="I112" s="93"/>
      <c r="J112" s="96"/>
      <c r="K112" s="93"/>
      <c r="L112" s="96"/>
      <c r="M112" s="93"/>
      <c r="N112" s="96"/>
      <c r="O112" s="93"/>
      <c r="P112" s="96"/>
      <c r="Q112" s="93"/>
      <c r="R112" s="96"/>
      <c r="S112" s="93"/>
      <c r="T112" s="96"/>
      <c r="U112" s="93"/>
      <c r="Z112" s="364"/>
      <c r="AA112" s="364"/>
      <c r="AB112" s="364"/>
      <c r="AC112" s="364"/>
      <c r="AD112" s="364"/>
      <c r="AE112" s="364"/>
      <c r="AF112" s="949" t="s">
        <v>1002</v>
      </c>
      <c r="AG112" s="949" t="s">
        <v>170</v>
      </c>
      <c r="AH112" s="949" t="s">
        <v>915</v>
      </c>
      <c r="AI112" s="949">
        <v>2231.7600000000002</v>
      </c>
      <c r="AJ112" s="949">
        <v>1</v>
      </c>
      <c r="AK112" s="949">
        <v>0.6</v>
      </c>
      <c r="AL112" s="949" t="s">
        <v>961</v>
      </c>
      <c r="AM112" s="949">
        <v>2253.1</v>
      </c>
      <c r="AN112" s="949">
        <v>3017.03</v>
      </c>
      <c r="AO112" s="949"/>
      <c r="AP112" s="949"/>
      <c r="AQ112" s="949"/>
      <c r="AR112" s="949"/>
      <c r="AS112" s="949">
        <v>1.5</v>
      </c>
      <c r="AT112" s="949" t="s">
        <v>962</v>
      </c>
      <c r="AU112" s="949">
        <v>2855.5</v>
      </c>
      <c r="AV112" s="949">
        <v>9559.2000000000007</v>
      </c>
      <c r="AW112" s="364"/>
    </row>
    <row r="113" spans="1:59" s="42" customFormat="1" ht="27.6" x14ac:dyDescent="0.3">
      <c r="A113" s="93"/>
      <c r="B113" s="141" t="s">
        <v>1003</v>
      </c>
      <c r="C113" s="92" t="s">
        <v>912</v>
      </c>
      <c r="D113" s="373">
        <v>1412.8</v>
      </c>
      <c r="E113" s="973" t="str">
        <f t="shared" si="26"/>
        <v>x</v>
      </c>
      <c r="F113" s="723">
        <v>1.5</v>
      </c>
      <c r="G113" s="973" t="str">
        <f t="shared" si="27"/>
        <v>x</v>
      </c>
      <c r="H113" s="723" t="s">
        <v>962</v>
      </c>
      <c r="I113" s="93"/>
      <c r="J113" s="96"/>
      <c r="K113" s="93"/>
      <c r="L113" s="96"/>
      <c r="M113" s="93"/>
      <c r="N113" s="96"/>
      <c r="O113" s="93"/>
      <c r="P113" s="96"/>
      <c r="Q113" s="93"/>
      <c r="R113" s="96"/>
      <c r="S113" s="93"/>
      <c r="T113" s="96"/>
      <c r="U113" s="93"/>
      <c r="Z113" s="364"/>
      <c r="AA113" s="364"/>
      <c r="AB113" s="364"/>
      <c r="AC113" s="364"/>
      <c r="AD113" s="364"/>
      <c r="AE113" s="364"/>
      <c r="AF113" s="949" t="s">
        <v>1003</v>
      </c>
      <c r="AG113" s="949" t="s">
        <v>170</v>
      </c>
      <c r="AH113" s="949" t="s">
        <v>915</v>
      </c>
      <c r="AI113" s="949">
        <v>1412.8</v>
      </c>
      <c r="AJ113" s="949">
        <v>1</v>
      </c>
      <c r="AK113" s="949">
        <v>0.6</v>
      </c>
      <c r="AL113" s="949" t="s">
        <v>961</v>
      </c>
      <c r="AM113" s="949">
        <v>2253.1</v>
      </c>
      <c r="AN113" s="949">
        <v>1909.91</v>
      </c>
      <c r="AO113" s="949"/>
      <c r="AP113" s="949"/>
      <c r="AQ113" s="949"/>
      <c r="AR113" s="949"/>
      <c r="AS113" s="949">
        <v>1.5</v>
      </c>
      <c r="AT113" s="949" t="s">
        <v>962</v>
      </c>
      <c r="AU113" s="949">
        <v>2855.5</v>
      </c>
      <c r="AV113" s="949">
        <v>6051.37</v>
      </c>
      <c r="AW113" s="364"/>
    </row>
    <row r="114" spans="1:59" s="42" customFormat="1" ht="27.6" x14ac:dyDescent="0.3">
      <c r="A114" s="93"/>
      <c r="B114" s="141" t="s">
        <v>998</v>
      </c>
      <c r="C114" s="366" t="s">
        <v>979</v>
      </c>
      <c r="D114" s="373">
        <v>0</v>
      </c>
      <c r="E114" s="403" t="s">
        <v>173</v>
      </c>
      <c r="F114" s="724" t="s">
        <v>173</v>
      </c>
      <c r="G114" s="403" t="s">
        <v>173</v>
      </c>
      <c r="H114" s="724" t="s">
        <v>173</v>
      </c>
      <c r="I114" s="93"/>
      <c r="J114" s="96"/>
      <c r="K114" s="93"/>
      <c r="L114" s="96"/>
      <c r="M114" s="93"/>
      <c r="N114" s="96"/>
      <c r="O114" s="93"/>
      <c r="P114" s="96"/>
      <c r="Q114" s="93"/>
      <c r="R114" s="96"/>
      <c r="S114" s="93"/>
      <c r="T114" s="96"/>
      <c r="U114" s="93"/>
      <c r="Z114" s="364"/>
      <c r="AA114" s="364"/>
      <c r="AB114" s="364"/>
      <c r="AC114" s="364"/>
      <c r="AD114" s="364"/>
      <c r="AE114" s="364"/>
      <c r="AF114" s="949" t="s">
        <v>998</v>
      </c>
      <c r="AG114" s="949" t="s">
        <v>983</v>
      </c>
      <c r="AH114" s="949" t="s">
        <v>979</v>
      </c>
      <c r="AI114" s="949">
        <v>0</v>
      </c>
      <c r="AJ114" s="949">
        <v>1</v>
      </c>
      <c r="AK114" s="949"/>
      <c r="AL114" s="949"/>
      <c r="AM114" s="949"/>
      <c r="AN114" s="949"/>
      <c r="AO114" s="949"/>
      <c r="AP114" s="949"/>
      <c r="AQ114" s="949"/>
      <c r="AR114" s="949"/>
      <c r="AS114" s="949"/>
      <c r="AT114" s="949"/>
      <c r="AU114" s="949"/>
      <c r="AV114" s="949"/>
      <c r="AW114" s="364"/>
    </row>
    <row r="115" spans="1:59" s="42" customFormat="1" ht="13.8" x14ac:dyDescent="0.3">
      <c r="A115" s="93"/>
      <c r="B115" s="141" t="s">
        <v>1013</v>
      </c>
      <c r="C115" s="366" t="s">
        <v>1389</v>
      </c>
      <c r="D115" s="373">
        <v>10586.7</v>
      </c>
      <c r="E115" s="973" t="str">
        <f>IF(ROUND(F115,1)=ROUND(AS115,1),"x","")</f>
        <v>x</v>
      </c>
      <c r="F115" s="723">
        <v>20</v>
      </c>
      <c r="G115" s="973" t="str">
        <f>IF(H115=AT115,"x","")</f>
        <v>x</v>
      </c>
      <c r="H115" s="723" t="s">
        <v>1390</v>
      </c>
      <c r="I115" s="93"/>
      <c r="J115" s="96"/>
      <c r="K115" s="93"/>
      <c r="L115" s="96"/>
      <c r="M115" s="93"/>
      <c r="N115" s="96"/>
      <c r="O115" s="93"/>
      <c r="P115" s="96"/>
      <c r="Q115" s="93"/>
      <c r="R115" s="96"/>
      <c r="S115" s="93"/>
      <c r="T115" s="96"/>
      <c r="U115" s="93"/>
      <c r="Z115" s="364"/>
      <c r="AA115" s="364"/>
      <c r="AB115" s="364"/>
      <c r="AC115" s="364"/>
      <c r="AD115" s="364"/>
      <c r="AE115" s="364"/>
      <c r="AF115" s="949" t="s">
        <v>1013</v>
      </c>
      <c r="AG115" s="949" t="s">
        <v>170</v>
      </c>
      <c r="AH115" s="949" t="s">
        <v>1389</v>
      </c>
      <c r="AI115" s="949">
        <v>10586.7</v>
      </c>
      <c r="AJ115" s="949">
        <v>1</v>
      </c>
      <c r="AK115" s="949">
        <v>0.5</v>
      </c>
      <c r="AL115" s="949" t="s">
        <v>1392</v>
      </c>
      <c r="AM115" s="949">
        <v>3062.45</v>
      </c>
      <c r="AN115" s="949">
        <v>16210.6</v>
      </c>
      <c r="AO115" s="949"/>
      <c r="AP115" s="949"/>
      <c r="AQ115" s="949"/>
      <c r="AR115" s="949"/>
      <c r="AS115" s="949">
        <v>20</v>
      </c>
      <c r="AT115" s="949" t="s">
        <v>1390</v>
      </c>
      <c r="AU115" s="949">
        <v>0</v>
      </c>
      <c r="AV115" s="949">
        <v>0</v>
      </c>
      <c r="AW115" s="364"/>
    </row>
    <row r="116" spans="1:59" s="42" customFormat="1" ht="27.6" x14ac:dyDescent="0.3">
      <c r="A116" s="93"/>
      <c r="B116" s="141" t="s">
        <v>1021</v>
      </c>
      <c r="C116" s="92" t="s">
        <v>912</v>
      </c>
      <c r="D116" s="373">
        <v>2231.7600000000002</v>
      </c>
      <c r="E116" s="973" t="str">
        <f t="shared" ref="E116:E119" si="28">IF(ROUND(F116,1)=ROUND(AS116,1),"x","")</f>
        <v>x</v>
      </c>
      <c r="F116" s="723">
        <v>1.5</v>
      </c>
      <c r="G116" s="973" t="str">
        <f t="shared" ref="G116:G119" si="29">IF(H116=AT116,"x","")</f>
        <v>x</v>
      </c>
      <c r="H116" s="723" t="s">
        <v>962</v>
      </c>
      <c r="I116" s="93"/>
      <c r="J116" s="96"/>
      <c r="K116" s="93"/>
      <c r="L116" s="96"/>
      <c r="M116" s="93"/>
      <c r="N116" s="96"/>
      <c r="O116" s="93"/>
      <c r="P116" s="96"/>
      <c r="Q116" s="93"/>
      <c r="R116" s="96"/>
      <c r="S116" s="93"/>
      <c r="T116" s="96"/>
      <c r="U116" s="93"/>
      <c r="Z116" s="364"/>
      <c r="AA116" s="364"/>
      <c r="AB116" s="364"/>
      <c r="AC116" s="364"/>
      <c r="AD116" s="364"/>
      <c r="AE116" s="364"/>
      <c r="AF116" s="949" t="s">
        <v>1021</v>
      </c>
      <c r="AG116" s="949" t="s">
        <v>170</v>
      </c>
      <c r="AH116" s="949" t="s">
        <v>915</v>
      </c>
      <c r="AI116" s="949">
        <v>2231.7600000000002</v>
      </c>
      <c r="AJ116" s="949">
        <v>1</v>
      </c>
      <c r="AK116" s="949">
        <v>0.6</v>
      </c>
      <c r="AL116" s="949" t="s">
        <v>961</v>
      </c>
      <c r="AM116" s="949">
        <v>2253.1</v>
      </c>
      <c r="AN116" s="949">
        <v>3017.03</v>
      </c>
      <c r="AO116" s="949"/>
      <c r="AP116" s="949"/>
      <c r="AQ116" s="949"/>
      <c r="AR116" s="949"/>
      <c r="AS116" s="949">
        <v>1.5</v>
      </c>
      <c r="AT116" s="949" t="s">
        <v>962</v>
      </c>
      <c r="AU116" s="949">
        <v>2855.5</v>
      </c>
      <c r="AV116" s="949">
        <v>9559.2000000000007</v>
      </c>
      <c r="AW116" s="364"/>
    </row>
    <row r="117" spans="1:59" s="42" customFormat="1" ht="27.6" x14ac:dyDescent="0.3">
      <c r="A117" s="93"/>
      <c r="B117" s="141" t="s">
        <v>1023</v>
      </c>
      <c r="C117" s="92" t="s">
        <v>912</v>
      </c>
      <c r="D117" s="373">
        <v>1412.9</v>
      </c>
      <c r="E117" s="973" t="str">
        <f t="shared" si="28"/>
        <v>x</v>
      </c>
      <c r="F117" s="723">
        <v>1.5</v>
      </c>
      <c r="G117" s="973" t="str">
        <f t="shared" si="29"/>
        <v>x</v>
      </c>
      <c r="H117" s="723" t="s">
        <v>962</v>
      </c>
      <c r="I117" s="93"/>
      <c r="J117" s="96"/>
      <c r="K117" s="93"/>
      <c r="L117" s="96"/>
      <c r="M117" s="93"/>
      <c r="N117" s="96"/>
      <c r="O117" s="93"/>
      <c r="P117" s="96"/>
      <c r="Q117" s="93"/>
      <c r="R117" s="96"/>
      <c r="S117" s="93"/>
      <c r="T117" s="96"/>
      <c r="U117" s="93"/>
      <c r="Z117" s="364"/>
      <c r="AA117" s="364"/>
      <c r="AB117" s="364"/>
      <c r="AC117" s="364"/>
      <c r="AD117" s="364"/>
      <c r="AE117" s="364"/>
      <c r="AF117" s="949" t="s">
        <v>1023</v>
      </c>
      <c r="AG117" s="949" t="s">
        <v>170</v>
      </c>
      <c r="AH117" s="949" t="s">
        <v>915</v>
      </c>
      <c r="AI117" s="949">
        <v>1412.9</v>
      </c>
      <c r="AJ117" s="949">
        <v>1</v>
      </c>
      <c r="AK117" s="949">
        <v>0.6</v>
      </c>
      <c r="AL117" s="949" t="s">
        <v>961</v>
      </c>
      <c r="AM117" s="949">
        <v>2253.1</v>
      </c>
      <c r="AN117" s="949">
        <v>1910.05</v>
      </c>
      <c r="AO117" s="949"/>
      <c r="AP117" s="949"/>
      <c r="AQ117" s="949"/>
      <c r="AR117" s="949"/>
      <c r="AS117" s="949">
        <v>1.5</v>
      </c>
      <c r="AT117" s="949" t="s">
        <v>962</v>
      </c>
      <c r="AU117" s="949">
        <v>2855.5</v>
      </c>
      <c r="AV117" s="949">
        <v>6051.81</v>
      </c>
      <c r="AW117" s="364"/>
    </row>
    <row r="118" spans="1:59" s="42" customFormat="1" ht="27.6" x14ac:dyDescent="0.3">
      <c r="A118" s="93"/>
      <c r="B118" s="141" t="s">
        <v>1024</v>
      </c>
      <c r="C118" s="92" t="s">
        <v>912</v>
      </c>
      <c r="D118" s="373">
        <v>2231.7600000000002</v>
      </c>
      <c r="E118" s="973" t="str">
        <f t="shared" si="28"/>
        <v>x</v>
      </c>
      <c r="F118" s="723">
        <v>1.5</v>
      </c>
      <c r="G118" s="973" t="str">
        <f t="shared" si="29"/>
        <v>x</v>
      </c>
      <c r="H118" s="723" t="s">
        <v>962</v>
      </c>
      <c r="I118" s="93"/>
      <c r="J118" s="96"/>
      <c r="K118" s="93"/>
      <c r="L118" s="96"/>
      <c r="M118" s="93"/>
      <c r="N118" s="96"/>
      <c r="O118" s="93"/>
      <c r="P118" s="96"/>
      <c r="Q118" s="93"/>
      <c r="R118" s="96"/>
      <c r="S118" s="93"/>
      <c r="T118" s="96"/>
      <c r="U118" s="93"/>
      <c r="Z118" s="364"/>
      <c r="AA118" s="364"/>
      <c r="AB118" s="364"/>
      <c r="AC118" s="364"/>
      <c r="AD118" s="364"/>
      <c r="AE118" s="364"/>
      <c r="AF118" s="949" t="s">
        <v>1024</v>
      </c>
      <c r="AG118" s="949" t="s">
        <v>170</v>
      </c>
      <c r="AH118" s="949" t="s">
        <v>915</v>
      </c>
      <c r="AI118" s="949">
        <v>2231.7600000000002</v>
      </c>
      <c r="AJ118" s="949">
        <v>1</v>
      </c>
      <c r="AK118" s="949">
        <v>0.6</v>
      </c>
      <c r="AL118" s="949" t="s">
        <v>961</v>
      </c>
      <c r="AM118" s="949">
        <v>2253.1</v>
      </c>
      <c r="AN118" s="949">
        <v>3017.03</v>
      </c>
      <c r="AO118" s="949"/>
      <c r="AP118" s="949"/>
      <c r="AQ118" s="949"/>
      <c r="AR118" s="949"/>
      <c r="AS118" s="949">
        <v>1.5</v>
      </c>
      <c r="AT118" s="949" t="s">
        <v>962</v>
      </c>
      <c r="AU118" s="949">
        <v>2855.5</v>
      </c>
      <c r="AV118" s="949">
        <v>9559.2000000000007</v>
      </c>
      <c r="AW118" s="364"/>
    </row>
    <row r="119" spans="1:59" s="42" customFormat="1" ht="27.6" x14ac:dyDescent="0.3">
      <c r="A119" s="93"/>
      <c r="B119" s="141" t="s">
        <v>1025</v>
      </c>
      <c r="C119" s="92" t="s">
        <v>912</v>
      </c>
      <c r="D119" s="373">
        <v>1412.8</v>
      </c>
      <c r="E119" s="973" t="str">
        <f t="shared" si="28"/>
        <v>x</v>
      </c>
      <c r="F119" s="723">
        <v>1.5</v>
      </c>
      <c r="G119" s="973" t="str">
        <f t="shared" si="29"/>
        <v>x</v>
      </c>
      <c r="H119" s="723" t="s">
        <v>962</v>
      </c>
      <c r="I119" s="93"/>
      <c r="J119" s="96"/>
      <c r="K119" s="93"/>
      <c r="L119" s="96"/>
      <c r="M119" s="93"/>
      <c r="N119" s="96"/>
      <c r="O119" s="93"/>
      <c r="P119" s="96"/>
      <c r="Q119" s="93"/>
      <c r="R119" s="96"/>
      <c r="S119" s="93"/>
      <c r="T119" s="96"/>
      <c r="U119" s="93"/>
      <c r="Z119" s="364"/>
      <c r="AA119" s="364"/>
      <c r="AB119" s="364"/>
      <c r="AC119" s="364"/>
      <c r="AD119" s="364"/>
      <c r="AE119" s="364"/>
      <c r="AF119" s="949" t="s">
        <v>1025</v>
      </c>
      <c r="AG119" s="949" t="s">
        <v>170</v>
      </c>
      <c r="AH119" s="949" t="s">
        <v>915</v>
      </c>
      <c r="AI119" s="949">
        <v>1412.8</v>
      </c>
      <c r="AJ119" s="949">
        <v>1</v>
      </c>
      <c r="AK119" s="949">
        <v>0.6</v>
      </c>
      <c r="AL119" s="949" t="s">
        <v>961</v>
      </c>
      <c r="AM119" s="949">
        <v>2253.1</v>
      </c>
      <c r="AN119" s="949">
        <v>1909.91</v>
      </c>
      <c r="AO119" s="949"/>
      <c r="AP119" s="949"/>
      <c r="AQ119" s="949"/>
      <c r="AR119" s="949"/>
      <c r="AS119" s="949">
        <v>1.5</v>
      </c>
      <c r="AT119" s="949" t="s">
        <v>962</v>
      </c>
      <c r="AU119" s="949">
        <v>2855.5</v>
      </c>
      <c r="AV119" s="949">
        <v>6051.37</v>
      </c>
      <c r="AW119" s="364"/>
    </row>
    <row r="120" spans="1:59" s="42" customFormat="1" ht="27.6" x14ac:dyDescent="0.3">
      <c r="A120" s="93"/>
      <c r="B120" s="309" t="s">
        <v>1026</v>
      </c>
      <c r="C120" s="167" t="s">
        <v>979</v>
      </c>
      <c r="D120" s="165">
        <v>0</v>
      </c>
      <c r="E120" s="405" t="s">
        <v>173</v>
      </c>
      <c r="F120" s="406" t="s">
        <v>173</v>
      </c>
      <c r="G120" s="405" t="s">
        <v>173</v>
      </c>
      <c r="H120" s="406" t="s">
        <v>173</v>
      </c>
      <c r="I120" s="93"/>
      <c r="J120" s="96"/>
      <c r="K120" s="93"/>
      <c r="L120" s="96"/>
      <c r="M120" s="93"/>
      <c r="N120" s="96"/>
      <c r="O120" s="93"/>
      <c r="P120" s="96"/>
      <c r="Q120" s="93"/>
      <c r="R120" s="96"/>
      <c r="S120" s="93"/>
      <c r="T120" s="96"/>
      <c r="U120" s="93"/>
      <c r="Z120" s="364"/>
      <c r="AA120" s="364"/>
      <c r="AB120" s="364"/>
      <c r="AC120" s="364"/>
      <c r="AD120" s="364"/>
      <c r="AE120" s="364"/>
      <c r="AF120" s="97" t="s">
        <v>1026</v>
      </c>
      <c r="AG120" s="97" t="s">
        <v>983</v>
      </c>
      <c r="AH120" s="97" t="s">
        <v>979</v>
      </c>
      <c r="AI120" s="97">
        <v>0</v>
      </c>
      <c r="AJ120" s="97">
        <v>1</v>
      </c>
      <c r="AK120" s="97"/>
      <c r="AL120" s="97"/>
      <c r="AM120" s="97"/>
      <c r="AN120" s="97"/>
      <c r="AO120" s="97"/>
      <c r="AP120" s="97"/>
      <c r="AQ120" s="97"/>
      <c r="AR120" s="97"/>
      <c r="AS120" s="97"/>
      <c r="AT120" s="97"/>
      <c r="AU120" s="97"/>
      <c r="AV120" s="97"/>
      <c r="AW120" s="364"/>
      <c r="AX120" s="441"/>
      <c r="AY120" s="441"/>
      <c r="AZ120" s="441"/>
      <c r="BA120" s="441"/>
      <c r="BB120" s="441"/>
      <c r="BC120" s="441"/>
      <c r="BD120" s="441"/>
    </row>
    <row r="121" spans="1:59" s="441" customFormat="1" x14ac:dyDescent="0.3">
      <c r="A121" s="93"/>
      <c r="B121" s="14"/>
      <c r="C121" s="96"/>
      <c r="D121" s="93"/>
      <c r="E121" s="93"/>
      <c r="F121" s="25"/>
      <c r="G121" s="93"/>
      <c r="H121" s="96"/>
      <c r="I121" s="93"/>
      <c r="J121" s="96"/>
      <c r="K121" s="93"/>
      <c r="L121" s="96"/>
      <c r="M121" s="93"/>
      <c r="N121" s="96"/>
      <c r="O121" s="93"/>
      <c r="P121" s="96"/>
      <c r="Q121" s="93"/>
      <c r="R121" s="96"/>
      <c r="S121" s="93"/>
      <c r="T121" s="96"/>
      <c r="U121" s="93"/>
      <c r="Z121" s="982"/>
      <c r="AA121" s="982"/>
      <c r="AB121" s="982"/>
      <c r="AC121" s="982"/>
      <c r="AD121" s="982"/>
      <c r="AE121" s="982"/>
      <c r="AF121" s="369" t="s">
        <v>1393</v>
      </c>
      <c r="AG121" s="369"/>
      <c r="AH121" s="982"/>
      <c r="AI121" s="982"/>
      <c r="AJ121" s="982"/>
      <c r="AK121" s="982"/>
      <c r="AL121" s="982"/>
      <c r="AM121" s="982"/>
      <c r="AN121" s="982"/>
      <c r="AO121" s="982"/>
      <c r="AP121" s="982"/>
      <c r="AQ121" s="982"/>
      <c r="AR121" s="982"/>
      <c r="AS121" s="982"/>
      <c r="AT121" s="982"/>
      <c r="AU121" s="982"/>
      <c r="AV121" s="982"/>
      <c r="AW121" s="982"/>
      <c r="AX121" s="982"/>
      <c r="AY121" s="982"/>
      <c r="AZ121" s="982"/>
      <c r="BA121" s="982"/>
      <c r="BB121" s="982"/>
      <c r="BC121" s="982"/>
      <c r="BD121" s="982"/>
      <c r="BE121" s="982"/>
      <c r="BF121" s="982"/>
    </row>
    <row r="122" spans="1:59" x14ac:dyDescent="0.3">
      <c r="A122" s="23"/>
      <c r="B122" s="23" t="s">
        <v>329</v>
      </c>
      <c r="V122" s="982"/>
      <c r="W122" s="982"/>
      <c r="X122" s="982"/>
      <c r="Y122" s="982"/>
      <c r="Z122" s="982"/>
      <c r="AA122" s="982"/>
      <c r="AB122" s="982"/>
      <c r="AC122" s="982"/>
      <c r="AD122" s="982"/>
      <c r="AE122" s="982"/>
      <c r="AF122" s="982"/>
      <c r="AG122" s="982"/>
      <c r="AH122" s="982"/>
      <c r="AI122" s="982"/>
      <c r="AJ122" s="982"/>
      <c r="AK122" s="982" t="s">
        <v>1394</v>
      </c>
      <c r="AL122" s="982"/>
      <c r="AM122" s="982"/>
      <c r="AN122" s="982"/>
      <c r="AO122" s="982" t="s">
        <v>1395</v>
      </c>
      <c r="AP122" s="982"/>
      <c r="AQ122" s="982"/>
      <c r="AR122" s="982" t="s">
        <v>1396</v>
      </c>
      <c r="AS122" s="982"/>
      <c r="AT122" s="982"/>
      <c r="AU122" s="982" t="s">
        <v>1397</v>
      </c>
      <c r="AV122" s="982"/>
      <c r="AW122" s="982"/>
      <c r="AX122" s="982"/>
      <c r="AY122" s="982"/>
      <c r="AZ122" s="982"/>
      <c r="BA122" s="982"/>
      <c r="BB122" s="982"/>
      <c r="BC122" s="982"/>
      <c r="BD122" s="982"/>
      <c r="BE122" s="982"/>
      <c r="BF122" s="982"/>
      <c r="BG122" s="982"/>
    </row>
    <row r="123" spans="1:59" ht="41.4" x14ac:dyDescent="0.3">
      <c r="A123" s="89"/>
      <c r="B123" s="115" t="s">
        <v>330</v>
      </c>
      <c r="C123" s="123" t="s">
        <v>331</v>
      </c>
      <c r="D123" s="119" t="s">
        <v>122</v>
      </c>
      <c r="E123" s="131"/>
      <c r="F123" s="120" t="s">
        <v>332</v>
      </c>
      <c r="G123" s="131"/>
      <c r="H123" s="117" t="s">
        <v>148</v>
      </c>
      <c r="I123" s="131"/>
      <c r="J123" s="117" t="s">
        <v>333</v>
      </c>
      <c r="K123" s="131"/>
      <c r="L123" s="117" t="s">
        <v>334</v>
      </c>
      <c r="M123" s="131"/>
      <c r="N123" s="117" t="s">
        <v>335</v>
      </c>
      <c r="O123" s="131"/>
      <c r="P123" s="117" t="s">
        <v>336</v>
      </c>
      <c r="Q123" s="131"/>
      <c r="R123" s="117" t="s">
        <v>337</v>
      </c>
      <c r="S123" s="131"/>
      <c r="T123" s="148" t="s">
        <v>338</v>
      </c>
      <c r="U123" s="131"/>
      <c r="V123" s="148" t="s">
        <v>339</v>
      </c>
      <c r="W123" s="982"/>
      <c r="X123" s="982"/>
      <c r="Y123" s="982"/>
      <c r="Z123" s="982"/>
      <c r="AA123" s="982"/>
      <c r="AB123" s="982"/>
      <c r="AC123" s="982"/>
      <c r="AD123" s="982"/>
      <c r="AE123" s="982"/>
      <c r="AF123" s="982" t="s">
        <v>121</v>
      </c>
      <c r="AG123" s="982" t="s">
        <v>148</v>
      </c>
      <c r="AH123" s="982" t="s">
        <v>122</v>
      </c>
      <c r="AI123" s="982" t="s">
        <v>1398</v>
      </c>
      <c r="AJ123" s="982" t="s">
        <v>1399</v>
      </c>
      <c r="AK123" s="982" t="s">
        <v>1400</v>
      </c>
      <c r="AL123" s="982" t="s">
        <v>1401</v>
      </c>
      <c r="AM123" s="982" t="s">
        <v>1402</v>
      </c>
      <c r="AN123" s="982" t="s">
        <v>1403</v>
      </c>
      <c r="AO123" s="982" t="s">
        <v>1400</v>
      </c>
      <c r="AP123" s="982" t="s">
        <v>1401</v>
      </c>
      <c r="AQ123" s="982" t="s">
        <v>1402</v>
      </c>
      <c r="AR123" s="982" t="s">
        <v>1404</v>
      </c>
      <c r="AS123" s="982" t="s">
        <v>1405</v>
      </c>
      <c r="AT123" s="982" t="s">
        <v>1406</v>
      </c>
      <c r="AU123" s="982" t="s">
        <v>1407</v>
      </c>
      <c r="AV123" s="982" t="s">
        <v>1408</v>
      </c>
      <c r="AW123" s="982" t="s">
        <v>1409</v>
      </c>
      <c r="AX123" s="982" t="s">
        <v>1410</v>
      </c>
      <c r="AY123" s="982" t="s">
        <v>1411</v>
      </c>
      <c r="AZ123" s="982" t="s">
        <v>1412</v>
      </c>
      <c r="BA123" s="982" t="s">
        <v>1413</v>
      </c>
      <c r="BB123" s="982" t="s">
        <v>1414</v>
      </c>
      <c r="BC123" s="982" t="s">
        <v>1415</v>
      </c>
      <c r="BD123" s="982" t="s">
        <v>334</v>
      </c>
      <c r="BE123" s="982" t="s">
        <v>1416</v>
      </c>
      <c r="BF123" s="982"/>
      <c r="BG123" s="982"/>
    </row>
    <row r="124" spans="1:59" ht="15" thickBot="1" x14ac:dyDescent="0.35">
      <c r="A124" s="89"/>
      <c r="B124" s="139" t="s">
        <v>341</v>
      </c>
      <c r="C124" s="126" t="s">
        <v>342</v>
      </c>
      <c r="D124" s="371"/>
      <c r="E124" s="183"/>
      <c r="F124" s="176"/>
      <c r="G124" s="183"/>
      <c r="H124" s="998" t="s">
        <v>343</v>
      </c>
      <c r="I124" s="183"/>
      <c r="J124" s="998" t="s">
        <v>344</v>
      </c>
      <c r="K124" s="183"/>
      <c r="L124" s="998" t="s">
        <v>345</v>
      </c>
      <c r="M124" s="183"/>
      <c r="N124" s="998" t="s">
        <v>346</v>
      </c>
      <c r="O124" s="183"/>
      <c r="P124" s="998" t="s">
        <v>347</v>
      </c>
      <c r="Q124" s="183"/>
      <c r="R124" s="998" t="s">
        <v>348</v>
      </c>
      <c r="S124" s="233"/>
      <c r="T124" s="998" t="s">
        <v>349</v>
      </c>
      <c r="U124" s="233"/>
      <c r="V124" s="998" t="s">
        <v>350</v>
      </c>
      <c r="W124" s="982"/>
      <c r="X124" s="982"/>
      <c r="Y124" s="982"/>
      <c r="Z124" s="982"/>
      <c r="AA124" s="982"/>
      <c r="AB124" s="982"/>
      <c r="AC124" s="982"/>
      <c r="AD124" s="982"/>
      <c r="AE124" s="982"/>
      <c r="AF124" s="982"/>
      <c r="AG124" s="982"/>
      <c r="AH124" s="982"/>
      <c r="AI124" s="982" t="s">
        <v>1417</v>
      </c>
      <c r="AJ124" s="982" t="s">
        <v>966</v>
      </c>
      <c r="AK124" s="982" t="s">
        <v>1418</v>
      </c>
      <c r="AL124" s="982" t="s">
        <v>1419</v>
      </c>
      <c r="AM124" s="982" t="s">
        <v>1420</v>
      </c>
      <c r="AN124" s="982" t="s">
        <v>1421</v>
      </c>
      <c r="AO124" s="982" t="s">
        <v>1418</v>
      </c>
      <c r="AP124" s="982" t="s">
        <v>1419</v>
      </c>
      <c r="AQ124" s="982" t="s">
        <v>1420</v>
      </c>
      <c r="AR124" s="982" t="s">
        <v>1068</v>
      </c>
      <c r="AS124" s="982" t="s">
        <v>1066</v>
      </c>
      <c r="AT124" s="982" t="s">
        <v>1068</v>
      </c>
      <c r="AU124" s="982" t="s">
        <v>1066</v>
      </c>
      <c r="AV124" s="982"/>
      <c r="AW124" s="982"/>
      <c r="AX124" s="982" t="s">
        <v>1419</v>
      </c>
      <c r="AY124" s="982" t="s">
        <v>1419</v>
      </c>
      <c r="AZ124" s="982" t="s">
        <v>1419</v>
      </c>
      <c r="BA124" s="982" t="s">
        <v>1419</v>
      </c>
      <c r="BB124" s="982" t="s">
        <v>1422</v>
      </c>
      <c r="BC124" s="982"/>
      <c r="BD124" s="982"/>
      <c r="BE124" s="982"/>
      <c r="BF124" s="982"/>
      <c r="BG124" s="982"/>
    </row>
    <row r="125" spans="1:59" s="359" customFormat="1" ht="28.2" thickTop="1" x14ac:dyDescent="0.3">
      <c r="A125" s="373"/>
      <c r="B125" s="141" t="s">
        <v>1423</v>
      </c>
      <c r="C125" s="373" t="s">
        <v>351</v>
      </c>
      <c r="D125" s="373" t="s">
        <v>137</v>
      </c>
      <c r="E125" s="137"/>
      <c r="F125" s="366" t="s">
        <v>1425</v>
      </c>
      <c r="G125" s="973" t="str">
        <f>IF(H125=AG125,"x","")</f>
        <v>x</v>
      </c>
      <c r="H125" s="202" t="s">
        <v>353</v>
      </c>
      <c r="I125" s="411" t="s">
        <v>300</v>
      </c>
      <c r="J125" s="202" t="s">
        <v>353</v>
      </c>
      <c r="K125" s="973" t="str">
        <f>IF(L125=BD125,"x","")</f>
        <v>x</v>
      </c>
      <c r="L125" s="202" t="s">
        <v>354</v>
      </c>
      <c r="M125" s="973" t="str">
        <f>IF(N125=AL125,"x","")</f>
        <v>x</v>
      </c>
      <c r="N125" s="202">
        <v>55</v>
      </c>
      <c r="O125" s="973" t="str">
        <f>IF(P125=AP125,"x","")</f>
        <v>x</v>
      </c>
      <c r="P125" s="202">
        <v>60</v>
      </c>
      <c r="Q125" s="973" t="str">
        <f>IF(R125=AW125,"x","")</f>
        <v>x</v>
      </c>
      <c r="R125" s="202" t="s">
        <v>355</v>
      </c>
      <c r="S125" s="958" t="str">
        <f>IF(T125=AY125,"x","")</f>
        <v>x</v>
      </c>
      <c r="T125" s="209">
        <v>60</v>
      </c>
      <c r="U125" s="951" t="str">
        <f>IF(V125=BA125,"x","")</f>
        <v>x</v>
      </c>
      <c r="V125" s="209">
        <v>55</v>
      </c>
      <c r="Y125" s="812"/>
      <c r="Z125" s="812"/>
      <c r="AA125" s="812"/>
      <c r="AB125" s="812"/>
      <c r="AC125" s="812"/>
      <c r="AD125" s="812"/>
      <c r="AE125" s="813" t="s">
        <v>1576</v>
      </c>
      <c r="AF125" s="949" t="s">
        <v>351</v>
      </c>
      <c r="AG125" s="949" t="s">
        <v>353</v>
      </c>
      <c r="AH125" s="949" t="s">
        <v>137</v>
      </c>
      <c r="AI125" s="949">
        <v>1</v>
      </c>
      <c r="AJ125" s="949">
        <v>7289.23</v>
      </c>
      <c r="AK125" s="949">
        <v>200978</v>
      </c>
      <c r="AL125" s="949">
        <v>55</v>
      </c>
      <c r="AM125" s="949">
        <v>27.571899999999999</v>
      </c>
      <c r="AN125" s="949">
        <v>413.65600000000001</v>
      </c>
      <c r="AO125" s="949">
        <v>84434</v>
      </c>
      <c r="AP125" s="949">
        <v>60</v>
      </c>
      <c r="AQ125" s="949">
        <v>11.583399999999999</v>
      </c>
      <c r="AR125" s="949">
        <v>6927.97</v>
      </c>
      <c r="AS125" s="949">
        <v>0.95043900000000003</v>
      </c>
      <c r="AT125" s="949">
        <v>1093.3800000000001</v>
      </c>
      <c r="AU125" s="949">
        <v>0.15</v>
      </c>
      <c r="AV125" s="949" t="s">
        <v>1010</v>
      </c>
      <c r="AW125" s="949" t="s">
        <v>355</v>
      </c>
      <c r="AX125" s="949"/>
      <c r="AY125" s="949">
        <v>60</v>
      </c>
      <c r="AZ125" s="949"/>
      <c r="BA125" s="949">
        <v>55</v>
      </c>
      <c r="BB125" s="949"/>
      <c r="BC125" s="949" t="s">
        <v>311</v>
      </c>
      <c r="BD125" s="949" t="s">
        <v>354</v>
      </c>
      <c r="BE125" s="949" t="s">
        <v>1428</v>
      </c>
      <c r="BF125" s="982"/>
    </row>
    <row r="126" spans="1:59" s="359" customFormat="1" x14ac:dyDescent="0.3">
      <c r="A126" s="373"/>
      <c r="B126" s="141" t="s">
        <v>1429</v>
      </c>
      <c r="C126" s="373" t="s">
        <v>356</v>
      </c>
      <c r="D126" s="373" t="s">
        <v>137</v>
      </c>
      <c r="E126" s="137"/>
      <c r="F126" s="366" t="s">
        <v>1431</v>
      </c>
      <c r="G126" s="973" t="str">
        <f t="shared" ref="G126:G130" si="30">IF(H126=AG126,"x","")</f>
        <v>x</v>
      </c>
      <c r="H126" s="202" t="s">
        <v>353</v>
      </c>
      <c r="I126" s="412" t="s">
        <v>300</v>
      </c>
      <c r="J126" s="202" t="s">
        <v>353</v>
      </c>
      <c r="K126" s="973" t="str">
        <f t="shared" ref="K126:K130" si="31">IF(L126=BD126,"x","")</f>
        <v>x</v>
      </c>
      <c r="L126" s="202" t="s">
        <v>354</v>
      </c>
      <c r="M126" s="973" t="str">
        <f t="shared" ref="M126:M130" si="32">IF(N126=AL126,"x","")</f>
        <v>x</v>
      </c>
      <c r="N126" s="202">
        <v>55</v>
      </c>
      <c r="O126" s="973" t="str">
        <f>IF(P126=AP126,"x","")</f>
        <v>x</v>
      </c>
      <c r="P126" s="202">
        <v>60</v>
      </c>
      <c r="Q126" s="973" t="str">
        <f t="shared" ref="Q126:Q130" si="33">IF(R126=AW126,"x","")</f>
        <v>x</v>
      </c>
      <c r="R126" s="202" t="s">
        <v>355</v>
      </c>
      <c r="S126" s="958" t="str">
        <f>IF(T126=AY126,"x","")</f>
        <v>x</v>
      </c>
      <c r="T126" s="209">
        <v>60</v>
      </c>
      <c r="U126" s="951" t="str">
        <f>IF(V126=BA126,"x","")</f>
        <v>x</v>
      </c>
      <c r="V126" s="209">
        <v>55</v>
      </c>
      <c r="AF126" s="949" t="s">
        <v>356</v>
      </c>
      <c r="AG126" s="949" t="s">
        <v>353</v>
      </c>
      <c r="AH126" s="949" t="s">
        <v>137</v>
      </c>
      <c r="AI126" s="949">
        <v>1</v>
      </c>
      <c r="AJ126" s="949">
        <v>7289.23</v>
      </c>
      <c r="AK126" s="949">
        <v>234545</v>
      </c>
      <c r="AL126" s="949">
        <v>55</v>
      </c>
      <c r="AM126" s="949">
        <v>32.176900000000003</v>
      </c>
      <c r="AN126" s="949">
        <v>414.03</v>
      </c>
      <c r="AO126" s="949">
        <v>106623</v>
      </c>
      <c r="AP126" s="949">
        <v>60</v>
      </c>
      <c r="AQ126" s="949">
        <v>14.6275</v>
      </c>
      <c r="AR126" s="949">
        <v>8092.38</v>
      </c>
      <c r="AS126" s="949">
        <v>1.1101799999999999</v>
      </c>
      <c r="AT126" s="949">
        <v>1093.3800000000001</v>
      </c>
      <c r="AU126" s="949">
        <v>0.15</v>
      </c>
      <c r="AV126" s="949" t="s">
        <v>1010</v>
      </c>
      <c r="AW126" s="949" t="s">
        <v>355</v>
      </c>
      <c r="AX126" s="949"/>
      <c r="AY126" s="949">
        <v>60</v>
      </c>
      <c r="AZ126" s="949"/>
      <c r="BA126" s="949">
        <v>55</v>
      </c>
      <c r="BB126" s="949"/>
      <c r="BC126" s="949" t="s">
        <v>311</v>
      </c>
      <c r="BD126" s="949" t="s">
        <v>354</v>
      </c>
      <c r="BE126" s="949" t="s">
        <v>1428</v>
      </c>
      <c r="BF126" s="982"/>
    </row>
    <row r="127" spans="1:59" s="359" customFormat="1" x14ac:dyDescent="0.3">
      <c r="A127" s="373"/>
      <c r="B127" s="141" t="s">
        <v>1577</v>
      </c>
      <c r="C127" s="373" t="s">
        <v>358</v>
      </c>
      <c r="D127" s="373" t="s">
        <v>137</v>
      </c>
      <c r="E127" s="137"/>
      <c r="F127" s="366" t="s">
        <v>1578</v>
      </c>
      <c r="G127" s="973" t="str">
        <f t="shared" si="30"/>
        <v>x</v>
      </c>
      <c r="H127" s="202" t="s">
        <v>353</v>
      </c>
      <c r="I127" s="412" t="s">
        <v>300</v>
      </c>
      <c r="J127" s="202" t="s">
        <v>353</v>
      </c>
      <c r="K127" s="973" t="str">
        <f t="shared" si="31"/>
        <v>x</v>
      </c>
      <c r="L127" s="202" t="s">
        <v>354</v>
      </c>
      <c r="M127" s="973" t="str">
        <f t="shared" si="32"/>
        <v>x</v>
      </c>
      <c r="N127" s="202">
        <v>55</v>
      </c>
      <c r="O127" s="973" t="str">
        <f t="shared" ref="O127:O129" si="34">IF(P127=AP127,"x","")</f>
        <v>x</v>
      </c>
      <c r="P127" s="202">
        <v>60</v>
      </c>
      <c r="Q127" s="973" t="str">
        <f t="shared" si="33"/>
        <v>x</v>
      </c>
      <c r="R127" s="202" t="s">
        <v>355</v>
      </c>
      <c r="S127" s="958" t="str">
        <f>IF(T127=AY127,"x","")</f>
        <v>x</v>
      </c>
      <c r="T127" s="209">
        <v>60</v>
      </c>
      <c r="U127" s="951" t="str">
        <f>IF(V127=BA127,"x","")</f>
        <v>x</v>
      </c>
      <c r="V127" s="209">
        <v>55</v>
      </c>
      <c r="Y127" s="357"/>
      <c r="Z127" s="357"/>
      <c r="AA127" s="357"/>
      <c r="AB127" s="357"/>
      <c r="AC127" s="357"/>
      <c r="AD127" s="357"/>
      <c r="AE127" s="357"/>
      <c r="AF127" s="949" t="s">
        <v>358</v>
      </c>
      <c r="AG127" s="949" t="s">
        <v>353</v>
      </c>
      <c r="AH127" s="949" t="s">
        <v>137</v>
      </c>
      <c r="AI127" s="949">
        <v>1</v>
      </c>
      <c r="AJ127" s="949">
        <v>7289.23</v>
      </c>
      <c r="AK127" s="963">
        <v>244503</v>
      </c>
      <c r="AL127" s="949">
        <v>55</v>
      </c>
      <c r="AM127" s="949">
        <v>33.542999999999999</v>
      </c>
      <c r="AN127" s="949">
        <v>414.03</v>
      </c>
      <c r="AO127" s="949">
        <v>136758</v>
      </c>
      <c r="AP127" s="949">
        <v>60</v>
      </c>
      <c r="AQ127" s="949">
        <v>18.761700000000001</v>
      </c>
      <c r="AR127" s="949">
        <v>8435.9500000000007</v>
      </c>
      <c r="AS127" s="949">
        <v>1.1573199999999999</v>
      </c>
      <c r="AT127" s="949">
        <v>1093.3800000000001</v>
      </c>
      <c r="AU127" s="949">
        <v>0.15</v>
      </c>
      <c r="AV127" s="949" t="s">
        <v>1010</v>
      </c>
      <c r="AW127" s="949" t="s">
        <v>355</v>
      </c>
      <c r="AX127" s="949"/>
      <c r="AY127" s="949">
        <v>60</v>
      </c>
      <c r="AZ127" s="949"/>
      <c r="BA127" s="949">
        <v>55</v>
      </c>
      <c r="BB127" s="949"/>
      <c r="BC127" s="949" t="s">
        <v>311</v>
      </c>
      <c r="BD127" s="949" t="s">
        <v>354</v>
      </c>
      <c r="BE127" s="949" t="s">
        <v>1428</v>
      </c>
      <c r="BF127" s="982"/>
      <c r="BG127" s="357"/>
    </row>
    <row r="128" spans="1:59" s="359" customFormat="1" x14ac:dyDescent="0.3">
      <c r="A128" s="373"/>
      <c r="B128" s="141" t="s">
        <v>1160</v>
      </c>
      <c r="C128" s="373" t="s">
        <v>1579</v>
      </c>
      <c r="D128" s="373" t="s">
        <v>137</v>
      </c>
      <c r="E128" s="137"/>
      <c r="F128" s="366" t="s">
        <v>1433</v>
      </c>
      <c r="G128" s="973" t="str">
        <f t="shared" si="30"/>
        <v>x</v>
      </c>
      <c r="H128" s="202" t="s">
        <v>1580</v>
      </c>
      <c r="I128" s="412" t="s">
        <v>300</v>
      </c>
      <c r="J128" s="202" t="s">
        <v>1580</v>
      </c>
      <c r="K128" s="973" t="str">
        <f t="shared" si="31"/>
        <v>x</v>
      </c>
      <c r="L128" s="202" t="s">
        <v>1434</v>
      </c>
      <c r="M128" s="973" t="str">
        <f t="shared" si="32"/>
        <v>x</v>
      </c>
      <c r="N128" s="202">
        <v>60</v>
      </c>
      <c r="O128" s="973" t="str">
        <f t="shared" si="34"/>
        <v>x</v>
      </c>
      <c r="P128" s="202">
        <v>95</v>
      </c>
      <c r="Q128" s="973" t="str">
        <f t="shared" si="33"/>
        <v>x</v>
      </c>
      <c r="R128" s="202" t="s">
        <v>377</v>
      </c>
      <c r="S128" s="403" t="s">
        <v>173</v>
      </c>
      <c r="T128" s="404" t="s">
        <v>173</v>
      </c>
      <c r="U128" s="403" t="s">
        <v>173</v>
      </c>
      <c r="V128" s="404" t="s">
        <v>173</v>
      </c>
      <c r="Y128" s="357"/>
      <c r="Z128" s="357"/>
      <c r="AA128" s="357"/>
      <c r="AB128" s="357"/>
      <c r="AC128" s="357"/>
      <c r="AD128" s="357"/>
      <c r="AE128" s="357"/>
      <c r="AF128" s="949" t="s">
        <v>1579</v>
      </c>
      <c r="AG128" s="949" t="s">
        <v>1580</v>
      </c>
      <c r="AH128" s="949" t="s">
        <v>137</v>
      </c>
      <c r="AI128" s="949">
        <v>1</v>
      </c>
      <c r="AJ128" s="949">
        <v>10586.7</v>
      </c>
      <c r="AK128" s="963">
        <v>1060370</v>
      </c>
      <c r="AL128" s="949">
        <v>60</v>
      </c>
      <c r="AM128" s="949">
        <v>100.16</v>
      </c>
      <c r="AN128" s="949">
        <v>425.33699999999999</v>
      </c>
      <c r="AO128" s="949">
        <v>0</v>
      </c>
      <c r="AP128" s="949">
        <v>95</v>
      </c>
      <c r="AQ128" s="949">
        <v>0</v>
      </c>
      <c r="AR128" s="949">
        <v>37584.5</v>
      </c>
      <c r="AS128" s="949">
        <v>3.55016</v>
      </c>
      <c r="AT128" s="949">
        <v>1588.01</v>
      </c>
      <c r="AU128" s="949">
        <v>0.15</v>
      </c>
      <c r="AV128" s="949" t="s">
        <v>1160</v>
      </c>
      <c r="AW128" s="949" t="s">
        <v>377</v>
      </c>
      <c r="AX128" s="949"/>
      <c r="AY128" s="949">
        <v>-99996</v>
      </c>
      <c r="AZ128" s="949"/>
      <c r="BA128" s="949">
        <v>-99996</v>
      </c>
      <c r="BB128" s="949"/>
      <c r="BC128" s="949" t="s">
        <v>311</v>
      </c>
      <c r="BD128" s="949" t="s">
        <v>1434</v>
      </c>
      <c r="BE128" s="949" t="s">
        <v>1435</v>
      </c>
      <c r="BF128" s="982"/>
      <c r="BG128" s="357"/>
    </row>
    <row r="129" spans="1:59" s="359" customFormat="1" x14ac:dyDescent="0.3">
      <c r="A129" s="373"/>
      <c r="B129" s="141" t="s">
        <v>1166</v>
      </c>
      <c r="C129" s="373" t="s">
        <v>1581</v>
      </c>
      <c r="D129" s="373" t="s">
        <v>137</v>
      </c>
      <c r="E129" s="137"/>
      <c r="F129" s="366" t="s">
        <v>1437</v>
      </c>
      <c r="G129" s="973" t="str">
        <f t="shared" si="30"/>
        <v>x</v>
      </c>
      <c r="H129" s="202" t="s">
        <v>1580</v>
      </c>
      <c r="I129" s="412" t="s">
        <v>300</v>
      </c>
      <c r="J129" s="202" t="s">
        <v>1580</v>
      </c>
      <c r="K129" s="973" t="str">
        <f t="shared" si="31"/>
        <v>x</v>
      </c>
      <c r="L129" s="202" t="s">
        <v>1434</v>
      </c>
      <c r="M129" s="973" t="str">
        <f t="shared" si="32"/>
        <v>x</v>
      </c>
      <c r="N129" s="202">
        <v>60</v>
      </c>
      <c r="O129" s="973" t="str">
        <f t="shared" si="34"/>
        <v>x</v>
      </c>
      <c r="P129" s="202">
        <v>95</v>
      </c>
      <c r="Q129" s="973" t="str">
        <f t="shared" si="33"/>
        <v>x</v>
      </c>
      <c r="R129" s="202" t="s">
        <v>377</v>
      </c>
      <c r="S129" s="403" t="s">
        <v>173</v>
      </c>
      <c r="T129" s="404" t="s">
        <v>173</v>
      </c>
      <c r="U129" s="403" t="s">
        <v>173</v>
      </c>
      <c r="V129" s="404" t="s">
        <v>173</v>
      </c>
      <c r="Y129" s="357"/>
      <c r="Z129" s="357"/>
      <c r="AA129" s="357"/>
      <c r="AB129" s="357"/>
      <c r="AC129" s="357"/>
      <c r="AD129" s="357"/>
      <c r="AE129" s="357"/>
      <c r="AF129" s="949" t="s">
        <v>1581</v>
      </c>
      <c r="AG129" s="949" t="s">
        <v>1580</v>
      </c>
      <c r="AH129" s="949" t="s">
        <v>137</v>
      </c>
      <c r="AI129" s="949">
        <v>1</v>
      </c>
      <c r="AJ129" s="949">
        <v>10586.7</v>
      </c>
      <c r="AK129" s="963">
        <v>1056570</v>
      </c>
      <c r="AL129" s="949">
        <v>60</v>
      </c>
      <c r="AM129" s="949">
        <v>99.8018</v>
      </c>
      <c r="AN129" s="949">
        <v>425.33699999999999</v>
      </c>
      <c r="AO129" s="949">
        <v>0</v>
      </c>
      <c r="AP129" s="949">
        <v>95</v>
      </c>
      <c r="AQ129" s="949">
        <v>0</v>
      </c>
      <c r="AR129" s="949">
        <v>37450</v>
      </c>
      <c r="AS129" s="949">
        <v>3.5374500000000002</v>
      </c>
      <c r="AT129" s="949">
        <v>1588.01</v>
      </c>
      <c r="AU129" s="949">
        <v>0.15</v>
      </c>
      <c r="AV129" s="949" t="s">
        <v>1166</v>
      </c>
      <c r="AW129" s="949" t="s">
        <v>377</v>
      </c>
      <c r="AX129" s="949"/>
      <c r="AY129" s="949">
        <v>-99996</v>
      </c>
      <c r="AZ129" s="949"/>
      <c r="BA129" s="949">
        <v>-99996</v>
      </c>
      <c r="BB129" s="949"/>
      <c r="BC129" s="949" t="s">
        <v>311</v>
      </c>
      <c r="BD129" s="949" t="s">
        <v>1434</v>
      </c>
      <c r="BE129" s="949" t="s">
        <v>1435</v>
      </c>
      <c r="BF129" s="982"/>
      <c r="BG129" s="357"/>
    </row>
    <row r="130" spans="1:59" x14ac:dyDescent="0.3">
      <c r="A130" s="89"/>
      <c r="B130" s="180" t="s">
        <v>1178</v>
      </c>
      <c r="C130" s="156" t="s">
        <v>1582</v>
      </c>
      <c r="D130" s="204" t="s">
        <v>137</v>
      </c>
      <c r="E130" s="184"/>
      <c r="F130" s="167" t="s">
        <v>1439</v>
      </c>
      <c r="G130" s="974" t="str">
        <f t="shared" si="30"/>
        <v>x</v>
      </c>
      <c r="H130" s="162" t="s">
        <v>1580</v>
      </c>
      <c r="I130" s="160" t="s">
        <v>300</v>
      </c>
      <c r="J130" s="162" t="s">
        <v>1580</v>
      </c>
      <c r="K130" s="974" t="str">
        <f t="shared" si="31"/>
        <v>x</v>
      </c>
      <c r="L130" s="162" t="s">
        <v>1434</v>
      </c>
      <c r="M130" s="974" t="str">
        <f t="shared" si="32"/>
        <v>x</v>
      </c>
      <c r="N130" s="162">
        <v>60</v>
      </c>
      <c r="O130" s="974" t="str">
        <f>IF(P130=AP130,"x","")</f>
        <v>x</v>
      </c>
      <c r="P130" s="162">
        <v>95</v>
      </c>
      <c r="Q130" s="974" t="str">
        <f t="shared" si="33"/>
        <v>x</v>
      </c>
      <c r="R130" s="162" t="s">
        <v>377</v>
      </c>
      <c r="S130" s="405" t="s">
        <v>173</v>
      </c>
      <c r="T130" s="406" t="s">
        <v>173</v>
      </c>
      <c r="U130" s="405" t="s">
        <v>173</v>
      </c>
      <c r="V130" s="406" t="s">
        <v>173</v>
      </c>
      <c r="W130" s="982"/>
      <c r="X130" s="982"/>
      <c r="Y130" s="359"/>
      <c r="Z130" s="359"/>
      <c r="AA130" s="359"/>
      <c r="AB130" s="359"/>
      <c r="AC130" s="359"/>
      <c r="AD130" s="359"/>
      <c r="AE130" s="359"/>
      <c r="AF130" s="949" t="s">
        <v>1582</v>
      </c>
      <c r="AG130" s="949" t="s">
        <v>1580</v>
      </c>
      <c r="AH130" s="949" t="s">
        <v>137</v>
      </c>
      <c r="AI130" s="949">
        <v>1</v>
      </c>
      <c r="AJ130" s="949">
        <v>10586.7</v>
      </c>
      <c r="AK130" s="949">
        <v>1066960</v>
      </c>
      <c r="AL130" s="949">
        <v>60</v>
      </c>
      <c r="AM130" s="949">
        <v>100.783</v>
      </c>
      <c r="AN130" s="949">
        <v>425.33699999999999</v>
      </c>
      <c r="AO130" s="949">
        <v>0</v>
      </c>
      <c r="AP130" s="949">
        <v>95</v>
      </c>
      <c r="AQ130" s="949">
        <v>0</v>
      </c>
      <c r="AR130" s="949">
        <v>37818.1</v>
      </c>
      <c r="AS130" s="949">
        <v>3.5722299999999998</v>
      </c>
      <c r="AT130" s="949">
        <v>1588.01</v>
      </c>
      <c r="AU130" s="949">
        <v>0.15</v>
      </c>
      <c r="AV130" s="949" t="s">
        <v>1178</v>
      </c>
      <c r="AW130" s="949" t="s">
        <v>377</v>
      </c>
      <c r="AX130" s="949"/>
      <c r="AY130" s="949">
        <v>-99996</v>
      </c>
      <c r="AZ130" s="949"/>
      <c r="BA130" s="949">
        <v>-99996</v>
      </c>
      <c r="BB130" s="949"/>
      <c r="BC130" s="949" t="s">
        <v>311</v>
      </c>
      <c r="BD130" s="949" t="s">
        <v>1434</v>
      </c>
      <c r="BE130" s="949" t="s">
        <v>1435</v>
      </c>
      <c r="BF130" s="982"/>
      <c r="BG130" s="359"/>
    </row>
    <row r="131" spans="1:59" x14ac:dyDescent="0.3">
      <c r="A131" s="89"/>
      <c r="B131" s="84"/>
      <c r="C131" s="82"/>
      <c r="D131" s="30"/>
      <c r="E131" s="364"/>
      <c r="F131" s="364"/>
      <c r="G131" s="364"/>
      <c r="H131" s="364"/>
      <c r="J131" s="364"/>
      <c r="K131" s="91"/>
      <c r="L131" s="89"/>
      <c r="N131" s="364"/>
      <c r="P131" s="364"/>
      <c r="R131" s="364"/>
      <c r="T131" s="364"/>
      <c r="V131" s="364"/>
      <c r="W131" s="364"/>
      <c r="X131" s="364"/>
      <c r="Y131" s="982"/>
      <c r="Z131" s="982"/>
      <c r="AA131" s="982"/>
      <c r="AB131" s="982"/>
      <c r="AC131" s="982"/>
      <c r="AD131" s="982"/>
      <c r="AE131" s="982"/>
      <c r="AF131" s="369" t="s">
        <v>1442</v>
      </c>
      <c r="AG131" s="982"/>
      <c r="AH131" s="982"/>
      <c r="AI131" s="982"/>
      <c r="AJ131" s="982"/>
      <c r="AK131" s="982"/>
      <c r="AL131" s="982"/>
      <c r="AM131" s="982"/>
      <c r="AN131" s="982"/>
      <c r="AO131" s="982"/>
      <c r="AP131" s="982"/>
      <c r="AQ131" s="982"/>
      <c r="AR131" s="982"/>
      <c r="AS131" s="982"/>
      <c r="AT131" s="982"/>
      <c r="AU131" s="982"/>
      <c r="AV131" s="982"/>
      <c r="AW131" s="982"/>
      <c r="AX131" s="982"/>
      <c r="AY131" s="982"/>
      <c r="AZ131" s="982"/>
      <c r="BA131" s="982"/>
      <c r="BB131" s="982"/>
      <c r="BC131" s="982"/>
      <c r="BD131" s="982"/>
      <c r="BE131" s="982"/>
      <c r="BF131" s="982"/>
      <c r="BG131" s="982"/>
    </row>
    <row r="132" spans="1:59" x14ac:dyDescent="0.3">
      <c r="A132" s="89"/>
      <c r="B132" s="84"/>
      <c r="C132" s="82"/>
      <c r="D132" s="30"/>
      <c r="E132" s="364"/>
      <c r="F132" s="364"/>
      <c r="G132" s="364"/>
      <c r="H132" s="364"/>
      <c r="J132" s="364"/>
      <c r="K132" s="91"/>
      <c r="L132" s="89"/>
      <c r="N132" s="364"/>
      <c r="P132" s="364"/>
      <c r="R132" s="364"/>
      <c r="T132" s="364"/>
      <c r="V132" s="364"/>
      <c r="W132" s="364"/>
      <c r="X132" s="364"/>
      <c r="Y132" s="982"/>
      <c r="Z132" s="982"/>
      <c r="AA132" s="982"/>
      <c r="AB132" s="982"/>
      <c r="AC132" s="982"/>
      <c r="AD132" s="982"/>
      <c r="AE132" s="982"/>
      <c r="AF132" s="982"/>
      <c r="AG132" s="982"/>
      <c r="AH132" s="982"/>
      <c r="AI132" s="982"/>
      <c r="AJ132" s="982" t="s">
        <v>1443</v>
      </c>
      <c r="AK132" s="982"/>
      <c r="AL132" s="982"/>
      <c r="AM132" s="982" t="s">
        <v>1444</v>
      </c>
      <c r="AN132" s="982"/>
      <c r="AO132" s="982"/>
      <c r="AP132" s="982"/>
      <c r="AQ132" s="982" t="s">
        <v>410</v>
      </c>
      <c r="AR132" s="982"/>
      <c r="AS132" s="982"/>
      <c r="AT132" s="982" t="s">
        <v>399</v>
      </c>
      <c r="AU132" s="982"/>
      <c r="AV132" s="982"/>
      <c r="AW132" s="982"/>
      <c r="AX132" s="982"/>
      <c r="AY132" s="982"/>
      <c r="AZ132" s="982"/>
      <c r="BA132" s="982"/>
      <c r="BB132" s="982"/>
      <c r="BC132" s="982"/>
      <c r="BD132" s="982"/>
      <c r="BE132" s="982"/>
      <c r="BF132" s="982"/>
      <c r="BG132" s="982"/>
    </row>
    <row r="133" spans="1:59" ht="41.4" x14ac:dyDescent="0.3">
      <c r="A133" s="89"/>
      <c r="B133" s="115" t="s">
        <v>331</v>
      </c>
      <c r="C133" s="123" t="s">
        <v>382</v>
      </c>
      <c r="D133" s="119" t="s">
        <v>122</v>
      </c>
      <c r="E133" s="182"/>
      <c r="F133" s="117" t="s">
        <v>148</v>
      </c>
      <c r="G133" s="182"/>
      <c r="H133" s="117" t="s">
        <v>383</v>
      </c>
      <c r="I133" s="182"/>
      <c r="J133" s="117" t="s">
        <v>385</v>
      </c>
      <c r="K133" s="187"/>
      <c r="L133" s="117" t="s">
        <v>386</v>
      </c>
      <c r="M133" s="427"/>
      <c r="N133" s="117" t="s">
        <v>387</v>
      </c>
      <c r="O133" s="426"/>
      <c r="P133" s="117" t="s">
        <v>388</v>
      </c>
      <c r="R133" s="364"/>
      <c r="T133" s="364"/>
      <c r="V133" s="364"/>
      <c r="W133" s="364"/>
      <c r="X133" s="364"/>
      <c r="Y133" s="982"/>
      <c r="Z133" s="982"/>
      <c r="AA133" s="982"/>
      <c r="AB133" s="982"/>
      <c r="AC133" s="982"/>
      <c r="AD133" s="982"/>
      <c r="AE133" s="982"/>
      <c r="AF133" s="982" t="s">
        <v>121</v>
      </c>
      <c r="AG133" s="982" t="s">
        <v>148</v>
      </c>
      <c r="AH133" s="982" t="s">
        <v>122</v>
      </c>
      <c r="AI133" s="982" t="s">
        <v>1445</v>
      </c>
      <c r="AJ133" s="982" t="s">
        <v>1446</v>
      </c>
      <c r="AK133" s="982" t="s">
        <v>1447</v>
      </c>
      <c r="AL133" s="982" t="s">
        <v>1448</v>
      </c>
      <c r="AM133" s="982" t="s">
        <v>1449</v>
      </c>
      <c r="AN133" s="982" t="s">
        <v>1450</v>
      </c>
      <c r="AO133" s="982" t="s">
        <v>1451</v>
      </c>
      <c r="AP133" s="982" t="s">
        <v>1452</v>
      </c>
      <c r="AQ133" s="982" t="s">
        <v>1453</v>
      </c>
      <c r="AR133" s="982" t="s">
        <v>688</v>
      </c>
      <c r="AS133" s="982" t="s">
        <v>1454</v>
      </c>
      <c r="AT133" s="982" t="s">
        <v>1455</v>
      </c>
      <c r="AU133" s="982" t="s">
        <v>1456</v>
      </c>
      <c r="AV133" s="982" t="s">
        <v>1457</v>
      </c>
      <c r="AW133" s="982" t="s">
        <v>1458</v>
      </c>
      <c r="AX133" s="982" t="s">
        <v>1459</v>
      </c>
      <c r="AY133" s="982" t="s">
        <v>1460</v>
      </c>
      <c r="AZ133" s="982" t="s">
        <v>1461</v>
      </c>
      <c r="BA133" s="982" t="s">
        <v>1462</v>
      </c>
      <c r="BB133" s="982"/>
      <c r="BC133" s="982"/>
      <c r="BD133" s="982"/>
      <c r="BE133" s="982"/>
      <c r="BF133" s="982"/>
      <c r="BG133" s="982"/>
    </row>
    <row r="134" spans="1:59" ht="15" thickBot="1" x14ac:dyDescent="0.35">
      <c r="A134" s="89"/>
      <c r="B134" s="139" t="s">
        <v>389</v>
      </c>
      <c r="C134" s="126" t="s">
        <v>390</v>
      </c>
      <c r="D134" s="371"/>
      <c r="E134" s="183"/>
      <c r="F134" s="998" t="s">
        <v>391</v>
      </c>
      <c r="G134" s="183"/>
      <c r="H134" s="998" t="s">
        <v>392</v>
      </c>
      <c r="I134" s="183"/>
      <c r="J134" s="998" t="s">
        <v>394</v>
      </c>
      <c r="K134" s="189"/>
      <c r="L134" s="126" t="s">
        <v>395</v>
      </c>
      <c r="M134" s="178"/>
      <c r="N134" s="998" t="s">
        <v>396</v>
      </c>
      <c r="O134" s="176"/>
      <c r="P134" s="998" t="s">
        <v>397</v>
      </c>
      <c r="R134" s="364"/>
      <c r="T134" s="364"/>
      <c r="V134" s="364"/>
      <c r="W134" s="364"/>
      <c r="X134" s="364"/>
      <c r="Y134" s="982"/>
      <c r="Z134" s="982"/>
      <c r="AA134" s="982"/>
      <c r="AB134" s="982"/>
      <c r="AC134" s="982"/>
      <c r="AD134" s="982"/>
      <c r="AE134" s="982"/>
      <c r="AF134" s="982"/>
      <c r="AG134" s="982"/>
      <c r="AH134" s="982"/>
      <c r="AI134" s="982"/>
      <c r="AJ134" s="982"/>
      <c r="AK134" s="982" t="s">
        <v>1417</v>
      </c>
      <c r="AL134" s="982"/>
      <c r="AM134" s="982" t="s">
        <v>1418</v>
      </c>
      <c r="AN134" s="982" t="s">
        <v>1418</v>
      </c>
      <c r="AO134" s="982" t="s">
        <v>1418</v>
      </c>
      <c r="AP134" s="982" t="s">
        <v>1418</v>
      </c>
      <c r="AQ134" s="982" t="s">
        <v>1463</v>
      </c>
      <c r="AR134" s="982"/>
      <c r="AS134" s="982"/>
      <c r="AT134" s="982"/>
      <c r="AU134" s="982"/>
      <c r="AV134" s="982"/>
      <c r="AW134" s="982"/>
      <c r="AX134" s="982"/>
      <c r="AY134" s="982"/>
      <c r="AZ134" s="982"/>
      <c r="BA134" s="982"/>
      <c r="BB134" s="982"/>
      <c r="BC134" s="982"/>
      <c r="BD134" s="982"/>
      <c r="BE134" s="982"/>
      <c r="BF134" s="982"/>
      <c r="BG134" s="982"/>
    </row>
    <row r="135" spans="1:59" s="359" customFormat="1" ht="15" thickTop="1" x14ac:dyDescent="0.3">
      <c r="A135" s="373"/>
      <c r="B135" s="141" t="s">
        <v>351</v>
      </c>
      <c r="C135" s="373" t="s">
        <v>398</v>
      </c>
      <c r="D135" s="373" t="s">
        <v>137</v>
      </c>
      <c r="E135" s="973" t="str">
        <f>IF(F135=AG135,"x","")</f>
        <v>x</v>
      </c>
      <c r="F135" s="202" t="s">
        <v>399</v>
      </c>
      <c r="G135" s="973" t="str">
        <f>IF(ROUND(H135,2)=ROUND(AV135,2),"x","")</f>
        <v>x</v>
      </c>
      <c r="H135" s="202">
        <v>10.8</v>
      </c>
      <c r="I135" s="973" t="str">
        <f>IF(ROUND(J135,2)=ROUND(BA135,2),"x","")</f>
        <v>x</v>
      </c>
      <c r="J135" s="202">
        <v>1.1499999999999999</v>
      </c>
      <c r="K135" s="411" t="s">
        <v>300</v>
      </c>
      <c r="L135" s="366" t="s">
        <v>400</v>
      </c>
      <c r="M135" s="411" t="s">
        <v>300</v>
      </c>
      <c r="N135" s="366" t="s">
        <v>401</v>
      </c>
      <c r="O135" s="411" t="s">
        <v>300</v>
      </c>
      <c r="P135" s="362" t="s">
        <v>782</v>
      </c>
      <c r="Q135" s="373"/>
      <c r="R135" s="373"/>
      <c r="S135" s="373"/>
      <c r="T135" s="373"/>
      <c r="U135" s="373"/>
      <c r="V135" s="373"/>
      <c r="W135" s="373"/>
      <c r="X135" s="373"/>
      <c r="Y135" s="812"/>
      <c r="Z135" s="812"/>
      <c r="AA135" s="812"/>
      <c r="AB135" s="812"/>
      <c r="AC135" s="812"/>
      <c r="AD135" s="812"/>
      <c r="AE135" s="813" t="s">
        <v>1583</v>
      </c>
      <c r="AF135" s="949" t="s">
        <v>398</v>
      </c>
      <c r="AG135" s="949" t="s">
        <v>399</v>
      </c>
      <c r="AH135" s="949" t="s">
        <v>137</v>
      </c>
      <c r="AI135" s="949" t="s">
        <v>703</v>
      </c>
      <c r="AJ135" s="949" t="s">
        <v>351</v>
      </c>
      <c r="AK135" s="949">
        <v>1</v>
      </c>
      <c r="AL135" s="949" t="s">
        <v>311</v>
      </c>
      <c r="AM135" s="949">
        <v>200978</v>
      </c>
      <c r="AN135" s="949">
        <v>209682</v>
      </c>
      <c r="AO135" s="949" t="s">
        <v>1010</v>
      </c>
      <c r="AP135" s="949" t="s">
        <v>1010</v>
      </c>
      <c r="AQ135" s="949">
        <v>-99996</v>
      </c>
      <c r="AR135" s="949" t="s">
        <v>1466</v>
      </c>
      <c r="AS135" s="949">
        <v>2</v>
      </c>
      <c r="AT135" s="949">
        <v>-99996</v>
      </c>
      <c r="AU135" s="949">
        <v>-99996</v>
      </c>
      <c r="AV135" s="949">
        <v>10.8</v>
      </c>
      <c r="AW135" s="949">
        <v>-99996</v>
      </c>
      <c r="AX135" s="949">
        <v>-99996</v>
      </c>
      <c r="AY135" s="949">
        <v>-99996</v>
      </c>
      <c r="AZ135" s="949">
        <v>0.26129799999999997</v>
      </c>
      <c r="BA135" s="949">
        <v>1.1499999999999999</v>
      </c>
    </row>
    <row r="136" spans="1:59" s="359" customFormat="1" ht="13.8" x14ac:dyDescent="0.3">
      <c r="A136" s="373"/>
      <c r="B136" s="141" t="s">
        <v>356</v>
      </c>
      <c r="C136" s="373" t="s">
        <v>403</v>
      </c>
      <c r="D136" s="373" t="s">
        <v>137</v>
      </c>
      <c r="E136" s="973" t="str">
        <f t="shared" ref="E136:E140" si="35">IF(F136=AG136,"x","")</f>
        <v>x</v>
      </c>
      <c r="F136" s="202" t="s">
        <v>399</v>
      </c>
      <c r="G136" s="973" t="str">
        <f t="shared" ref="G136:G140" si="36">IF(ROUND(H136,2)=ROUND(AV136,2),"x","")</f>
        <v>x</v>
      </c>
      <c r="H136" s="202">
        <v>10.8</v>
      </c>
      <c r="I136" s="973" t="str">
        <f t="shared" ref="I136:I140" si="37">IF(ROUND(J136,2)=ROUND(BA136,2),"x","")</f>
        <v>x</v>
      </c>
      <c r="J136" s="202">
        <v>1.1499999999999999</v>
      </c>
      <c r="K136" s="412" t="s">
        <v>300</v>
      </c>
      <c r="L136" s="366" t="s">
        <v>400</v>
      </c>
      <c r="M136" s="412" t="s">
        <v>300</v>
      </c>
      <c r="N136" s="366" t="s">
        <v>401</v>
      </c>
      <c r="O136" s="412" t="s">
        <v>300</v>
      </c>
      <c r="P136" s="362" t="s">
        <v>782</v>
      </c>
      <c r="Q136" s="373"/>
      <c r="R136" s="373"/>
      <c r="S136" s="373"/>
      <c r="T136" s="373"/>
      <c r="U136" s="373"/>
      <c r="V136" s="373"/>
      <c r="W136" s="373"/>
      <c r="X136" s="373"/>
      <c r="AF136" s="949" t="s">
        <v>403</v>
      </c>
      <c r="AG136" s="949" t="s">
        <v>399</v>
      </c>
      <c r="AH136" s="949" t="s">
        <v>137</v>
      </c>
      <c r="AI136" s="949" t="s">
        <v>703</v>
      </c>
      <c r="AJ136" s="949" t="s">
        <v>356</v>
      </c>
      <c r="AK136" s="949">
        <v>1</v>
      </c>
      <c r="AL136" s="949" t="s">
        <v>311</v>
      </c>
      <c r="AM136" s="949">
        <v>234545</v>
      </c>
      <c r="AN136" s="949">
        <v>244703</v>
      </c>
      <c r="AO136" s="949" t="s">
        <v>1010</v>
      </c>
      <c r="AP136" s="949" t="s">
        <v>1010</v>
      </c>
      <c r="AQ136" s="949">
        <v>-99996</v>
      </c>
      <c r="AR136" s="949" t="s">
        <v>1466</v>
      </c>
      <c r="AS136" s="949">
        <v>2</v>
      </c>
      <c r="AT136" s="949">
        <v>-99996</v>
      </c>
      <c r="AU136" s="949">
        <v>-99996</v>
      </c>
      <c r="AV136" s="949">
        <v>10.8</v>
      </c>
      <c r="AW136" s="949">
        <v>-99996</v>
      </c>
      <c r="AX136" s="949">
        <v>-99996</v>
      </c>
      <c r="AY136" s="949">
        <v>-99996</v>
      </c>
      <c r="AZ136" s="949">
        <v>0.26129799999999997</v>
      </c>
      <c r="BA136" s="949">
        <v>1.1499999999999999</v>
      </c>
    </row>
    <row r="137" spans="1:59" s="359" customFormat="1" ht="13.8" x14ac:dyDescent="0.3">
      <c r="A137" s="373"/>
      <c r="B137" s="141" t="s">
        <v>358</v>
      </c>
      <c r="C137" s="373" t="s">
        <v>406</v>
      </c>
      <c r="D137" s="373" t="s">
        <v>137</v>
      </c>
      <c r="E137" s="973" t="str">
        <f t="shared" si="35"/>
        <v>x</v>
      </c>
      <c r="F137" s="202" t="s">
        <v>399</v>
      </c>
      <c r="G137" s="973" t="str">
        <f t="shared" si="36"/>
        <v>x</v>
      </c>
      <c r="H137" s="202">
        <v>9.8000000000000007</v>
      </c>
      <c r="I137" s="973" t="str">
        <f t="shared" si="37"/>
        <v>x</v>
      </c>
      <c r="J137" s="202">
        <v>1.1499999999999999</v>
      </c>
      <c r="K137" s="412" t="s">
        <v>300</v>
      </c>
      <c r="L137" s="366" t="s">
        <v>400</v>
      </c>
      <c r="M137" s="412" t="s">
        <v>300</v>
      </c>
      <c r="N137" s="366" t="s">
        <v>401</v>
      </c>
      <c r="O137" s="412" t="s">
        <v>300</v>
      </c>
      <c r="P137" s="362" t="s">
        <v>782</v>
      </c>
      <c r="Q137" s="373"/>
      <c r="R137" s="373"/>
      <c r="S137" s="373"/>
      <c r="T137" s="373"/>
      <c r="U137" s="373"/>
      <c r="V137" s="373"/>
      <c r="W137" s="373"/>
      <c r="X137" s="373"/>
      <c r="AF137" s="949" t="s">
        <v>406</v>
      </c>
      <c r="AG137" s="949" t="s">
        <v>399</v>
      </c>
      <c r="AH137" s="949" t="s">
        <v>137</v>
      </c>
      <c r="AI137" s="949" t="s">
        <v>703</v>
      </c>
      <c r="AJ137" s="949" t="s">
        <v>358</v>
      </c>
      <c r="AK137" s="949">
        <v>1</v>
      </c>
      <c r="AL137" s="949" t="s">
        <v>311</v>
      </c>
      <c r="AM137" s="963">
        <v>244503</v>
      </c>
      <c r="AN137" s="963">
        <v>255092</v>
      </c>
      <c r="AO137" s="949" t="s">
        <v>1010</v>
      </c>
      <c r="AP137" s="949" t="s">
        <v>1010</v>
      </c>
      <c r="AQ137" s="949">
        <v>-99996</v>
      </c>
      <c r="AR137" s="949" t="s">
        <v>1466</v>
      </c>
      <c r="AS137" s="949">
        <v>2</v>
      </c>
      <c r="AT137" s="949">
        <v>-99996</v>
      </c>
      <c r="AU137" s="949">
        <v>-99996</v>
      </c>
      <c r="AV137" s="949">
        <v>9.8000000000000007</v>
      </c>
      <c r="AW137" s="949">
        <v>-99996</v>
      </c>
      <c r="AX137" s="949">
        <v>-99996</v>
      </c>
      <c r="AY137" s="949">
        <v>-99996</v>
      </c>
      <c r="AZ137" s="949">
        <v>0.29219699999999998</v>
      </c>
      <c r="BA137" s="949">
        <v>1.1499999999999999</v>
      </c>
    </row>
    <row r="138" spans="1:59" s="359" customFormat="1" ht="13.8" x14ac:dyDescent="0.3">
      <c r="A138" s="373"/>
      <c r="B138" s="141" t="s">
        <v>1579</v>
      </c>
      <c r="C138" s="373" t="s">
        <v>1584</v>
      </c>
      <c r="D138" s="373" t="s">
        <v>137</v>
      </c>
      <c r="E138" s="973" t="str">
        <f t="shared" si="35"/>
        <v>x</v>
      </c>
      <c r="F138" s="202" t="s">
        <v>399</v>
      </c>
      <c r="G138" s="973" t="str">
        <f t="shared" si="36"/>
        <v>x</v>
      </c>
      <c r="H138" s="202">
        <v>9.5</v>
      </c>
      <c r="I138" s="973" t="str">
        <f t="shared" si="37"/>
        <v>x</v>
      </c>
      <c r="J138" s="202">
        <v>1.15126</v>
      </c>
      <c r="K138" s="412" t="s">
        <v>300</v>
      </c>
      <c r="L138" s="366" t="s">
        <v>400</v>
      </c>
      <c r="M138" s="412" t="s">
        <v>300</v>
      </c>
      <c r="N138" s="366" t="s">
        <v>401</v>
      </c>
      <c r="O138" s="412" t="s">
        <v>300</v>
      </c>
      <c r="P138" s="362" t="s">
        <v>782</v>
      </c>
      <c r="Q138" s="373"/>
      <c r="R138" s="373"/>
      <c r="S138" s="373"/>
      <c r="T138" s="373"/>
      <c r="U138" s="373"/>
      <c r="V138" s="373"/>
      <c r="W138" s="373"/>
      <c r="X138" s="373"/>
      <c r="AF138" s="949" t="s">
        <v>1584</v>
      </c>
      <c r="AG138" s="949" t="s">
        <v>399</v>
      </c>
      <c r="AH138" s="949" t="s">
        <v>137</v>
      </c>
      <c r="AI138" s="949" t="s">
        <v>703</v>
      </c>
      <c r="AJ138" s="949" t="s">
        <v>1579</v>
      </c>
      <c r="AK138" s="949">
        <v>1</v>
      </c>
      <c r="AL138" s="949" t="s">
        <v>1469</v>
      </c>
      <c r="AM138" s="963">
        <v>1060370</v>
      </c>
      <c r="AN138" s="963">
        <v>1107400</v>
      </c>
      <c r="AO138" s="949" t="s">
        <v>1010</v>
      </c>
      <c r="AP138" s="949" t="s">
        <v>1010</v>
      </c>
      <c r="AQ138" s="949">
        <v>-99996</v>
      </c>
      <c r="AR138" s="949" t="s">
        <v>1466</v>
      </c>
      <c r="AS138" s="949">
        <v>2</v>
      </c>
      <c r="AT138" s="949">
        <v>-99996</v>
      </c>
      <c r="AU138" s="949">
        <v>-99996</v>
      </c>
      <c r="AV138" s="949">
        <v>9.5</v>
      </c>
      <c r="AW138" s="949">
        <v>-99996</v>
      </c>
      <c r="AX138" s="949">
        <v>-99996</v>
      </c>
      <c r="AY138" s="949">
        <v>-99996</v>
      </c>
      <c r="AZ138" s="949">
        <v>0.30273600000000001</v>
      </c>
      <c r="BA138" s="949">
        <v>1.15126</v>
      </c>
    </row>
    <row r="139" spans="1:59" s="359" customFormat="1" ht="13.8" x14ac:dyDescent="0.3">
      <c r="A139" s="373"/>
      <c r="B139" s="141" t="s">
        <v>1581</v>
      </c>
      <c r="C139" s="373" t="s">
        <v>1585</v>
      </c>
      <c r="D139" s="373" t="s">
        <v>137</v>
      </c>
      <c r="E139" s="973" t="str">
        <f t="shared" si="35"/>
        <v>x</v>
      </c>
      <c r="F139" s="202" t="s">
        <v>399</v>
      </c>
      <c r="G139" s="973" t="str">
        <f t="shared" si="36"/>
        <v>x</v>
      </c>
      <c r="H139" s="202">
        <v>9.5</v>
      </c>
      <c r="I139" s="973" t="str">
        <f t="shared" si="37"/>
        <v>x</v>
      </c>
      <c r="J139" s="202">
        <v>1.15126</v>
      </c>
      <c r="K139" s="412" t="s">
        <v>300</v>
      </c>
      <c r="L139" s="366" t="s">
        <v>400</v>
      </c>
      <c r="M139" s="412" t="s">
        <v>300</v>
      </c>
      <c r="N139" s="366" t="s">
        <v>401</v>
      </c>
      <c r="O139" s="412" t="s">
        <v>300</v>
      </c>
      <c r="P139" s="362" t="s">
        <v>782</v>
      </c>
      <c r="Q139" s="373"/>
      <c r="R139" s="373"/>
      <c r="S139" s="373"/>
      <c r="T139" s="373"/>
      <c r="U139" s="373"/>
      <c r="V139" s="373"/>
      <c r="W139" s="373"/>
      <c r="X139" s="373"/>
      <c r="Y139" s="357"/>
      <c r="Z139" s="357"/>
      <c r="AA139" s="357"/>
      <c r="AB139" s="357"/>
      <c r="AC139" s="357"/>
      <c r="AD139" s="357"/>
      <c r="AE139" s="357"/>
      <c r="AF139" s="949" t="s">
        <v>1585</v>
      </c>
      <c r="AG139" s="949" t="s">
        <v>399</v>
      </c>
      <c r="AH139" s="949" t="s">
        <v>137</v>
      </c>
      <c r="AI139" s="949" t="s">
        <v>703</v>
      </c>
      <c r="AJ139" s="949" t="s">
        <v>1581</v>
      </c>
      <c r="AK139" s="949">
        <v>1</v>
      </c>
      <c r="AL139" s="949" t="s">
        <v>1469</v>
      </c>
      <c r="AM139" s="963">
        <v>1056570</v>
      </c>
      <c r="AN139" s="963">
        <v>1103430</v>
      </c>
      <c r="AO139" s="949" t="s">
        <v>1010</v>
      </c>
      <c r="AP139" s="949" t="s">
        <v>1010</v>
      </c>
      <c r="AQ139" s="949">
        <v>-99996</v>
      </c>
      <c r="AR139" s="949" t="s">
        <v>1466</v>
      </c>
      <c r="AS139" s="949">
        <v>2</v>
      </c>
      <c r="AT139" s="949">
        <v>-99996</v>
      </c>
      <c r="AU139" s="949">
        <v>-99996</v>
      </c>
      <c r="AV139" s="949">
        <v>9.5</v>
      </c>
      <c r="AW139" s="949">
        <v>-99996</v>
      </c>
      <c r="AX139" s="949">
        <v>-99996</v>
      </c>
      <c r="AY139" s="949">
        <v>-99996</v>
      </c>
      <c r="AZ139" s="949">
        <v>0.30273600000000001</v>
      </c>
      <c r="BA139" s="949">
        <v>1.15126</v>
      </c>
      <c r="BB139" s="357"/>
      <c r="BC139" s="357"/>
      <c r="BD139" s="357"/>
      <c r="BE139" s="357"/>
      <c r="BF139" s="357"/>
      <c r="BG139" s="357"/>
    </row>
    <row r="140" spans="1:59" s="357" customFormat="1" ht="13.8" x14ac:dyDescent="0.3">
      <c r="A140" s="89"/>
      <c r="B140" s="180" t="s">
        <v>1582</v>
      </c>
      <c r="C140" s="156" t="s">
        <v>1586</v>
      </c>
      <c r="D140" s="165" t="s">
        <v>137</v>
      </c>
      <c r="E140" s="974" t="str">
        <f t="shared" si="35"/>
        <v>x</v>
      </c>
      <c r="F140" s="162" t="s">
        <v>399</v>
      </c>
      <c r="G140" s="974" t="str">
        <f t="shared" si="36"/>
        <v>x</v>
      </c>
      <c r="H140" s="162">
        <v>9.5</v>
      </c>
      <c r="I140" s="974" t="str">
        <f t="shared" si="37"/>
        <v>x</v>
      </c>
      <c r="J140" s="162">
        <v>1.15126</v>
      </c>
      <c r="K140" s="160" t="s">
        <v>300</v>
      </c>
      <c r="L140" s="162" t="s">
        <v>400</v>
      </c>
      <c r="M140" s="160" t="s">
        <v>300</v>
      </c>
      <c r="N140" s="156" t="s">
        <v>401</v>
      </c>
      <c r="O140" s="160" t="s">
        <v>300</v>
      </c>
      <c r="P140" s="162" t="s">
        <v>782</v>
      </c>
      <c r="Q140" s="364"/>
      <c r="R140" s="364"/>
      <c r="S140" s="364"/>
      <c r="T140" s="364"/>
      <c r="U140" s="364"/>
      <c r="V140" s="364"/>
      <c r="W140" s="364"/>
      <c r="X140" s="364"/>
      <c r="AF140" s="949" t="s">
        <v>1586</v>
      </c>
      <c r="AG140" s="949" t="s">
        <v>399</v>
      </c>
      <c r="AH140" s="949" t="s">
        <v>137</v>
      </c>
      <c r="AI140" s="949" t="s">
        <v>703</v>
      </c>
      <c r="AJ140" s="949" t="s">
        <v>1582</v>
      </c>
      <c r="AK140" s="949">
        <v>1</v>
      </c>
      <c r="AL140" s="949" t="s">
        <v>1469</v>
      </c>
      <c r="AM140" s="949">
        <v>1066960</v>
      </c>
      <c r="AN140" s="949">
        <v>1114280</v>
      </c>
      <c r="AO140" s="949" t="s">
        <v>1010</v>
      </c>
      <c r="AP140" s="949" t="s">
        <v>1010</v>
      </c>
      <c r="AQ140" s="949">
        <v>-99996</v>
      </c>
      <c r="AR140" s="949" t="s">
        <v>1466</v>
      </c>
      <c r="AS140" s="949">
        <v>2</v>
      </c>
      <c r="AT140" s="949">
        <v>-99996</v>
      </c>
      <c r="AU140" s="949">
        <v>-99996</v>
      </c>
      <c r="AV140" s="949">
        <v>9.5</v>
      </c>
      <c r="AW140" s="949">
        <v>-99996</v>
      </c>
      <c r="AX140" s="949">
        <v>-99996</v>
      </c>
      <c r="AY140" s="949">
        <v>-99996</v>
      </c>
      <c r="AZ140" s="949">
        <v>0.30273600000000001</v>
      </c>
      <c r="BA140" s="949">
        <v>1.15126</v>
      </c>
    </row>
    <row r="141" spans="1:59" s="357" customFormat="1" x14ac:dyDescent="0.3">
      <c r="A141" s="89"/>
      <c r="B141" s="84"/>
      <c r="C141" s="82"/>
      <c r="D141" s="89"/>
      <c r="E141" s="91"/>
      <c r="F141" s="89"/>
      <c r="G141" s="91"/>
      <c r="H141" s="89"/>
      <c r="I141" s="91"/>
      <c r="J141" s="89"/>
      <c r="K141" s="30"/>
      <c r="L141" s="364"/>
      <c r="M141" s="364"/>
      <c r="N141" s="364"/>
      <c r="O141" s="364"/>
      <c r="P141" s="364"/>
      <c r="Q141" s="364"/>
      <c r="R141" s="89"/>
      <c r="S141" s="91"/>
      <c r="T141" s="89"/>
      <c r="U141" s="89"/>
      <c r="V141" s="89"/>
      <c r="Y141" s="982"/>
      <c r="Z141" s="982"/>
      <c r="AA141" s="982"/>
      <c r="AB141" s="982"/>
      <c r="AC141" s="982"/>
      <c r="AD141" s="982"/>
      <c r="AE141" s="982"/>
      <c r="AF141" s="369" t="s">
        <v>1472</v>
      </c>
      <c r="AG141" s="982"/>
      <c r="AH141" s="982"/>
      <c r="AI141" s="982"/>
      <c r="AJ141" s="982"/>
      <c r="AK141" s="982"/>
      <c r="AL141" s="982"/>
      <c r="AM141" s="982"/>
      <c r="AN141" s="982"/>
      <c r="AO141" s="982"/>
      <c r="AP141" s="982"/>
      <c r="AQ141" s="982"/>
      <c r="AR141" s="982"/>
      <c r="AS141" s="982"/>
      <c r="AT141" s="982"/>
      <c r="AU141" s="982"/>
      <c r="AV141" s="982"/>
      <c r="AW141" s="982"/>
      <c r="AX141" s="982"/>
      <c r="AY141" s="982"/>
      <c r="AZ141" s="982"/>
      <c r="BA141" s="982"/>
      <c r="BB141" s="982"/>
      <c r="BC141" s="982"/>
      <c r="BD141" s="982"/>
      <c r="BE141" s="982"/>
      <c r="BF141" s="982"/>
      <c r="BG141" s="982"/>
    </row>
    <row r="142" spans="1:59" s="357" customFormat="1" x14ac:dyDescent="0.3">
      <c r="A142" s="89"/>
      <c r="B142" s="84"/>
      <c r="C142" s="82"/>
      <c r="D142" s="89"/>
      <c r="E142" s="91"/>
      <c r="F142" s="89"/>
      <c r="G142" s="91"/>
      <c r="H142" s="89"/>
      <c r="I142" s="91"/>
      <c r="J142" s="89"/>
      <c r="K142" s="30"/>
      <c r="L142" s="364"/>
      <c r="M142" s="364"/>
      <c r="N142" s="364"/>
      <c r="O142" s="364"/>
      <c r="P142" s="364"/>
      <c r="Q142" s="364"/>
      <c r="R142" s="401"/>
      <c r="S142" s="397"/>
      <c r="T142" s="364"/>
      <c r="U142" s="401"/>
      <c r="V142" s="401"/>
      <c r="Y142" s="982"/>
      <c r="Z142" s="982"/>
      <c r="AA142" s="982"/>
      <c r="AB142" s="982"/>
      <c r="AC142" s="982"/>
      <c r="AD142" s="982"/>
      <c r="AE142" s="982"/>
      <c r="AF142" s="982"/>
      <c r="AG142" s="982"/>
      <c r="AH142" s="982"/>
      <c r="AI142" s="982"/>
      <c r="AJ142" s="982" t="s">
        <v>1443</v>
      </c>
      <c r="AK142" s="982"/>
      <c r="AL142" s="982"/>
      <c r="AM142" s="982" t="s">
        <v>1444</v>
      </c>
      <c r="AN142" s="982"/>
      <c r="AO142" s="982" t="s">
        <v>423</v>
      </c>
      <c r="AP142" s="982"/>
      <c r="AQ142" s="982"/>
      <c r="AR142" s="982" t="s">
        <v>1333</v>
      </c>
      <c r="AS142" s="982"/>
      <c r="AT142" s="982"/>
      <c r="AU142" s="982"/>
      <c r="AV142" s="982"/>
      <c r="AW142" s="982"/>
      <c r="AX142" s="982"/>
      <c r="AY142" s="982"/>
      <c r="AZ142" s="982"/>
      <c r="BA142" s="982" t="s">
        <v>788</v>
      </c>
      <c r="BB142" s="982"/>
      <c r="BC142" s="982"/>
      <c r="BD142" s="982"/>
      <c r="BE142" s="982"/>
      <c r="BF142" s="982"/>
      <c r="BG142" s="982"/>
    </row>
    <row r="143" spans="1:59" s="357" customFormat="1" x14ac:dyDescent="0.3">
      <c r="A143" s="89"/>
      <c r="B143" s="115" t="s">
        <v>331</v>
      </c>
      <c r="C143" s="123" t="s">
        <v>413</v>
      </c>
      <c r="D143" s="119" t="s">
        <v>122</v>
      </c>
      <c r="E143" s="182"/>
      <c r="F143" s="117" t="s">
        <v>414</v>
      </c>
      <c r="G143" s="364"/>
      <c r="H143" s="92"/>
      <c r="I143" s="364"/>
      <c r="J143" s="92"/>
      <c r="K143" s="364"/>
      <c r="L143" s="364"/>
      <c r="M143" s="364"/>
      <c r="N143" s="364"/>
      <c r="O143" s="364"/>
      <c r="P143" s="364"/>
      <c r="Q143" s="364"/>
      <c r="R143" s="397"/>
      <c r="S143" s="397"/>
      <c r="T143" s="364"/>
      <c r="U143" s="397"/>
      <c r="V143" s="397"/>
      <c r="Y143" s="982"/>
      <c r="Z143" s="982"/>
      <c r="AA143" s="982"/>
      <c r="AB143" s="982"/>
      <c r="AC143" s="982"/>
      <c r="AD143" s="982"/>
      <c r="AE143" s="982"/>
      <c r="AF143" s="982" t="s">
        <v>121</v>
      </c>
      <c r="AG143" s="982" t="s">
        <v>148</v>
      </c>
      <c r="AH143" s="982" t="s">
        <v>122</v>
      </c>
      <c r="AI143" s="982" t="s">
        <v>1445</v>
      </c>
      <c r="AJ143" s="982" t="s">
        <v>1446</v>
      </c>
      <c r="AK143" s="982" t="s">
        <v>1447</v>
      </c>
      <c r="AL143" s="982" t="s">
        <v>1448</v>
      </c>
      <c r="AM143" s="982" t="s">
        <v>1449</v>
      </c>
      <c r="AN143" s="982" t="s">
        <v>1450</v>
      </c>
      <c r="AO143" s="982" t="s">
        <v>1473</v>
      </c>
      <c r="AP143" s="982" t="s">
        <v>1474</v>
      </c>
      <c r="AQ143" s="982" t="s">
        <v>1453</v>
      </c>
      <c r="AR143" s="982" t="s">
        <v>688</v>
      </c>
      <c r="AS143" s="982" t="s">
        <v>1454</v>
      </c>
      <c r="AT143" s="982" t="s">
        <v>1475</v>
      </c>
      <c r="AU143" s="982" t="s">
        <v>1476</v>
      </c>
      <c r="AV143" s="982" t="s">
        <v>1477</v>
      </c>
      <c r="AW143" s="982" t="s">
        <v>1478</v>
      </c>
      <c r="AX143" s="982" t="s">
        <v>1461</v>
      </c>
      <c r="AY143" s="982" t="s">
        <v>1479</v>
      </c>
      <c r="AZ143" s="982" t="s">
        <v>1480</v>
      </c>
      <c r="BA143" s="982" t="s">
        <v>1481</v>
      </c>
      <c r="BB143" s="982" t="s">
        <v>1482</v>
      </c>
      <c r="BC143" s="982" t="s">
        <v>1483</v>
      </c>
      <c r="BD143" s="982" t="s">
        <v>1484</v>
      </c>
      <c r="BE143" s="982" t="s">
        <v>1485</v>
      </c>
      <c r="BF143" s="982"/>
      <c r="BG143" s="982"/>
    </row>
    <row r="144" spans="1:59" s="357" customFormat="1" ht="15" thickBot="1" x14ac:dyDescent="0.35">
      <c r="A144" s="89"/>
      <c r="B144" s="139" t="s">
        <v>417</v>
      </c>
      <c r="C144" s="126" t="s">
        <v>418</v>
      </c>
      <c r="D144" s="176"/>
      <c r="E144" s="183"/>
      <c r="F144" s="998" t="s">
        <v>419</v>
      </c>
      <c r="G144" s="364"/>
      <c r="H144" s="92"/>
      <c r="I144" s="364"/>
      <c r="J144" s="92"/>
      <c r="K144" s="364"/>
      <c r="L144" s="364"/>
      <c r="M144" s="364"/>
      <c r="N144" s="364"/>
      <c r="O144" s="364"/>
      <c r="P144" s="364"/>
      <c r="Q144" s="364"/>
      <c r="R144" s="397"/>
      <c r="S144" s="397"/>
      <c r="T144" s="89"/>
      <c r="U144" s="397"/>
      <c r="V144" s="531"/>
      <c r="Y144" s="982"/>
      <c r="Z144" s="982"/>
      <c r="AA144" s="982"/>
      <c r="AB144" s="982"/>
      <c r="AC144" s="982"/>
      <c r="AD144" s="982"/>
      <c r="AE144" s="982"/>
      <c r="AF144" s="982"/>
      <c r="AG144" s="982"/>
      <c r="AH144" s="982"/>
      <c r="AI144" s="982"/>
      <c r="AJ144" s="982"/>
      <c r="AK144" s="982" t="s">
        <v>1417</v>
      </c>
      <c r="AL144" s="982"/>
      <c r="AM144" s="982" t="s">
        <v>1418</v>
      </c>
      <c r="AN144" s="982" t="s">
        <v>1418</v>
      </c>
      <c r="AO144" s="982"/>
      <c r="AP144" s="982"/>
      <c r="AQ144" s="982" t="s">
        <v>1486</v>
      </c>
      <c r="AR144" s="982"/>
      <c r="AS144" s="982"/>
      <c r="AT144" s="982"/>
      <c r="AU144" s="982"/>
      <c r="AV144" s="982"/>
      <c r="AW144" s="982"/>
      <c r="AX144" s="982"/>
      <c r="AY144" s="982" t="s">
        <v>1487</v>
      </c>
      <c r="AZ144" s="982" t="s">
        <v>1488</v>
      </c>
      <c r="BA144" s="982"/>
      <c r="BB144" s="982"/>
      <c r="BC144" s="982"/>
      <c r="BD144" s="982"/>
      <c r="BE144" s="982"/>
      <c r="BF144" s="982"/>
      <c r="BG144" s="982"/>
    </row>
    <row r="145" spans="1:59" s="359" customFormat="1" ht="15" thickTop="1" x14ac:dyDescent="0.3">
      <c r="A145" s="373"/>
      <c r="B145" s="141" t="s">
        <v>351</v>
      </c>
      <c r="C145" s="373" t="s">
        <v>422</v>
      </c>
      <c r="D145" s="373" t="s">
        <v>137</v>
      </c>
      <c r="E145" s="966" t="str">
        <f>IF(F145=AG145,"x","")</f>
        <v>x</v>
      </c>
      <c r="F145" s="266" t="s">
        <v>423</v>
      </c>
      <c r="G145" s="364"/>
      <c r="H145" s="92"/>
      <c r="I145" s="364"/>
      <c r="J145" s="92"/>
      <c r="K145" s="373"/>
      <c r="L145" s="373"/>
      <c r="M145" s="373"/>
      <c r="N145" s="373"/>
      <c r="O145" s="373"/>
      <c r="P145" s="373"/>
      <c r="Q145" s="373"/>
      <c r="R145" s="397"/>
      <c r="S145" s="397"/>
      <c r="T145" s="89"/>
      <c r="U145" s="397"/>
      <c r="V145" s="531"/>
      <c r="Y145" s="812"/>
      <c r="Z145" s="812"/>
      <c r="AA145" s="812"/>
      <c r="AB145" s="812"/>
      <c r="AC145" s="812"/>
      <c r="AD145" s="812"/>
      <c r="AE145" s="813" t="s">
        <v>1583</v>
      </c>
      <c r="AF145" s="949" t="s">
        <v>422</v>
      </c>
      <c r="AG145" s="949" t="s">
        <v>423</v>
      </c>
      <c r="AH145" s="949" t="s">
        <v>137</v>
      </c>
      <c r="AI145" s="949" t="s">
        <v>203</v>
      </c>
      <c r="AJ145" s="949" t="s">
        <v>351</v>
      </c>
      <c r="AK145" s="949">
        <v>1</v>
      </c>
      <c r="AL145" s="949" t="s">
        <v>311</v>
      </c>
      <c r="AM145" s="949">
        <v>0</v>
      </c>
      <c r="AN145" s="949">
        <v>0</v>
      </c>
      <c r="AO145" s="949" t="s">
        <v>1509</v>
      </c>
      <c r="AP145" s="949" t="s">
        <v>1510</v>
      </c>
      <c r="AQ145" s="949">
        <v>0</v>
      </c>
      <c r="AR145" s="949" t="s">
        <v>311</v>
      </c>
      <c r="AS145" s="949">
        <v>-99996</v>
      </c>
      <c r="AT145" s="949">
        <v>-99996</v>
      </c>
      <c r="AU145" s="949">
        <v>-99996</v>
      </c>
      <c r="AV145" s="949">
        <v>-99996</v>
      </c>
      <c r="AW145" s="949">
        <v>-99996</v>
      </c>
      <c r="AX145" s="949">
        <v>-99996</v>
      </c>
      <c r="AY145" s="949">
        <v>-99996</v>
      </c>
      <c r="AZ145" s="949">
        <v>-99996</v>
      </c>
      <c r="BA145" s="949">
        <v>-99996</v>
      </c>
      <c r="BB145" s="949">
        <v>-99996</v>
      </c>
      <c r="BC145" s="949">
        <v>-99996</v>
      </c>
      <c r="BD145" s="949">
        <v>-99996</v>
      </c>
      <c r="BE145" s="949">
        <v>-1</v>
      </c>
    </row>
    <row r="146" spans="1:59" s="359" customFormat="1" ht="13.8" x14ac:dyDescent="0.3">
      <c r="A146" s="373"/>
      <c r="B146" s="141" t="s">
        <v>356</v>
      </c>
      <c r="C146" s="373" t="s">
        <v>424</v>
      </c>
      <c r="D146" s="373" t="s">
        <v>137</v>
      </c>
      <c r="E146" s="964" t="str">
        <f>IF(F146=AG150,"x","")</f>
        <v>x</v>
      </c>
      <c r="F146" s="266" t="s">
        <v>423</v>
      </c>
      <c r="G146" s="364"/>
      <c r="H146" s="92"/>
      <c r="I146" s="364"/>
      <c r="J146" s="92"/>
      <c r="K146" s="373"/>
      <c r="L146" s="373"/>
      <c r="M146" s="373"/>
      <c r="N146" s="373"/>
      <c r="O146" s="373"/>
      <c r="P146" s="373"/>
      <c r="Q146" s="373"/>
      <c r="R146" s="397"/>
      <c r="S146" s="397"/>
      <c r="T146" s="89"/>
      <c r="U146" s="397"/>
      <c r="V146" s="531"/>
      <c r="AF146" s="949" t="s">
        <v>424</v>
      </c>
      <c r="AG146" s="949" t="s">
        <v>423</v>
      </c>
      <c r="AH146" s="949" t="s">
        <v>137</v>
      </c>
      <c r="AI146" s="949" t="s">
        <v>203</v>
      </c>
      <c r="AJ146" s="949" t="s">
        <v>356</v>
      </c>
      <c r="AK146" s="949">
        <v>1</v>
      </c>
      <c r="AL146" s="949" t="s">
        <v>311</v>
      </c>
      <c r="AM146" s="949">
        <v>0</v>
      </c>
      <c r="AN146" s="949">
        <v>0</v>
      </c>
      <c r="AO146" s="949" t="s">
        <v>1509</v>
      </c>
      <c r="AP146" s="949" t="s">
        <v>1510</v>
      </c>
      <c r="AQ146" s="949">
        <v>0</v>
      </c>
      <c r="AR146" s="949" t="s">
        <v>311</v>
      </c>
      <c r="AS146" s="949">
        <v>-99996</v>
      </c>
      <c r="AT146" s="949">
        <v>-99996</v>
      </c>
      <c r="AU146" s="949">
        <v>-99996</v>
      </c>
      <c r="AV146" s="949">
        <v>-99996</v>
      </c>
      <c r="AW146" s="949">
        <v>-99996</v>
      </c>
      <c r="AX146" s="949">
        <v>-99996</v>
      </c>
      <c r="AY146" s="949">
        <v>-99996</v>
      </c>
      <c r="AZ146" s="949">
        <v>-99996</v>
      </c>
      <c r="BA146" s="949">
        <v>-99996</v>
      </c>
      <c r="BB146" s="949">
        <v>-99996</v>
      </c>
      <c r="BC146" s="949">
        <v>-99996</v>
      </c>
      <c r="BD146" s="949">
        <v>-99996</v>
      </c>
      <c r="BE146" s="949">
        <v>-1</v>
      </c>
    </row>
    <row r="147" spans="1:59" s="359" customFormat="1" ht="13.8" x14ac:dyDescent="0.3">
      <c r="A147" s="373"/>
      <c r="B147" s="141" t="s">
        <v>358</v>
      </c>
      <c r="C147" s="373" t="s">
        <v>425</v>
      </c>
      <c r="D147" s="373" t="s">
        <v>137</v>
      </c>
      <c r="E147" s="964" t="str">
        <f>IF(F147=AG155,"x","")</f>
        <v>x</v>
      </c>
      <c r="F147" s="266" t="s">
        <v>423</v>
      </c>
      <c r="G147" s="364"/>
      <c r="H147" s="92"/>
      <c r="I147" s="364"/>
      <c r="J147" s="92"/>
      <c r="K147" s="373"/>
      <c r="L147" s="373"/>
      <c r="M147" s="373"/>
      <c r="N147" s="373"/>
      <c r="O147" s="373"/>
      <c r="P147" s="373"/>
      <c r="Q147" s="373"/>
      <c r="R147" s="397"/>
      <c r="S147" s="397"/>
      <c r="T147" s="89"/>
      <c r="U147" s="397"/>
      <c r="V147" s="531"/>
      <c r="AF147" s="949" t="s">
        <v>425</v>
      </c>
      <c r="AG147" s="949" t="s">
        <v>423</v>
      </c>
      <c r="AH147" s="949" t="s">
        <v>137</v>
      </c>
      <c r="AI147" s="949" t="s">
        <v>203</v>
      </c>
      <c r="AJ147" s="949" t="s">
        <v>358</v>
      </c>
      <c r="AK147" s="949">
        <v>1</v>
      </c>
      <c r="AL147" s="949" t="s">
        <v>311</v>
      </c>
      <c r="AM147" s="949">
        <v>0</v>
      </c>
      <c r="AN147" s="949">
        <v>0</v>
      </c>
      <c r="AO147" s="949" t="s">
        <v>1509</v>
      </c>
      <c r="AP147" s="949" t="s">
        <v>1510</v>
      </c>
      <c r="AQ147" s="949">
        <v>0</v>
      </c>
      <c r="AR147" s="949" t="s">
        <v>311</v>
      </c>
      <c r="AS147" s="949">
        <v>-99996</v>
      </c>
      <c r="AT147" s="949">
        <v>-99996</v>
      </c>
      <c r="AU147" s="949">
        <v>-99996</v>
      </c>
      <c r="AV147" s="949">
        <v>-99996</v>
      </c>
      <c r="AW147" s="949">
        <v>-99996</v>
      </c>
      <c r="AX147" s="949">
        <v>-99996</v>
      </c>
      <c r="AY147" s="949">
        <v>-99996</v>
      </c>
      <c r="AZ147" s="949">
        <v>-99996</v>
      </c>
      <c r="BA147" s="949">
        <v>-99996</v>
      </c>
      <c r="BB147" s="949">
        <v>-99996</v>
      </c>
      <c r="BC147" s="949">
        <v>-99996</v>
      </c>
      <c r="BD147" s="949">
        <v>-99996</v>
      </c>
      <c r="BE147" s="949">
        <v>-1</v>
      </c>
    </row>
    <row r="148" spans="1:59" s="357" customFormat="1" ht="13.8" x14ac:dyDescent="0.3">
      <c r="A148" s="89"/>
      <c r="B148" s="180" t="s">
        <v>1587</v>
      </c>
      <c r="C148" s="156" t="s">
        <v>1588</v>
      </c>
      <c r="D148" s="353" t="s">
        <v>137</v>
      </c>
      <c r="E148" s="965" t="str">
        <f>IF(F148=AG146,"x","")</f>
        <v>x</v>
      </c>
      <c r="F148" s="198" t="s">
        <v>423</v>
      </c>
      <c r="G148" s="364"/>
      <c r="H148" s="92"/>
      <c r="I148" s="364"/>
      <c r="J148" s="92"/>
      <c r="K148" s="364"/>
      <c r="L148" s="364"/>
      <c r="M148" s="364"/>
      <c r="N148" s="364"/>
      <c r="O148" s="364"/>
      <c r="P148" s="364"/>
      <c r="Q148" s="364"/>
      <c r="R148" s="397"/>
      <c r="S148" s="397"/>
      <c r="T148" s="89"/>
      <c r="U148" s="397"/>
      <c r="V148" s="531"/>
      <c r="Y148" s="359"/>
      <c r="Z148" s="359"/>
      <c r="AA148" s="359"/>
      <c r="AB148" s="359"/>
      <c r="AC148" s="359"/>
      <c r="AD148" s="359"/>
      <c r="AE148" s="359"/>
      <c r="AF148" s="949" t="s">
        <v>1512</v>
      </c>
      <c r="AG148" s="949" t="s">
        <v>423</v>
      </c>
      <c r="AH148" s="949" t="s">
        <v>137</v>
      </c>
      <c r="AI148" s="949" t="s">
        <v>203</v>
      </c>
      <c r="AJ148" s="949" t="s">
        <v>351</v>
      </c>
      <c r="AK148" s="949">
        <v>1</v>
      </c>
      <c r="AL148" s="949" t="s">
        <v>1162</v>
      </c>
      <c r="AM148" s="949">
        <v>25366</v>
      </c>
      <c r="AN148" s="949">
        <v>25366</v>
      </c>
      <c r="AO148" s="949" t="s">
        <v>1509</v>
      </c>
      <c r="AP148" s="949" t="s">
        <v>1510</v>
      </c>
      <c r="AQ148" s="949">
        <v>1.2678199999999999</v>
      </c>
      <c r="AR148" s="949" t="s">
        <v>311</v>
      </c>
      <c r="AS148" s="949">
        <v>-99996</v>
      </c>
      <c r="AT148" s="949">
        <v>-99996</v>
      </c>
      <c r="AU148" s="949">
        <v>-99996</v>
      </c>
      <c r="AV148" s="949">
        <v>-99996</v>
      </c>
      <c r="AW148" s="949">
        <v>-99996</v>
      </c>
      <c r="AX148" s="949">
        <v>-99996</v>
      </c>
      <c r="AY148" s="949">
        <v>-99996</v>
      </c>
      <c r="AZ148" s="949">
        <v>-99996</v>
      </c>
      <c r="BA148" s="949">
        <v>-99996</v>
      </c>
      <c r="BB148" s="949">
        <v>-99996</v>
      </c>
      <c r="BC148" s="949">
        <v>-99996</v>
      </c>
      <c r="BD148" s="949">
        <v>-99996</v>
      </c>
      <c r="BE148" s="949">
        <v>1.25</v>
      </c>
      <c r="BF148" s="359"/>
      <c r="BG148" s="359"/>
    </row>
    <row r="149" spans="1:59" x14ac:dyDescent="0.3">
      <c r="A149" s="89"/>
      <c r="B149" s="380"/>
      <c r="C149" s="380"/>
      <c r="D149" s="982"/>
      <c r="E149" s="357"/>
      <c r="F149" s="982"/>
      <c r="G149" s="357"/>
      <c r="H149" s="982"/>
      <c r="I149" s="357"/>
      <c r="J149" s="982"/>
      <c r="K149" s="357"/>
      <c r="L149" s="982"/>
      <c r="N149" s="364"/>
      <c r="P149" s="364"/>
      <c r="R149" s="364"/>
      <c r="T149" s="364"/>
      <c r="V149" s="982"/>
      <c r="W149" s="982"/>
      <c r="X149" s="982"/>
      <c r="Y149" s="359"/>
      <c r="Z149" s="359"/>
      <c r="AA149" s="359"/>
      <c r="AB149" s="359"/>
      <c r="AC149" s="359"/>
      <c r="AD149" s="359"/>
      <c r="AE149" s="359"/>
      <c r="AF149" s="949" t="s">
        <v>1514</v>
      </c>
      <c r="AG149" s="949" t="s">
        <v>423</v>
      </c>
      <c r="AH149" s="949" t="s">
        <v>137</v>
      </c>
      <c r="AI149" s="949" t="s">
        <v>203</v>
      </c>
      <c r="AJ149" s="949" t="s">
        <v>351</v>
      </c>
      <c r="AK149" s="949">
        <v>1</v>
      </c>
      <c r="AL149" s="949" t="s">
        <v>1163</v>
      </c>
      <c r="AM149" s="949">
        <v>16854</v>
      </c>
      <c r="AN149" s="949">
        <v>16854</v>
      </c>
      <c r="AO149" s="949" t="s">
        <v>1509</v>
      </c>
      <c r="AP149" s="949" t="s">
        <v>1510</v>
      </c>
      <c r="AQ149" s="949">
        <v>0.84238199999999996</v>
      </c>
      <c r="AR149" s="949" t="s">
        <v>311</v>
      </c>
      <c r="AS149" s="949">
        <v>-99996</v>
      </c>
      <c r="AT149" s="949">
        <v>-99996</v>
      </c>
      <c r="AU149" s="949">
        <v>-99996</v>
      </c>
      <c r="AV149" s="949">
        <v>-99996</v>
      </c>
      <c r="AW149" s="949">
        <v>-99996</v>
      </c>
      <c r="AX149" s="949">
        <v>-99996</v>
      </c>
      <c r="AY149" s="949">
        <v>-99996</v>
      </c>
      <c r="AZ149" s="949">
        <v>-99996</v>
      </c>
      <c r="BA149" s="949">
        <v>-99996</v>
      </c>
      <c r="BB149" s="949">
        <v>-99996</v>
      </c>
      <c r="BC149" s="949">
        <v>-99996</v>
      </c>
      <c r="BD149" s="949">
        <v>-99996</v>
      </c>
      <c r="BE149" s="949">
        <v>1.25</v>
      </c>
      <c r="BF149" s="359"/>
      <c r="BG149" s="359"/>
    </row>
    <row r="150" spans="1:59" x14ac:dyDescent="0.3">
      <c r="A150" s="89"/>
      <c r="B150" s="380"/>
      <c r="C150" s="380"/>
      <c r="D150" s="982"/>
      <c r="E150" s="357"/>
      <c r="F150" s="982"/>
      <c r="G150" s="357"/>
      <c r="H150" s="982"/>
      <c r="I150" s="357"/>
      <c r="J150" s="982"/>
      <c r="K150" s="357"/>
      <c r="L150" s="982"/>
      <c r="N150" s="364"/>
      <c r="P150" s="364"/>
      <c r="R150" s="364"/>
      <c r="T150" s="364"/>
      <c r="V150" s="982"/>
      <c r="W150" s="982"/>
      <c r="X150" s="982"/>
      <c r="Y150" s="359"/>
      <c r="Z150" s="359"/>
      <c r="AA150" s="359"/>
      <c r="AB150" s="359"/>
      <c r="AC150" s="359"/>
      <c r="AD150" s="359"/>
      <c r="AE150" s="359"/>
      <c r="AF150" s="949" t="s">
        <v>1516</v>
      </c>
      <c r="AG150" s="949" t="s">
        <v>423</v>
      </c>
      <c r="AH150" s="949" t="s">
        <v>137</v>
      </c>
      <c r="AI150" s="949" t="s">
        <v>203</v>
      </c>
      <c r="AJ150" s="949" t="s">
        <v>351</v>
      </c>
      <c r="AK150" s="949">
        <v>1</v>
      </c>
      <c r="AL150" s="949" t="s">
        <v>1164</v>
      </c>
      <c r="AM150" s="949">
        <v>25366</v>
      </c>
      <c r="AN150" s="949">
        <v>25366</v>
      </c>
      <c r="AO150" s="949" t="s">
        <v>1509</v>
      </c>
      <c r="AP150" s="949" t="s">
        <v>1510</v>
      </c>
      <c r="AQ150" s="949">
        <v>1.2678199999999999</v>
      </c>
      <c r="AR150" s="949" t="s">
        <v>311</v>
      </c>
      <c r="AS150" s="949">
        <v>-99996</v>
      </c>
      <c r="AT150" s="949">
        <v>-99996</v>
      </c>
      <c r="AU150" s="949">
        <v>-99996</v>
      </c>
      <c r="AV150" s="949">
        <v>-99996</v>
      </c>
      <c r="AW150" s="949">
        <v>-99996</v>
      </c>
      <c r="AX150" s="949">
        <v>-99996</v>
      </c>
      <c r="AY150" s="949">
        <v>-99996</v>
      </c>
      <c r="AZ150" s="949">
        <v>-99996</v>
      </c>
      <c r="BA150" s="949">
        <v>-99996</v>
      </c>
      <c r="BB150" s="949">
        <v>-99996</v>
      </c>
      <c r="BC150" s="949">
        <v>-99996</v>
      </c>
      <c r="BD150" s="949">
        <v>-99996</v>
      </c>
      <c r="BE150" s="949">
        <v>1.25</v>
      </c>
      <c r="BF150" s="359"/>
      <c r="BG150" s="359"/>
    </row>
    <row r="151" spans="1:59" ht="27.6" x14ac:dyDescent="0.3">
      <c r="A151" s="89"/>
      <c r="B151" s="194" t="s">
        <v>330</v>
      </c>
      <c r="C151" s="120" t="s">
        <v>432</v>
      </c>
      <c r="D151" s="119" t="s">
        <v>122</v>
      </c>
      <c r="E151" s="131"/>
      <c r="F151" s="117" t="s">
        <v>433</v>
      </c>
      <c r="G151" s="131"/>
      <c r="H151" s="117" t="s">
        <v>434</v>
      </c>
      <c r="I151" s="131"/>
      <c r="J151" s="117" t="s">
        <v>435</v>
      </c>
      <c r="K151" s="120"/>
      <c r="L151" s="173" t="s">
        <v>436</v>
      </c>
      <c r="M151" s="131"/>
      <c r="N151" s="117" t="s">
        <v>1503</v>
      </c>
      <c r="O151" s="131"/>
      <c r="P151" s="117" t="s">
        <v>438</v>
      </c>
      <c r="Q151" s="194"/>
      <c r="R151" s="173" t="s">
        <v>439</v>
      </c>
      <c r="S151" s="194"/>
      <c r="T151" s="117" t="s">
        <v>440</v>
      </c>
      <c r="U151" s="194"/>
      <c r="V151" s="117" t="s">
        <v>789</v>
      </c>
      <c r="W151" s="194"/>
      <c r="X151" s="117" t="s">
        <v>730</v>
      </c>
      <c r="Y151" s="982"/>
      <c r="Z151" s="982"/>
      <c r="AA151" s="982"/>
      <c r="AB151" s="982"/>
      <c r="AC151" s="982"/>
      <c r="AD151" s="982"/>
      <c r="AE151" s="982"/>
      <c r="AF151" s="949" t="s">
        <v>1518</v>
      </c>
      <c r="AG151" s="949" t="s">
        <v>423</v>
      </c>
      <c r="AH151" s="949" t="s">
        <v>137</v>
      </c>
      <c r="AI151" s="949" t="s">
        <v>203</v>
      </c>
      <c r="AJ151" s="949" t="s">
        <v>351</v>
      </c>
      <c r="AK151" s="949">
        <v>1</v>
      </c>
      <c r="AL151" s="949" t="s">
        <v>1165</v>
      </c>
      <c r="AM151" s="949">
        <v>16848</v>
      </c>
      <c r="AN151" s="949">
        <v>16848</v>
      </c>
      <c r="AO151" s="949" t="s">
        <v>1509</v>
      </c>
      <c r="AP151" s="949" t="s">
        <v>1510</v>
      </c>
      <c r="AQ151" s="949">
        <v>0.84207799999999999</v>
      </c>
      <c r="AR151" s="949" t="s">
        <v>311</v>
      </c>
      <c r="AS151" s="949">
        <v>-99996</v>
      </c>
      <c r="AT151" s="949">
        <v>-99996</v>
      </c>
      <c r="AU151" s="949">
        <v>-99996</v>
      </c>
      <c r="AV151" s="949">
        <v>-99996</v>
      </c>
      <c r="AW151" s="949">
        <v>-99996</v>
      </c>
      <c r="AX151" s="949">
        <v>-99996</v>
      </c>
      <c r="AY151" s="949">
        <v>-99996</v>
      </c>
      <c r="AZ151" s="949">
        <v>-99996</v>
      </c>
      <c r="BA151" s="949">
        <v>-99996</v>
      </c>
      <c r="BB151" s="949">
        <v>-99996</v>
      </c>
      <c r="BC151" s="949">
        <v>-99996</v>
      </c>
      <c r="BD151" s="949">
        <v>-99996</v>
      </c>
      <c r="BE151" s="949">
        <v>1.25</v>
      </c>
      <c r="BF151" s="982"/>
      <c r="BG151" s="982"/>
    </row>
    <row r="152" spans="1:59" ht="15" thickBot="1" x14ac:dyDescent="0.35">
      <c r="A152" s="89"/>
      <c r="B152" s="139" t="s">
        <v>441</v>
      </c>
      <c r="C152" s="126" t="s">
        <v>442</v>
      </c>
      <c r="D152" s="176"/>
      <c r="E152" s="183"/>
      <c r="F152" s="998" t="s">
        <v>443</v>
      </c>
      <c r="G152" s="183"/>
      <c r="H152" s="998" t="s">
        <v>444</v>
      </c>
      <c r="I152" s="183"/>
      <c r="J152" s="179"/>
      <c r="K152" s="177"/>
      <c r="L152" s="126" t="s">
        <v>445</v>
      </c>
      <c r="M152" s="183"/>
      <c r="N152" s="998" t="s">
        <v>446</v>
      </c>
      <c r="O152" s="183"/>
      <c r="P152" s="998" t="s">
        <v>447</v>
      </c>
      <c r="Q152" s="183"/>
      <c r="R152" s="126" t="s">
        <v>448</v>
      </c>
      <c r="S152" s="183"/>
      <c r="T152" s="998" t="s">
        <v>449</v>
      </c>
      <c r="U152" s="183"/>
      <c r="V152" s="998" t="s">
        <v>790</v>
      </c>
      <c r="W152" s="178"/>
      <c r="X152" s="998" t="s">
        <v>739</v>
      </c>
      <c r="Y152" s="982"/>
      <c r="Z152" s="982"/>
      <c r="AA152" s="982"/>
      <c r="AB152" s="982"/>
      <c r="AC152" s="982"/>
      <c r="AD152" s="982"/>
      <c r="AE152" s="982"/>
      <c r="AF152" s="949" t="s">
        <v>1589</v>
      </c>
      <c r="AG152" s="949" t="s">
        <v>423</v>
      </c>
      <c r="AH152" s="949" t="s">
        <v>137</v>
      </c>
      <c r="AI152" s="949" t="s">
        <v>203</v>
      </c>
      <c r="AJ152" s="949" t="s">
        <v>356</v>
      </c>
      <c r="AK152" s="949">
        <v>1</v>
      </c>
      <c r="AL152" s="949" t="s">
        <v>1168</v>
      </c>
      <c r="AM152" s="949">
        <v>32103.3</v>
      </c>
      <c r="AN152" s="949">
        <v>32103.3</v>
      </c>
      <c r="AO152" s="949" t="s">
        <v>1509</v>
      </c>
      <c r="AP152" s="949" t="s">
        <v>1510</v>
      </c>
      <c r="AQ152" s="949">
        <v>1.6045499999999999</v>
      </c>
      <c r="AR152" s="949" t="s">
        <v>311</v>
      </c>
      <c r="AS152" s="949">
        <v>-99996</v>
      </c>
      <c r="AT152" s="949">
        <v>-99996</v>
      </c>
      <c r="AU152" s="949">
        <v>-99996</v>
      </c>
      <c r="AV152" s="949">
        <v>-99996</v>
      </c>
      <c r="AW152" s="949">
        <v>-99996</v>
      </c>
      <c r="AX152" s="949">
        <v>-99996</v>
      </c>
      <c r="AY152" s="949">
        <v>-99996</v>
      </c>
      <c r="AZ152" s="949">
        <v>-99996</v>
      </c>
      <c r="BA152" s="949">
        <v>-99996</v>
      </c>
      <c r="BB152" s="949">
        <v>-99996</v>
      </c>
      <c r="BC152" s="949">
        <v>-99996</v>
      </c>
      <c r="BD152" s="949">
        <v>-99996</v>
      </c>
      <c r="BE152" s="949">
        <v>1.25</v>
      </c>
      <c r="BF152" s="982"/>
      <c r="BG152" s="982"/>
    </row>
    <row r="153" spans="1:59" s="359" customFormat="1" ht="28.2" thickTop="1" x14ac:dyDescent="0.3">
      <c r="A153" s="373"/>
      <c r="B153" s="141" t="s">
        <v>1590</v>
      </c>
      <c r="C153" s="373" t="s">
        <v>450</v>
      </c>
      <c r="D153" s="373" t="s">
        <v>137</v>
      </c>
      <c r="E153" s="973" t="str">
        <f>IF(F153=AG164,"x","")</f>
        <v>x</v>
      </c>
      <c r="F153" s="202" t="s">
        <v>451</v>
      </c>
      <c r="G153" s="973" t="str">
        <f>IF(H153=AQ164,"x","")</f>
        <v>x</v>
      </c>
      <c r="H153" s="202" t="s">
        <v>452</v>
      </c>
      <c r="I153" s="118" t="s">
        <v>173</v>
      </c>
      <c r="J153" s="1008">
        <v>6927.97</v>
      </c>
      <c r="K153" s="118" t="s">
        <v>173</v>
      </c>
      <c r="L153" s="645">
        <f>0.0013*J153</f>
        <v>9.0063610000000001</v>
      </c>
      <c r="M153" s="973" t="str">
        <f>IF(ROUND(N153,2)=ROUND(AP164,2),"x","")</f>
        <v>x</v>
      </c>
      <c r="N153" s="202">
        <v>0.65</v>
      </c>
      <c r="O153" s="973" t="str">
        <f>IF(ROUND(P153,2)=ROUND(AS164,2),"x","")</f>
        <v>x</v>
      </c>
      <c r="P153" s="202">
        <v>5.3619700000000003</v>
      </c>
      <c r="Q153" s="962" t="str">
        <f>IF(ROUND(R153,2)=ROUND(AU164,2),"x","")</f>
        <v>x</v>
      </c>
      <c r="R153" s="1023">
        <v>10</v>
      </c>
      <c r="S153" s="973" t="str">
        <f>IF(ROUND(T153,3)=ROUND(AW164,3),"x","")</f>
        <v>x</v>
      </c>
      <c r="T153" s="863">
        <v>0.91700000000000004</v>
      </c>
      <c r="U153" s="403" t="s">
        <v>173</v>
      </c>
      <c r="V153" s="404" t="s">
        <v>173</v>
      </c>
      <c r="W153" s="409" t="s">
        <v>300</v>
      </c>
      <c r="X153" s="485" t="s">
        <v>1508</v>
      </c>
      <c r="Y153" s="982"/>
      <c r="Z153" s="982"/>
      <c r="AA153" s="982"/>
      <c r="AB153" s="982"/>
      <c r="AC153" s="982"/>
      <c r="AD153" s="982"/>
      <c r="AE153" s="982"/>
      <c r="AF153" s="949" t="s">
        <v>1591</v>
      </c>
      <c r="AG153" s="949" t="s">
        <v>423</v>
      </c>
      <c r="AH153" s="949" t="s">
        <v>137</v>
      </c>
      <c r="AI153" s="949" t="s">
        <v>203</v>
      </c>
      <c r="AJ153" s="949" t="s">
        <v>356</v>
      </c>
      <c r="AK153" s="949">
        <v>1</v>
      </c>
      <c r="AL153" s="949" t="s">
        <v>1169</v>
      </c>
      <c r="AM153" s="949">
        <v>21209.599999999999</v>
      </c>
      <c r="AN153" s="949">
        <v>21209.599999999999</v>
      </c>
      <c r="AO153" s="949" t="s">
        <v>1509</v>
      </c>
      <c r="AP153" s="949" t="s">
        <v>1510</v>
      </c>
      <c r="AQ153" s="949">
        <v>1.0600799999999999</v>
      </c>
      <c r="AR153" s="949" t="s">
        <v>311</v>
      </c>
      <c r="AS153" s="949">
        <v>-99996</v>
      </c>
      <c r="AT153" s="949">
        <v>-99996</v>
      </c>
      <c r="AU153" s="949">
        <v>-99996</v>
      </c>
      <c r="AV153" s="949">
        <v>-99996</v>
      </c>
      <c r="AW153" s="949">
        <v>-99996</v>
      </c>
      <c r="AX153" s="949">
        <v>-99996</v>
      </c>
      <c r="AY153" s="949">
        <v>-99996</v>
      </c>
      <c r="AZ153" s="949">
        <v>-99996</v>
      </c>
      <c r="BA153" s="949">
        <v>-99996</v>
      </c>
      <c r="BB153" s="949">
        <v>-99996</v>
      </c>
      <c r="BC153" s="949">
        <v>-99996</v>
      </c>
      <c r="BD153" s="949">
        <v>-99996</v>
      </c>
      <c r="BE153" s="949">
        <v>1.25</v>
      </c>
      <c r="BF153" s="982"/>
      <c r="BG153" s="982"/>
    </row>
    <row r="154" spans="1:59" s="359" customFormat="1" ht="27.6" x14ac:dyDescent="0.3">
      <c r="A154" s="373"/>
      <c r="B154" s="141" t="s">
        <v>1592</v>
      </c>
      <c r="C154" s="373" t="s">
        <v>453</v>
      </c>
      <c r="D154" s="373" t="s">
        <v>137</v>
      </c>
      <c r="E154" s="973" t="str">
        <f t="shared" ref="E154:E158" si="38">IF(F154=AG165,"x","")</f>
        <v>x</v>
      </c>
      <c r="F154" s="202" t="s">
        <v>451</v>
      </c>
      <c r="G154" s="973" t="str">
        <f t="shared" ref="G154:G158" si="39">IF(H154=AQ165,"x","")</f>
        <v>x</v>
      </c>
      <c r="H154" s="202" t="s">
        <v>452</v>
      </c>
      <c r="I154" s="118" t="s">
        <v>173</v>
      </c>
      <c r="J154" s="1008">
        <v>8092.38</v>
      </c>
      <c r="K154" s="118" t="s">
        <v>173</v>
      </c>
      <c r="L154" s="645">
        <f t="shared" ref="L154:L155" si="40">0.0013*J154</f>
        <v>10.520094</v>
      </c>
      <c r="M154" s="973" t="str">
        <f t="shared" ref="M154:M158" si="41">IF(ROUND(N154,2)=ROUND(AP165,2),"x","")</f>
        <v>x</v>
      </c>
      <c r="N154" s="202">
        <v>0.65</v>
      </c>
      <c r="O154" s="973" t="str">
        <f t="shared" ref="O154:O158" si="42">IF(ROUND(P154,2)=ROUND(AS165,2),"x","")</f>
        <v>x</v>
      </c>
      <c r="P154" s="202">
        <v>5.3619700000000003</v>
      </c>
      <c r="Q154" s="962" t="str">
        <f t="shared" ref="Q154:Q155" si="43">IF(ROUND(R154,2)=ROUND(AU165,2),"x","")</f>
        <v>x</v>
      </c>
      <c r="R154" s="912">
        <v>15</v>
      </c>
      <c r="S154" s="973" t="str">
        <f t="shared" ref="S154:S158" si="44">IF(ROUND(T154,3)=ROUND(AW165,3),"x","")</f>
        <v>x</v>
      </c>
      <c r="T154" s="725">
        <v>0.92400000000000004</v>
      </c>
      <c r="U154" s="403" t="s">
        <v>173</v>
      </c>
      <c r="V154" s="404" t="s">
        <v>173</v>
      </c>
      <c r="W154" s="411" t="s">
        <v>300</v>
      </c>
      <c r="X154" s="485" t="s">
        <v>1508</v>
      </c>
      <c r="Y154" s="982"/>
      <c r="Z154" s="982"/>
      <c r="AA154" s="982"/>
      <c r="AB154" s="982"/>
      <c r="AC154" s="982"/>
      <c r="AD154" s="982"/>
      <c r="AE154" s="982"/>
      <c r="AF154" s="949" t="s">
        <v>1593</v>
      </c>
      <c r="AG154" s="949" t="s">
        <v>423</v>
      </c>
      <c r="AH154" s="949" t="s">
        <v>137</v>
      </c>
      <c r="AI154" s="949" t="s">
        <v>203</v>
      </c>
      <c r="AJ154" s="949" t="s">
        <v>356</v>
      </c>
      <c r="AK154" s="949">
        <v>1</v>
      </c>
      <c r="AL154" s="949" t="s">
        <v>1170</v>
      </c>
      <c r="AM154" s="949">
        <v>32103.3</v>
      </c>
      <c r="AN154" s="949">
        <v>32103.3</v>
      </c>
      <c r="AO154" s="949" t="s">
        <v>1509</v>
      </c>
      <c r="AP154" s="949" t="s">
        <v>1510</v>
      </c>
      <c r="AQ154" s="949">
        <v>1.60456</v>
      </c>
      <c r="AR154" s="949" t="s">
        <v>311</v>
      </c>
      <c r="AS154" s="949">
        <v>-99996</v>
      </c>
      <c r="AT154" s="949">
        <v>-99996</v>
      </c>
      <c r="AU154" s="949">
        <v>-99996</v>
      </c>
      <c r="AV154" s="949">
        <v>-99996</v>
      </c>
      <c r="AW154" s="949">
        <v>-99996</v>
      </c>
      <c r="AX154" s="949">
        <v>-99996</v>
      </c>
      <c r="AY154" s="949">
        <v>-99996</v>
      </c>
      <c r="AZ154" s="949">
        <v>-99996</v>
      </c>
      <c r="BA154" s="949">
        <v>-99996</v>
      </c>
      <c r="BB154" s="949">
        <v>-99996</v>
      </c>
      <c r="BC154" s="949">
        <v>-99996</v>
      </c>
      <c r="BD154" s="949">
        <v>-99996</v>
      </c>
      <c r="BE154" s="949">
        <v>1.25</v>
      </c>
      <c r="BF154" s="982"/>
      <c r="BG154" s="982"/>
    </row>
    <row r="155" spans="1:59" s="359" customFormat="1" ht="27.6" x14ac:dyDescent="0.3">
      <c r="A155" s="373"/>
      <c r="B155" s="141" t="s">
        <v>1594</v>
      </c>
      <c r="C155" s="373" t="s">
        <v>454</v>
      </c>
      <c r="D155" s="373" t="s">
        <v>137</v>
      </c>
      <c r="E155" s="973" t="str">
        <f t="shared" si="38"/>
        <v>x</v>
      </c>
      <c r="F155" s="202" t="s">
        <v>451</v>
      </c>
      <c r="G155" s="973" t="str">
        <f t="shared" si="39"/>
        <v>x</v>
      </c>
      <c r="H155" s="202" t="s">
        <v>452</v>
      </c>
      <c r="I155" s="118" t="s">
        <v>173</v>
      </c>
      <c r="J155" s="1008">
        <v>8435.9500000000007</v>
      </c>
      <c r="K155" s="118" t="s">
        <v>173</v>
      </c>
      <c r="L155" s="645">
        <f t="shared" si="40"/>
        <v>10.966735</v>
      </c>
      <c r="M155" s="973" t="str">
        <f t="shared" si="41"/>
        <v>x</v>
      </c>
      <c r="N155" s="202">
        <v>0.65</v>
      </c>
      <c r="O155" s="973" t="str">
        <f t="shared" si="42"/>
        <v>x</v>
      </c>
      <c r="P155" s="202">
        <v>5.3619700000000003</v>
      </c>
      <c r="Q155" s="962" t="str">
        <f t="shared" si="43"/>
        <v>x</v>
      </c>
      <c r="R155" s="912">
        <v>15</v>
      </c>
      <c r="S155" s="973" t="str">
        <f t="shared" si="44"/>
        <v>x</v>
      </c>
      <c r="T155" s="725">
        <v>0.92400000000000004</v>
      </c>
      <c r="U155" s="403" t="s">
        <v>173</v>
      </c>
      <c r="V155" s="404" t="s">
        <v>173</v>
      </c>
      <c r="W155" s="98" t="s">
        <v>300</v>
      </c>
      <c r="X155" s="485" t="s">
        <v>1508</v>
      </c>
      <c r="AF155" s="949" t="s">
        <v>1595</v>
      </c>
      <c r="AG155" s="949" t="s">
        <v>423</v>
      </c>
      <c r="AH155" s="949" t="s">
        <v>137</v>
      </c>
      <c r="AI155" s="949" t="s">
        <v>203</v>
      </c>
      <c r="AJ155" s="949" t="s">
        <v>356</v>
      </c>
      <c r="AK155" s="949">
        <v>1</v>
      </c>
      <c r="AL155" s="949" t="s">
        <v>1171</v>
      </c>
      <c r="AM155" s="949">
        <v>21206.7</v>
      </c>
      <c r="AN155" s="949">
        <v>21206.7</v>
      </c>
      <c r="AO155" s="949" t="s">
        <v>1509</v>
      </c>
      <c r="AP155" s="949" t="s">
        <v>1510</v>
      </c>
      <c r="AQ155" s="949">
        <v>1.05993</v>
      </c>
      <c r="AR155" s="949" t="s">
        <v>311</v>
      </c>
      <c r="AS155" s="949">
        <v>-99996</v>
      </c>
      <c r="AT155" s="949">
        <v>-99996</v>
      </c>
      <c r="AU155" s="949">
        <v>-99996</v>
      </c>
      <c r="AV155" s="949">
        <v>-99996</v>
      </c>
      <c r="AW155" s="949">
        <v>-99996</v>
      </c>
      <c r="AX155" s="949">
        <v>-99996</v>
      </c>
      <c r="AY155" s="949">
        <v>-99996</v>
      </c>
      <c r="AZ155" s="949">
        <v>-99996</v>
      </c>
      <c r="BA155" s="949">
        <v>-99996</v>
      </c>
      <c r="BB155" s="949">
        <v>-99996</v>
      </c>
      <c r="BC155" s="949">
        <v>-99996</v>
      </c>
      <c r="BD155" s="949">
        <v>-99996</v>
      </c>
      <c r="BE155" s="949">
        <v>1.25</v>
      </c>
    </row>
    <row r="156" spans="1:59" s="359" customFormat="1" ht="27.6" x14ac:dyDescent="0.3">
      <c r="A156" s="373"/>
      <c r="B156" s="141" t="s">
        <v>1160</v>
      </c>
      <c r="C156" s="373" t="s">
        <v>1596</v>
      </c>
      <c r="D156" s="373" t="s">
        <v>137</v>
      </c>
      <c r="E156" s="973" t="str">
        <f t="shared" si="38"/>
        <v>x</v>
      </c>
      <c r="F156" s="202" t="s">
        <v>451</v>
      </c>
      <c r="G156" s="973" t="str">
        <f t="shared" si="39"/>
        <v>x</v>
      </c>
      <c r="H156" s="202" t="s">
        <v>452</v>
      </c>
      <c r="I156" s="118" t="s">
        <v>173</v>
      </c>
      <c r="J156" s="1008">
        <v>37584.5</v>
      </c>
      <c r="K156" s="118" t="s">
        <v>173</v>
      </c>
      <c r="L156" s="645">
        <f>0.81*J156/746*T156</f>
        <v>38.401181963806977</v>
      </c>
      <c r="M156" s="973" t="str">
        <f t="shared" si="41"/>
        <v>x</v>
      </c>
      <c r="N156" s="202">
        <v>0.65</v>
      </c>
      <c r="O156" s="973" t="str">
        <f t="shared" si="42"/>
        <v>x</v>
      </c>
      <c r="P156" s="202">
        <v>5.3201499999999999</v>
      </c>
      <c r="Q156" s="118" t="s">
        <v>173</v>
      </c>
      <c r="R156" s="1016">
        <v>40</v>
      </c>
      <c r="S156" s="973" t="str">
        <f t="shared" si="44"/>
        <v>x</v>
      </c>
      <c r="T156" s="725">
        <v>0.94099999999999995</v>
      </c>
      <c r="U156" s="412" t="s">
        <v>300</v>
      </c>
      <c r="V156" s="361">
        <v>0.81344300000000003</v>
      </c>
      <c r="W156" s="98" t="s">
        <v>300</v>
      </c>
      <c r="X156" s="485" t="s">
        <v>1597</v>
      </c>
      <c r="AF156" s="949" t="s">
        <v>1598</v>
      </c>
      <c r="AG156" s="949" t="s">
        <v>423</v>
      </c>
      <c r="AH156" s="949" t="s">
        <v>137</v>
      </c>
      <c r="AI156" s="949" t="s">
        <v>203</v>
      </c>
      <c r="AJ156" s="949" t="s">
        <v>358</v>
      </c>
      <c r="AK156" s="949">
        <v>1</v>
      </c>
      <c r="AL156" s="949" t="s">
        <v>1179</v>
      </c>
      <c r="AM156" s="949">
        <v>41306</v>
      </c>
      <c r="AN156" s="949">
        <v>41306</v>
      </c>
      <c r="AO156" s="949" t="s">
        <v>1509</v>
      </c>
      <c r="AP156" s="949" t="s">
        <v>1510</v>
      </c>
      <c r="AQ156" s="949">
        <v>2.0645199999999999</v>
      </c>
      <c r="AR156" s="949" t="s">
        <v>311</v>
      </c>
      <c r="AS156" s="949">
        <v>-99996</v>
      </c>
      <c r="AT156" s="949">
        <v>-99996</v>
      </c>
      <c r="AU156" s="949">
        <v>-99996</v>
      </c>
      <c r="AV156" s="949">
        <v>-99996</v>
      </c>
      <c r="AW156" s="949">
        <v>-99996</v>
      </c>
      <c r="AX156" s="949">
        <v>-99996</v>
      </c>
      <c r="AY156" s="949">
        <v>-99996</v>
      </c>
      <c r="AZ156" s="949">
        <v>-99996</v>
      </c>
      <c r="BA156" s="949">
        <v>-99996</v>
      </c>
      <c r="BB156" s="949">
        <v>-99996</v>
      </c>
      <c r="BC156" s="949">
        <v>-99996</v>
      </c>
      <c r="BD156" s="949">
        <v>-99996</v>
      </c>
      <c r="BE156" s="949">
        <v>1.25</v>
      </c>
    </row>
    <row r="157" spans="1:59" s="359" customFormat="1" ht="27.6" x14ac:dyDescent="0.3">
      <c r="A157" s="373"/>
      <c r="B157" s="141" t="s">
        <v>1166</v>
      </c>
      <c r="C157" s="373" t="s">
        <v>1599</v>
      </c>
      <c r="D157" s="373" t="s">
        <v>137</v>
      </c>
      <c r="E157" s="973" t="str">
        <f t="shared" si="38"/>
        <v>x</v>
      </c>
      <c r="F157" s="202" t="s">
        <v>451</v>
      </c>
      <c r="G157" s="973" t="str">
        <f t="shared" si="39"/>
        <v>x</v>
      </c>
      <c r="H157" s="202" t="s">
        <v>452</v>
      </c>
      <c r="I157" s="118" t="s">
        <v>173</v>
      </c>
      <c r="J157" s="1008">
        <v>37450</v>
      </c>
      <c r="K157" s="118" t="s">
        <v>173</v>
      </c>
      <c r="L157" s="645">
        <f t="shared" ref="L157:L158" si="45">0.81*J157/746*T157</f>
        <v>38.263759383378016</v>
      </c>
      <c r="M157" s="973" t="str">
        <f t="shared" si="41"/>
        <v>x</v>
      </c>
      <c r="N157" s="202">
        <v>0.65</v>
      </c>
      <c r="O157" s="973" t="str">
        <f t="shared" si="42"/>
        <v>x</v>
      </c>
      <c r="P157" s="202">
        <v>5.3201499999999999</v>
      </c>
      <c r="Q157" s="118" t="s">
        <v>173</v>
      </c>
      <c r="R157" s="1016">
        <v>40</v>
      </c>
      <c r="S157" s="973" t="str">
        <f t="shared" si="44"/>
        <v>x</v>
      </c>
      <c r="T157" s="725">
        <v>0.94099999999999995</v>
      </c>
      <c r="U157" s="412" t="s">
        <v>300</v>
      </c>
      <c r="V157" s="361">
        <v>0.81344300000000003</v>
      </c>
      <c r="W157" s="98" t="s">
        <v>300</v>
      </c>
      <c r="X157" s="485" t="s">
        <v>1597</v>
      </c>
      <c r="AF157" s="949" t="s">
        <v>1600</v>
      </c>
      <c r="AG157" s="949" t="s">
        <v>423</v>
      </c>
      <c r="AH157" s="949" t="s">
        <v>137</v>
      </c>
      <c r="AI157" s="949" t="s">
        <v>203</v>
      </c>
      <c r="AJ157" s="949" t="s">
        <v>358</v>
      </c>
      <c r="AK157" s="949">
        <v>1</v>
      </c>
      <c r="AL157" s="949" t="s">
        <v>1180</v>
      </c>
      <c r="AM157" s="949">
        <v>27073</v>
      </c>
      <c r="AN157" s="949">
        <v>27073</v>
      </c>
      <c r="AO157" s="949" t="s">
        <v>1509</v>
      </c>
      <c r="AP157" s="949" t="s">
        <v>1510</v>
      </c>
      <c r="AQ157" s="949">
        <v>1.35314</v>
      </c>
      <c r="AR157" s="949" t="s">
        <v>311</v>
      </c>
      <c r="AS157" s="949">
        <v>-99996</v>
      </c>
      <c r="AT157" s="949">
        <v>-99996</v>
      </c>
      <c r="AU157" s="949">
        <v>-99996</v>
      </c>
      <c r="AV157" s="949">
        <v>-99996</v>
      </c>
      <c r="AW157" s="949">
        <v>-99996</v>
      </c>
      <c r="AX157" s="949">
        <v>-99996</v>
      </c>
      <c r="AY157" s="949">
        <v>-99996</v>
      </c>
      <c r="AZ157" s="949">
        <v>-99996</v>
      </c>
      <c r="BA157" s="949">
        <v>-99996</v>
      </c>
      <c r="BB157" s="949">
        <v>-99996</v>
      </c>
      <c r="BC157" s="949">
        <v>-99996</v>
      </c>
      <c r="BD157" s="949">
        <v>-99996</v>
      </c>
      <c r="BE157" s="949">
        <v>1.25</v>
      </c>
    </row>
    <row r="158" spans="1:59" s="359" customFormat="1" ht="27.6" x14ac:dyDescent="0.3">
      <c r="A158" s="373"/>
      <c r="B158" s="309" t="s">
        <v>1178</v>
      </c>
      <c r="C158" s="165" t="s">
        <v>1601</v>
      </c>
      <c r="D158" s="165" t="s">
        <v>137</v>
      </c>
      <c r="E158" s="974" t="str">
        <f t="shared" si="38"/>
        <v>x</v>
      </c>
      <c r="F158" s="204" t="s">
        <v>451</v>
      </c>
      <c r="G158" s="974" t="str">
        <f t="shared" si="39"/>
        <v>x</v>
      </c>
      <c r="H158" s="204" t="s">
        <v>452</v>
      </c>
      <c r="I158" s="118" t="s">
        <v>173</v>
      </c>
      <c r="J158" s="1009">
        <v>37818.1</v>
      </c>
      <c r="K158" s="118" t="s">
        <v>173</v>
      </c>
      <c r="L158" s="888">
        <f t="shared" si="45"/>
        <v>38.639857910187665</v>
      </c>
      <c r="M158" s="974" t="str">
        <f t="shared" si="41"/>
        <v>x</v>
      </c>
      <c r="N158" s="204">
        <v>0.65</v>
      </c>
      <c r="O158" s="974" t="str">
        <f t="shared" si="42"/>
        <v>x</v>
      </c>
      <c r="P158" s="204">
        <v>5.3201499999999999</v>
      </c>
      <c r="Q158" s="118" t="s">
        <v>173</v>
      </c>
      <c r="R158" s="1017">
        <v>40</v>
      </c>
      <c r="S158" s="974" t="str">
        <f t="shared" si="44"/>
        <v>x</v>
      </c>
      <c r="T158" s="726">
        <v>0.94099999999999995</v>
      </c>
      <c r="U158" s="161" t="s">
        <v>300</v>
      </c>
      <c r="V158" s="396">
        <v>0.81344300000000003</v>
      </c>
      <c r="W158" s="161" t="s">
        <v>300</v>
      </c>
      <c r="X158" s="737" t="s">
        <v>1597</v>
      </c>
      <c r="AF158" s="949" t="s">
        <v>1602</v>
      </c>
      <c r="AG158" s="949" t="s">
        <v>423</v>
      </c>
      <c r="AH158" s="949" t="s">
        <v>137</v>
      </c>
      <c r="AI158" s="949" t="s">
        <v>203</v>
      </c>
      <c r="AJ158" s="949" t="s">
        <v>358</v>
      </c>
      <c r="AK158" s="949">
        <v>1</v>
      </c>
      <c r="AL158" s="949" t="s">
        <v>1181</v>
      </c>
      <c r="AM158" s="949">
        <v>41306</v>
      </c>
      <c r="AN158" s="949">
        <v>41306</v>
      </c>
      <c r="AO158" s="949" t="s">
        <v>1509</v>
      </c>
      <c r="AP158" s="949" t="s">
        <v>1510</v>
      </c>
      <c r="AQ158" s="949">
        <v>2.0645199999999999</v>
      </c>
      <c r="AR158" s="949" t="s">
        <v>311</v>
      </c>
      <c r="AS158" s="949">
        <v>-99996</v>
      </c>
      <c r="AT158" s="949">
        <v>-99996</v>
      </c>
      <c r="AU158" s="949">
        <v>-99996</v>
      </c>
      <c r="AV158" s="949">
        <v>-99996</v>
      </c>
      <c r="AW158" s="949">
        <v>-99996</v>
      </c>
      <c r="AX158" s="949">
        <v>-99996</v>
      </c>
      <c r="AY158" s="949">
        <v>-99996</v>
      </c>
      <c r="AZ158" s="949">
        <v>-99996</v>
      </c>
      <c r="BA158" s="949">
        <v>-99996</v>
      </c>
      <c r="BB158" s="949">
        <v>-99996</v>
      </c>
      <c r="BC158" s="949">
        <v>-99996</v>
      </c>
      <c r="BD158" s="949">
        <v>-99996</v>
      </c>
      <c r="BE158" s="949">
        <v>1.25</v>
      </c>
    </row>
    <row r="159" spans="1:59" x14ac:dyDescent="0.3">
      <c r="A159" s="89"/>
      <c r="B159" s="89"/>
      <c r="C159" s="380"/>
      <c r="D159" s="89"/>
      <c r="E159" s="89"/>
      <c r="F159" s="89"/>
      <c r="G159" s="89"/>
      <c r="H159" s="89"/>
      <c r="I159" s="89"/>
      <c r="J159" s="89"/>
      <c r="K159" s="89"/>
      <c r="L159" s="421"/>
      <c r="M159" s="89"/>
      <c r="N159" s="89"/>
      <c r="O159" s="89"/>
      <c r="P159" s="89"/>
      <c r="Q159" s="89"/>
      <c r="R159" s="89"/>
      <c r="S159" s="89"/>
      <c r="T159" s="89"/>
      <c r="V159" s="430"/>
      <c r="W159" s="982"/>
      <c r="X159" s="982"/>
      <c r="Y159" s="357"/>
      <c r="Z159" s="357"/>
      <c r="AA159" s="357"/>
      <c r="AB159" s="357"/>
      <c r="AC159" s="357"/>
      <c r="AD159" s="357"/>
      <c r="AE159" s="357"/>
      <c r="AF159" s="949" t="s">
        <v>1603</v>
      </c>
      <c r="AG159" s="949" t="s">
        <v>423</v>
      </c>
      <c r="AH159" s="949" t="s">
        <v>137</v>
      </c>
      <c r="AI159" s="949" t="s">
        <v>203</v>
      </c>
      <c r="AJ159" s="949" t="s">
        <v>358</v>
      </c>
      <c r="AK159" s="949">
        <v>1</v>
      </c>
      <c r="AL159" s="949" t="s">
        <v>1182</v>
      </c>
      <c r="AM159" s="949">
        <v>27073.1</v>
      </c>
      <c r="AN159" s="949">
        <v>27073.1</v>
      </c>
      <c r="AO159" s="949" t="s">
        <v>1509</v>
      </c>
      <c r="AP159" s="949" t="s">
        <v>1510</v>
      </c>
      <c r="AQ159" s="949">
        <v>1.35314</v>
      </c>
      <c r="AR159" s="949" t="s">
        <v>311</v>
      </c>
      <c r="AS159" s="949">
        <v>-99996</v>
      </c>
      <c r="AT159" s="949">
        <v>-99996</v>
      </c>
      <c r="AU159" s="949">
        <v>-99996</v>
      </c>
      <c r="AV159" s="949">
        <v>-99996</v>
      </c>
      <c r="AW159" s="949">
        <v>-99996</v>
      </c>
      <c r="AX159" s="949">
        <v>-99996</v>
      </c>
      <c r="AY159" s="949">
        <v>-99996</v>
      </c>
      <c r="AZ159" s="949">
        <v>-99996</v>
      </c>
      <c r="BA159" s="949">
        <v>-99996</v>
      </c>
      <c r="BB159" s="949">
        <v>-99996</v>
      </c>
      <c r="BC159" s="949">
        <v>-99996</v>
      </c>
      <c r="BD159" s="949">
        <v>-99996</v>
      </c>
      <c r="BE159" s="949">
        <v>1.25</v>
      </c>
      <c r="BF159" s="357"/>
      <c r="BG159" s="357"/>
    </row>
    <row r="160" spans="1:59" x14ac:dyDescent="0.3">
      <c r="A160" s="982"/>
      <c r="B160" s="982"/>
      <c r="C160" s="982"/>
      <c r="D160" s="982"/>
      <c r="E160" s="357"/>
      <c r="F160" s="982"/>
      <c r="G160" s="357"/>
      <c r="H160" s="982"/>
      <c r="I160" s="357"/>
      <c r="J160" s="982"/>
      <c r="K160" s="982"/>
      <c r="L160" s="982"/>
      <c r="M160" s="89"/>
      <c r="N160" s="89"/>
      <c r="O160" s="982"/>
      <c r="P160" s="982"/>
      <c r="Q160" s="982"/>
      <c r="R160" s="982"/>
      <c r="S160" s="982"/>
      <c r="T160" s="982"/>
      <c r="V160" s="982"/>
      <c r="W160" s="982"/>
      <c r="X160" s="982"/>
      <c r="Y160" s="357"/>
      <c r="Z160" s="357"/>
      <c r="AA160" s="357"/>
      <c r="AB160" s="357"/>
      <c r="AC160" s="357"/>
      <c r="AD160" s="357"/>
      <c r="AE160" s="357"/>
      <c r="AF160" s="369" t="s">
        <v>1519</v>
      </c>
      <c r="AG160" s="982"/>
      <c r="AH160" s="982"/>
      <c r="AI160" s="982"/>
      <c r="AJ160" s="982"/>
      <c r="AK160" s="982"/>
      <c r="AL160" s="982"/>
      <c r="AM160" s="982"/>
      <c r="AN160" s="982"/>
      <c r="AO160" s="982"/>
      <c r="AP160" s="982"/>
      <c r="AQ160" s="982"/>
      <c r="AR160" s="982"/>
      <c r="AS160" s="982"/>
      <c r="AT160" s="982"/>
      <c r="AU160" s="982"/>
      <c r="AV160" s="982"/>
      <c r="AW160" s="982"/>
      <c r="AX160" s="357"/>
      <c r="AY160" s="357"/>
      <c r="AZ160" s="357"/>
      <c r="BA160" s="357"/>
      <c r="BB160" s="357"/>
      <c r="BC160" s="357"/>
      <c r="BD160" s="357"/>
      <c r="BE160" s="357"/>
      <c r="BF160" s="357"/>
      <c r="BG160" s="357"/>
    </row>
    <row r="161" spans="1:59" x14ac:dyDescent="0.3">
      <c r="A161" s="982"/>
      <c r="B161" s="115" t="s">
        <v>331</v>
      </c>
      <c r="C161" s="120"/>
      <c r="D161" s="119" t="s">
        <v>122</v>
      </c>
      <c r="E161" s="131"/>
      <c r="F161" s="148" t="s">
        <v>508</v>
      </c>
      <c r="G161" s="131"/>
      <c r="H161" s="148" t="s">
        <v>509</v>
      </c>
      <c r="I161" s="131"/>
      <c r="J161" s="148" t="s">
        <v>1349</v>
      </c>
      <c r="K161" s="131"/>
      <c r="L161" s="148" t="s">
        <v>1350</v>
      </c>
      <c r="M161" s="89"/>
      <c r="N161" s="89"/>
      <c r="O161" s="982"/>
      <c r="P161" s="982"/>
      <c r="Q161" s="982"/>
      <c r="R161" s="982"/>
      <c r="S161" s="982"/>
      <c r="T161" s="982"/>
      <c r="V161" s="982"/>
      <c r="W161" s="982"/>
      <c r="X161" s="982"/>
      <c r="Y161" s="357"/>
      <c r="Z161" s="357"/>
      <c r="AA161" s="357"/>
      <c r="AB161" s="357"/>
      <c r="AC161" s="357"/>
      <c r="AD161" s="357"/>
      <c r="AE161" s="357"/>
      <c r="AF161" s="982"/>
      <c r="AG161" s="982"/>
      <c r="AH161" s="982"/>
      <c r="AI161" s="982"/>
      <c r="AJ161" s="982"/>
      <c r="AK161" s="982" t="s">
        <v>1443</v>
      </c>
      <c r="AL161" s="982"/>
      <c r="AM161" s="982"/>
      <c r="AN161" s="982" t="s">
        <v>1444</v>
      </c>
      <c r="AO161" s="982"/>
      <c r="AP161" s="982"/>
      <c r="AQ161" s="982" t="s">
        <v>1089</v>
      </c>
      <c r="AR161" s="982"/>
      <c r="AS161" s="982"/>
      <c r="AT161" s="982"/>
      <c r="AU161" s="982" t="s">
        <v>1520</v>
      </c>
      <c r="AV161" s="982"/>
      <c r="AW161" s="982"/>
      <c r="AX161" s="357"/>
      <c r="AY161" s="357"/>
      <c r="AZ161" s="357"/>
      <c r="BA161" s="357"/>
      <c r="BB161" s="357"/>
      <c r="BC161" s="357"/>
      <c r="BD161" s="357"/>
      <c r="BE161" s="357"/>
      <c r="BF161" s="357"/>
      <c r="BG161" s="357"/>
    </row>
    <row r="162" spans="1:59" ht="15" thickBot="1" x14ac:dyDescent="0.35">
      <c r="A162" s="982"/>
      <c r="B162" s="139" t="s">
        <v>342</v>
      </c>
      <c r="C162" s="176"/>
      <c r="D162" s="176"/>
      <c r="E162" s="211"/>
      <c r="F162" s="998" t="s">
        <v>510</v>
      </c>
      <c r="G162" s="211"/>
      <c r="H162" s="998" t="s">
        <v>511</v>
      </c>
      <c r="I162" s="211"/>
      <c r="J162" s="998" t="s">
        <v>1351</v>
      </c>
      <c r="K162" s="211"/>
      <c r="L162" s="998" t="s">
        <v>1352</v>
      </c>
      <c r="M162" s="89"/>
      <c r="N162" s="89"/>
      <c r="O162" s="982"/>
      <c r="P162" s="982"/>
      <c r="Q162" s="982"/>
      <c r="R162" s="982"/>
      <c r="S162" s="982"/>
      <c r="T162" s="982"/>
      <c r="V162" s="982"/>
      <c r="W162" s="982"/>
      <c r="X162" s="982"/>
      <c r="Y162" s="982"/>
      <c r="Z162" s="982"/>
      <c r="AA162" s="982"/>
      <c r="AB162" s="982"/>
      <c r="AC162" s="982"/>
      <c r="AD162" s="982"/>
      <c r="AE162" s="982"/>
      <c r="AF162" s="982" t="s">
        <v>121</v>
      </c>
      <c r="AG162" s="982" t="s">
        <v>433</v>
      </c>
      <c r="AH162" s="982" t="s">
        <v>122</v>
      </c>
      <c r="AI162" s="982" t="s">
        <v>1521</v>
      </c>
      <c r="AJ162" s="982" t="s">
        <v>1522</v>
      </c>
      <c r="AK162" s="982" t="s">
        <v>1446</v>
      </c>
      <c r="AL162" s="982" t="s">
        <v>1447</v>
      </c>
      <c r="AM162" s="982" t="s">
        <v>1448</v>
      </c>
      <c r="AN162" s="982" t="s">
        <v>548</v>
      </c>
      <c r="AO162" s="982" t="s">
        <v>1149</v>
      </c>
      <c r="AP162" s="982" t="s">
        <v>1523</v>
      </c>
      <c r="AQ162" s="982" t="s">
        <v>434</v>
      </c>
      <c r="AR162" s="982" t="s">
        <v>1524</v>
      </c>
      <c r="AS162" s="982" t="s">
        <v>1525</v>
      </c>
      <c r="AT162" s="982" t="s">
        <v>1526</v>
      </c>
      <c r="AU162" s="982" t="s">
        <v>1527</v>
      </c>
      <c r="AV162" s="982" t="s">
        <v>1528</v>
      </c>
      <c r="AW162" s="982" t="s">
        <v>1523</v>
      </c>
      <c r="AX162" s="982"/>
      <c r="AY162" s="982"/>
      <c r="AZ162" s="982"/>
      <c r="BA162" s="982"/>
      <c r="BB162" s="982"/>
      <c r="BC162" s="982"/>
      <c r="BD162" s="982"/>
      <c r="BE162" s="982"/>
      <c r="BF162" s="982"/>
      <c r="BG162" s="982"/>
    </row>
    <row r="163" spans="1:59" s="357" customFormat="1" ht="15" thickTop="1" x14ac:dyDescent="0.3">
      <c r="B163" s="141" t="s">
        <v>351</v>
      </c>
      <c r="C163" s="373"/>
      <c r="D163" s="373" t="s">
        <v>137</v>
      </c>
      <c r="E163" s="975" t="str">
        <f>IF(F163=AG174,"x","")</f>
        <v>x</v>
      </c>
      <c r="F163" s="432" t="s">
        <v>513</v>
      </c>
      <c r="G163" s="975" t="str">
        <f>IF(H163=AL174,"x","")</f>
        <v>x</v>
      </c>
      <c r="H163" s="432" t="s">
        <v>514</v>
      </c>
      <c r="I163" s="403" t="s">
        <v>173</v>
      </c>
      <c r="J163" s="404" t="s">
        <v>173</v>
      </c>
      <c r="K163" s="403" t="s">
        <v>173</v>
      </c>
      <c r="L163" s="404" t="s">
        <v>173</v>
      </c>
      <c r="M163" s="89"/>
      <c r="N163" s="89"/>
      <c r="O163" s="982"/>
      <c r="P163" s="982"/>
      <c r="Q163" s="982"/>
      <c r="R163" s="982"/>
      <c r="S163" s="982"/>
      <c r="T163" s="982"/>
      <c r="U163" s="364"/>
      <c r="V163" s="982"/>
      <c r="Y163" s="982"/>
      <c r="Z163" s="982"/>
      <c r="AA163" s="982"/>
      <c r="AB163" s="982"/>
      <c r="AC163" s="982"/>
      <c r="AD163" s="982"/>
      <c r="AE163" s="982"/>
      <c r="AF163" s="982"/>
      <c r="AG163" s="982"/>
      <c r="AH163" s="982"/>
      <c r="AI163" s="982"/>
      <c r="AJ163" s="982"/>
      <c r="AK163" s="982"/>
      <c r="AL163" s="982" t="s">
        <v>1417</v>
      </c>
      <c r="AM163" s="982"/>
      <c r="AN163" s="982" t="s">
        <v>1068</v>
      </c>
      <c r="AO163" s="982" t="s">
        <v>1068</v>
      </c>
      <c r="AP163" s="982"/>
      <c r="AQ163" s="982"/>
      <c r="AR163" s="982" t="s">
        <v>1529</v>
      </c>
      <c r="AS163" s="982" t="s">
        <v>1530</v>
      </c>
      <c r="AT163" s="982" t="s">
        <v>1531</v>
      </c>
      <c r="AU163" s="982" t="s">
        <v>1532</v>
      </c>
      <c r="AV163" s="982"/>
      <c r="AW163" s="982"/>
      <c r="AX163" s="982"/>
      <c r="AY163" s="982"/>
      <c r="AZ163" s="982"/>
      <c r="BA163" s="982"/>
      <c r="BB163" s="982"/>
      <c r="BC163" s="982"/>
      <c r="BD163" s="982"/>
      <c r="BE163" s="982"/>
      <c r="BF163" s="982"/>
      <c r="BG163" s="982"/>
    </row>
    <row r="164" spans="1:59" s="357" customFormat="1" x14ac:dyDescent="0.3">
      <c r="B164" s="141" t="s">
        <v>356</v>
      </c>
      <c r="C164" s="373"/>
      <c r="D164" s="373" t="s">
        <v>137</v>
      </c>
      <c r="E164" s="973" t="str">
        <f t="shared" ref="E164:E168" si="46">IF(F164=AG175,"x","")</f>
        <v>x</v>
      </c>
      <c r="F164" s="202" t="s">
        <v>513</v>
      </c>
      <c r="G164" s="973" t="str">
        <f t="shared" ref="G164:G168" si="47">IF(H164=AL175,"x","")</f>
        <v>x</v>
      </c>
      <c r="H164" s="202" t="s">
        <v>514</v>
      </c>
      <c r="I164" s="403" t="s">
        <v>173</v>
      </c>
      <c r="J164" s="404" t="s">
        <v>173</v>
      </c>
      <c r="K164" s="403" t="s">
        <v>173</v>
      </c>
      <c r="L164" s="404" t="s">
        <v>173</v>
      </c>
      <c r="M164" s="89"/>
      <c r="N164" s="89"/>
      <c r="O164" s="982"/>
      <c r="P164" s="982"/>
      <c r="Q164" s="982"/>
      <c r="R164" s="982"/>
      <c r="S164" s="982"/>
      <c r="T164" s="982"/>
      <c r="U164" s="364"/>
      <c r="V164" s="982"/>
      <c r="Y164" s="812"/>
      <c r="Z164" s="812"/>
      <c r="AA164" s="812"/>
      <c r="AB164" s="812"/>
      <c r="AC164" s="812"/>
      <c r="AD164" s="812"/>
      <c r="AE164" s="813" t="s">
        <v>1604</v>
      </c>
      <c r="AF164" s="949" t="s">
        <v>450</v>
      </c>
      <c r="AG164" s="949" t="s">
        <v>451</v>
      </c>
      <c r="AH164" s="949" t="s">
        <v>137</v>
      </c>
      <c r="AI164" s="949" t="s">
        <v>1534</v>
      </c>
      <c r="AJ164" s="949" t="s">
        <v>1535</v>
      </c>
      <c r="AK164" s="949" t="s">
        <v>351</v>
      </c>
      <c r="AL164" s="949">
        <v>1</v>
      </c>
      <c r="AM164" s="949" t="s">
        <v>311</v>
      </c>
      <c r="AN164" s="949">
        <v>6927.97</v>
      </c>
      <c r="AO164" s="949">
        <v>1398.16</v>
      </c>
      <c r="AP164" s="949">
        <v>0.65</v>
      </c>
      <c r="AQ164" s="949" t="s">
        <v>452</v>
      </c>
      <c r="AR164" s="949">
        <v>9.0063600000000008</v>
      </c>
      <c r="AS164" s="949">
        <v>5.3619700000000003</v>
      </c>
      <c r="AT164" s="949">
        <v>1.05701</v>
      </c>
      <c r="AU164" s="949">
        <v>10</v>
      </c>
      <c r="AV164" s="949" t="s">
        <v>1538</v>
      </c>
      <c r="AW164" s="949">
        <v>0.91700000000000004</v>
      </c>
      <c r="AX164" s="982"/>
      <c r="AY164" s="982"/>
      <c r="AZ164" s="982"/>
      <c r="BA164" s="982"/>
      <c r="BB164" s="982"/>
      <c r="BC164" s="982"/>
      <c r="BD164" s="982"/>
      <c r="BE164" s="982"/>
      <c r="BF164" s="982"/>
      <c r="BG164" s="982"/>
    </row>
    <row r="165" spans="1:59" s="357" customFormat="1" x14ac:dyDescent="0.3">
      <c r="B165" s="141" t="s">
        <v>358</v>
      </c>
      <c r="C165" s="373"/>
      <c r="D165" s="373" t="s">
        <v>137</v>
      </c>
      <c r="E165" s="973" t="str">
        <f t="shared" si="46"/>
        <v>x</v>
      </c>
      <c r="F165" s="202" t="s">
        <v>513</v>
      </c>
      <c r="G165" s="973" t="str">
        <f t="shared" si="47"/>
        <v>x</v>
      </c>
      <c r="H165" s="202" t="s">
        <v>514</v>
      </c>
      <c r="I165" s="403" t="s">
        <v>173</v>
      </c>
      <c r="J165" s="404" t="s">
        <v>173</v>
      </c>
      <c r="K165" s="403" t="s">
        <v>173</v>
      </c>
      <c r="L165" s="404" t="s">
        <v>173</v>
      </c>
      <c r="M165" s="89"/>
      <c r="N165" s="89"/>
      <c r="O165" s="982"/>
      <c r="P165" s="982"/>
      <c r="Q165" s="982"/>
      <c r="R165" s="982"/>
      <c r="S165" s="982"/>
      <c r="T165" s="982"/>
      <c r="U165" s="364"/>
      <c r="V165" s="982"/>
      <c r="AF165" s="949" t="s">
        <v>453</v>
      </c>
      <c r="AG165" s="949" t="s">
        <v>451</v>
      </c>
      <c r="AH165" s="949" t="s">
        <v>137</v>
      </c>
      <c r="AI165" s="949" t="s">
        <v>1534</v>
      </c>
      <c r="AJ165" s="949" t="s">
        <v>1535</v>
      </c>
      <c r="AK165" s="949" t="s">
        <v>356</v>
      </c>
      <c r="AL165" s="949">
        <v>1</v>
      </c>
      <c r="AM165" s="949" t="s">
        <v>311</v>
      </c>
      <c r="AN165" s="949">
        <v>8092.38</v>
      </c>
      <c r="AO165" s="949">
        <v>1729.85</v>
      </c>
      <c r="AP165" s="949">
        <v>0.65</v>
      </c>
      <c r="AQ165" s="949" t="s">
        <v>452</v>
      </c>
      <c r="AR165" s="949">
        <v>10.520099999999999</v>
      </c>
      <c r="AS165" s="949">
        <v>5.3619700000000003</v>
      </c>
      <c r="AT165" s="949">
        <v>1.0489999999999999</v>
      </c>
      <c r="AU165" s="949">
        <v>15</v>
      </c>
      <c r="AV165" s="949" t="s">
        <v>1538</v>
      </c>
      <c r="AW165" s="949">
        <v>0.92400000000000004</v>
      </c>
    </row>
    <row r="166" spans="1:59" s="357" customFormat="1" x14ac:dyDescent="0.3">
      <c r="B166" s="141" t="s">
        <v>1579</v>
      </c>
      <c r="C166" s="373"/>
      <c r="D166" s="373" t="s">
        <v>137</v>
      </c>
      <c r="E166" s="973" t="str">
        <f t="shared" si="46"/>
        <v>x</v>
      </c>
      <c r="F166" s="202" t="s">
        <v>513</v>
      </c>
      <c r="G166" s="973" t="str">
        <f t="shared" si="47"/>
        <v>x</v>
      </c>
      <c r="H166" s="202" t="s">
        <v>514</v>
      </c>
      <c r="I166" s="403" t="s">
        <v>173</v>
      </c>
      <c r="J166" s="404" t="s">
        <v>173</v>
      </c>
      <c r="K166" s="403" t="s">
        <v>173</v>
      </c>
      <c r="L166" s="404" t="s">
        <v>173</v>
      </c>
      <c r="M166" s="89"/>
      <c r="N166" s="89"/>
      <c r="O166" s="982"/>
      <c r="P166" s="982"/>
      <c r="Q166" s="982"/>
      <c r="R166" s="982"/>
      <c r="S166" s="982"/>
      <c r="T166" s="982"/>
      <c r="U166" s="364"/>
      <c r="V166" s="982"/>
      <c r="AF166" s="949" t="s">
        <v>454</v>
      </c>
      <c r="AG166" s="949" t="s">
        <v>451</v>
      </c>
      <c r="AH166" s="949" t="s">
        <v>137</v>
      </c>
      <c r="AI166" s="949" t="s">
        <v>1534</v>
      </c>
      <c r="AJ166" s="949" t="s">
        <v>1535</v>
      </c>
      <c r="AK166" s="949" t="s">
        <v>358</v>
      </c>
      <c r="AL166" s="949">
        <v>1</v>
      </c>
      <c r="AM166" s="949" t="s">
        <v>311</v>
      </c>
      <c r="AN166" s="949">
        <v>8435.9500000000007</v>
      </c>
      <c r="AO166" s="949">
        <v>1726.4</v>
      </c>
      <c r="AP166" s="949">
        <v>0.65</v>
      </c>
      <c r="AQ166" s="949" t="s">
        <v>452</v>
      </c>
      <c r="AR166" s="949">
        <v>10.966699999999999</v>
      </c>
      <c r="AS166" s="949">
        <v>5.3619700000000003</v>
      </c>
      <c r="AT166" s="949">
        <v>1.0489999999999999</v>
      </c>
      <c r="AU166" s="949">
        <v>15</v>
      </c>
      <c r="AV166" s="949" t="s">
        <v>1538</v>
      </c>
      <c r="AW166" s="949">
        <v>0.92400000000000004</v>
      </c>
    </row>
    <row r="167" spans="1:59" s="357" customFormat="1" x14ac:dyDescent="0.3">
      <c r="B167" s="141" t="s">
        <v>1581</v>
      </c>
      <c r="C167" s="373"/>
      <c r="D167" s="373" t="s">
        <v>137</v>
      </c>
      <c r="E167" s="973" t="str">
        <f t="shared" si="46"/>
        <v>x</v>
      </c>
      <c r="F167" s="202" t="s">
        <v>513</v>
      </c>
      <c r="G167" s="973" t="str">
        <f t="shared" si="47"/>
        <v>x</v>
      </c>
      <c r="H167" s="202" t="s">
        <v>514</v>
      </c>
      <c r="I167" s="403" t="s">
        <v>173</v>
      </c>
      <c r="J167" s="404" t="s">
        <v>173</v>
      </c>
      <c r="K167" s="403" t="s">
        <v>173</v>
      </c>
      <c r="L167" s="404" t="s">
        <v>173</v>
      </c>
      <c r="M167" s="89"/>
      <c r="N167" s="89"/>
      <c r="O167" s="982"/>
      <c r="P167" s="982"/>
      <c r="Q167" s="982"/>
      <c r="R167" s="982"/>
      <c r="S167" s="982"/>
      <c r="T167" s="982"/>
      <c r="U167" s="364"/>
      <c r="V167" s="982"/>
      <c r="AF167" s="949" t="s">
        <v>1596</v>
      </c>
      <c r="AG167" s="949" t="s">
        <v>451</v>
      </c>
      <c r="AH167" s="949" t="s">
        <v>137</v>
      </c>
      <c r="AI167" s="949" t="s">
        <v>1534</v>
      </c>
      <c r="AJ167" s="949" t="s">
        <v>1535</v>
      </c>
      <c r="AK167" s="949" t="s">
        <v>1579</v>
      </c>
      <c r="AL167" s="949">
        <v>1</v>
      </c>
      <c r="AM167" s="949" t="s">
        <v>1469</v>
      </c>
      <c r="AN167" s="949">
        <v>37584.5</v>
      </c>
      <c r="AO167" s="949">
        <v>18792.3</v>
      </c>
      <c r="AP167" s="949">
        <v>0.65</v>
      </c>
      <c r="AQ167" s="949" t="s">
        <v>452</v>
      </c>
      <c r="AR167" s="949">
        <v>38.585099999999997</v>
      </c>
      <c r="AS167" s="949">
        <v>5.3201499999999999</v>
      </c>
      <c r="AT167" s="949">
        <v>0.81344300000000003</v>
      </c>
      <c r="AU167" s="949">
        <v>40</v>
      </c>
      <c r="AV167" s="949" t="s">
        <v>1538</v>
      </c>
      <c r="AW167" s="949">
        <v>0.94099999999999995</v>
      </c>
    </row>
    <row r="168" spans="1:59" s="357" customFormat="1" x14ac:dyDescent="0.3">
      <c r="B168" s="180" t="s">
        <v>1582</v>
      </c>
      <c r="C168" s="156"/>
      <c r="D168" s="156" t="s">
        <v>137</v>
      </c>
      <c r="E168" s="974" t="str">
        <f t="shared" si="46"/>
        <v>x</v>
      </c>
      <c r="F168" s="162" t="s">
        <v>513</v>
      </c>
      <c r="G168" s="974" t="str">
        <f t="shared" si="47"/>
        <v>x</v>
      </c>
      <c r="H168" s="162" t="s">
        <v>514</v>
      </c>
      <c r="I168" s="405" t="s">
        <v>173</v>
      </c>
      <c r="J168" s="406" t="s">
        <v>173</v>
      </c>
      <c r="K168" s="405" t="s">
        <v>173</v>
      </c>
      <c r="L168" s="406" t="s">
        <v>173</v>
      </c>
      <c r="M168" s="89"/>
      <c r="N168" s="89"/>
      <c r="O168" s="982"/>
      <c r="P168" s="982"/>
      <c r="Q168" s="982"/>
      <c r="R168" s="982"/>
      <c r="S168" s="982"/>
      <c r="T168" s="982"/>
      <c r="U168" s="364"/>
      <c r="V168" s="982"/>
      <c r="AF168" s="949" t="s">
        <v>1599</v>
      </c>
      <c r="AG168" s="949" t="s">
        <v>451</v>
      </c>
      <c r="AH168" s="949" t="s">
        <v>137</v>
      </c>
      <c r="AI168" s="949" t="s">
        <v>1534</v>
      </c>
      <c r="AJ168" s="949" t="s">
        <v>1535</v>
      </c>
      <c r="AK168" s="949" t="s">
        <v>1581</v>
      </c>
      <c r="AL168" s="949">
        <v>1</v>
      </c>
      <c r="AM168" s="949" t="s">
        <v>1469</v>
      </c>
      <c r="AN168" s="949">
        <v>37450</v>
      </c>
      <c r="AO168" s="949">
        <v>18725</v>
      </c>
      <c r="AP168" s="949">
        <v>0.65</v>
      </c>
      <c r="AQ168" s="949" t="s">
        <v>452</v>
      </c>
      <c r="AR168" s="949">
        <v>38.447000000000003</v>
      </c>
      <c r="AS168" s="949">
        <v>5.3201499999999999</v>
      </c>
      <c r="AT168" s="949">
        <v>0.81344300000000003</v>
      </c>
      <c r="AU168" s="949">
        <v>40</v>
      </c>
      <c r="AV168" s="949" t="s">
        <v>1538</v>
      </c>
      <c r="AW168" s="949">
        <v>0.94099999999999995</v>
      </c>
    </row>
    <row r="169" spans="1:59" x14ac:dyDescent="0.3">
      <c r="A169" s="982"/>
      <c r="B169" s="92"/>
      <c r="D169" s="92"/>
      <c r="E169" s="92"/>
      <c r="F169" s="92"/>
      <c r="G169" s="92"/>
      <c r="H169" s="92"/>
      <c r="I169" s="92"/>
      <c r="J169" s="982"/>
      <c r="K169" s="982"/>
      <c r="L169" s="982"/>
      <c r="M169" s="89"/>
      <c r="N169" s="89"/>
      <c r="O169" s="982"/>
      <c r="P169" s="982"/>
      <c r="Q169" s="982"/>
      <c r="R169" s="982"/>
      <c r="S169" s="982"/>
      <c r="T169" s="982"/>
      <c r="V169" s="982"/>
      <c r="W169" s="982"/>
      <c r="X169" s="982"/>
      <c r="Y169" s="357"/>
      <c r="Z169" s="357"/>
      <c r="AA169" s="357"/>
      <c r="AB169" s="357"/>
      <c r="AC169" s="357"/>
      <c r="AD169" s="357"/>
      <c r="AE169" s="357"/>
      <c r="AF169" s="949" t="s">
        <v>1601</v>
      </c>
      <c r="AG169" s="949" t="s">
        <v>451</v>
      </c>
      <c r="AH169" s="949" t="s">
        <v>137</v>
      </c>
      <c r="AI169" s="949" t="s">
        <v>1534</v>
      </c>
      <c r="AJ169" s="949" t="s">
        <v>1535</v>
      </c>
      <c r="AK169" s="949" t="s">
        <v>1582</v>
      </c>
      <c r="AL169" s="949">
        <v>1</v>
      </c>
      <c r="AM169" s="949" t="s">
        <v>1469</v>
      </c>
      <c r="AN169" s="949">
        <v>37818.1</v>
      </c>
      <c r="AO169" s="949">
        <v>18909.099999999999</v>
      </c>
      <c r="AP169" s="949">
        <v>0.65</v>
      </c>
      <c r="AQ169" s="949" t="s">
        <v>452</v>
      </c>
      <c r="AR169" s="949">
        <v>38.8249</v>
      </c>
      <c r="AS169" s="949">
        <v>5.3201499999999999</v>
      </c>
      <c r="AT169" s="949">
        <v>0.81344300000000003</v>
      </c>
      <c r="AU169" s="949">
        <v>40</v>
      </c>
      <c r="AV169" s="949" t="s">
        <v>1538</v>
      </c>
      <c r="AW169" s="949">
        <v>0.94099999999999995</v>
      </c>
      <c r="AX169" s="357"/>
      <c r="AY169" s="357"/>
      <c r="AZ169" s="357"/>
      <c r="BA169" s="357"/>
      <c r="BB169" s="357"/>
      <c r="BC169" s="357"/>
      <c r="BD169" s="357"/>
      <c r="BE169" s="357"/>
      <c r="BF169" s="357"/>
      <c r="BG169" s="357"/>
    </row>
    <row r="170" spans="1:59" x14ac:dyDescent="0.3">
      <c r="A170" s="89"/>
      <c r="B170" s="92"/>
      <c r="C170" s="90"/>
      <c r="D170" s="982"/>
      <c r="E170" s="89"/>
      <c r="F170" s="89"/>
      <c r="G170" s="89"/>
      <c r="H170" s="89"/>
      <c r="I170" s="89"/>
      <c r="J170" s="982"/>
      <c r="K170" s="982"/>
      <c r="L170" s="982"/>
      <c r="M170" s="89"/>
      <c r="N170" s="89"/>
      <c r="O170" s="982"/>
      <c r="P170" s="982"/>
      <c r="Q170" s="982"/>
      <c r="R170" s="982"/>
      <c r="S170" s="982"/>
      <c r="T170" s="982"/>
      <c r="V170" s="982"/>
      <c r="W170" s="982"/>
      <c r="X170" s="982"/>
      <c r="Y170" s="357"/>
      <c r="Z170" s="357"/>
      <c r="AA170" s="357"/>
      <c r="AB170" s="357"/>
      <c r="AC170" s="357"/>
      <c r="AD170" s="357"/>
      <c r="AE170" s="357"/>
      <c r="AF170" s="369" t="s">
        <v>1539</v>
      </c>
      <c r="AG170" s="982"/>
      <c r="AH170" s="982"/>
      <c r="AI170" s="982"/>
      <c r="AJ170" s="982"/>
      <c r="AK170" s="982"/>
      <c r="AL170" s="982"/>
      <c r="AM170" s="982"/>
      <c r="AN170" s="982"/>
      <c r="AO170" s="982"/>
      <c r="AP170" s="982"/>
      <c r="AQ170" s="982"/>
      <c r="AR170" s="982"/>
      <c r="AS170" s="982"/>
      <c r="AT170" s="357"/>
      <c r="AU170" s="357"/>
      <c r="AV170" s="357"/>
      <c r="AW170" s="357"/>
      <c r="AX170" s="357"/>
      <c r="AY170" s="357"/>
      <c r="AZ170" s="357"/>
      <c r="BA170" s="357"/>
      <c r="BB170" s="357"/>
      <c r="BC170" s="357"/>
      <c r="BD170" s="357"/>
      <c r="BE170" s="357"/>
      <c r="BF170" s="357"/>
      <c r="BG170" s="357"/>
    </row>
    <row r="171" spans="1:59" ht="27.6" x14ac:dyDescent="0.3">
      <c r="A171" s="89"/>
      <c r="B171" s="115" t="s">
        <v>522</v>
      </c>
      <c r="C171" s="120" t="s">
        <v>523</v>
      </c>
      <c r="D171" s="119" t="s">
        <v>122</v>
      </c>
      <c r="E171" s="210"/>
      <c r="F171" s="148" t="s">
        <v>533</v>
      </c>
      <c r="G171" s="131"/>
      <c r="H171" s="148" t="s">
        <v>534</v>
      </c>
      <c r="I171" s="982"/>
      <c r="J171" s="982"/>
      <c r="K171" s="982"/>
      <c r="L171" s="982"/>
      <c r="M171" s="89"/>
      <c r="N171" s="89"/>
      <c r="O171" s="982"/>
      <c r="P171" s="982"/>
      <c r="Q171" s="982"/>
      <c r="R171" s="982"/>
      <c r="S171" s="982"/>
      <c r="T171" s="982"/>
      <c r="V171" s="982"/>
      <c r="W171" s="982"/>
      <c r="X171" s="982"/>
      <c r="Y171" s="982"/>
      <c r="Z171" s="982"/>
      <c r="AA171" s="982"/>
      <c r="AB171" s="982"/>
      <c r="AC171" s="982"/>
      <c r="AD171" s="982"/>
      <c r="AE171" s="982"/>
      <c r="AF171" s="982"/>
      <c r="AG171" s="982"/>
      <c r="AH171" s="982"/>
      <c r="AI171" s="982"/>
      <c r="AJ171" s="982" t="s">
        <v>1443</v>
      </c>
      <c r="AK171" s="982"/>
      <c r="AL171" s="982" t="s">
        <v>527</v>
      </c>
      <c r="AM171" s="982"/>
      <c r="AN171" s="982"/>
      <c r="AO171" s="982"/>
      <c r="AP171" s="982"/>
      <c r="AQ171" s="982"/>
      <c r="AR171" s="982"/>
      <c r="AS171" s="982"/>
      <c r="AT171" s="982"/>
      <c r="AU171" s="982"/>
      <c r="AV171" s="982"/>
      <c r="AW171" s="982"/>
      <c r="AX171" s="982"/>
      <c r="AY171" s="982"/>
      <c r="AZ171" s="982"/>
      <c r="BA171" s="982"/>
      <c r="BB171" s="982"/>
      <c r="BC171" s="982"/>
      <c r="BD171" s="982"/>
      <c r="BE171" s="982"/>
      <c r="BF171" s="982"/>
      <c r="BG171" s="982"/>
    </row>
    <row r="172" spans="1:59" ht="15" thickBot="1" x14ac:dyDescent="0.35">
      <c r="A172" s="89"/>
      <c r="B172" s="139" t="s">
        <v>535</v>
      </c>
      <c r="C172" s="126" t="s">
        <v>536</v>
      </c>
      <c r="D172" s="371"/>
      <c r="E172" s="211"/>
      <c r="F172" s="998" t="s">
        <v>543</v>
      </c>
      <c r="G172" s="211"/>
      <c r="H172" s="998" t="s">
        <v>544</v>
      </c>
      <c r="I172" s="982"/>
      <c r="J172" s="982"/>
      <c r="K172" s="982"/>
      <c r="L172" s="982"/>
      <c r="M172" s="89"/>
      <c r="N172" s="89"/>
      <c r="O172" s="982"/>
      <c r="P172" s="982"/>
      <c r="Q172" s="982"/>
      <c r="R172" s="982"/>
      <c r="S172" s="982"/>
      <c r="T172" s="982"/>
      <c r="V172" s="982"/>
      <c r="W172" s="982"/>
      <c r="X172" s="982"/>
      <c r="Y172" s="982"/>
      <c r="Z172" s="982"/>
      <c r="AA172" s="982"/>
      <c r="AB172" s="982"/>
      <c r="AC172" s="982"/>
      <c r="AD172" s="982"/>
      <c r="AE172" s="982"/>
      <c r="AF172" s="982" t="s">
        <v>121</v>
      </c>
      <c r="AG172" s="982" t="s">
        <v>527</v>
      </c>
      <c r="AH172" s="982" t="s">
        <v>122</v>
      </c>
      <c r="AI172" s="982" t="s">
        <v>1406</v>
      </c>
      <c r="AJ172" s="982" t="s">
        <v>121</v>
      </c>
      <c r="AK172" s="982" t="s">
        <v>1398</v>
      </c>
      <c r="AL172" s="982" t="s">
        <v>1540</v>
      </c>
      <c r="AM172" s="982" t="s">
        <v>1541</v>
      </c>
      <c r="AN172" s="982" t="s">
        <v>1542</v>
      </c>
      <c r="AO172" s="982" t="s">
        <v>1543</v>
      </c>
      <c r="AP172" s="982" t="s">
        <v>1350</v>
      </c>
      <c r="AQ172" s="982" t="s">
        <v>1544</v>
      </c>
      <c r="AR172" s="982" t="s">
        <v>1545</v>
      </c>
      <c r="AS172" s="982" t="s">
        <v>956</v>
      </c>
      <c r="AT172" s="982"/>
      <c r="AU172" s="982"/>
      <c r="AV172" s="982"/>
      <c r="AW172" s="982"/>
      <c r="AX172" s="982"/>
      <c r="AY172" s="982"/>
      <c r="AZ172" s="982"/>
      <c r="BA172" s="982"/>
      <c r="BB172" s="982"/>
      <c r="BC172" s="982"/>
      <c r="BD172" s="982"/>
      <c r="BE172" s="982"/>
      <c r="BF172" s="982"/>
      <c r="BG172" s="982"/>
    </row>
    <row r="173" spans="1:59" s="364" customFormat="1" ht="15" thickTop="1" x14ac:dyDescent="0.3">
      <c r="A173" s="89"/>
      <c r="B173" s="141" t="s">
        <v>1605</v>
      </c>
      <c r="C173" s="373" t="s">
        <v>546</v>
      </c>
      <c r="D173" s="185" t="s">
        <v>137</v>
      </c>
      <c r="E173" s="411" t="s">
        <v>300</v>
      </c>
      <c r="F173" s="373" t="s">
        <v>550</v>
      </c>
      <c r="G173" s="411" t="s">
        <v>300</v>
      </c>
      <c r="H173" s="259" t="s">
        <v>551</v>
      </c>
      <c r="I173" s="357"/>
      <c r="J173" s="357"/>
      <c r="K173" s="357"/>
      <c r="L173" s="357"/>
      <c r="M173" s="89"/>
      <c r="N173" s="89"/>
      <c r="O173" s="357"/>
      <c r="P173" s="357"/>
      <c r="Q173" s="357"/>
      <c r="R173" s="357"/>
      <c r="S173" s="357"/>
      <c r="T173" s="357"/>
      <c r="Y173" s="982"/>
      <c r="Z173" s="982"/>
      <c r="AA173" s="982"/>
      <c r="AB173" s="982"/>
      <c r="AC173" s="982"/>
      <c r="AD173" s="982"/>
      <c r="AE173" s="982"/>
      <c r="AF173" s="982"/>
      <c r="AG173" s="982"/>
      <c r="AH173" s="982"/>
      <c r="AI173" s="982" t="s">
        <v>1068</v>
      </c>
      <c r="AJ173" s="982"/>
      <c r="AK173" s="982" t="s">
        <v>1417</v>
      </c>
      <c r="AL173" s="982"/>
      <c r="AM173" s="982"/>
      <c r="AN173" s="982" t="s">
        <v>1546</v>
      </c>
      <c r="AO173" s="982" t="s">
        <v>1546</v>
      </c>
      <c r="AP173" s="982" t="s">
        <v>1547</v>
      </c>
      <c r="AQ173" s="982"/>
      <c r="AR173" s="982" t="s">
        <v>1548</v>
      </c>
      <c r="AS173" s="982"/>
      <c r="AT173" s="982"/>
      <c r="AU173" s="982"/>
      <c r="AV173" s="982"/>
      <c r="AW173" s="982"/>
      <c r="AX173" s="982"/>
      <c r="AY173" s="982"/>
      <c r="AZ173" s="982"/>
      <c r="BA173" s="982"/>
      <c r="BB173" s="982"/>
      <c r="BC173" s="982"/>
      <c r="BD173" s="982"/>
      <c r="BE173" s="982"/>
      <c r="BF173" s="982"/>
      <c r="BG173" s="982"/>
    </row>
    <row r="174" spans="1:59" s="364" customFormat="1" x14ac:dyDescent="0.3">
      <c r="A174" s="89"/>
      <c r="B174" s="141" t="s">
        <v>1554</v>
      </c>
      <c r="C174" s="373" t="s">
        <v>546</v>
      </c>
      <c r="D174" s="185" t="s">
        <v>137</v>
      </c>
      <c r="E174" s="411" t="s">
        <v>300</v>
      </c>
      <c r="F174" s="373" t="s">
        <v>1555</v>
      </c>
      <c r="G174" s="411" t="s">
        <v>300</v>
      </c>
      <c r="H174" s="266" t="s">
        <v>1556</v>
      </c>
      <c r="I174" s="357"/>
      <c r="J174" s="357"/>
      <c r="K174" s="357"/>
      <c r="L174" s="357"/>
      <c r="M174" s="89"/>
      <c r="N174" s="89"/>
      <c r="O174" s="357"/>
      <c r="P174" s="357"/>
      <c r="Q174" s="357"/>
      <c r="R174" s="357"/>
      <c r="S174" s="357"/>
      <c r="T174" s="357"/>
      <c r="Y174" s="812"/>
      <c r="Z174" s="812"/>
      <c r="AA174" s="812"/>
      <c r="AB174" s="812"/>
      <c r="AC174" s="812"/>
      <c r="AD174" s="812"/>
      <c r="AE174" s="813" t="s">
        <v>1606</v>
      </c>
      <c r="AF174" s="949" t="s">
        <v>512</v>
      </c>
      <c r="AG174" s="949" t="s">
        <v>513</v>
      </c>
      <c r="AH174" s="949" t="s">
        <v>137</v>
      </c>
      <c r="AI174" s="949">
        <v>-99996</v>
      </c>
      <c r="AJ174" s="949" t="s">
        <v>351</v>
      </c>
      <c r="AK174" s="949">
        <v>1</v>
      </c>
      <c r="AL174" s="949" t="s">
        <v>514</v>
      </c>
      <c r="AM174" s="949">
        <v>1</v>
      </c>
      <c r="AN174" s="949">
        <v>-99996</v>
      </c>
      <c r="AO174" s="949">
        <v>-99996</v>
      </c>
      <c r="AP174" s="949">
        <v>-99996</v>
      </c>
      <c r="AQ174" s="949" t="s">
        <v>1551</v>
      </c>
      <c r="AR174" s="949">
        <v>0</v>
      </c>
      <c r="AS174" s="949" t="s">
        <v>1010</v>
      </c>
      <c r="AT174" s="982"/>
      <c r="AU174" s="982"/>
      <c r="AV174" s="982"/>
      <c r="AW174" s="982"/>
      <c r="AX174" s="982"/>
      <c r="AY174" s="982"/>
      <c r="AZ174" s="982"/>
      <c r="BA174" s="982"/>
      <c r="BB174" s="982"/>
      <c r="BC174" s="982"/>
      <c r="BD174" s="982"/>
      <c r="BE174" s="982"/>
      <c r="BF174" s="982"/>
      <c r="BG174" s="982"/>
    </row>
    <row r="175" spans="1:59" s="364" customFormat="1" ht="13.8" x14ac:dyDescent="0.3">
      <c r="A175" s="89"/>
      <c r="B175" s="180" t="s">
        <v>1558</v>
      </c>
      <c r="C175" s="156" t="s">
        <v>983</v>
      </c>
      <c r="D175" s="157" t="s">
        <v>137</v>
      </c>
      <c r="E175" s="158" t="s">
        <v>173</v>
      </c>
      <c r="F175" s="164" t="s">
        <v>173</v>
      </c>
      <c r="G175" s="158" t="s">
        <v>173</v>
      </c>
      <c r="H175" s="164" t="s">
        <v>173</v>
      </c>
      <c r="I175" s="357"/>
      <c r="J175" s="357"/>
      <c r="K175" s="357"/>
      <c r="L175" s="357"/>
      <c r="M175" s="89"/>
      <c r="N175" s="89"/>
      <c r="O175" s="357"/>
      <c r="P175" s="357"/>
      <c r="Q175" s="357"/>
      <c r="R175" s="357"/>
      <c r="S175" s="357"/>
      <c r="T175" s="357"/>
      <c r="Y175" s="357"/>
      <c r="Z175" s="357"/>
      <c r="AA175" s="357"/>
      <c r="AB175" s="357"/>
      <c r="AC175" s="357"/>
      <c r="AD175" s="357"/>
      <c r="AE175" s="357"/>
      <c r="AF175" s="949" t="s">
        <v>515</v>
      </c>
      <c r="AG175" s="949" t="s">
        <v>513</v>
      </c>
      <c r="AH175" s="949" t="s">
        <v>137</v>
      </c>
      <c r="AI175" s="949">
        <v>-99996</v>
      </c>
      <c r="AJ175" s="949" t="s">
        <v>356</v>
      </c>
      <c r="AK175" s="949">
        <v>1</v>
      </c>
      <c r="AL175" s="949" t="s">
        <v>514</v>
      </c>
      <c r="AM175" s="949">
        <v>1</v>
      </c>
      <c r="AN175" s="949">
        <v>-99996</v>
      </c>
      <c r="AO175" s="949">
        <v>-99996</v>
      </c>
      <c r="AP175" s="949">
        <v>-99996</v>
      </c>
      <c r="AQ175" s="949" t="s">
        <v>1551</v>
      </c>
      <c r="AR175" s="949">
        <v>0</v>
      </c>
      <c r="AS175" s="949" t="s">
        <v>1010</v>
      </c>
      <c r="AT175" s="357"/>
      <c r="AU175" s="357"/>
      <c r="AV175" s="357"/>
      <c r="AW175" s="357"/>
      <c r="AX175" s="357"/>
      <c r="AY175" s="357"/>
      <c r="AZ175" s="357"/>
      <c r="BA175" s="357"/>
      <c r="BB175" s="357"/>
      <c r="BC175" s="357"/>
      <c r="BD175" s="357"/>
      <c r="BE175" s="357"/>
      <c r="BF175" s="357"/>
      <c r="BG175" s="357"/>
    </row>
    <row r="176" spans="1:59" s="364" customFormat="1" ht="13.8" x14ac:dyDescent="0.3">
      <c r="A176" s="89"/>
      <c r="C176" s="92"/>
      <c r="E176" s="83"/>
      <c r="F176" s="366"/>
      <c r="G176" s="83"/>
      <c r="H176" s="30"/>
      <c r="J176" s="92"/>
      <c r="L176" s="92"/>
      <c r="N176" s="92"/>
      <c r="P176" s="92"/>
      <c r="R176" s="92"/>
      <c r="T176" s="92"/>
      <c r="Y176" s="357"/>
      <c r="Z176" s="357"/>
      <c r="AA176" s="357"/>
      <c r="AB176" s="357"/>
      <c r="AC176" s="357"/>
      <c r="AD176" s="357"/>
      <c r="AE176" s="357"/>
      <c r="AF176" s="949" t="s">
        <v>516</v>
      </c>
      <c r="AG176" s="949" t="s">
        <v>513</v>
      </c>
      <c r="AH176" s="949" t="s">
        <v>137</v>
      </c>
      <c r="AI176" s="949">
        <v>-99996</v>
      </c>
      <c r="AJ176" s="949" t="s">
        <v>358</v>
      </c>
      <c r="AK176" s="949">
        <v>1</v>
      </c>
      <c r="AL176" s="949" t="s">
        <v>514</v>
      </c>
      <c r="AM176" s="949">
        <v>1</v>
      </c>
      <c r="AN176" s="949">
        <v>-99996</v>
      </c>
      <c r="AO176" s="949">
        <v>-99996</v>
      </c>
      <c r="AP176" s="949">
        <v>-99996</v>
      </c>
      <c r="AQ176" s="949" t="s">
        <v>1551</v>
      </c>
      <c r="AR176" s="949">
        <v>0</v>
      </c>
      <c r="AS176" s="949" t="s">
        <v>1010</v>
      </c>
      <c r="AT176" s="357"/>
      <c r="AU176" s="357"/>
      <c r="AV176" s="357"/>
      <c r="AW176" s="357"/>
      <c r="AX176" s="357"/>
      <c r="AY176" s="357"/>
      <c r="AZ176" s="357"/>
      <c r="BA176" s="357"/>
      <c r="BB176" s="357"/>
      <c r="BC176" s="357"/>
      <c r="BD176" s="357"/>
      <c r="BE176" s="357"/>
      <c r="BF176" s="357"/>
      <c r="BG176" s="357"/>
    </row>
    <row r="177" spans="1:59" s="364" customFormat="1" ht="13.8" x14ac:dyDescent="0.3">
      <c r="A177" s="89"/>
      <c r="C177" s="92"/>
      <c r="E177" s="83"/>
      <c r="F177" s="366"/>
      <c r="G177" s="83"/>
      <c r="H177" s="30"/>
      <c r="J177" s="92"/>
      <c r="L177" s="92"/>
      <c r="N177" s="92"/>
      <c r="P177" s="92"/>
      <c r="R177" s="92"/>
      <c r="T177" s="92"/>
      <c r="Y177" s="357"/>
      <c r="Z177" s="357"/>
      <c r="AA177" s="357"/>
      <c r="AB177" s="357"/>
      <c r="AC177" s="357"/>
      <c r="AD177" s="357"/>
      <c r="AE177" s="357"/>
      <c r="AF177" s="949" t="s">
        <v>1607</v>
      </c>
      <c r="AG177" s="949" t="s">
        <v>513</v>
      </c>
      <c r="AH177" s="949" t="s">
        <v>137</v>
      </c>
      <c r="AI177" s="949">
        <v>-99996</v>
      </c>
      <c r="AJ177" s="949" t="s">
        <v>1579</v>
      </c>
      <c r="AK177" s="949">
        <v>1</v>
      </c>
      <c r="AL177" s="949" t="s">
        <v>514</v>
      </c>
      <c r="AM177" s="949">
        <v>1</v>
      </c>
      <c r="AN177" s="949">
        <v>-99996</v>
      </c>
      <c r="AO177" s="949">
        <v>-99996</v>
      </c>
      <c r="AP177" s="949">
        <v>-99996</v>
      </c>
      <c r="AQ177" s="949" t="s">
        <v>1551</v>
      </c>
      <c r="AR177" s="949">
        <v>0</v>
      </c>
      <c r="AS177" s="949" t="s">
        <v>1010</v>
      </c>
      <c r="AT177" s="357"/>
      <c r="AU177" s="357"/>
      <c r="AV177" s="357"/>
      <c r="AW177" s="357"/>
      <c r="AX177" s="357"/>
      <c r="AY177" s="357"/>
      <c r="AZ177" s="357"/>
      <c r="BA177" s="357"/>
      <c r="BB177" s="357"/>
      <c r="BC177" s="357"/>
      <c r="BD177" s="357"/>
      <c r="BE177" s="357"/>
      <c r="BF177" s="357"/>
      <c r="BG177" s="357"/>
    </row>
    <row r="178" spans="1:59" x14ac:dyDescent="0.3">
      <c r="A178" s="23"/>
      <c r="B178" s="23" t="s">
        <v>669</v>
      </c>
      <c r="C178" s="982"/>
      <c r="D178" s="982"/>
      <c r="E178" s="357"/>
      <c r="F178" s="982"/>
      <c r="G178" s="357"/>
      <c r="H178" s="982"/>
      <c r="I178" s="357"/>
      <c r="J178" s="982"/>
      <c r="K178" s="357"/>
      <c r="L178" s="982"/>
      <c r="M178" s="357"/>
      <c r="N178" s="982"/>
      <c r="O178" s="127"/>
      <c r="P178" s="118"/>
      <c r="Q178" s="89"/>
      <c r="R178" s="89"/>
      <c r="S178" s="89"/>
      <c r="T178" s="89"/>
      <c r="U178" s="358"/>
      <c r="V178" s="358"/>
      <c r="W178" s="358"/>
      <c r="X178" s="358"/>
      <c r="Y178" s="373"/>
      <c r="Z178" s="373"/>
      <c r="AA178" s="373"/>
      <c r="AB178" s="373"/>
      <c r="AC178" s="373"/>
      <c r="AD178" s="373"/>
      <c r="AE178" s="373"/>
      <c r="AF178" s="949" t="s">
        <v>1608</v>
      </c>
      <c r="AG178" s="949" t="s">
        <v>513</v>
      </c>
      <c r="AH178" s="949" t="s">
        <v>137</v>
      </c>
      <c r="AI178" s="949">
        <v>-99996</v>
      </c>
      <c r="AJ178" s="949" t="s">
        <v>1581</v>
      </c>
      <c r="AK178" s="949">
        <v>1</v>
      </c>
      <c r="AL178" s="949" t="s">
        <v>514</v>
      </c>
      <c r="AM178" s="949">
        <v>1</v>
      </c>
      <c r="AN178" s="949">
        <v>-99996</v>
      </c>
      <c r="AO178" s="949">
        <v>-99996</v>
      </c>
      <c r="AP178" s="949">
        <v>-99996</v>
      </c>
      <c r="AQ178" s="949" t="s">
        <v>1551</v>
      </c>
      <c r="AR178" s="949">
        <v>0</v>
      </c>
      <c r="AS178" s="949" t="s">
        <v>1010</v>
      </c>
      <c r="AT178" s="17"/>
      <c r="AU178" s="17"/>
      <c r="AV178" s="17"/>
      <c r="AW178" s="17"/>
      <c r="AX178" s="17"/>
      <c r="AY178" s="17"/>
      <c r="AZ178" s="17"/>
      <c r="BA178" s="17"/>
      <c r="BB178" s="17"/>
      <c r="BC178" s="17"/>
      <c r="BD178" s="17"/>
      <c r="BE178" s="17"/>
      <c r="BF178" s="17"/>
      <c r="BG178" s="17"/>
    </row>
    <row r="179" spans="1:59" ht="27.6" x14ac:dyDescent="0.3">
      <c r="A179" s="982"/>
      <c r="B179" s="115" t="s">
        <v>670</v>
      </c>
      <c r="C179" s="119"/>
      <c r="D179" s="120" t="s">
        <v>122</v>
      </c>
      <c r="E179" s="234"/>
      <c r="F179" s="123" t="s">
        <v>671</v>
      </c>
      <c r="G179" s="234"/>
      <c r="H179" s="116" t="s">
        <v>672</v>
      </c>
      <c r="I179" s="234"/>
      <c r="J179" s="116" t="s">
        <v>673</v>
      </c>
      <c r="K179" s="435"/>
      <c r="L179" s="436" t="s">
        <v>674</v>
      </c>
      <c r="M179" s="234"/>
      <c r="N179" s="116" t="s">
        <v>675</v>
      </c>
      <c r="O179" s="127"/>
      <c r="P179" s="118"/>
      <c r="Q179" s="89"/>
      <c r="R179" s="89"/>
      <c r="S179" s="89"/>
      <c r="T179" s="89"/>
      <c r="U179" s="358"/>
      <c r="V179" s="358"/>
      <c r="W179" s="358"/>
      <c r="X179" s="358"/>
      <c r="Y179" s="534"/>
      <c r="Z179" s="534"/>
      <c r="AA179" s="534"/>
      <c r="AB179" s="534"/>
      <c r="AC179" s="534"/>
      <c r="AD179" s="534"/>
      <c r="AE179" s="534"/>
      <c r="AF179" s="949" t="s">
        <v>1609</v>
      </c>
      <c r="AG179" s="949" t="s">
        <v>513</v>
      </c>
      <c r="AH179" s="949" t="s">
        <v>137</v>
      </c>
      <c r="AI179" s="949">
        <v>-99996</v>
      </c>
      <c r="AJ179" s="949" t="s">
        <v>1582</v>
      </c>
      <c r="AK179" s="949">
        <v>1</v>
      </c>
      <c r="AL179" s="949" t="s">
        <v>514</v>
      </c>
      <c r="AM179" s="949">
        <v>1</v>
      </c>
      <c r="AN179" s="949">
        <v>-99996</v>
      </c>
      <c r="AO179" s="949">
        <v>-99996</v>
      </c>
      <c r="AP179" s="949">
        <v>-99996</v>
      </c>
      <c r="AQ179" s="949" t="s">
        <v>1551</v>
      </c>
      <c r="AR179" s="949">
        <v>0</v>
      </c>
      <c r="AS179" s="949" t="s">
        <v>1010</v>
      </c>
      <c r="AT179" s="534"/>
      <c r="AU179" s="534"/>
      <c r="AV179" s="534"/>
      <c r="AW179" s="534"/>
      <c r="AX179" s="534"/>
      <c r="AY179" s="534"/>
      <c r="AZ179" s="534"/>
      <c r="BA179" s="534"/>
      <c r="BB179" s="534"/>
      <c r="BC179" s="534"/>
      <c r="BD179" s="534"/>
      <c r="BE179" s="534"/>
      <c r="BF179" s="534"/>
      <c r="BG179" s="534"/>
    </row>
    <row r="180" spans="1:59" ht="15" thickBot="1" x14ac:dyDescent="0.35">
      <c r="A180" s="982"/>
      <c r="B180" s="215"/>
      <c r="C180" s="125"/>
      <c r="D180" s="371"/>
      <c r="E180" s="370"/>
      <c r="F180" s="1020" t="s">
        <v>676</v>
      </c>
      <c r="G180" s="370"/>
      <c r="H180" s="1021" t="s">
        <v>677</v>
      </c>
      <c r="I180" s="370"/>
      <c r="J180" s="1021" t="s">
        <v>678</v>
      </c>
      <c r="K180" s="214"/>
      <c r="L180" s="1020" t="s">
        <v>679</v>
      </c>
      <c r="M180" s="370"/>
      <c r="N180" s="1021" t="s">
        <v>680</v>
      </c>
      <c r="O180" s="127"/>
      <c r="P180" s="118"/>
      <c r="Q180" s="89"/>
      <c r="R180" s="89"/>
      <c r="S180" s="89"/>
      <c r="T180" s="89"/>
      <c r="U180" s="358"/>
      <c r="V180" s="358"/>
      <c r="W180" s="358"/>
      <c r="X180" s="358"/>
      <c r="Y180" s="982"/>
      <c r="Z180" s="982"/>
      <c r="AA180" s="982"/>
      <c r="AB180" s="982"/>
      <c r="AC180" s="982"/>
      <c r="AD180" s="982"/>
      <c r="AE180" s="982"/>
      <c r="AF180" s="369" t="s">
        <v>1561</v>
      </c>
      <c r="AG180" s="982"/>
      <c r="AH180" s="982"/>
      <c r="AI180" s="982"/>
      <c r="AJ180" s="982"/>
      <c r="AK180" s="982"/>
      <c r="AL180" s="982"/>
      <c r="AM180" s="982"/>
      <c r="AN180" s="982"/>
      <c r="AO180" s="982"/>
      <c r="AP180" s="982"/>
      <c r="AQ180" s="982"/>
      <c r="AR180" s="982"/>
      <c r="AS180" s="982"/>
      <c r="AT180" s="982"/>
      <c r="AU180" s="982"/>
      <c r="AV180" s="982"/>
      <c r="AW180" s="982"/>
      <c r="AX180" s="982"/>
      <c r="AY180" s="982"/>
      <c r="AZ180" s="982"/>
      <c r="BA180" s="982"/>
      <c r="BB180" s="982"/>
      <c r="BC180" s="982"/>
      <c r="BD180" s="982"/>
      <c r="BE180" s="982"/>
      <c r="BF180" s="982"/>
      <c r="BG180" s="982"/>
    </row>
    <row r="181" spans="1:59" s="357" customFormat="1" ht="15" thickTop="1" x14ac:dyDescent="0.3">
      <c r="B181" s="352">
        <v>2</v>
      </c>
      <c r="C181" s="385"/>
      <c r="D181" s="438" t="s">
        <v>137</v>
      </c>
      <c r="E181" s="972" t="s">
        <v>173</v>
      </c>
      <c r="F181" s="1022">
        <v>166297</v>
      </c>
      <c r="G181" s="981" t="str">
        <f>IF(ROUND(H181,2)=ROUND(AN183,2),"x","")</f>
        <v>x</v>
      </c>
      <c r="H181" s="955">
        <v>0.82250000000000001</v>
      </c>
      <c r="I181" s="981" t="str">
        <f>IF(J181=AI183,"x","")</f>
        <v/>
      </c>
      <c r="J181" s="955" t="s">
        <v>681</v>
      </c>
      <c r="K181" s="466" t="s">
        <v>300</v>
      </c>
      <c r="L181" s="461" t="s">
        <v>682</v>
      </c>
      <c r="M181" s="981" t="str">
        <f>IF(ROUND(N181,2)=ROUND(AP183,2),"x","")</f>
        <v>x</v>
      </c>
      <c r="N181" s="955">
        <v>0.25</v>
      </c>
      <c r="O181" s="127"/>
      <c r="P181" s="127"/>
      <c r="Q181" s="89"/>
      <c r="R181" s="89"/>
      <c r="S181" s="89"/>
      <c r="T181" s="89"/>
      <c r="U181" s="359"/>
      <c r="V181" s="359"/>
      <c r="W181" s="359"/>
      <c r="X181" s="359"/>
      <c r="Y181" s="982"/>
      <c r="Z181" s="982"/>
      <c r="AA181" s="982"/>
      <c r="AB181" s="982"/>
      <c r="AC181" s="982"/>
      <c r="AD181" s="982"/>
      <c r="AE181" s="982"/>
      <c r="AF181" s="982" t="s">
        <v>121</v>
      </c>
      <c r="AG181" s="982" t="s">
        <v>685</v>
      </c>
      <c r="AH181" s="982" t="s">
        <v>122</v>
      </c>
      <c r="AI181" s="982" t="s">
        <v>148</v>
      </c>
      <c r="AJ181" s="982" t="s">
        <v>1562</v>
      </c>
      <c r="AK181" s="982" t="s">
        <v>1563</v>
      </c>
      <c r="AL181" s="982" t="s">
        <v>754</v>
      </c>
      <c r="AM181" s="982" t="s">
        <v>1481</v>
      </c>
      <c r="AN181" s="982" t="s">
        <v>1564</v>
      </c>
      <c r="AO181" s="982" t="s">
        <v>1565</v>
      </c>
      <c r="AP181" s="982" t="s">
        <v>1566</v>
      </c>
      <c r="AQ181" s="982"/>
      <c r="AR181" s="982"/>
      <c r="AS181" s="982"/>
      <c r="AT181" s="982"/>
      <c r="AU181" s="982"/>
      <c r="AV181" s="982"/>
      <c r="AW181" s="982"/>
      <c r="AX181" s="982"/>
      <c r="AY181" s="982"/>
      <c r="AZ181" s="982"/>
      <c r="BA181" s="982"/>
      <c r="BB181" s="982"/>
      <c r="BC181" s="982"/>
      <c r="BD181" s="982"/>
      <c r="BE181" s="982"/>
      <c r="BF181" s="982"/>
      <c r="BG181" s="982"/>
    </row>
    <row r="182" spans="1:59" s="364" customFormat="1" x14ac:dyDescent="0.3">
      <c r="A182" s="89"/>
      <c r="C182" s="92"/>
      <c r="E182" s="83"/>
      <c r="F182" s="366"/>
      <c r="G182" s="83"/>
      <c r="H182" s="30"/>
      <c r="J182" s="92"/>
      <c r="L182" s="92"/>
      <c r="N182" s="92"/>
      <c r="P182" s="92"/>
      <c r="R182" s="92"/>
      <c r="T182" s="92"/>
      <c r="Y182" s="982"/>
      <c r="Z182" s="982"/>
      <c r="AA182" s="982"/>
      <c r="AB182" s="982"/>
      <c r="AC182" s="982"/>
      <c r="AD182" s="982"/>
      <c r="AE182" s="982"/>
      <c r="AF182" s="982"/>
      <c r="AG182" s="982"/>
      <c r="AH182" s="982"/>
      <c r="AI182" s="982"/>
      <c r="AJ182" s="982"/>
      <c r="AK182" s="982"/>
      <c r="AL182" s="982" t="s">
        <v>1567</v>
      </c>
      <c r="AM182" s="982"/>
      <c r="AN182" s="982"/>
      <c r="AO182" s="982" t="s">
        <v>1568</v>
      </c>
      <c r="AP182" s="982"/>
      <c r="AQ182" s="982"/>
      <c r="AR182" s="982"/>
      <c r="AS182" s="982"/>
      <c r="AT182" s="982"/>
      <c r="AU182" s="982"/>
      <c r="AV182" s="982"/>
      <c r="AW182" s="982"/>
      <c r="AX182" s="982"/>
      <c r="AY182" s="982"/>
      <c r="AZ182" s="982"/>
      <c r="BA182" s="982"/>
      <c r="BB182" s="982"/>
      <c r="BC182" s="982"/>
      <c r="BD182" s="982"/>
      <c r="BE182" s="982"/>
      <c r="BF182" s="982"/>
      <c r="BG182" s="982"/>
    </row>
    <row r="183" spans="1:59" s="364" customFormat="1" x14ac:dyDescent="0.3">
      <c r="A183" s="89"/>
      <c r="C183" s="92"/>
      <c r="E183" s="83"/>
      <c r="F183" s="366"/>
      <c r="G183" s="83"/>
      <c r="H183" s="30"/>
      <c r="J183" s="92"/>
      <c r="L183" s="92"/>
      <c r="N183" s="92"/>
      <c r="P183" s="92"/>
      <c r="R183" s="92"/>
      <c r="T183" s="92"/>
      <c r="Y183" s="812"/>
      <c r="Z183" s="812"/>
      <c r="AA183" s="812"/>
      <c r="AB183" s="812"/>
      <c r="AC183" s="812"/>
      <c r="AD183" s="812"/>
      <c r="AE183" s="813" t="s">
        <v>1610</v>
      </c>
      <c r="AF183" s="949" t="s">
        <v>741</v>
      </c>
      <c r="AG183" s="949" t="s">
        <v>1573</v>
      </c>
      <c r="AH183" s="949" t="s">
        <v>137</v>
      </c>
      <c r="AI183" s="949" t="s">
        <v>423</v>
      </c>
      <c r="AJ183" s="949" t="s">
        <v>1572</v>
      </c>
      <c r="AK183" s="949" t="s">
        <v>1574</v>
      </c>
      <c r="AL183" s="949">
        <v>166297</v>
      </c>
      <c r="AM183" s="949">
        <v>0.82</v>
      </c>
      <c r="AN183" s="949">
        <v>0.82250000000000001</v>
      </c>
      <c r="AO183" s="949">
        <v>0.13303799999999999</v>
      </c>
      <c r="AP183" s="949">
        <v>0.25</v>
      </c>
      <c r="AQ183" s="982"/>
      <c r="AR183" s="357"/>
      <c r="AS183" s="357"/>
      <c r="AT183" s="357"/>
      <c r="AU183" s="357"/>
      <c r="AV183" s="357"/>
      <c r="AW183" s="357"/>
      <c r="AX183" s="357"/>
      <c r="AY183" s="357"/>
      <c r="AZ183" s="357"/>
      <c r="BA183" s="357"/>
      <c r="BB183" s="357"/>
      <c r="BC183" s="357"/>
      <c r="BD183" s="357"/>
      <c r="BE183" s="357"/>
      <c r="BF183" s="357"/>
      <c r="BG183" s="357"/>
    </row>
    <row r="184" spans="1:59" s="364" customFormat="1" x14ac:dyDescent="0.3">
      <c r="A184" s="89"/>
      <c r="C184" s="92"/>
      <c r="E184" s="83"/>
      <c r="F184" s="366"/>
      <c r="G184" s="83"/>
      <c r="H184" s="30"/>
      <c r="J184" s="92"/>
      <c r="L184" s="92"/>
      <c r="N184" s="92"/>
      <c r="P184" s="92"/>
      <c r="R184" s="92"/>
      <c r="T184" s="92"/>
      <c r="Y184" s="357"/>
      <c r="Z184" s="357"/>
      <c r="AA184" s="357"/>
      <c r="AB184" s="357"/>
      <c r="AC184" s="357"/>
      <c r="AD184" s="357"/>
      <c r="AE184" s="357"/>
      <c r="AF184" s="949" t="s">
        <v>745</v>
      </c>
      <c r="AG184" s="949" t="s">
        <v>1573</v>
      </c>
      <c r="AH184" s="949" t="s">
        <v>137</v>
      </c>
      <c r="AI184" s="949" t="s">
        <v>423</v>
      </c>
      <c r="AJ184" s="949" t="s">
        <v>1572</v>
      </c>
      <c r="AK184" s="949" t="s">
        <v>1574</v>
      </c>
      <c r="AL184" s="949">
        <v>166297</v>
      </c>
      <c r="AM184" s="949">
        <v>0.82</v>
      </c>
      <c r="AN184" s="949">
        <v>0.82250000000000001</v>
      </c>
      <c r="AO184" s="949">
        <v>0.13303799999999999</v>
      </c>
      <c r="AP184" s="949">
        <v>0.25</v>
      </c>
      <c r="AQ184" s="982"/>
      <c r="AR184" s="357"/>
      <c r="AS184" s="357"/>
      <c r="AT184" s="357"/>
      <c r="AU184" s="357"/>
      <c r="AV184" s="357"/>
      <c r="AW184" s="357"/>
      <c r="AX184" s="357"/>
      <c r="AY184" s="357"/>
      <c r="AZ184" s="357"/>
      <c r="BA184" s="357"/>
      <c r="BB184" s="357"/>
      <c r="BC184" s="357"/>
      <c r="BD184" s="357"/>
      <c r="BE184" s="357"/>
      <c r="BF184" s="357"/>
      <c r="BG184" s="357"/>
    </row>
    <row r="185" spans="1:59" s="364" customFormat="1" ht="13.8" x14ac:dyDescent="0.3">
      <c r="A185" s="89"/>
      <c r="C185" s="92"/>
      <c r="E185" s="83"/>
      <c r="F185" s="366"/>
      <c r="G185" s="83"/>
      <c r="H185" s="30"/>
      <c r="J185" s="32"/>
      <c r="L185" s="92"/>
      <c r="N185" s="92"/>
      <c r="P185" s="92"/>
      <c r="R185" s="92"/>
      <c r="T185" s="92"/>
      <c r="Y185" s="357"/>
      <c r="Z185" s="357"/>
      <c r="AA185" s="357"/>
      <c r="AB185" s="357"/>
      <c r="AC185" s="357"/>
      <c r="AD185" s="357"/>
      <c r="AE185" s="357"/>
      <c r="AF185" s="357"/>
      <c r="AG185" s="357"/>
      <c r="AH185" s="357"/>
      <c r="AI185" s="357"/>
      <c r="AJ185" s="357"/>
      <c r="AK185" s="357"/>
      <c r="AL185" s="357"/>
      <c r="AM185" s="357"/>
      <c r="AN185" s="357"/>
      <c r="AO185" s="357"/>
      <c r="AP185" s="357"/>
      <c r="AQ185" s="357"/>
      <c r="AR185" s="357"/>
      <c r="AS185" s="357"/>
      <c r="AT185" s="357"/>
      <c r="AU185" s="357"/>
      <c r="AV185" s="357"/>
      <c r="AW185" s="357"/>
      <c r="AX185" s="357"/>
      <c r="AY185" s="357"/>
      <c r="AZ185" s="357"/>
      <c r="BA185" s="357"/>
      <c r="BB185" s="357"/>
      <c r="BC185" s="357"/>
      <c r="BD185" s="357"/>
      <c r="BE185" s="357"/>
      <c r="BF185" s="357"/>
      <c r="BG185" s="357"/>
    </row>
    <row r="186" spans="1:59" s="364" customFormat="1" ht="13.8" x14ac:dyDescent="0.3">
      <c r="A186" s="89"/>
      <c r="C186" s="92"/>
      <c r="E186" s="83"/>
      <c r="F186" s="366"/>
      <c r="G186" s="83"/>
      <c r="H186" s="30"/>
      <c r="J186" s="92"/>
      <c r="L186" s="92"/>
      <c r="N186" s="92"/>
      <c r="P186" s="92"/>
      <c r="R186" s="92"/>
      <c r="T186" s="92"/>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row>
    <row r="187" spans="1:59" s="364" customFormat="1" ht="13.8" x14ac:dyDescent="0.3">
      <c r="A187" s="89"/>
      <c r="C187" s="92"/>
      <c r="E187" s="83"/>
      <c r="F187" s="366"/>
      <c r="G187" s="83"/>
      <c r="H187" s="30"/>
      <c r="J187" s="92"/>
      <c r="L187" s="92"/>
      <c r="N187" s="92"/>
      <c r="P187" s="92"/>
      <c r="R187" s="92"/>
      <c r="T187" s="92"/>
    </row>
    <row r="188" spans="1:59" s="364" customFormat="1" ht="13.8" x14ac:dyDescent="0.3">
      <c r="A188" s="89"/>
      <c r="C188" s="92"/>
      <c r="E188" s="83"/>
      <c r="F188" s="366"/>
      <c r="G188" s="83"/>
      <c r="H188" s="30"/>
      <c r="J188" s="92"/>
      <c r="L188" s="92"/>
      <c r="N188" s="92"/>
      <c r="P188" s="92"/>
      <c r="R188" s="92"/>
      <c r="T188" s="92"/>
    </row>
    <row r="189" spans="1:59" s="364" customFormat="1" ht="13.8" x14ac:dyDescent="0.3">
      <c r="A189" s="89"/>
      <c r="C189" s="92"/>
      <c r="E189" s="83"/>
      <c r="F189" s="366"/>
      <c r="G189" s="83"/>
      <c r="H189" s="30"/>
      <c r="J189" s="92"/>
      <c r="L189" s="92"/>
      <c r="N189" s="92"/>
      <c r="P189" s="92"/>
      <c r="R189" s="92"/>
      <c r="T189" s="92"/>
    </row>
    <row r="190" spans="1:59" s="364" customFormat="1" ht="13.8" x14ac:dyDescent="0.3">
      <c r="A190" s="89"/>
      <c r="C190" s="92"/>
      <c r="E190" s="83"/>
      <c r="F190" s="366"/>
      <c r="G190" s="83"/>
      <c r="H190" s="30"/>
      <c r="J190" s="92"/>
      <c r="L190" s="92"/>
      <c r="N190" s="92"/>
      <c r="P190" s="92"/>
      <c r="R190" s="92"/>
      <c r="T190" s="92"/>
    </row>
    <row r="191" spans="1:59" s="364" customFormat="1" ht="13.8" x14ac:dyDescent="0.3">
      <c r="A191" s="89"/>
      <c r="C191" s="92"/>
      <c r="E191" s="83"/>
      <c r="F191" s="366"/>
      <c r="G191" s="83"/>
      <c r="H191" s="30"/>
      <c r="J191" s="92"/>
      <c r="L191" s="92"/>
      <c r="N191" s="92"/>
      <c r="P191" s="92"/>
      <c r="R191" s="92"/>
      <c r="T191" s="92"/>
    </row>
    <row r="192" spans="1:59" s="364" customFormat="1" ht="13.8" x14ac:dyDescent="0.3">
      <c r="A192" s="89"/>
      <c r="C192" s="92"/>
      <c r="E192" s="83"/>
      <c r="F192" s="366"/>
      <c r="G192" s="83"/>
      <c r="H192" s="30"/>
      <c r="J192" s="92"/>
      <c r="L192" s="92"/>
      <c r="N192" s="92"/>
      <c r="P192" s="92"/>
      <c r="R192" s="92"/>
      <c r="T192" s="92"/>
    </row>
    <row r="193" spans="1:20" s="364" customFormat="1" ht="13.8" x14ac:dyDescent="0.3">
      <c r="A193" s="89"/>
      <c r="C193" s="92"/>
      <c r="E193" s="83"/>
      <c r="F193" s="366"/>
      <c r="G193" s="83"/>
      <c r="H193" s="30"/>
      <c r="J193" s="92"/>
      <c r="L193" s="92"/>
      <c r="N193" s="92"/>
      <c r="P193" s="92"/>
      <c r="R193" s="92"/>
      <c r="T193" s="92"/>
    </row>
    <row r="194" spans="1:20" s="364" customFormat="1" ht="13.8" x14ac:dyDescent="0.3">
      <c r="A194" s="89"/>
      <c r="C194" s="92"/>
      <c r="E194" s="83"/>
      <c r="F194" s="366"/>
      <c r="G194" s="83"/>
      <c r="H194" s="30"/>
      <c r="J194" s="92"/>
      <c r="L194" s="92"/>
      <c r="N194" s="92"/>
      <c r="P194" s="92"/>
      <c r="R194" s="92"/>
      <c r="T194" s="92"/>
    </row>
    <row r="195" spans="1:20" s="364" customFormat="1" ht="13.8" x14ac:dyDescent="0.3">
      <c r="A195" s="89"/>
      <c r="C195" s="92"/>
      <c r="E195" s="83"/>
      <c r="F195" s="366"/>
      <c r="G195" s="83"/>
      <c r="H195" s="30"/>
      <c r="J195" s="92"/>
      <c r="L195" s="92"/>
      <c r="N195" s="92"/>
      <c r="P195" s="92"/>
      <c r="R195" s="92"/>
      <c r="T195" s="92"/>
    </row>
    <row r="196" spans="1:20" s="364" customFormat="1" ht="13.8" x14ac:dyDescent="0.3">
      <c r="A196" s="89"/>
      <c r="C196" s="92"/>
      <c r="E196" s="83"/>
      <c r="F196" s="366"/>
      <c r="G196" s="83"/>
      <c r="H196" s="30"/>
      <c r="J196" s="92"/>
      <c r="L196" s="92"/>
      <c r="N196" s="92"/>
      <c r="P196" s="92"/>
      <c r="R196" s="92"/>
      <c r="T196" s="92"/>
    </row>
    <row r="197" spans="1:20" s="364" customFormat="1" ht="13.8" x14ac:dyDescent="0.3">
      <c r="A197" s="89"/>
      <c r="C197" s="92"/>
      <c r="E197" s="83"/>
      <c r="F197" s="366"/>
      <c r="G197" s="83"/>
      <c r="H197" s="30"/>
      <c r="J197" s="92"/>
      <c r="L197" s="92"/>
      <c r="N197" s="92"/>
      <c r="P197" s="92"/>
      <c r="R197" s="92"/>
      <c r="T197" s="92"/>
    </row>
    <row r="198" spans="1:20" s="364" customFormat="1" ht="13.8" x14ac:dyDescent="0.3">
      <c r="A198" s="89"/>
      <c r="C198" s="92"/>
      <c r="E198" s="83"/>
      <c r="F198" s="366"/>
      <c r="G198" s="83"/>
      <c r="H198" s="30"/>
      <c r="J198" s="92"/>
      <c r="L198" s="92"/>
      <c r="N198" s="92"/>
      <c r="P198" s="92"/>
      <c r="R198" s="92"/>
      <c r="T198" s="92"/>
    </row>
    <row r="199" spans="1:20" s="364" customFormat="1" ht="13.8" x14ac:dyDescent="0.3">
      <c r="A199" s="89"/>
      <c r="C199" s="92"/>
      <c r="E199" s="83"/>
      <c r="F199" s="366"/>
      <c r="G199" s="83"/>
      <c r="H199" s="30"/>
      <c r="J199" s="92"/>
      <c r="L199" s="92"/>
      <c r="N199" s="92"/>
      <c r="P199" s="92"/>
      <c r="R199" s="92"/>
      <c r="T199" s="92"/>
    </row>
  </sheetData>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AK77"/>
  <sheetViews>
    <sheetView topLeftCell="A19" zoomScale="85" zoomScaleNormal="85" workbookViewId="0">
      <selection activeCell="I35" sqref="I35"/>
    </sheetView>
  </sheetViews>
  <sheetFormatPr defaultColWidth="9.109375" defaultRowHeight="13.8" x14ac:dyDescent="0.3"/>
  <cols>
    <col min="1" max="1" width="3.6640625" style="56" customWidth="1"/>
    <col min="2" max="2" width="27.5546875" style="57" customWidth="1"/>
    <col min="3" max="3" width="23.44140625" style="7" customWidth="1"/>
    <col min="4" max="4" width="2.6640625" style="113" customWidth="1"/>
    <col min="5" max="5" width="28.109375" style="19" bestFit="1" customWidth="1"/>
    <col min="6" max="6" width="2.6640625" style="113" customWidth="1"/>
    <col min="7" max="7" width="20.44140625" style="19" customWidth="1"/>
    <col min="8" max="8" width="2.6640625" style="113" customWidth="1"/>
    <col min="9" max="9" width="23" style="2" customWidth="1"/>
    <col min="10" max="10" width="2.6640625" style="113" customWidth="1"/>
    <col min="11" max="11" width="30.44140625" style="2" customWidth="1"/>
    <col min="12" max="12" width="2.6640625" style="113" customWidth="1"/>
    <col min="13" max="13" width="31.44140625" style="2" customWidth="1"/>
    <col min="14" max="14" width="2.6640625" style="113" customWidth="1"/>
    <col min="15" max="15" width="30.6640625" style="2" customWidth="1"/>
    <col min="16" max="16" width="2.6640625" style="113" customWidth="1"/>
    <col min="17" max="17" width="30.6640625" style="112" customWidth="1"/>
    <col min="18" max="18" width="2.6640625" style="2" customWidth="1"/>
    <col min="19" max="19" width="18.109375" style="113" customWidth="1"/>
    <col min="20" max="20" width="9.109375" style="19"/>
    <col min="21" max="21" width="16.88671875" style="19" customWidth="1"/>
    <col min="22" max="22" width="16" style="19" customWidth="1"/>
    <col min="23" max="16384" width="9.109375" style="19"/>
  </cols>
  <sheetData>
    <row r="1" spans="1:19" x14ac:dyDescent="0.3">
      <c r="A1" s="74"/>
      <c r="B1" s="74"/>
      <c r="C1" s="74"/>
      <c r="D1" s="74"/>
      <c r="E1" s="74"/>
      <c r="F1" s="74"/>
      <c r="G1" s="74"/>
      <c r="H1" s="74"/>
      <c r="I1" s="79"/>
      <c r="J1" s="74"/>
      <c r="K1" s="79"/>
      <c r="L1" s="74"/>
      <c r="M1" s="79"/>
      <c r="N1" s="74"/>
      <c r="O1" s="79"/>
      <c r="P1" s="74"/>
      <c r="Q1" s="79"/>
      <c r="R1" s="79"/>
      <c r="S1" s="74"/>
    </row>
    <row r="2" spans="1:19" s="56" customFormat="1" x14ac:dyDescent="0.3">
      <c r="A2" s="364"/>
      <c r="B2" s="513" t="s">
        <v>0</v>
      </c>
      <c r="C2" s="513"/>
      <c r="D2" s="520"/>
      <c r="E2" s="513" t="s">
        <v>1</v>
      </c>
      <c r="F2" s="83"/>
      <c r="G2" s="364"/>
      <c r="H2" s="364"/>
      <c r="I2" s="72"/>
      <c r="J2" s="513"/>
      <c r="K2" s="516" t="s">
        <v>109</v>
      </c>
      <c r="L2" s="364"/>
      <c r="M2" s="72"/>
      <c r="N2" s="364"/>
      <c r="O2" s="72"/>
      <c r="P2" s="364"/>
      <c r="Q2" s="72"/>
      <c r="R2" s="72"/>
      <c r="S2" s="364"/>
    </row>
    <row r="3" spans="1:19" s="56" customFormat="1" x14ac:dyDescent="0.3">
      <c r="A3" s="364"/>
      <c r="B3" s="364" t="s">
        <v>2</v>
      </c>
      <c r="C3" s="97" t="s">
        <v>79</v>
      </c>
      <c r="D3" s="364"/>
      <c r="E3" s="364" t="s">
        <v>3</v>
      </c>
      <c r="F3" s="364"/>
      <c r="G3" s="97" t="str">
        <f>'Documentation Main Sheet'!I2</f>
        <v>r6055</v>
      </c>
      <c r="H3" s="364"/>
      <c r="I3" s="72"/>
      <c r="J3" s="521"/>
      <c r="K3" s="364" t="s">
        <v>110</v>
      </c>
      <c r="L3" s="364"/>
      <c r="M3" s="72"/>
      <c r="N3" s="364"/>
      <c r="O3" s="72"/>
      <c r="P3" s="364"/>
      <c r="Q3" s="72"/>
      <c r="R3" s="72"/>
      <c r="S3" s="364"/>
    </row>
    <row r="4" spans="1:19" s="56" customFormat="1" x14ac:dyDescent="0.3">
      <c r="A4" s="364"/>
      <c r="B4" s="364" t="s">
        <v>6</v>
      </c>
      <c r="C4" s="364" t="str">
        <f>C3&amp;".cibd19"</f>
        <v>080006-Whse-Run21.cibd19</v>
      </c>
      <c r="D4" s="364"/>
      <c r="E4" s="364" t="s">
        <v>7</v>
      </c>
      <c r="F4" s="364"/>
      <c r="G4" s="364" t="str">
        <f>'Documentation Main Sheet'!I3</f>
        <v>Release package</v>
      </c>
      <c r="H4" s="364"/>
      <c r="I4" s="72"/>
      <c r="J4" s="522">
        <v>1</v>
      </c>
      <c r="K4" s="373" t="s">
        <v>111</v>
      </c>
      <c r="L4" s="364"/>
      <c r="M4" s="72"/>
      <c r="N4" s="364"/>
      <c r="O4" s="72"/>
      <c r="P4" s="364"/>
      <c r="Q4" s="72"/>
      <c r="R4" s="72"/>
      <c r="S4" s="364"/>
    </row>
    <row r="5" spans="1:19" s="56" customFormat="1" x14ac:dyDescent="0.3">
      <c r="A5" s="364"/>
      <c r="B5" s="364" t="s">
        <v>9</v>
      </c>
      <c r="C5" s="364" t="s">
        <v>112</v>
      </c>
      <c r="D5" s="364"/>
      <c r="E5" s="364" t="s">
        <v>10</v>
      </c>
      <c r="F5" s="364"/>
      <c r="G5" s="364" t="str">
        <f>'Documentation Main Sheet'!I4</f>
        <v>CBECC-Com 2019.1.2 Release</v>
      </c>
      <c r="H5" s="364"/>
      <c r="I5" s="72"/>
      <c r="J5" s="523">
        <v>1</v>
      </c>
      <c r="K5" s="373" t="s">
        <v>111</v>
      </c>
      <c r="L5" s="364"/>
      <c r="M5" s="72"/>
      <c r="N5" s="364"/>
      <c r="O5" s="72"/>
      <c r="P5" s="364"/>
      <c r="Q5" s="72"/>
      <c r="R5" s="72"/>
      <c r="S5" s="68"/>
    </row>
    <row r="6" spans="1:19" s="56" customFormat="1" x14ac:dyDescent="0.3">
      <c r="A6" s="364"/>
      <c r="B6" s="364" t="s">
        <v>17</v>
      </c>
      <c r="C6" s="92" t="s">
        <v>43</v>
      </c>
      <c r="D6" s="364"/>
      <c r="E6" s="364" t="s">
        <v>12</v>
      </c>
      <c r="F6" s="364"/>
      <c r="G6" s="68">
        <f>'Documentation Main Sheet'!I5</f>
        <v>43754</v>
      </c>
      <c r="H6" s="364"/>
      <c r="I6" s="72"/>
      <c r="J6" s="524">
        <v>1</v>
      </c>
      <c r="K6" s="376" t="s">
        <v>113</v>
      </c>
      <c r="L6" s="364"/>
      <c r="M6" s="68"/>
      <c r="N6" s="364"/>
      <c r="O6" s="68"/>
      <c r="P6" s="364"/>
      <c r="Q6" s="68"/>
      <c r="R6" s="68"/>
      <c r="S6" s="364"/>
    </row>
    <row r="7" spans="1:19" s="56" customFormat="1" x14ac:dyDescent="0.3">
      <c r="A7" s="364"/>
      <c r="B7" s="364" t="s">
        <v>20</v>
      </c>
      <c r="C7" s="92" t="s">
        <v>73</v>
      </c>
      <c r="D7" s="364"/>
      <c r="E7" s="364" t="s">
        <v>13</v>
      </c>
      <c r="F7" s="364"/>
      <c r="G7" s="364" t="str">
        <f>'Documentation Main Sheet'!I6</f>
        <v>Jireh Peng</v>
      </c>
      <c r="H7" s="364"/>
      <c r="I7" s="72"/>
      <c r="J7" s="525">
        <v>1</v>
      </c>
      <c r="K7" s="373" t="s">
        <v>114</v>
      </c>
      <c r="L7" s="364"/>
      <c r="M7" s="364"/>
      <c r="N7" s="364"/>
      <c r="O7" s="364"/>
      <c r="P7" s="364"/>
      <c r="Q7" s="364"/>
      <c r="R7" s="364"/>
      <c r="S7" s="364"/>
    </row>
    <row r="8" spans="1:19" s="56" customFormat="1" x14ac:dyDescent="0.3">
      <c r="A8" s="364"/>
      <c r="B8" s="364" t="s">
        <v>19</v>
      </c>
      <c r="C8" s="92" t="s">
        <v>27</v>
      </c>
      <c r="D8" s="364"/>
      <c r="E8" s="364"/>
      <c r="F8" s="364"/>
      <c r="G8" s="364"/>
      <c r="H8" s="364"/>
      <c r="I8" s="376"/>
      <c r="J8" s="702">
        <v>1</v>
      </c>
      <c r="K8" s="364" t="s">
        <v>115</v>
      </c>
      <c r="L8" s="364"/>
      <c r="M8" s="376"/>
      <c r="N8" s="364"/>
      <c r="O8" s="376"/>
      <c r="P8" s="364"/>
      <c r="Q8" s="376"/>
      <c r="R8" s="376"/>
      <c r="S8" s="364"/>
    </row>
    <row r="9" spans="1:19" s="56" customFormat="1" x14ac:dyDescent="0.3">
      <c r="A9" s="364"/>
      <c r="B9" s="364"/>
      <c r="C9" s="364"/>
      <c r="D9" s="364"/>
      <c r="E9" s="364"/>
      <c r="F9" s="364"/>
      <c r="G9" s="364"/>
      <c r="H9" s="364"/>
      <c r="I9" s="72"/>
      <c r="J9" s="364"/>
      <c r="K9" s="72"/>
      <c r="L9" s="364"/>
      <c r="M9" s="72"/>
      <c r="N9" s="364"/>
      <c r="O9" s="72"/>
      <c r="P9" s="364"/>
      <c r="Q9" s="72"/>
      <c r="R9" s="72"/>
      <c r="S9" s="364"/>
    </row>
    <row r="10" spans="1:19" s="33" customFormat="1" x14ac:dyDescent="0.3">
      <c r="A10" s="283"/>
      <c r="B10" s="336" t="s">
        <v>134</v>
      </c>
      <c r="C10" s="283"/>
      <c r="D10" s="283"/>
      <c r="E10" s="283"/>
      <c r="F10" s="283"/>
      <c r="G10" s="283"/>
      <c r="H10" s="283"/>
      <c r="I10" s="283"/>
      <c r="J10" s="283"/>
      <c r="K10" s="283"/>
      <c r="L10" s="283"/>
      <c r="M10" s="283"/>
      <c r="N10" s="283"/>
      <c r="O10" s="283"/>
      <c r="P10" s="283"/>
      <c r="Q10" s="283"/>
      <c r="R10" s="283"/>
      <c r="S10" s="283"/>
    </row>
    <row r="11" spans="1:19" s="3" customFormat="1" x14ac:dyDescent="0.3">
      <c r="A11" s="77"/>
      <c r="B11" s="49" t="s">
        <v>329</v>
      </c>
      <c r="C11" s="89"/>
      <c r="D11" s="91"/>
      <c r="E11" s="89"/>
      <c r="F11" s="91"/>
      <c r="G11" s="89"/>
      <c r="H11" s="91"/>
      <c r="I11" s="89"/>
      <c r="J11" s="91"/>
      <c r="K11" s="89"/>
      <c r="L11" s="91"/>
      <c r="M11" s="89"/>
      <c r="N11" s="91"/>
      <c r="O11" s="89"/>
      <c r="P11" s="91"/>
      <c r="Q11" s="89"/>
      <c r="R11" s="72"/>
      <c r="S11" s="364"/>
    </row>
    <row r="12" spans="1:19" s="38" customFormat="1" ht="41.4" x14ac:dyDescent="0.3">
      <c r="B12" s="194" t="s">
        <v>1293</v>
      </c>
      <c r="C12" s="120" t="s">
        <v>1294</v>
      </c>
      <c r="D12" s="131"/>
      <c r="E12" s="117" t="s">
        <v>148</v>
      </c>
      <c r="F12" s="120"/>
      <c r="G12" s="117" t="s">
        <v>334</v>
      </c>
      <c r="H12" s="131"/>
      <c r="I12" s="148" t="s">
        <v>335</v>
      </c>
      <c r="J12" s="120"/>
      <c r="K12" s="148" t="s">
        <v>336</v>
      </c>
      <c r="L12" s="210"/>
      <c r="M12" s="148" t="s">
        <v>337</v>
      </c>
      <c r="N12" s="364"/>
      <c r="O12" s="364"/>
      <c r="P12" s="364"/>
      <c r="Q12" s="364"/>
      <c r="R12" s="72"/>
      <c r="S12" s="364"/>
    </row>
    <row r="13" spans="1:19" s="89" customFormat="1" ht="14.4" thickBot="1" x14ac:dyDescent="0.35">
      <c r="B13" s="178" t="s">
        <v>341</v>
      </c>
      <c r="C13" s="176" t="s">
        <v>342</v>
      </c>
      <c r="D13" s="183"/>
      <c r="E13" s="179" t="s">
        <v>343</v>
      </c>
      <c r="F13" s="177"/>
      <c r="G13" s="179" t="s">
        <v>345</v>
      </c>
      <c r="H13" s="211"/>
      <c r="I13" s="179" t="s">
        <v>346</v>
      </c>
      <c r="J13" s="208"/>
      <c r="K13" s="179" t="s">
        <v>347</v>
      </c>
      <c r="L13" s="211"/>
      <c r="M13" s="179" t="s">
        <v>348</v>
      </c>
      <c r="N13" s="91"/>
      <c r="P13" s="91"/>
      <c r="R13" s="72"/>
      <c r="S13" s="364"/>
    </row>
    <row r="14" spans="1:19" s="56" customFormat="1" ht="14.4" thickTop="1" x14ac:dyDescent="0.3">
      <c r="A14" s="364"/>
      <c r="B14" s="130" t="s">
        <v>1613</v>
      </c>
      <c r="C14" s="92" t="s">
        <v>1614</v>
      </c>
      <c r="D14" s="142" t="s">
        <v>300</v>
      </c>
      <c r="E14" s="202" t="s">
        <v>365</v>
      </c>
      <c r="F14" s="181" t="s">
        <v>300</v>
      </c>
      <c r="G14" s="202" t="s">
        <v>1615</v>
      </c>
      <c r="H14" s="140" t="s">
        <v>300</v>
      </c>
      <c r="I14" s="373">
        <v>55</v>
      </c>
      <c r="J14" s="151" t="s">
        <v>300</v>
      </c>
      <c r="K14" s="202">
        <v>95</v>
      </c>
      <c r="L14" s="140" t="s">
        <v>300</v>
      </c>
      <c r="M14" s="266" t="s">
        <v>377</v>
      </c>
      <c r="N14" s="364"/>
      <c r="O14" s="364"/>
      <c r="P14" s="364"/>
      <c r="Q14" s="364"/>
      <c r="R14" s="72"/>
      <c r="S14" s="364"/>
    </row>
    <row r="15" spans="1:19" s="56" customFormat="1" x14ac:dyDescent="0.3">
      <c r="A15" s="364"/>
      <c r="B15" s="130" t="s">
        <v>1616</v>
      </c>
      <c r="C15" s="92" t="s">
        <v>1617</v>
      </c>
      <c r="D15" s="142" t="s">
        <v>300</v>
      </c>
      <c r="E15" s="202" t="s">
        <v>1306</v>
      </c>
      <c r="F15" s="181" t="s">
        <v>300</v>
      </c>
      <c r="G15" s="202" t="s">
        <v>1615</v>
      </c>
      <c r="H15" s="403" t="s">
        <v>173</v>
      </c>
      <c r="I15" s="404" t="s">
        <v>173</v>
      </c>
      <c r="J15" s="151" t="s">
        <v>300</v>
      </c>
      <c r="K15" s="202">
        <v>95</v>
      </c>
      <c r="L15" s="142" t="s">
        <v>300</v>
      </c>
      <c r="M15" s="202" t="s">
        <v>377</v>
      </c>
      <c r="N15" s="364"/>
      <c r="O15" s="364"/>
      <c r="P15" s="364"/>
      <c r="Q15" s="364"/>
      <c r="R15" s="72"/>
      <c r="S15" s="364"/>
    </row>
    <row r="16" spans="1:19" x14ac:dyDescent="0.3">
      <c r="A16" s="373"/>
      <c r="B16" s="180" t="s">
        <v>1618</v>
      </c>
      <c r="C16" s="156" t="s">
        <v>1619</v>
      </c>
      <c r="D16" s="160" t="s">
        <v>300</v>
      </c>
      <c r="E16" s="204" t="s">
        <v>1306</v>
      </c>
      <c r="F16" s="174" t="s">
        <v>300</v>
      </c>
      <c r="G16" s="204" t="s">
        <v>1615</v>
      </c>
      <c r="H16" s="405" t="s">
        <v>173</v>
      </c>
      <c r="I16" s="406" t="s">
        <v>173</v>
      </c>
      <c r="J16" s="161" t="s">
        <v>300</v>
      </c>
      <c r="K16" s="204">
        <v>95</v>
      </c>
      <c r="L16" s="160" t="s">
        <v>300</v>
      </c>
      <c r="M16" s="204" t="s">
        <v>377</v>
      </c>
      <c r="N16" s="373"/>
      <c r="O16" s="367"/>
      <c r="P16" s="373"/>
      <c r="Q16" s="367"/>
      <c r="R16" s="72"/>
      <c r="S16" s="364"/>
    </row>
    <row r="17" spans="2:21" s="56" customFormat="1" x14ac:dyDescent="0.3">
      <c r="B17" s="84"/>
      <c r="C17" s="30"/>
      <c r="D17" s="364"/>
      <c r="E17" s="364"/>
      <c r="F17" s="364"/>
      <c r="G17" s="364"/>
      <c r="H17" s="30"/>
      <c r="I17" s="364"/>
      <c r="J17" s="364"/>
      <c r="K17" s="364"/>
      <c r="L17" s="364"/>
      <c r="M17" s="364"/>
      <c r="N17" s="364"/>
      <c r="O17" s="364"/>
      <c r="P17" s="364"/>
      <c r="Q17" s="364"/>
      <c r="R17" s="72"/>
      <c r="S17" s="364"/>
      <c r="T17" s="364"/>
      <c r="U17" s="364"/>
    </row>
    <row r="18" spans="2:21" s="3" customFormat="1" x14ac:dyDescent="0.3">
      <c r="B18" s="90"/>
      <c r="C18" s="89"/>
      <c r="D18" s="91"/>
      <c r="E18" s="89"/>
      <c r="F18" s="91"/>
      <c r="G18" s="89"/>
      <c r="H18" s="91"/>
      <c r="I18" s="89"/>
      <c r="J18" s="91"/>
      <c r="K18" s="89"/>
      <c r="L18" s="91"/>
      <c r="M18" s="89"/>
      <c r="N18" s="89"/>
      <c r="O18" s="89"/>
      <c r="P18" s="364"/>
      <c r="Q18" s="364"/>
      <c r="R18" s="72"/>
      <c r="S18" s="364"/>
      <c r="T18" s="89"/>
      <c r="U18" s="89"/>
    </row>
    <row r="19" spans="2:21" s="109" customFormat="1" ht="27.6" x14ac:dyDescent="0.3">
      <c r="B19" s="131" t="s">
        <v>1294</v>
      </c>
      <c r="C19" s="120" t="s">
        <v>382</v>
      </c>
      <c r="D19" s="194"/>
      <c r="E19" s="117" t="s">
        <v>148</v>
      </c>
      <c r="F19" s="194"/>
      <c r="G19" s="173" t="s">
        <v>383</v>
      </c>
      <c r="H19" s="194"/>
      <c r="I19" s="173" t="s">
        <v>384</v>
      </c>
      <c r="J19" s="194"/>
      <c r="K19" s="117" t="s">
        <v>385</v>
      </c>
      <c r="L19" s="187"/>
      <c r="M19" s="117" t="s">
        <v>386</v>
      </c>
      <c r="N19" s="427"/>
      <c r="O19" s="117" t="s">
        <v>387</v>
      </c>
      <c r="P19" s="426"/>
      <c r="Q19" s="117" t="s">
        <v>388</v>
      </c>
      <c r="R19" s="364"/>
      <c r="S19" s="364"/>
      <c r="T19" s="364"/>
      <c r="U19" s="364"/>
    </row>
    <row r="20" spans="2:21" s="109" customFormat="1" ht="14.4" thickBot="1" x14ac:dyDescent="0.35">
      <c r="B20" s="178" t="s">
        <v>389</v>
      </c>
      <c r="C20" s="176" t="s">
        <v>390</v>
      </c>
      <c r="D20" s="183"/>
      <c r="E20" s="179" t="s">
        <v>391</v>
      </c>
      <c r="F20" s="183"/>
      <c r="G20" s="176" t="s">
        <v>392</v>
      </c>
      <c r="H20" s="183"/>
      <c r="I20" s="176" t="s">
        <v>393</v>
      </c>
      <c r="J20" s="183"/>
      <c r="K20" s="179"/>
      <c r="L20" s="189"/>
      <c r="M20" s="338" t="s">
        <v>395</v>
      </c>
      <c r="N20" s="178"/>
      <c r="O20" s="320" t="s">
        <v>396</v>
      </c>
      <c r="P20" s="176"/>
      <c r="Q20" s="339" t="s">
        <v>397</v>
      </c>
      <c r="R20" s="364"/>
      <c r="S20" s="364"/>
      <c r="T20" s="364"/>
      <c r="U20" s="364"/>
    </row>
    <row r="21" spans="2:21" s="89" customFormat="1" ht="14.4" thickTop="1" x14ac:dyDescent="0.3">
      <c r="B21" s="278" t="s">
        <v>1614</v>
      </c>
      <c r="C21" s="156" t="s">
        <v>1620</v>
      </c>
      <c r="D21" s="160" t="s">
        <v>300</v>
      </c>
      <c r="E21" s="193" t="s">
        <v>399</v>
      </c>
      <c r="F21" s="160" t="s">
        <v>300</v>
      </c>
      <c r="G21" s="156">
        <v>11.2</v>
      </c>
      <c r="H21" s="160" t="s">
        <v>300</v>
      </c>
      <c r="I21" s="191">
        <v>12.9</v>
      </c>
      <c r="J21" s="343" t="s">
        <v>173</v>
      </c>
      <c r="K21" s="275" t="s">
        <v>173</v>
      </c>
      <c r="L21" s="355" t="s">
        <v>300</v>
      </c>
      <c r="M21" s="256" t="s">
        <v>400</v>
      </c>
      <c r="N21" s="355" t="s">
        <v>300</v>
      </c>
      <c r="O21" s="255" t="s">
        <v>401</v>
      </c>
      <c r="P21" s="466" t="s">
        <v>300</v>
      </c>
      <c r="Q21" s="255" t="s">
        <v>402</v>
      </c>
      <c r="R21" s="364"/>
      <c r="S21" s="364"/>
      <c r="T21" s="72"/>
      <c r="U21" s="364"/>
    </row>
    <row r="22" spans="2:21" s="89" customFormat="1" x14ac:dyDescent="0.3">
      <c r="B22" s="90"/>
      <c r="D22" s="91"/>
      <c r="F22" s="91"/>
      <c r="H22" s="91"/>
      <c r="J22" s="91"/>
      <c r="L22" s="91"/>
      <c r="P22" s="364"/>
      <c r="Q22" s="364"/>
      <c r="R22" s="72"/>
      <c r="S22" s="364"/>
    </row>
    <row r="23" spans="2:21" s="89" customFormat="1" x14ac:dyDescent="0.3">
      <c r="B23" s="90"/>
      <c r="D23" s="91"/>
      <c r="F23" s="91"/>
      <c r="H23" s="91"/>
      <c r="J23" s="91"/>
      <c r="L23" s="91"/>
      <c r="R23" s="72"/>
      <c r="S23" s="364"/>
    </row>
    <row r="24" spans="2:21" s="109" customFormat="1" ht="27.6" x14ac:dyDescent="0.3">
      <c r="B24" s="131" t="s">
        <v>1294</v>
      </c>
      <c r="C24" s="120" t="s">
        <v>413</v>
      </c>
      <c r="D24" s="194"/>
      <c r="E24" s="117" t="s">
        <v>148</v>
      </c>
      <c r="F24" s="173"/>
      <c r="G24" s="173" t="s">
        <v>415</v>
      </c>
      <c r="H24" s="194"/>
      <c r="I24" s="117" t="s">
        <v>385</v>
      </c>
      <c r="J24" s="187"/>
      <c r="K24" s="117" t="s">
        <v>416</v>
      </c>
      <c r="L24" s="364"/>
      <c r="M24" s="364"/>
      <c r="N24" s="364"/>
      <c r="O24" s="364"/>
      <c r="P24" s="364"/>
      <c r="Q24" s="364"/>
      <c r="R24" s="364"/>
      <c r="S24" s="364"/>
      <c r="T24" s="364"/>
      <c r="U24" s="364"/>
    </row>
    <row r="25" spans="2:21" s="109" customFormat="1" ht="14.4" thickBot="1" x14ac:dyDescent="0.35">
      <c r="B25" s="178" t="s">
        <v>417</v>
      </c>
      <c r="C25" s="176" t="s">
        <v>418</v>
      </c>
      <c r="D25" s="183"/>
      <c r="E25" s="179" t="s">
        <v>419</v>
      </c>
      <c r="F25" s="177"/>
      <c r="G25" s="176" t="s">
        <v>420</v>
      </c>
      <c r="H25" s="183"/>
      <c r="I25" s="179"/>
      <c r="J25" s="124"/>
      <c r="K25" s="179" t="s">
        <v>421</v>
      </c>
      <c r="L25" s="364"/>
      <c r="M25" s="364"/>
      <c r="N25" s="364"/>
      <c r="O25" s="364"/>
      <c r="P25" s="364"/>
      <c r="Q25" s="364"/>
      <c r="R25" s="364"/>
      <c r="S25" s="364"/>
      <c r="T25" s="364"/>
      <c r="U25" s="364"/>
    </row>
    <row r="26" spans="2:21" s="89" customFormat="1" ht="14.4" thickTop="1" x14ac:dyDescent="0.3">
      <c r="B26" s="129" t="s">
        <v>1614</v>
      </c>
      <c r="C26" s="92" t="s">
        <v>1621</v>
      </c>
      <c r="D26" s="142" t="s">
        <v>300</v>
      </c>
      <c r="E26" s="192" t="s">
        <v>430</v>
      </c>
      <c r="F26" s="181" t="s">
        <v>300</v>
      </c>
      <c r="G26" s="446">
        <f>0.0051427*(81)+0.3989</f>
        <v>0.81545869999999998</v>
      </c>
      <c r="H26" s="342" t="s">
        <v>173</v>
      </c>
      <c r="I26" s="277" t="s">
        <v>173</v>
      </c>
      <c r="J26" s="347" t="s">
        <v>300</v>
      </c>
      <c r="K26" s="346" t="s">
        <v>431</v>
      </c>
      <c r="L26" s="91"/>
      <c r="R26" s="72"/>
      <c r="S26" s="364"/>
    </row>
    <row r="27" spans="2:21" s="89" customFormat="1" x14ac:dyDescent="0.3">
      <c r="B27" s="129" t="s">
        <v>1617</v>
      </c>
      <c r="C27" s="92" t="s">
        <v>1622</v>
      </c>
      <c r="D27" s="142" t="s">
        <v>300</v>
      </c>
      <c r="E27" s="192" t="s">
        <v>430</v>
      </c>
      <c r="F27" s="181" t="s">
        <v>300</v>
      </c>
      <c r="G27" s="892">
        <v>0.8</v>
      </c>
      <c r="H27" s="342" t="s">
        <v>173</v>
      </c>
      <c r="I27" s="277" t="s">
        <v>173</v>
      </c>
      <c r="J27" s="181" t="s">
        <v>300</v>
      </c>
      <c r="K27" s="152" t="s">
        <v>431</v>
      </c>
      <c r="L27" s="91"/>
      <c r="R27" s="72"/>
      <c r="S27" s="364"/>
    </row>
    <row r="28" spans="2:21" s="89" customFormat="1" x14ac:dyDescent="0.3">
      <c r="B28" s="155" t="s">
        <v>1619</v>
      </c>
      <c r="C28" s="156" t="s">
        <v>1623</v>
      </c>
      <c r="D28" s="160" t="s">
        <v>300</v>
      </c>
      <c r="E28" s="193" t="s">
        <v>430</v>
      </c>
      <c r="F28" s="174" t="s">
        <v>300</v>
      </c>
      <c r="G28" s="727">
        <v>0.8</v>
      </c>
      <c r="H28" s="343" t="s">
        <v>173</v>
      </c>
      <c r="I28" s="275" t="s">
        <v>173</v>
      </c>
      <c r="J28" s="174" t="s">
        <v>300</v>
      </c>
      <c r="K28" s="162" t="s">
        <v>431</v>
      </c>
      <c r="L28" s="91"/>
      <c r="R28" s="72"/>
      <c r="S28" s="364"/>
    </row>
    <row r="29" spans="2:21" s="89" customFormat="1" x14ac:dyDescent="0.3">
      <c r="B29" s="90"/>
      <c r="D29" s="91"/>
      <c r="F29" s="91"/>
      <c r="H29" s="91"/>
      <c r="J29" s="91"/>
      <c r="L29" s="91"/>
      <c r="R29" s="72"/>
      <c r="S29" s="364"/>
    </row>
    <row r="30" spans="2:21" s="89" customFormat="1" x14ac:dyDescent="0.3">
      <c r="B30" s="90"/>
      <c r="D30" s="91"/>
      <c r="F30" s="91"/>
      <c r="H30" s="91"/>
      <c r="J30" s="91"/>
      <c r="L30" s="91"/>
      <c r="R30" s="72"/>
      <c r="S30" s="364"/>
    </row>
    <row r="31" spans="2:21" s="109" customFormat="1" ht="27.6" x14ac:dyDescent="0.3">
      <c r="B31" s="131" t="s">
        <v>1294</v>
      </c>
      <c r="C31" s="120" t="s">
        <v>432</v>
      </c>
      <c r="D31" s="131"/>
      <c r="E31" s="117" t="s">
        <v>433</v>
      </c>
      <c r="F31" s="120"/>
      <c r="G31" s="173" t="s">
        <v>434</v>
      </c>
      <c r="H31" s="131"/>
      <c r="I31" s="117" t="s">
        <v>436</v>
      </c>
      <c r="J31" s="173"/>
      <c r="K31" s="120" t="s">
        <v>437</v>
      </c>
      <c r="L31" s="194"/>
      <c r="M31" s="117" t="s">
        <v>438</v>
      </c>
      <c r="N31" s="173"/>
      <c r="O31" s="173" t="s">
        <v>439</v>
      </c>
      <c r="P31" s="194"/>
      <c r="Q31" s="117" t="s">
        <v>440</v>
      </c>
      <c r="R31" s="364"/>
      <c r="S31" s="364"/>
      <c r="T31" s="364"/>
      <c r="U31" s="364"/>
    </row>
    <row r="32" spans="2:21" s="109" customFormat="1" ht="14.4" thickBot="1" x14ac:dyDescent="0.35">
      <c r="B32" s="178" t="s">
        <v>417</v>
      </c>
      <c r="C32" s="176" t="s">
        <v>442</v>
      </c>
      <c r="D32" s="183"/>
      <c r="E32" s="179" t="s">
        <v>443</v>
      </c>
      <c r="F32" s="177"/>
      <c r="G32" s="176" t="s">
        <v>444</v>
      </c>
      <c r="H32" s="183"/>
      <c r="I32" s="179" t="s">
        <v>445</v>
      </c>
      <c r="J32" s="177"/>
      <c r="K32" s="176" t="s">
        <v>446</v>
      </c>
      <c r="L32" s="183"/>
      <c r="M32" s="179" t="s">
        <v>447</v>
      </c>
      <c r="N32" s="177"/>
      <c r="O32" s="176" t="s">
        <v>448</v>
      </c>
      <c r="P32" s="183"/>
      <c r="Q32" s="179" t="s">
        <v>449</v>
      </c>
      <c r="R32" s="364"/>
      <c r="S32" s="364"/>
      <c r="T32" s="364"/>
      <c r="U32" s="364"/>
    </row>
    <row r="33" spans="1:24" s="56" customFormat="1" ht="14.4" thickTop="1" x14ac:dyDescent="0.3">
      <c r="A33" s="364"/>
      <c r="B33" s="129" t="s">
        <v>1614</v>
      </c>
      <c r="C33" s="92" t="s">
        <v>1624</v>
      </c>
      <c r="D33" s="142" t="s">
        <v>300</v>
      </c>
      <c r="E33" s="202" t="s">
        <v>1378</v>
      </c>
      <c r="F33" s="181" t="s">
        <v>300</v>
      </c>
      <c r="G33" s="363" t="s">
        <v>1625</v>
      </c>
      <c r="H33" s="142"/>
      <c r="I33" s="853">
        <v>2</v>
      </c>
      <c r="J33" s="341" t="s">
        <v>173</v>
      </c>
      <c r="K33" s="379" t="s">
        <v>173</v>
      </c>
      <c r="L33" s="342" t="s">
        <v>173</v>
      </c>
      <c r="M33" s="277" t="s">
        <v>173</v>
      </c>
      <c r="N33" s="330"/>
      <c r="O33" s="379">
        <v>5</v>
      </c>
      <c r="P33" s="333"/>
      <c r="Q33" s="643">
        <v>0.89</v>
      </c>
      <c r="R33" s="364"/>
      <c r="S33" s="364"/>
      <c r="T33" s="364"/>
      <c r="U33" s="364"/>
      <c r="V33" s="364"/>
      <c r="W33" s="364"/>
      <c r="X33" s="364"/>
    </row>
    <row r="34" spans="1:24" s="56" customFormat="1" x14ac:dyDescent="0.3">
      <c r="A34" s="364"/>
      <c r="B34" s="129" t="s">
        <v>1617</v>
      </c>
      <c r="C34" s="92" t="s">
        <v>1626</v>
      </c>
      <c r="D34" s="142" t="s">
        <v>300</v>
      </c>
      <c r="E34" s="202" t="s">
        <v>1378</v>
      </c>
      <c r="F34" s="181" t="s">
        <v>300</v>
      </c>
      <c r="G34" s="363" t="s">
        <v>1625</v>
      </c>
      <c r="H34" s="142"/>
      <c r="I34" s="853">
        <v>5.5</v>
      </c>
      <c r="J34" s="341" t="s">
        <v>173</v>
      </c>
      <c r="K34" s="379" t="s">
        <v>173</v>
      </c>
      <c r="L34" s="342" t="s">
        <v>173</v>
      </c>
      <c r="M34" s="277" t="s">
        <v>173</v>
      </c>
      <c r="N34" s="330"/>
      <c r="O34" s="379">
        <v>10</v>
      </c>
      <c r="P34" s="333"/>
      <c r="Q34" s="643">
        <v>0.92</v>
      </c>
      <c r="R34" s="364"/>
      <c r="S34" s="364"/>
      <c r="T34" s="364"/>
      <c r="U34" s="364"/>
      <c r="V34" s="364"/>
      <c r="W34" s="364"/>
      <c r="X34" s="364"/>
    </row>
    <row r="35" spans="1:24" x14ac:dyDescent="0.3">
      <c r="A35" s="373"/>
      <c r="B35" s="155" t="s">
        <v>1619</v>
      </c>
      <c r="C35" s="156" t="s">
        <v>1627</v>
      </c>
      <c r="D35" s="160" t="s">
        <v>300</v>
      </c>
      <c r="E35" s="204" t="s">
        <v>1378</v>
      </c>
      <c r="F35" s="174" t="s">
        <v>300</v>
      </c>
      <c r="G35" s="191" t="s">
        <v>1625</v>
      </c>
      <c r="H35" s="160"/>
      <c r="I35" s="854">
        <v>20</v>
      </c>
      <c r="J35" s="344" t="s">
        <v>173</v>
      </c>
      <c r="K35" s="276" t="s">
        <v>173</v>
      </c>
      <c r="L35" s="343" t="s">
        <v>173</v>
      </c>
      <c r="M35" s="275" t="s">
        <v>173</v>
      </c>
      <c r="N35" s="331"/>
      <c r="O35" s="276">
        <v>30</v>
      </c>
      <c r="P35" s="334"/>
      <c r="Q35" s="644">
        <v>0.92</v>
      </c>
      <c r="R35" s="364"/>
      <c r="S35" s="364"/>
      <c r="T35" s="373"/>
      <c r="U35" s="373"/>
      <c r="V35" s="373"/>
      <c r="W35" s="373"/>
      <c r="X35" s="373"/>
    </row>
    <row r="36" spans="1:24" s="56" customFormat="1" x14ac:dyDescent="0.3">
      <c r="A36" s="364"/>
      <c r="B36" s="84"/>
      <c r="C36" s="30"/>
      <c r="D36" s="364"/>
      <c r="E36" s="364"/>
      <c r="F36" s="364"/>
      <c r="G36" s="364"/>
      <c r="H36" s="364"/>
      <c r="I36" s="364"/>
      <c r="J36" s="364"/>
      <c r="K36" s="364"/>
      <c r="L36" s="364"/>
      <c r="M36" s="364"/>
      <c r="N36" s="364"/>
      <c r="O36" s="364"/>
      <c r="P36" s="364"/>
      <c r="Q36" s="364"/>
      <c r="R36" s="72"/>
      <c r="S36" s="364"/>
      <c r="T36" s="364"/>
      <c r="U36" s="364"/>
      <c r="V36" s="364"/>
      <c r="W36" s="364"/>
      <c r="X36" s="364"/>
    </row>
    <row r="37" spans="1:24" s="56" customFormat="1" x14ac:dyDescent="0.3">
      <c r="A37" s="364"/>
      <c r="B37" s="92"/>
      <c r="C37" s="90"/>
      <c r="D37" s="364"/>
      <c r="E37" s="364"/>
      <c r="F37" s="364"/>
      <c r="G37" s="364"/>
      <c r="H37" s="364"/>
      <c r="I37" s="364"/>
      <c r="J37" s="364"/>
      <c r="K37" s="364"/>
      <c r="L37" s="364"/>
      <c r="M37" s="364"/>
      <c r="N37" s="364"/>
      <c r="O37" s="364"/>
      <c r="P37" s="364"/>
      <c r="Q37" s="364"/>
      <c r="R37" s="72"/>
      <c r="S37" s="364"/>
      <c r="T37" s="364"/>
      <c r="U37" s="364"/>
      <c r="V37" s="364"/>
      <c r="W37" s="364"/>
      <c r="X37" s="364"/>
    </row>
    <row r="38" spans="1:24" s="364" customFormat="1" ht="27.6" x14ac:dyDescent="0.3">
      <c r="A38" s="89"/>
      <c r="B38" s="115" t="s">
        <v>522</v>
      </c>
      <c r="C38" s="120" t="s">
        <v>523</v>
      </c>
      <c r="D38" s="210"/>
      <c r="E38" s="148" t="s">
        <v>533</v>
      </c>
      <c r="F38" s="131"/>
      <c r="G38" s="148" t="s">
        <v>534</v>
      </c>
      <c r="J38" s="982"/>
      <c r="K38" s="982"/>
      <c r="L38" s="982"/>
      <c r="M38" s="89"/>
      <c r="N38" s="89"/>
      <c r="O38" s="982"/>
      <c r="P38" s="982"/>
      <c r="Q38" s="982"/>
      <c r="R38" s="982"/>
      <c r="S38" s="982"/>
      <c r="T38" s="982"/>
      <c r="U38" s="358"/>
      <c r="V38" s="358"/>
      <c r="W38" s="358"/>
      <c r="X38" s="358"/>
    </row>
    <row r="39" spans="1:24" s="364" customFormat="1" ht="15" thickBot="1" x14ac:dyDescent="0.35">
      <c r="A39" s="89"/>
      <c r="B39" s="178" t="s">
        <v>535</v>
      </c>
      <c r="C39" s="176" t="s">
        <v>536</v>
      </c>
      <c r="D39" s="211"/>
      <c r="E39" s="179" t="s">
        <v>543</v>
      </c>
      <c r="F39" s="211"/>
      <c r="G39" s="179" t="s">
        <v>544</v>
      </c>
      <c r="J39" s="982"/>
      <c r="K39" s="982"/>
      <c r="L39" s="982"/>
      <c r="M39" s="89"/>
      <c r="N39" s="89"/>
      <c r="O39" s="982"/>
      <c r="P39" s="982"/>
      <c r="Q39" s="982"/>
      <c r="R39" s="982"/>
      <c r="S39" s="982"/>
      <c r="T39" s="982"/>
      <c r="U39" s="358"/>
      <c r="V39" s="358"/>
      <c r="W39" s="358"/>
      <c r="X39" s="358"/>
    </row>
    <row r="40" spans="1:24" s="357" customFormat="1" ht="14.4" thickTop="1" x14ac:dyDescent="0.3">
      <c r="A40" s="89"/>
      <c r="B40" s="141" t="s">
        <v>1613</v>
      </c>
      <c r="C40" s="373" t="s">
        <v>546</v>
      </c>
      <c r="D40" s="411" t="s">
        <v>300</v>
      </c>
      <c r="E40" s="373" t="s">
        <v>1628</v>
      </c>
      <c r="F40" s="411" t="s">
        <v>300</v>
      </c>
      <c r="G40" s="266" t="s">
        <v>1629</v>
      </c>
      <c r="M40" s="89"/>
      <c r="N40" s="89"/>
      <c r="U40" s="359"/>
      <c r="V40" s="359"/>
      <c r="W40" s="359"/>
      <c r="X40" s="359"/>
    </row>
    <row r="41" spans="1:24" s="364" customFormat="1" x14ac:dyDescent="0.3">
      <c r="A41" s="89"/>
      <c r="B41" s="141" t="s">
        <v>1616</v>
      </c>
      <c r="C41" s="373" t="s">
        <v>546</v>
      </c>
      <c r="D41" s="342" t="s">
        <v>173</v>
      </c>
      <c r="E41" s="379" t="s">
        <v>173</v>
      </c>
      <c r="F41" s="411" t="s">
        <v>300</v>
      </c>
      <c r="G41" s="266" t="s">
        <v>1629</v>
      </c>
      <c r="J41" s="357"/>
      <c r="K41" s="357"/>
      <c r="L41" s="357"/>
      <c r="M41" s="89"/>
      <c r="N41" s="89"/>
      <c r="O41" s="357"/>
      <c r="P41" s="357"/>
      <c r="Q41" s="357"/>
      <c r="R41" s="357"/>
      <c r="S41" s="357"/>
      <c r="T41" s="357"/>
      <c r="U41" s="359"/>
      <c r="V41" s="359"/>
      <c r="W41" s="359"/>
      <c r="X41" s="359"/>
    </row>
    <row r="42" spans="1:24" s="357" customFormat="1" x14ac:dyDescent="0.3">
      <c r="A42" s="89"/>
      <c r="B42" s="180" t="s">
        <v>1618</v>
      </c>
      <c r="C42" s="165" t="s">
        <v>546</v>
      </c>
      <c r="D42" s="343" t="s">
        <v>173</v>
      </c>
      <c r="E42" s="276" t="s">
        <v>173</v>
      </c>
      <c r="F42" s="410" t="s">
        <v>300</v>
      </c>
      <c r="G42" s="250" t="s">
        <v>1629</v>
      </c>
      <c r="M42" s="89"/>
      <c r="N42" s="89"/>
      <c r="U42" s="359"/>
      <c r="V42" s="359"/>
      <c r="W42" s="359"/>
      <c r="X42" s="359"/>
    </row>
    <row r="43" spans="1:24" s="364" customFormat="1" x14ac:dyDescent="0.3">
      <c r="B43" s="92"/>
      <c r="C43" s="90"/>
      <c r="R43" s="72"/>
    </row>
    <row r="44" spans="1:24" s="364" customFormat="1" x14ac:dyDescent="0.3">
      <c r="B44" s="92"/>
      <c r="C44" s="90"/>
      <c r="R44" s="72"/>
    </row>
    <row r="45" spans="1:24" s="13" customFormat="1" x14ac:dyDescent="0.3">
      <c r="A45" s="285"/>
      <c r="B45" s="337" t="s">
        <v>243</v>
      </c>
      <c r="C45" s="285"/>
      <c r="D45" s="285"/>
      <c r="E45" s="285"/>
      <c r="F45" s="285"/>
      <c r="G45" s="285"/>
      <c r="H45" s="285"/>
      <c r="I45" s="285"/>
      <c r="J45" s="285"/>
      <c r="K45" s="285"/>
      <c r="L45" s="285"/>
      <c r="M45" s="285"/>
      <c r="N45" s="285"/>
      <c r="O45" s="285"/>
      <c r="P45" s="285"/>
      <c r="Q45" s="285"/>
      <c r="R45" s="285"/>
      <c r="S45" s="285"/>
      <c r="T45" s="93"/>
      <c r="U45" s="93"/>
      <c r="V45" s="93"/>
      <c r="W45" s="93"/>
      <c r="X45" s="93"/>
    </row>
    <row r="46" spans="1:24" s="3" customFormat="1" x14ac:dyDescent="0.3">
      <c r="A46" s="78"/>
      <c r="B46" s="50" t="s">
        <v>329</v>
      </c>
      <c r="C46" s="89"/>
      <c r="D46" s="91"/>
      <c r="E46" s="89"/>
      <c r="F46" s="91"/>
      <c r="G46" s="89"/>
      <c r="H46" s="91"/>
      <c r="I46" s="89"/>
      <c r="J46" s="91"/>
      <c r="K46" s="89"/>
      <c r="L46" s="91"/>
      <c r="M46" s="89"/>
      <c r="N46" s="91"/>
      <c r="O46" s="89"/>
      <c r="P46" s="91"/>
      <c r="Q46" s="89"/>
      <c r="R46" s="89"/>
      <c r="S46" s="91"/>
      <c r="T46" s="89"/>
      <c r="U46" s="89"/>
      <c r="V46" s="89"/>
      <c r="W46" s="89"/>
      <c r="X46" s="89"/>
    </row>
    <row r="47" spans="1:24" s="38" customFormat="1" ht="41.4" x14ac:dyDescent="0.3">
      <c r="B47" s="194" t="s">
        <v>1293</v>
      </c>
      <c r="C47" s="120" t="s">
        <v>1294</v>
      </c>
      <c r="D47" s="131"/>
      <c r="E47" s="117" t="s">
        <v>148</v>
      </c>
      <c r="F47" s="120"/>
      <c r="G47" s="117" t="s">
        <v>334</v>
      </c>
      <c r="H47" s="131"/>
      <c r="I47" s="148" t="s">
        <v>335</v>
      </c>
      <c r="J47" s="120"/>
      <c r="K47" s="148" t="s">
        <v>336</v>
      </c>
      <c r="L47" s="210"/>
      <c r="M47" s="148" t="s">
        <v>337</v>
      </c>
      <c r="N47" s="364"/>
      <c r="O47" s="364"/>
      <c r="P47" s="364"/>
      <c r="Q47" s="364"/>
      <c r="R47" s="72"/>
      <c r="S47" s="364"/>
    </row>
    <row r="48" spans="1:24" s="89" customFormat="1" ht="14.4" thickBot="1" x14ac:dyDescent="0.35">
      <c r="B48" s="134" t="s">
        <v>341</v>
      </c>
      <c r="C48" s="89" t="s">
        <v>342</v>
      </c>
      <c r="D48" s="137"/>
      <c r="E48" s="252" t="s">
        <v>343</v>
      </c>
      <c r="F48" s="91"/>
      <c r="G48" s="252" t="s">
        <v>345</v>
      </c>
      <c r="H48" s="211"/>
      <c r="I48" s="179" t="s">
        <v>346</v>
      </c>
      <c r="J48" s="208"/>
      <c r="K48" s="179" t="s">
        <v>347</v>
      </c>
      <c r="L48" s="211"/>
      <c r="M48" s="179" t="s">
        <v>348</v>
      </c>
      <c r="N48" s="91"/>
      <c r="P48" s="91"/>
      <c r="R48" s="72"/>
      <c r="S48" s="364"/>
    </row>
    <row r="49" spans="1:37" s="56" customFormat="1" ht="14.4" thickTop="1" x14ac:dyDescent="0.3">
      <c r="A49" s="364"/>
      <c r="B49" s="247" t="s">
        <v>1613</v>
      </c>
      <c r="C49" s="893" t="s">
        <v>1361</v>
      </c>
      <c r="D49" s="307" t="s">
        <v>300</v>
      </c>
      <c r="E49" s="349" t="s">
        <v>1580</v>
      </c>
      <c r="F49" s="306" t="s">
        <v>300</v>
      </c>
      <c r="G49" s="348" t="s">
        <v>1615</v>
      </c>
      <c r="H49" s="140" t="s">
        <v>300</v>
      </c>
      <c r="I49" s="373">
        <v>55</v>
      </c>
      <c r="J49" s="151" t="s">
        <v>300</v>
      </c>
      <c r="K49" s="202">
        <v>95</v>
      </c>
      <c r="L49" s="140" t="s">
        <v>300</v>
      </c>
      <c r="M49" s="266" t="s">
        <v>377</v>
      </c>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364"/>
    </row>
    <row r="50" spans="1:37" s="56" customFormat="1" x14ac:dyDescent="0.3">
      <c r="A50" s="364"/>
      <c r="B50" s="130" t="s">
        <v>1616</v>
      </c>
      <c r="C50" s="92" t="s">
        <v>1630</v>
      </c>
      <c r="D50" s="142" t="s">
        <v>300</v>
      </c>
      <c r="E50" s="152" t="s">
        <v>1306</v>
      </c>
      <c r="F50" s="181" t="s">
        <v>300</v>
      </c>
      <c r="G50" s="202" t="s">
        <v>1615</v>
      </c>
      <c r="H50" s="403" t="s">
        <v>173</v>
      </c>
      <c r="I50" s="404" t="s">
        <v>173</v>
      </c>
      <c r="J50" s="151" t="s">
        <v>300</v>
      </c>
      <c r="K50" s="202">
        <v>95</v>
      </c>
      <c r="L50" s="142" t="s">
        <v>300</v>
      </c>
      <c r="M50" s="202" t="s">
        <v>377</v>
      </c>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row>
    <row r="51" spans="1:37" x14ac:dyDescent="0.3">
      <c r="A51" s="373"/>
      <c r="B51" s="180" t="s">
        <v>1618</v>
      </c>
      <c r="C51" s="156" t="s">
        <v>1631</v>
      </c>
      <c r="D51" s="160" t="s">
        <v>300</v>
      </c>
      <c r="E51" s="162" t="s">
        <v>1306</v>
      </c>
      <c r="F51" s="174" t="s">
        <v>300</v>
      </c>
      <c r="G51" s="204" t="s">
        <v>1615</v>
      </c>
      <c r="H51" s="405" t="s">
        <v>173</v>
      </c>
      <c r="I51" s="406" t="s">
        <v>173</v>
      </c>
      <c r="J51" s="161" t="s">
        <v>300</v>
      </c>
      <c r="K51" s="204">
        <v>95</v>
      </c>
      <c r="L51" s="160" t="s">
        <v>300</v>
      </c>
      <c r="M51" s="204" t="s">
        <v>377</v>
      </c>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row>
    <row r="52" spans="1:37" s="56" customFormat="1" x14ac:dyDescent="0.3">
      <c r="A52" s="364"/>
      <c r="B52" s="84"/>
      <c r="C52" s="30"/>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row>
    <row r="53" spans="1:37" s="3" customFormat="1" x14ac:dyDescent="0.3">
      <c r="A53" s="89"/>
      <c r="B53" s="90"/>
      <c r="C53" s="89"/>
      <c r="D53" s="91"/>
      <c r="E53" s="89"/>
      <c r="F53" s="91"/>
      <c r="G53" s="89"/>
      <c r="H53" s="91"/>
      <c r="I53" s="89"/>
      <c r="J53" s="91"/>
      <c r="K53" s="89"/>
      <c r="L53" s="91"/>
      <c r="M53" s="89"/>
      <c r="N53" s="91"/>
      <c r="O53" s="89"/>
      <c r="P53" s="364"/>
      <c r="Q53" s="364"/>
      <c r="R53" s="364"/>
      <c r="S53" s="364"/>
      <c r="T53" s="364"/>
      <c r="U53" s="364"/>
      <c r="V53" s="364"/>
      <c r="W53" s="364"/>
      <c r="X53" s="364"/>
      <c r="Y53" s="364"/>
      <c r="Z53" s="364"/>
      <c r="AA53" s="364"/>
      <c r="AB53" s="364"/>
      <c r="AC53" s="364"/>
      <c r="AD53" s="364"/>
      <c r="AE53" s="364"/>
      <c r="AF53" s="364"/>
      <c r="AG53" s="364"/>
      <c r="AH53" s="364"/>
      <c r="AI53" s="364"/>
      <c r="AJ53" s="364"/>
      <c r="AK53" s="364"/>
    </row>
    <row r="54" spans="1:37" s="109" customFormat="1" ht="27.6" x14ac:dyDescent="0.3">
      <c r="A54" s="364"/>
      <c r="B54" s="131" t="s">
        <v>1294</v>
      </c>
      <c r="C54" s="120" t="s">
        <v>382</v>
      </c>
      <c r="D54" s="194"/>
      <c r="E54" s="117" t="s">
        <v>148</v>
      </c>
      <c r="F54" s="173"/>
      <c r="G54" s="173" t="s">
        <v>383</v>
      </c>
      <c r="H54" s="194"/>
      <c r="I54" s="117" t="s">
        <v>385</v>
      </c>
      <c r="J54" s="187"/>
      <c r="K54" s="117" t="s">
        <v>386</v>
      </c>
      <c r="L54" s="427"/>
      <c r="M54" s="117" t="s">
        <v>387</v>
      </c>
      <c r="N54" s="426"/>
      <c r="O54" s="117" t="s">
        <v>388</v>
      </c>
      <c r="P54" s="364"/>
      <c r="Q54" s="364"/>
      <c r="R54" s="364"/>
      <c r="S54" s="364"/>
      <c r="T54" s="364"/>
      <c r="U54" s="364"/>
      <c r="V54" s="364"/>
      <c r="W54" s="364"/>
      <c r="X54" s="364"/>
      <c r="Y54" s="364"/>
      <c r="Z54" s="364"/>
      <c r="AA54" s="364"/>
      <c r="AB54" s="364"/>
      <c r="AC54" s="364"/>
      <c r="AD54" s="364"/>
      <c r="AE54" s="364"/>
      <c r="AF54" s="364"/>
      <c r="AG54" s="364"/>
      <c r="AH54" s="364"/>
      <c r="AI54" s="364"/>
      <c r="AJ54" s="364"/>
      <c r="AK54" s="364"/>
    </row>
    <row r="55" spans="1:37" s="109" customFormat="1" ht="14.4" thickBot="1" x14ac:dyDescent="0.35">
      <c r="A55" s="364"/>
      <c r="B55" s="178" t="s">
        <v>389</v>
      </c>
      <c r="C55" s="176" t="s">
        <v>390</v>
      </c>
      <c r="D55" s="183"/>
      <c r="E55" s="179" t="s">
        <v>391</v>
      </c>
      <c r="F55" s="177"/>
      <c r="G55" s="176" t="s">
        <v>392</v>
      </c>
      <c r="H55" s="183"/>
      <c r="I55" s="179"/>
      <c r="J55" s="189"/>
      <c r="K55" s="338" t="s">
        <v>395</v>
      </c>
      <c r="L55" s="178"/>
      <c r="M55" s="320" t="s">
        <v>396</v>
      </c>
      <c r="N55" s="178"/>
      <c r="O55" s="339" t="s">
        <v>397</v>
      </c>
      <c r="P55" s="364"/>
      <c r="Q55" s="364"/>
      <c r="R55" s="364"/>
      <c r="S55" s="364"/>
      <c r="T55" s="364"/>
      <c r="U55" s="364"/>
      <c r="V55" s="364"/>
      <c r="W55" s="364"/>
      <c r="X55" s="364"/>
      <c r="Y55" s="364"/>
      <c r="Z55" s="364"/>
      <c r="AA55" s="364"/>
      <c r="AB55" s="364"/>
      <c r="AC55" s="364"/>
      <c r="AD55" s="364"/>
      <c r="AE55" s="364"/>
      <c r="AF55" s="364"/>
      <c r="AG55" s="364"/>
      <c r="AH55" s="364"/>
      <c r="AI55" s="364"/>
      <c r="AJ55" s="364"/>
      <c r="AK55" s="364"/>
    </row>
    <row r="56" spans="1:37" s="89" customFormat="1" ht="14.4" thickTop="1" x14ac:dyDescent="0.3">
      <c r="B56" s="894" t="s">
        <v>1361</v>
      </c>
      <c r="C56" s="232" t="s">
        <v>1367</v>
      </c>
      <c r="D56" s="160" t="s">
        <v>300</v>
      </c>
      <c r="E56" s="193" t="s">
        <v>399</v>
      </c>
      <c r="F56" s="174" t="s">
        <v>300</v>
      </c>
      <c r="G56" s="191">
        <v>11</v>
      </c>
      <c r="H56" s="160" t="s">
        <v>300</v>
      </c>
      <c r="I56" s="198">
        <v>1.1499999999999999</v>
      </c>
      <c r="J56" s="355" t="s">
        <v>300</v>
      </c>
      <c r="K56" s="256" t="s">
        <v>400</v>
      </c>
      <c r="L56" s="355" t="s">
        <v>300</v>
      </c>
      <c r="M56" s="255" t="s">
        <v>401</v>
      </c>
      <c r="N56" s="466" t="s">
        <v>300</v>
      </c>
      <c r="O56" s="895" t="s">
        <v>782</v>
      </c>
      <c r="P56" s="364"/>
      <c r="Q56" s="364"/>
      <c r="R56" s="364"/>
      <c r="S56" s="364"/>
      <c r="T56" s="364"/>
      <c r="U56" s="364"/>
      <c r="V56" s="364"/>
      <c r="W56" s="364"/>
      <c r="X56" s="364"/>
      <c r="Y56" s="364"/>
      <c r="Z56" s="364"/>
      <c r="AA56" s="364"/>
      <c r="AB56" s="364"/>
      <c r="AC56" s="364"/>
      <c r="AD56" s="364"/>
      <c r="AE56" s="364"/>
      <c r="AF56" s="364"/>
      <c r="AG56" s="364"/>
      <c r="AH56" s="364"/>
      <c r="AI56" s="364"/>
      <c r="AJ56" s="364"/>
      <c r="AK56" s="364"/>
    </row>
    <row r="57" spans="1:37" s="89" customFormat="1" x14ac:dyDescent="0.3">
      <c r="B57" s="90"/>
      <c r="D57" s="91"/>
      <c r="F57" s="91"/>
      <c r="H57" s="91"/>
      <c r="J57" s="91"/>
      <c r="L57" s="91"/>
      <c r="N57" s="91"/>
      <c r="P57" s="91"/>
      <c r="Q57" s="91"/>
      <c r="R57" s="91"/>
      <c r="S57" s="91"/>
      <c r="T57" s="91"/>
      <c r="U57" s="91"/>
      <c r="V57" s="91"/>
      <c r="W57" s="91"/>
      <c r="X57" s="91"/>
      <c r="Y57" s="91"/>
      <c r="Z57" s="91"/>
      <c r="AA57" s="91"/>
      <c r="AB57" s="91"/>
      <c r="AC57" s="91"/>
      <c r="AD57" s="91"/>
      <c r="AE57" s="91"/>
      <c r="AF57" s="91"/>
      <c r="AG57" s="91"/>
      <c r="AH57" s="91"/>
      <c r="AI57" s="91"/>
      <c r="AJ57" s="91"/>
      <c r="AK57" s="91"/>
    </row>
    <row r="58" spans="1:37" s="89" customFormat="1" x14ac:dyDescent="0.3">
      <c r="B58" s="90"/>
      <c r="D58" s="91"/>
      <c r="F58" s="91"/>
      <c r="H58" s="91"/>
      <c r="J58" s="91"/>
      <c r="L58" s="91"/>
      <c r="N58" s="91"/>
      <c r="P58" s="91"/>
      <c r="Q58" s="91"/>
      <c r="R58" s="91"/>
      <c r="S58" s="91"/>
      <c r="T58" s="91"/>
      <c r="U58" s="91"/>
      <c r="V58" s="91"/>
      <c r="W58" s="91"/>
      <c r="X58" s="91"/>
      <c r="Y58" s="91"/>
      <c r="Z58" s="91"/>
      <c r="AA58" s="91"/>
      <c r="AB58" s="91"/>
      <c r="AC58" s="91"/>
      <c r="AD58" s="91"/>
      <c r="AE58" s="91"/>
      <c r="AF58" s="91"/>
      <c r="AG58" s="91"/>
      <c r="AH58" s="91"/>
      <c r="AI58" s="91"/>
      <c r="AJ58" s="91"/>
      <c r="AK58" s="91"/>
    </row>
    <row r="59" spans="1:37" s="109" customFormat="1" ht="27.6" x14ac:dyDescent="0.3">
      <c r="A59" s="364"/>
      <c r="B59" s="131" t="s">
        <v>1294</v>
      </c>
      <c r="C59" s="120" t="s">
        <v>413</v>
      </c>
      <c r="D59" s="194"/>
      <c r="E59" s="117" t="s">
        <v>148</v>
      </c>
      <c r="F59" s="173"/>
      <c r="G59" s="173" t="s">
        <v>415</v>
      </c>
      <c r="H59" s="194"/>
      <c r="I59" s="117" t="s">
        <v>385</v>
      </c>
      <c r="J59" s="187"/>
      <c r="K59" s="117" t="s">
        <v>416</v>
      </c>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row r="60" spans="1:37" s="109" customFormat="1" ht="14.4" thickBot="1" x14ac:dyDescent="0.35">
      <c r="A60" s="364"/>
      <c r="B60" s="178" t="s">
        <v>417</v>
      </c>
      <c r="C60" s="176" t="s">
        <v>418</v>
      </c>
      <c r="D60" s="183"/>
      <c r="E60" s="179" t="s">
        <v>419</v>
      </c>
      <c r="F60" s="177"/>
      <c r="G60" s="176" t="s">
        <v>420</v>
      </c>
      <c r="H60" s="183"/>
      <c r="I60" s="179"/>
      <c r="J60" s="124"/>
      <c r="K60" s="179" t="s">
        <v>421</v>
      </c>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row>
    <row r="61" spans="1:37" s="89" customFormat="1" ht="14.4" thickTop="1" x14ac:dyDescent="0.3">
      <c r="B61" s="143" t="s">
        <v>1361</v>
      </c>
      <c r="C61" s="365" t="s">
        <v>1372</v>
      </c>
      <c r="D61" s="142" t="s">
        <v>300</v>
      </c>
      <c r="E61" s="192" t="s">
        <v>430</v>
      </c>
      <c r="F61" s="181" t="s">
        <v>300</v>
      </c>
      <c r="G61" s="445">
        <f>0.0051427*(78)+0.3989</f>
        <v>0.80003059999999993</v>
      </c>
      <c r="H61" s="142" t="s">
        <v>300</v>
      </c>
      <c r="I61" s="360">
        <v>1.25</v>
      </c>
      <c r="J61" s="142" t="s">
        <v>300</v>
      </c>
      <c r="K61" s="360" t="s">
        <v>431</v>
      </c>
      <c r="L61" s="91"/>
      <c r="N61" s="91"/>
      <c r="P61" s="91"/>
      <c r="Q61" s="91"/>
      <c r="R61" s="91"/>
      <c r="S61" s="91"/>
      <c r="T61" s="91"/>
      <c r="U61" s="91"/>
      <c r="V61" s="91"/>
      <c r="W61" s="91"/>
      <c r="X61" s="91"/>
      <c r="Y61" s="91"/>
      <c r="Z61" s="91"/>
      <c r="AA61" s="91"/>
      <c r="AB61" s="91"/>
      <c r="AC61" s="91"/>
      <c r="AD61" s="91"/>
      <c r="AE61" s="91"/>
      <c r="AF61" s="91"/>
      <c r="AG61" s="91"/>
      <c r="AH61" s="91"/>
      <c r="AI61" s="91"/>
      <c r="AJ61" s="91"/>
      <c r="AK61" s="91"/>
    </row>
    <row r="62" spans="1:37" s="89" customFormat="1" x14ac:dyDescent="0.3">
      <c r="B62" s="141" t="s">
        <v>1630</v>
      </c>
      <c r="C62" s="373" t="s">
        <v>1632</v>
      </c>
      <c r="D62" s="142" t="s">
        <v>300</v>
      </c>
      <c r="E62" s="192" t="s">
        <v>430</v>
      </c>
      <c r="F62" s="181" t="s">
        <v>300</v>
      </c>
      <c r="G62" s="445">
        <f>0.0051427*(78)+0.3989</f>
        <v>0.80003059999999993</v>
      </c>
      <c r="H62" s="142" t="s">
        <v>300</v>
      </c>
      <c r="I62" s="360">
        <v>1.25</v>
      </c>
      <c r="J62" s="142" t="s">
        <v>300</v>
      </c>
      <c r="K62" s="360" t="s">
        <v>431</v>
      </c>
      <c r="L62" s="91"/>
      <c r="N62" s="91"/>
      <c r="P62" s="91"/>
      <c r="Q62" s="91"/>
      <c r="R62" s="91"/>
      <c r="S62" s="91"/>
      <c r="T62" s="91"/>
      <c r="U62" s="91"/>
      <c r="V62" s="91"/>
      <c r="W62" s="91"/>
      <c r="X62" s="91"/>
      <c r="Y62" s="91"/>
      <c r="Z62" s="91"/>
      <c r="AA62" s="91"/>
      <c r="AB62" s="91"/>
      <c r="AC62" s="91"/>
      <c r="AD62" s="91"/>
      <c r="AE62" s="91"/>
      <c r="AF62" s="91"/>
      <c r="AG62" s="91"/>
      <c r="AH62" s="91"/>
      <c r="AI62" s="91"/>
      <c r="AJ62" s="91"/>
      <c r="AK62" s="91"/>
    </row>
    <row r="63" spans="1:37" s="89" customFormat="1" x14ac:dyDescent="0.3">
      <c r="B63" s="309" t="s">
        <v>1631</v>
      </c>
      <c r="C63" s="165" t="s">
        <v>1633</v>
      </c>
      <c r="D63" s="160" t="s">
        <v>300</v>
      </c>
      <c r="E63" s="193" t="s">
        <v>430</v>
      </c>
      <c r="F63" s="174" t="s">
        <v>300</v>
      </c>
      <c r="G63" s="231">
        <v>0.80003100000000005</v>
      </c>
      <c r="H63" s="160" t="s">
        <v>300</v>
      </c>
      <c r="I63" s="198">
        <v>1.25</v>
      </c>
      <c r="J63" s="160" t="s">
        <v>300</v>
      </c>
      <c r="K63" s="198" t="s">
        <v>431</v>
      </c>
      <c r="L63" s="91"/>
      <c r="N63" s="91"/>
      <c r="P63" s="91"/>
      <c r="Q63" s="91"/>
      <c r="R63" s="91"/>
      <c r="S63" s="91"/>
      <c r="T63" s="91"/>
      <c r="U63" s="91"/>
      <c r="V63" s="91"/>
      <c r="W63" s="91"/>
      <c r="X63" s="91"/>
      <c r="Y63" s="91"/>
      <c r="Z63" s="91"/>
      <c r="AA63" s="91"/>
      <c r="AB63" s="91"/>
      <c r="AC63" s="91"/>
      <c r="AD63" s="91"/>
      <c r="AE63" s="91"/>
      <c r="AF63" s="91"/>
      <c r="AG63" s="91"/>
      <c r="AH63" s="91"/>
      <c r="AI63" s="91"/>
      <c r="AJ63" s="91"/>
      <c r="AK63" s="91"/>
    </row>
    <row r="64" spans="1:37" s="89" customFormat="1" x14ac:dyDescent="0.3">
      <c r="B64" s="90"/>
      <c r="D64" s="91"/>
      <c r="F64" s="91"/>
      <c r="H64" s="91"/>
      <c r="J64" s="91"/>
      <c r="L64" s="91"/>
      <c r="N64" s="91"/>
      <c r="P64" s="91"/>
      <c r="Q64" s="91"/>
      <c r="R64" s="91"/>
      <c r="S64" s="91"/>
      <c r="T64" s="91"/>
      <c r="U64" s="91"/>
      <c r="V64" s="91"/>
      <c r="W64" s="91"/>
      <c r="X64" s="91"/>
      <c r="Y64" s="91"/>
      <c r="Z64" s="91"/>
      <c r="AA64" s="91"/>
      <c r="AB64" s="91"/>
      <c r="AC64" s="91"/>
      <c r="AD64" s="91"/>
      <c r="AE64" s="91"/>
      <c r="AF64" s="91"/>
      <c r="AG64" s="91"/>
      <c r="AH64" s="91"/>
      <c r="AI64" s="91"/>
      <c r="AJ64" s="91"/>
      <c r="AK64" s="91"/>
    </row>
    <row r="65" spans="1:24" s="89" customFormat="1" x14ac:dyDescent="0.3">
      <c r="B65" s="90"/>
      <c r="D65" s="91"/>
      <c r="F65" s="91"/>
      <c r="H65" s="91"/>
      <c r="J65" s="91"/>
      <c r="L65" s="91"/>
      <c r="N65" s="91"/>
      <c r="P65" s="91"/>
      <c r="Q65" s="397"/>
      <c r="R65" s="397"/>
      <c r="T65" s="397"/>
      <c r="U65" s="531"/>
    </row>
    <row r="66" spans="1:24" s="109" customFormat="1" ht="27.6" x14ac:dyDescent="0.3">
      <c r="A66" s="364"/>
      <c r="B66" s="131" t="s">
        <v>1294</v>
      </c>
      <c r="C66" s="120" t="s">
        <v>432</v>
      </c>
      <c r="D66" s="131"/>
      <c r="E66" s="117" t="s">
        <v>433</v>
      </c>
      <c r="F66" s="120"/>
      <c r="G66" s="173" t="s">
        <v>434</v>
      </c>
      <c r="H66" s="131"/>
      <c r="I66" s="117" t="s">
        <v>435</v>
      </c>
      <c r="J66" s="120"/>
      <c r="K66" s="117" t="s">
        <v>436</v>
      </c>
      <c r="L66" s="173"/>
      <c r="M66" s="120" t="s">
        <v>1634</v>
      </c>
      <c r="N66" s="194"/>
      <c r="O66" s="117" t="s">
        <v>438</v>
      </c>
      <c r="P66" s="173"/>
      <c r="Q66" s="173" t="s">
        <v>439</v>
      </c>
      <c r="R66" s="194"/>
      <c r="S66" s="117" t="s">
        <v>440</v>
      </c>
      <c r="T66" s="364"/>
      <c r="U66" s="364"/>
      <c r="V66" s="364"/>
      <c r="W66" s="364"/>
      <c r="X66" s="364"/>
    </row>
    <row r="67" spans="1:24" s="109" customFormat="1" ht="14.4" thickBot="1" x14ac:dyDescent="0.35">
      <c r="A67" s="364"/>
      <c r="B67" s="178" t="s">
        <v>417</v>
      </c>
      <c r="C67" s="176" t="s">
        <v>442</v>
      </c>
      <c r="D67" s="183"/>
      <c r="E67" s="179" t="s">
        <v>443</v>
      </c>
      <c r="F67" s="177"/>
      <c r="G67" s="176" t="s">
        <v>444</v>
      </c>
      <c r="H67" s="178"/>
      <c r="I67" s="179"/>
      <c r="J67" s="177"/>
      <c r="K67" s="179" t="s">
        <v>445</v>
      </c>
      <c r="L67" s="177"/>
      <c r="M67" s="176" t="s">
        <v>446</v>
      </c>
      <c r="N67" s="183"/>
      <c r="O67" s="179" t="s">
        <v>447</v>
      </c>
      <c r="P67" s="177"/>
      <c r="Q67" s="176" t="s">
        <v>448</v>
      </c>
      <c r="R67" s="183"/>
      <c r="S67" s="179" t="s">
        <v>449</v>
      </c>
      <c r="T67" s="364"/>
      <c r="U67" s="364"/>
      <c r="V67" s="364"/>
      <c r="W67" s="364"/>
      <c r="X67" s="364"/>
    </row>
    <row r="68" spans="1:24" s="56" customFormat="1" ht="14.4" thickTop="1" x14ac:dyDescent="0.3">
      <c r="A68" s="364"/>
      <c r="B68" s="143" t="s">
        <v>1361</v>
      </c>
      <c r="C68" s="896" t="s">
        <v>1377</v>
      </c>
      <c r="D68" s="142"/>
      <c r="E68" s="361" t="s">
        <v>451</v>
      </c>
      <c r="F68" s="142"/>
      <c r="G68" s="363" t="s">
        <v>452</v>
      </c>
      <c r="H68" s="333"/>
      <c r="I68" s="643">
        <v>2487.65</v>
      </c>
      <c r="J68" s="142"/>
      <c r="K68" s="897">
        <f>0.00094*I68</f>
        <v>2.3383910000000001</v>
      </c>
      <c r="L68" s="142"/>
      <c r="M68" s="254">
        <v>0.65</v>
      </c>
      <c r="N68" s="142"/>
      <c r="O68" s="899">
        <v>3.8771200000000001</v>
      </c>
      <c r="P68" s="181" t="s">
        <v>300</v>
      </c>
      <c r="Q68" s="901">
        <v>3</v>
      </c>
      <c r="R68" s="142" t="s">
        <v>300</v>
      </c>
      <c r="S68" s="703">
        <v>0.89500000000000002</v>
      </c>
      <c r="T68" s="364"/>
      <c r="U68" s="364"/>
      <c r="V68" s="364"/>
      <c r="W68" s="364"/>
      <c r="X68" s="364"/>
    </row>
    <row r="69" spans="1:24" s="56" customFormat="1" x14ac:dyDescent="0.3">
      <c r="A69" s="364"/>
      <c r="B69" s="141" t="s">
        <v>1630</v>
      </c>
      <c r="C69" s="185" t="s">
        <v>1635</v>
      </c>
      <c r="D69" s="142" t="s">
        <v>300</v>
      </c>
      <c r="E69" s="202" t="s">
        <v>1378</v>
      </c>
      <c r="F69" s="142"/>
      <c r="G69" s="363" t="s">
        <v>452</v>
      </c>
      <c r="H69" s="333"/>
      <c r="I69" s="643">
        <v>5399.21</v>
      </c>
      <c r="J69" s="142"/>
      <c r="K69" s="897">
        <f>0.53*I69/746*S69</f>
        <v>3.4331303800268103</v>
      </c>
      <c r="L69" s="142"/>
      <c r="M69" s="254">
        <v>0.65</v>
      </c>
      <c r="N69" s="142"/>
      <c r="O69" s="899">
        <v>2.6240600000000001</v>
      </c>
      <c r="P69" s="181" t="s">
        <v>300</v>
      </c>
      <c r="Q69" s="901">
        <v>5</v>
      </c>
      <c r="R69" s="142" t="s">
        <v>300</v>
      </c>
      <c r="S69" s="703">
        <v>0.89500000000000002</v>
      </c>
      <c r="T69" s="364"/>
      <c r="U69" s="364"/>
      <c r="V69" s="364"/>
      <c r="W69" s="364"/>
      <c r="X69" s="364"/>
    </row>
    <row r="70" spans="1:24" s="364" customFormat="1" x14ac:dyDescent="0.3">
      <c r="B70" s="309" t="s">
        <v>1631</v>
      </c>
      <c r="C70" s="353" t="s">
        <v>1636</v>
      </c>
      <c r="D70" s="160" t="s">
        <v>300</v>
      </c>
      <c r="E70" s="204" t="s">
        <v>1378</v>
      </c>
      <c r="F70" s="160"/>
      <c r="G70" s="191" t="s">
        <v>452</v>
      </c>
      <c r="H70" s="334"/>
      <c r="I70" s="644">
        <v>25939.8</v>
      </c>
      <c r="J70" s="160"/>
      <c r="K70" s="898">
        <f>0.53*I70/746*S70</f>
        <v>17.139044798927618</v>
      </c>
      <c r="L70" s="160"/>
      <c r="M70" s="249">
        <v>0.65</v>
      </c>
      <c r="N70" s="160"/>
      <c r="O70" s="900">
        <v>2.72668</v>
      </c>
      <c r="P70" s="174"/>
      <c r="Q70" s="902">
        <v>20</v>
      </c>
      <c r="R70" s="160"/>
      <c r="S70" s="880">
        <v>0.93</v>
      </c>
    </row>
    <row r="71" spans="1:24" x14ac:dyDescent="0.3">
      <c r="A71" s="364"/>
      <c r="B71" s="92"/>
      <c r="C71" s="366"/>
      <c r="D71" s="373"/>
      <c r="E71" s="373"/>
      <c r="F71" s="373"/>
      <c r="G71" s="373"/>
      <c r="H71" s="373"/>
      <c r="I71" s="373"/>
      <c r="J71" s="373"/>
      <c r="K71" s="367"/>
      <c r="L71" s="373"/>
      <c r="M71" s="367"/>
      <c r="N71" s="373"/>
      <c r="O71" s="367"/>
      <c r="P71" s="373"/>
      <c r="Q71" s="367"/>
      <c r="R71" s="373"/>
      <c r="S71" s="367"/>
      <c r="T71" s="373"/>
      <c r="U71" s="373"/>
      <c r="V71" s="373"/>
      <c r="W71" s="373"/>
      <c r="X71" s="373"/>
    </row>
    <row r="73" spans="1:24" s="364" customFormat="1" ht="27.6" x14ac:dyDescent="0.3">
      <c r="A73" s="89"/>
      <c r="B73" s="115" t="s">
        <v>522</v>
      </c>
      <c r="C73" s="120" t="s">
        <v>523</v>
      </c>
      <c r="D73" s="210"/>
      <c r="E73" s="148" t="s">
        <v>533</v>
      </c>
      <c r="F73" s="131"/>
      <c r="G73" s="148" t="s">
        <v>534</v>
      </c>
      <c r="J73" s="982"/>
      <c r="K73" s="982"/>
      <c r="L73" s="982"/>
      <c r="M73" s="89"/>
      <c r="N73" s="89"/>
      <c r="O73" s="982"/>
      <c r="P73" s="982"/>
      <c r="Q73" s="982"/>
      <c r="R73" s="982"/>
      <c r="S73" s="982"/>
      <c r="T73" s="982"/>
      <c r="U73" s="358"/>
      <c r="V73" s="358"/>
      <c r="W73" s="358"/>
      <c r="X73" s="358"/>
    </row>
    <row r="74" spans="1:24" s="364" customFormat="1" ht="15" thickBot="1" x14ac:dyDescent="0.35">
      <c r="A74" s="89"/>
      <c r="B74" s="178" t="s">
        <v>535</v>
      </c>
      <c r="C74" s="176" t="s">
        <v>536</v>
      </c>
      <c r="D74" s="211"/>
      <c r="E74" s="179" t="s">
        <v>543</v>
      </c>
      <c r="F74" s="211"/>
      <c r="G74" s="179" t="s">
        <v>544</v>
      </c>
      <c r="J74" s="982"/>
      <c r="K74" s="982"/>
      <c r="L74" s="982"/>
      <c r="M74" s="89"/>
      <c r="N74" s="89"/>
      <c r="O74" s="982"/>
      <c r="P74" s="982"/>
      <c r="Q74" s="982"/>
      <c r="R74" s="982"/>
      <c r="S74" s="982"/>
      <c r="T74" s="982"/>
      <c r="U74" s="358"/>
      <c r="V74" s="358"/>
      <c r="W74" s="358"/>
      <c r="X74" s="358"/>
    </row>
    <row r="75" spans="1:24" s="357" customFormat="1" ht="14.4" thickTop="1" x14ac:dyDescent="0.3">
      <c r="A75" s="89"/>
      <c r="B75" s="141" t="s">
        <v>1613</v>
      </c>
      <c r="C75" s="373" t="s">
        <v>546</v>
      </c>
      <c r="D75" s="413" t="s">
        <v>300</v>
      </c>
      <c r="E75" s="373" t="s">
        <v>1628</v>
      </c>
      <c r="F75" s="411" t="s">
        <v>300</v>
      </c>
      <c r="G75" s="266" t="s">
        <v>1629</v>
      </c>
      <c r="M75" s="89"/>
      <c r="N75" s="89"/>
      <c r="U75" s="359"/>
      <c r="V75" s="359"/>
      <c r="W75" s="359"/>
      <c r="X75" s="359"/>
    </row>
    <row r="76" spans="1:24" s="364" customFormat="1" x14ac:dyDescent="0.3">
      <c r="A76" s="89"/>
      <c r="B76" s="141" t="s">
        <v>1616</v>
      </c>
      <c r="C76" s="373" t="s">
        <v>546</v>
      </c>
      <c r="D76" s="342" t="s">
        <v>173</v>
      </c>
      <c r="E76" s="379" t="s">
        <v>173</v>
      </c>
      <c r="F76" s="411" t="s">
        <v>300</v>
      </c>
      <c r="G76" s="266" t="s">
        <v>1629</v>
      </c>
      <c r="J76" s="357"/>
      <c r="K76" s="357"/>
      <c r="L76" s="357"/>
      <c r="M76" s="89"/>
      <c r="N76" s="89"/>
      <c r="O76" s="357"/>
      <c r="P76" s="357"/>
      <c r="Q76" s="357"/>
      <c r="R76" s="357"/>
      <c r="S76" s="357"/>
      <c r="T76" s="357"/>
      <c r="U76" s="359"/>
      <c r="V76" s="359"/>
      <c r="W76" s="359"/>
      <c r="X76" s="359"/>
    </row>
    <row r="77" spans="1:24" s="357" customFormat="1" x14ac:dyDescent="0.3">
      <c r="A77" s="89"/>
      <c r="B77" s="180" t="s">
        <v>1618</v>
      </c>
      <c r="C77" s="165" t="s">
        <v>546</v>
      </c>
      <c r="D77" s="343" t="s">
        <v>173</v>
      </c>
      <c r="E77" s="276" t="s">
        <v>173</v>
      </c>
      <c r="F77" s="410" t="s">
        <v>300</v>
      </c>
      <c r="G77" s="250" t="s">
        <v>1629</v>
      </c>
      <c r="M77" s="89"/>
      <c r="N77" s="89"/>
      <c r="U77" s="359"/>
      <c r="V77" s="359"/>
      <c r="W77" s="359"/>
      <c r="X77" s="359"/>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37"/>
  <sheetViews>
    <sheetView showGridLines="0" zoomScale="70" zoomScaleNormal="70" workbookViewId="0"/>
  </sheetViews>
  <sheetFormatPr defaultColWidth="9.109375" defaultRowHeight="14.4" outlineLevelCol="1" x14ac:dyDescent="0.3"/>
  <cols>
    <col min="1" max="1" width="9.109375" style="496"/>
    <col min="2" max="2" width="6.88671875" style="496" customWidth="1"/>
    <col min="3" max="3" width="16" style="496" customWidth="1"/>
    <col min="4" max="7" width="26.109375" style="496" customWidth="1"/>
    <col min="8" max="8" width="74.44140625" style="496" customWidth="1"/>
    <col min="9" max="9" width="36" style="494" customWidth="1" collapsed="1"/>
    <col min="10" max="10" width="61.88671875" style="495" hidden="1" customWidth="1" outlineLevel="1"/>
    <col min="11" max="16384" width="9.109375" style="496"/>
  </cols>
  <sheetData>
    <row r="1" spans="1:10" x14ac:dyDescent="0.3">
      <c r="A1" s="106"/>
      <c r="B1" s="106"/>
      <c r="C1" s="106"/>
      <c r="D1" s="106"/>
      <c r="E1" s="106"/>
      <c r="F1" s="106"/>
      <c r="G1" s="106"/>
      <c r="H1" s="106"/>
    </row>
    <row r="2" spans="1:10" x14ac:dyDescent="0.3">
      <c r="A2" s="106"/>
      <c r="B2" s="106"/>
      <c r="C2" s="106"/>
      <c r="D2" s="106"/>
      <c r="E2" s="106"/>
      <c r="F2" s="106"/>
      <c r="G2" s="106"/>
      <c r="H2" s="106"/>
    </row>
    <row r="3" spans="1:10" ht="30" customHeight="1" x14ac:dyDescent="0.3">
      <c r="A3" s="106"/>
      <c r="B3" s="730" t="s">
        <v>15</v>
      </c>
      <c r="C3" s="540"/>
      <c r="D3" s="540"/>
      <c r="E3" s="540"/>
      <c r="F3" s="540"/>
      <c r="G3" s="540"/>
      <c r="H3" s="540"/>
      <c r="I3" s="390"/>
      <c r="J3" s="390"/>
    </row>
    <row r="4" spans="1:10" s="378" customFormat="1" ht="26.4" x14ac:dyDescent="0.3">
      <c r="A4" s="392"/>
      <c r="B4" s="497" t="s">
        <v>16</v>
      </c>
      <c r="C4" s="497" t="s">
        <v>17</v>
      </c>
      <c r="D4" s="497" t="s">
        <v>18</v>
      </c>
      <c r="E4" s="497" t="s">
        <v>19</v>
      </c>
      <c r="F4" s="497" t="s">
        <v>20</v>
      </c>
      <c r="G4" s="497" t="s">
        <v>21</v>
      </c>
      <c r="H4" s="497" t="s">
        <v>22</v>
      </c>
      <c r="I4" s="497" t="s">
        <v>23</v>
      </c>
      <c r="J4" s="497" t="s">
        <v>24</v>
      </c>
    </row>
    <row r="5" spans="1:10" s="378" customFormat="1" x14ac:dyDescent="0.3">
      <c r="A5" s="392"/>
      <c r="B5" s="497"/>
      <c r="C5" s="497"/>
      <c r="D5" s="497"/>
      <c r="E5" s="497"/>
      <c r="F5" s="497"/>
      <c r="G5" s="497"/>
      <c r="H5" s="497"/>
      <c r="I5" s="497"/>
      <c r="J5" s="497"/>
    </row>
    <row r="6" spans="1:10" ht="26.4" x14ac:dyDescent="0.3">
      <c r="A6" s="106"/>
      <c r="B6" s="498">
        <v>1</v>
      </c>
      <c r="C6" s="499" t="s">
        <v>25</v>
      </c>
      <c r="D6" s="499" t="s">
        <v>26</v>
      </c>
      <c r="E6" s="499" t="s">
        <v>27</v>
      </c>
      <c r="F6" s="499" t="s">
        <v>28</v>
      </c>
      <c r="G6" s="499" t="s">
        <v>29</v>
      </c>
      <c r="H6" s="499"/>
      <c r="I6" s="498"/>
      <c r="J6" s="499"/>
    </row>
    <row r="7" spans="1:10" ht="26.4" x14ac:dyDescent="0.3">
      <c r="A7" s="106"/>
      <c r="B7" s="498">
        <v>2</v>
      </c>
      <c r="C7" s="499" t="s">
        <v>25</v>
      </c>
      <c r="D7" s="507" t="s">
        <v>30</v>
      </c>
      <c r="E7" s="499" t="s">
        <v>27</v>
      </c>
      <c r="F7" s="499" t="s">
        <v>28</v>
      </c>
      <c r="G7" s="499" t="s">
        <v>29</v>
      </c>
      <c r="H7" s="499"/>
      <c r="I7" s="498"/>
      <c r="J7" s="499"/>
    </row>
    <row r="8" spans="1:10" ht="83.25" hidden="1" customHeight="1" x14ac:dyDescent="0.3">
      <c r="A8" s="500"/>
      <c r="B8" s="498">
        <v>3</v>
      </c>
      <c r="C8" s="499" t="s">
        <v>31</v>
      </c>
      <c r="D8" s="499" t="s">
        <v>32</v>
      </c>
      <c r="E8" s="499" t="s">
        <v>27</v>
      </c>
      <c r="F8" s="699" t="s">
        <v>33</v>
      </c>
      <c r="G8" s="699" t="s">
        <v>34</v>
      </c>
      <c r="H8" s="499"/>
      <c r="I8" s="498"/>
      <c r="J8" s="499"/>
    </row>
    <row r="9" spans="1:10" ht="26.4" x14ac:dyDescent="0.3">
      <c r="A9" s="106"/>
      <c r="B9" s="498">
        <v>4</v>
      </c>
      <c r="C9" s="499" t="s">
        <v>35</v>
      </c>
      <c r="D9" s="499" t="s">
        <v>36</v>
      </c>
      <c r="E9" s="499" t="s">
        <v>27</v>
      </c>
      <c r="F9" s="499" t="s">
        <v>28</v>
      </c>
      <c r="G9" s="499" t="s">
        <v>37</v>
      </c>
      <c r="H9" s="499"/>
      <c r="I9" s="498"/>
      <c r="J9" s="499"/>
    </row>
    <row r="10" spans="1:10" x14ac:dyDescent="0.3">
      <c r="A10" s="106"/>
      <c r="B10" s="498">
        <v>5</v>
      </c>
      <c r="C10" s="499" t="s">
        <v>38</v>
      </c>
      <c r="D10" s="499" t="s">
        <v>39</v>
      </c>
      <c r="E10" s="499" t="s">
        <v>27</v>
      </c>
      <c r="F10" s="499" t="s">
        <v>40</v>
      </c>
      <c r="G10" s="499" t="s">
        <v>41</v>
      </c>
      <c r="H10" s="499"/>
      <c r="I10" s="498"/>
      <c r="J10" s="499"/>
    </row>
    <row r="11" spans="1:10" x14ac:dyDescent="0.3">
      <c r="A11" s="106"/>
      <c r="B11" s="498">
        <v>6</v>
      </c>
      <c r="C11" s="499" t="s">
        <v>38</v>
      </c>
      <c r="D11" s="499" t="s">
        <v>42</v>
      </c>
      <c r="E11" s="499" t="s">
        <v>27</v>
      </c>
      <c r="F11" s="499" t="s">
        <v>40</v>
      </c>
      <c r="G11" s="499" t="s">
        <v>41</v>
      </c>
      <c r="H11" s="499"/>
      <c r="I11" s="498"/>
      <c r="J11" s="499"/>
    </row>
    <row r="12" spans="1:10" ht="26.4" x14ac:dyDescent="0.3">
      <c r="A12" s="106"/>
      <c r="B12" s="498">
        <v>7</v>
      </c>
      <c r="C12" s="499" t="s">
        <v>43</v>
      </c>
      <c r="D12" s="499" t="s">
        <v>44</v>
      </c>
      <c r="E12" s="499" t="s">
        <v>27</v>
      </c>
      <c r="F12" s="499" t="s">
        <v>45</v>
      </c>
      <c r="G12" s="499" t="s">
        <v>46</v>
      </c>
      <c r="H12" s="499"/>
      <c r="I12" s="498"/>
      <c r="J12" s="499"/>
    </row>
    <row r="13" spans="1:10" ht="26.4" collapsed="1" x14ac:dyDescent="0.3">
      <c r="A13" s="106"/>
      <c r="B13" s="498">
        <v>8</v>
      </c>
      <c r="C13" s="499" t="s">
        <v>43</v>
      </c>
      <c r="D13" s="499" t="s">
        <v>47</v>
      </c>
      <c r="E13" s="499" t="s">
        <v>27</v>
      </c>
      <c r="F13" s="499" t="s">
        <v>45</v>
      </c>
      <c r="G13" s="499" t="s">
        <v>48</v>
      </c>
      <c r="H13" s="501"/>
      <c r="I13" s="838"/>
      <c r="J13" s="502"/>
    </row>
    <row r="14" spans="1:10" hidden="1" x14ac:dyDescent="0.3">
      <c r="A14" s="503"/>
      <c r="B14" s="504">
        <v>9</v>
      </c>
      <c r="C14" s="505" t="s">
        <v>43</v>
      </c>
      <c r="D14" s="505" t="s">
        <v>49</v>
      </c>
      <c r="E14" s="505" t="s">
        <v>27</v>
      </c>
      <c r="F14" s="505" t="s">
        <v>45</v>
      </c>
      <c r="G14" s="505" t="s">
        <v>50</v>
      </c>
      <c r="H14" s="505"/>
      <c r="I14" s="506"/>
      <c r="J14" s="505"/>
    </row>
    <row r="15" spans="1:10" ht="26.4" hidden="1" x14ac:dyDescent="0.3">
      <c r="A15" s="503"/>
      <c r="B15" s="504">
        <v>10</v>
      </c>
      <c r="C15" s="505" t="s">
        <v>35</v>
      </c>
      <c r="D15" s="505" t="s">
        <v>51</v>
      </c>
      <c r="E15" s="505" t="s">
        <v>27</v>
      </c>
      <c r="F15" s="505" t="s">
        <v>52</v>
      </c>
      <c r="G15" s="505" t="s">
        <v>53</v>
      </c>
      <c r="H15" s="505"/>
      <c r="I15" s="506"/>
      <c r="J15" s="505"/>
    </row>
    <row r="16" spans="1:10" ht="39.6" hidden="1" x14ac:dyDescent="0.3">
      <c r="A16" s="106"/>
      <c r="B16" s="498">
        <v>11</v>
      </c>
      <c r="C16" s="499" t="s">
        <v>38</v>
      </c>
      <c r="D16" s="499" t="s">
        <v>54</v>
      </c>
      <c r="E16" s="499" t="s">
        <v>27</v>
      </c>
      <c r="F16" s="499" t="s">
        <v>52</v>
      </c>
      <c r="G16" s="507" t="s">
        <v>55</v>
      </c>
      <c r="H16" s="499"/>
      <c r="I16" s="498"/>
      <c r="J16" s="499"/>
    </row>
    <row r="17" spans="1:10" ht="26.4" x14ac:dyDescent="0.3">
      <c r="A17" s="106"/>
      <c r="B17" s="498">
        <v>12</v>
      </c>
      <c r="C17" s="499" t="s">
        <v>35</v>
      </c>
      <c r="D17" s="499" t="s">
        <v>56</v>
      </c>
      <c r="E17" s="499" t="s">
        <v>27</v>
      </c>
      <c r="F17" s="499" t="s">
        <v>57</v>
      </c>
      <c r="G17" s="499" t="s">
        <v>58</v>
      </c>
      <c r="H17" s="499"/>
      <c r="I17" s="498"/>
      <c r="J17" s="499"/>
    </row>
    <row r="18" spans="1:10" ht="26.4" x14ac:dyDescent="0.3">
      <c r="A18" s="106"/>
      <c r="B18" s="498">
        <v>13</v>
      </c>
      <c r="C18" s="499" t="s">
        <v>35</v>
      </c>
      <c r="D18" s="499" t="s">
        <v>59</v>
      </c>
      <c r="E18" s="499" t="s">
        <v>27</v>
      </c>
      <c r="F18" s="499" t="s">
        <v>57</v>
      </c>
      <c r="G18" s="499" t="s">
        <v>58</v>
      </c>
      <c r="H18" s="499"/>
      <c r="I18" s="498"/>
      <c r="J18" s="499"/>
    </row>
    <row r="19" spans="1:10" ht="26.4" x14ac:dyDescent="0.3">
      <c r="A19" s="106"/>
      <c r="B19" s="498">
        <v>14</v>
      </c>
      <c r="C19" s="499" t="s">
        <v>25</v>
      </c>
      <c r="D19" s="499" t="s">
        <v>60</v>
      </c>
      <c r="E19" s="499" t="s">
        <v>27</v>
      </c>
      <c r="F19" s="499" t="s">
        <v>57</v>
      </c>
      <c r="G19" s="499" t="s">
        <v>61</v>
      </c>
      <c r="H19" s="499"/>
      <c r="I19" s="498"/>
      <c r="J19" s="499"/>
    </row>
    <row r="20" spans="1:10" x14ac:dyDescent="0.3">
      <c r="A20" s="106"/>
      <c r="B20" s="498">
        <v>15</v>
      </c>
      <c r="C20" s="499" t="s">
        <v>43</v>
      </c>
      <c r="D20" s="499" t="s">
        <v>62</v>
      </c>
      <c r="E20" s="499" t="s">
        <v>27</v>
      </c>
      <c r="F20" s="499" t="s">
        <v>63</v>
      </c>
      <c r="G20" s="499" t="s">
        <v>64</v>
      </c>
      <c r="H20" s="502"/>
      <c r="I20" s="498"/>
      <c r="J20" s="499"/>
    </row>
    <row r="21" spans="1:10" collapsed="1" x14ac:dyDescent="0.3">
      <c r="A21" s="106"/>
      <c r="B21" s="498">
        <v>16</v>
      </c>
      <c r="C21" s="499" t="s">
        <v>65</v>
      </c>
      <c r="D21" s="499" t="s">
        <v>66</v>
      </c>
      <c r="E21" s="499" t="s">
        <v>27</v>
      </c>
      <c r="F21" s="499" t="s">
        <v>63</v>
      </c>
      <c r="G21" s="499" t="s">
        <v>67</v>
      </c>
      <c r="H21" s="501"/>
      <c r="I21" s="498"/>
      <c r="J21" s="499"/>
    </row>
    <row r="22" spans="1:10" ht="26.4" hidden="1" x14ac:dyDescent="0.3">
      <c r="A22" s="503"/>
      <c r="B22" s="504">
        <v>17</v>
      </c>
      <c r="C22" s="505" t="s">
        <v>38</v>
      </c>
      <c r="D22" s="505" t="s">
        <v>68</v>
      </c>
      <c r="E22" s="505" t="s">
        <v>27</v>
      </c>
      <c r="F22" s="505" t="s">
        <v>69</v>
      </c>
      <c r="G22" s="505" t="s">
        <v>70</v>
      </c>
      <c r="H22" s="505" t="s">
        <v>71</v>
      </c>
      <c r="I22" s="506"/>
      <c r="J22" s="505"/>
    </row>
    <row r="23" spans="1:10" ht="52.8" hidden="1" x14ac:dyDescent="0.3">
      <c r="A23" s="106"/>
      <c r="B23" s="498">
        <v>18</v>
      </c>
      <c r="C23" s="499" t="s">
        <v>25</v>
      </c>
      <c r="D23" s="499" t="s">
        <v>72</v>
      </c>
      <c r="E23" s="499" t="s">
        <v>27</v>
      </c>
      <c r="F23" s="499" t="s">
        <v>73</v>
      </c>
      <c r="G23" s="507" t="s">
        <v>74</v>
      </c>
      <c r="H23" s="499"/>
      <c r="I23" s="498"/>
      <c r="J23" s="499"/>
    </row>
    <row r="24" spans="1:10" ht="52.8" x14ac:dyDescent="0.3">
      <c r="A24" s="503"/>
      <c r="B24" s="498">
        <v>19</v>
      </c>
      <c r="C24" s="499" t="s">
        <v>35</v>
      </c>
      <c r="D24" s="499" t="s">
        <v>75</v>
      </c>
      <c r="E24" s="499" t="s">
        <v>27</v>
      </c>
      <c r="F24" s="499" t="s">
        <v>73</v>
      </c>
      <c r="G24" s="507" t="s">
        <v>76</v>
      </c>
      <c r="H24" s="499"/>
      <c r="I24" s="498"/>
      <c r="J24" s="499"/>
    </row>
    <row r="25" spans="1:10" x14ac:dyDescent="0.3">
      <c r="A25" s="503"/>
      <c r="B25" s="985">
        <v>20</v>
      </c>
      <c r="C25" s="986" t="s">
        <v>38</v>
      </c>
      <c r="D25" s="986" t="s">
        <v>77</v>
      </c>
      <c r="E25" s="986" t="s">
        <v>27</v>
      </c>
      <c r="F25" s="986" t="s">
        <v>73</v>
      </c>
      <c r="G25" s="986" t="s">
        <v>78</v>
      </c>
      <c r="H25" s="499" t="s">
        <v>1767</v>
      </c>
      <c r="I25" s="498"/>
      <c r="J25" s="499"/>
    </row>
    <row r="26" spans="1:10" hidden="1" x14ac:dyDescent="0.3">
      <c r="A26" s="106"/>
      <c r="B26" s="985">
        <v>21</v>
      </c>
      <c r="C26" s="986" t="s">
        <v>43</v>
      </c>
      <c r="D26" s="986" t="s">
        <v>79</v>
      </c>
      <c r="E26" s="986" t="s">
        <v>27</v>
      </c>
      <c r="F26" s="986" t="s">
        <v>73</v>
      </c>
      <c r="G26" s="986" t="s">
        <v>80</v>
      </c>
      <c r="H26" s="499"/>
      <c r="I26" s="498"/>
      <c r="J26" s="499"/>
    </row>
    <row r="27" spans="1:10" ht="26.4" hidden="1" x14ac:dyDescent="0.3">
      <c r="A27" s="106"/>
      <c r="B27" s="985">
        <v>22</v>
      </c>
      <c r="C27" s="986" t="s">
        <v>81</v>
      </c>
      <c r="D27" s="986" t="s">
        <v>82</v>
      </c>
      <c r="E27" s="986" t="s">
        <v>27</v>
      </c>
      <c r="F27" s="986" t="s">
        <v>73</v>
      </c>
      <c r="G27" s="986" t="s">
        <v>83</v>
      </c>
      <c r="H27" s="499"/>
      <c r="I27" s="498"/>
      <c r="J27" s="499"/>
    </row>
    <row r="28" spans="1:10" ht="52.8" hidden="1" x14ac:dyDescent="0.3">
      <c r="A28" s="503"/>
      <c r="B28" s="985">
        <v>23</v>
      </c>
      <c r="C28" s="986" t="s">
        <v>35</v>
      </c>
      <c r="D28" s="986" t="s">
        <v>84</v>
      </c>
      <c r="E28" s="986" t="s">
        <v>85</v>
      </c>
      <c r="F28" s="986" t="s">
        <v>33</v>
      </c>
      <c r="G28" s="987" t="s">
        <v>86</v>
      </c>
      <c r="H28" s="499"/>
      <c r="I28" s="498"/>
      <c r="J28" s="499"/>
    </row>
    <row r="29" spans="1:10" ht="26.4" x14ac:dyDescent="0.3">
      <c r="A29" s="106"/>
      <c r="B29" s="985">
        <v>24</v>
      </c>
      <c r="C29" s="986" t="s">
        <v>25</v>
      </c>
      <c r="D29" s="986" t="s">
        <v>87</v>
      </c>
      <c r="E29" s="986" t="s">
        <v>85</v>
      </c>
      <c r="F29" s="986" t="s">
        <v>88</v>
      </c>
      <c r="G29" s="986" t="s">
        <v>89</v>
      </c>
      <c r="H29" s="499" t="s">
        <v>1767</v>
      </c>
      <c r="I29" s="498"/>
      <c r="J29" s="499"/>
    </row>
    <row r="30" spans="1:10" x14ac:dyDescent="0.3">
      <c r="A30" s="106"/>
      <c r="B30" s="985">
        <v>25</v>
      </c>
      <c r="C30" s="986" t="s">
        <v>25</v>
      </c>
      <c r="D30" s="986" t="s">
        <v>90</v>
      </c>
      <c r="E30" s="986" t="s">
        <v>85</v>
      </c>
      <c r="F30" s="986" t="s">
        <v>40</v>
      </c>
      <c r="G30" s="986" t="s">
        <v>91</v>
      </c>
      <c r="H30" s="499" t="s">
        <v>1767</v>
      </c>
      <c r="I30" s="498"/>
      <c r="J30" s="499"/>
    </row>
    <row r="31" spans="1:10" x14ac:dyDescent="0.3">
      <c r="B31" s="985">
        <v>26</v>
      </c>
      <c r="C31" s="986" t="s">
        <v>25</v>
      </c>
      <c r="D31" s="986" t="s">
        <v>92</v>
      </c>
      <c r="E31" s="986" t="s">
        <v>85</v>
      </c>
      <c r="F31" s="986" t="s">
        <v>40</v>
      </c>
      <c r="G31" s="986" t="s">
        <v>91</v>
      </c>
      <c r="H31" s="499" t="s">
        <v>1767</v>
      </c>
      <c r="I31" s="498"/>
      <c r="J31" s="499"/>
    </row>
    <row r="32" spans="1:10" ht="66" hidden="1" x14ac:dyDescent="0.3">
      <c r="B32" s="985">
        <v>27</v>
      </c>
      <c r="C32" s="986" t="s">
        <v>93</v>
      </c>
      <c r="D32" s="986" t="s">
        <v>94</v>
      </c>
      <c r="E32" s="986" t="s">
        <v>95</v>
      </c>
      <c r="F32" s="986" t="s">
        <v>88</v>
      </c>
      <c r="G32" s="987" t="s">
        <v>96</v>
      </c>
      <c r="H32" s="499"/>
      <c r="I32" s="498"/>
      <c r="J32" s="499"/>
    </row>
    <row r="33" spans="2:10" ht="66" x14ac:dyDescent="0.3">
      <c r="B33" s="985">
        <v>28</v>
      </c>
      <c r="C33" s="986" t="s">
        <v>93</v>
      </c>
      <c r="D33" s="986" t="s">
        <v>97</v>
      </c>
      <c r="E33" s="986" t="s">
        <v>98</v>
      </c>
      <c r="F33" s="986" t="s">
        <v>33</v>
      </c>
      <c r="G33" s="987" t="s">
        <v>99</v>
      </c>
      <c r="H33" s="499" t="s">
        <v>1767</v>
      </c>
      <c r="I33" s="498"/>
      <c r="J33" s="499"/>
    </row>
    <row r="34" spans="2:10" ht="39.6" x14ac:dyDescent="0.3">
      <c r="B34" s="985">
        <v>29</v>
      </c>
      <c r="C34" s="986" t="s">
        <v>35</v>
      </c>
      <c r="D34" s="986" t="s">
        <v>100</v>
      </c>
      <c r="E34" s="986" t="s">
        <v>101</v>
      </c>
      <c r="F34" s="986" t="s">
        <v>102</v>
      </c>
      <c r="G34" s="987" t="s">
        <v>103</v>
      </c>
      <c r="H34" s="499" t="s">
        <v>1767</v>
      </c>
      <c r="I34" s="498"/>
      <c r="J34" s="499" t="s">
        <v>104</v>
      </c>
    </row>
    <row r="35" spans="2:10" ht="26.4" x14ac:dyDescent="0.3">
      <c r="B35" s="985">
        <v>30</v>
      </c>
      <c r="C35" s="986" t="s">
        <v>35</v>
      </c>
      <c r="D35" s="986" t="s">
        <v>105</v>
      </c>
      <c r="E35" s="986" t="s">
        <v>106</v>
      </c>
      <c r="F35" s="986" t="s">
        <v>107</v>
      </c>
      <c r="G35" s="987" t="s">
        <v>108</v>
      </c>
      <c r="H35" s="499" t="s">
        <v>1767</v>
      </c>
      <c r="I35" s="498"/>
      <c r="J35" s="499"/>
    </row>
    <row r="36" spans="2:10" x14ac:dyDescent="0.3">
      <c r="I36" s="508"/>
      <c r="J36" s="509"/>
    </row>
    <row r="37" spans="2:10" x14ac:dyDescent="0.3">
      <c r="I37" s="510"/>
      <c r="J37" s="511"/>
    </row>
  </sheetData>
  <autoFilter ref="B5:J35" xr:uid="{00000000-0009-0000-0000-000001000000}"/>
  <conditionalFormatting sqref="I6:I35">
    <cfRule type="expression" dxfId="4" priority="1">
      <formula>I6 ="X"</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Z402"/>
  <sheetViews>
    <sheetView topLeftCell="A15" zoomScale="70" zoomScaleNormal="70" workbookViewId="0">
      <selection activeCell="N42" sqref="N42"/>
    </sheetView>
  </sheetViews>
  <sheetFormatPr defaultColWidth="9.109375" defaultRowHeight="14.4" x14ac:dyDescent="0.3"/>
  <cols>
    <col min="1" max="1" width="3.6640625" style="364" customWidth="1"/>
    <col min="2" max="2" width="28.5546875" style="364" customWidth="1"/>
    <col min="3" max="3" width="33.44140625" style="92" customWidth="1"/>
    <col min="4" max="4" width="11.6640625" style="364" bestFit="1" customWidth="1"/>
    <col min="5" max="5" width="2.6640625" style="83" customWidth="1"/>
    <col min="6" max="6" width="32.109375" style="366" bestFit="1" customWidth="1"/>
    <col min="7" max="7" width="2.6640625" style="83" customWidth="1"/>
    <col min="8" max="8" width="31.88671875" style="30" customWidth="1"/>
    <col min="9" max="9" width="2.6640625" style="364" customWidth="1"/>
    <col min="10" max="10" width="22.5546875" style="92" customWidth="1"/>
    <col min="11" max="11" width="2.6640625" style="364" customWidth="1"/>
    <col min="12" max="12" width="26.88671875" style="92" customWidth="1"/>
    <col min="13" max="13" width="2.6640625" style="364" customWidth="1"/>
    <col min="14" max="14" width="26" style="92" customWidth="1"/>
    <col min="15" max="15" width="2.6640625" style="364" customWidth="1"/>
    <col min="16" max="16" width="27.6640625" style="92" customWidth="1"/>
    <col min="17" max="17" width="2.6640625" style="364" customWidth="1"/>
    <col min="18" max="18" width="16.6640625" style="92" bestFit="1" customWidth="1"/>
    <col min="19" max="19" width="2.6640625" style="364" customWidth="1"/>
    <col min="20" max="20" width="20.33203125" style="92" customWidth="1"/>
    <col min="21" max="21" width="2.6640625" style="364" customWidth="1"/>
    <col min="22" max="22" width="22.109375" style="92" bestFit="1" customWidth="1"/>
    <col min="23" max="23" width="2.6640625" style="364" customWidth="1"/>
    <col min="24" max="24" width="27.6640625" style="92" customWidth="1"/>
    <col min="25" max="25" width="2.6640625" style="391" customWidth="1"/>
    <col min="26" max="26" width="18.5546875" style="391" customWidth="1"/>
    <col min="27" max="27" width="2.6640625" style="391" customWidth="1"/>
    <col min="28" max="28" width="17" style="391" customWidth="1"/>
    <col min="29" max="29" width="2.6640625" style="391" customWidth="1"/>
    <col min="30" max="30" width="17" style="391" customWidth="1"/>
    <col min="31" max="31" width="2.6640625" style="391" customWidth="1"/>
    <col min="32" max="32" width="16.88671875" style="391" customWidth="1"/>
    <col min="33" max="33" width="2.6640625" style="391" customWidth="1"/>
    <col min="34" max="34" width="22.88671875" style="391" customWidth="1"/>
    <col min="35" max="35" width="13.88671875" style="391" bestFit="1" customWidth="1"/>
    <col min="36" max="16384" width="9.109375" style="391"/>
  </cols>
  <sheetData>
    <row r="1" spans="1:24" ht="12.75" customHeight="1" x14ac:dyDescent="0.3">
      <c r="B1" s="74"/>
      <c r="C1" s="119"/>
    </row>
    <row r="2" spans="1:24" x14ac:dyDescent="0.3">
      <c r="B2" s="513" t="s">
        <v>0</v>
      </c>
      <c r="C2" s="516"/>
      <c r="D2" s="513"/>
      <c r="E2" s="520"/>
      <c r="F2" s="516" t="s">
        <v>1</v>
      </c>
      <c r="G2" s="364"/>
      <c r="K2" s="513"/>
      <c r="L2" s="516" t="s">
        <v>109</v>
      </c>
    </row>
    <row r="3" spans="1:24" ht="12.75" customHeight="1" x14ac:dyDescent="0.3">
      <c r="B3" s="364" t="s">
        <v>2</v>
      </c>
      <c r="C3" s="71" t="s">
        <v>82</v>
      </c>
      <c r="E3" s="364"/>
      <c r="F3" s="92" t="s">
        <v>3</v>
      </c>
      <c r="G3" s="364"/>
      <c r="H3" s="71" t="str">
        <f>'Documentation Main Sheet'!I2</f>
        <v>r6055</v>
      </c>
      <c r="K3" s="142"/>
      <c r="L3" s="364" t="s">
        <v>318</v>
      </c>
    </row>
    <row r="4" spans="1:24" ht="12.75" customHeight="1" x14ac:dyDescent="0.3">
      <c r="B4" s="364" t="s">
        <v>6</v>
      </c>
      <c r="C4" s="92" t="str">
        <f>C3&amp;".cibd19"</f>
        <v>070015-HotSml-Run22.cibd19</v>
      </c>
      <c r="F4" s="92" t="s">
        <v>7</v>
      </c>
      <c r="H4" s="389" t="str">
        <f>'Documentation Main Sheet'!I3</f>
        <v>Release package</v>
      </c>
      <c r="I4" s="68"/>
      <c r="K4" s="521"/>
      <c r="L4" s="364" t="s">
        <v>110</v>
      </c>
      <c r="T4" s="8"/>
      <c r="V4" s="8"/>
      <c r="X4" s="8"/>
    </row>
    <row r="5" spans="1:24" ht="12.75" customHeight="1" x14ac:dyDescent="0.3">
      <c r="B5" s="364" t="s">
        <v>9</v>
      </c>
      <c r="C5" s="92" t="s">
        <v>112</v>
      </c>
      <c r="F5" s="92" t="s">
        <v>10</v>
      </c>
      <c r="H5" s="389" t="str">
        <f>'Documentation Main Sheet'!I4</f>
        <v>CBECC-Com 2019.1.2 Release</v>
      </c>
      <c r="I5" s="68"/>
      <c r="K5" s="523">
        <v>1</v>
      </c>
      <c r="L5" s="373" t="s">
        <v>111</v>
      </c>
      <c r="T5" s="8"/>
      <c r="V5" s="8"/>
      <c r="X5" s="8"/>
    </row>
    <row r="6" spans="1:24" ht="12.75" customHeight="1" x14ac:dyDescent="0.3">
      <c r="B6" s="364" t="s">
        <v>17</v>
      </c>
      <c r="C6" s="92" t="s">
        <v>38</v>
      </c>
      <c r="F6" s="92" t="s">
        <v>12</v>
      </c>
      <c r="H6" s="387">
        <f>'Documentation Main Sheet'!I5</f>
        <v>43754</v>
      </c>
      <c r="K6" s="526">
        <v>1</v>
      </c>
      <c r="L6" s="376" t="s">
        <v>113</v>
      </c>
    </row>
    <row r="7" spans="1:24" ht="12.75" customHeight="1" x14ac:dyDescent="0.3">
      <c r="B7" s="364" t="s">
        <v>20</v>
      </c>
      <c r="C7" s="92" t="s">
        <v>73</v>
      </c>
      <c r="F7" s="92" t="s">
        <v>13</v>
      </c>
      <c r="H7" s="389" t="str">
        <f>'Documentation Main Sheet'!I6</f>
        <v>Jireh Peng</v>
      </c>
      <c r="K7" s="527">
        <v>1</v>
      </c>
      <c r="L7" s="373" t="s">
        <v>114</v>
      </c>
    </row>
    <row r="8" spans="1:24" ht="12.75" customHeight="1" x14ac:dyDescent="0.3">
      <c r="B8" s="364" t="s">
        <v>19</v>
      </c>
      <c r="C8" s="92" t="s">
        <v>27</v>
      </c>
      <c r="F8" s="364"/>
      <c r="G8" s="364"/>
      <c r="H8" s="364"/>
      <c r="K8" s="702">
        <v>1</v>
      </c>
      <c r="L8" s="364" t="s">
        <v>115</v>
      </c>
    </row>
    <row r="9" spans="1:24" x14ac:dyDescent="0.3">
      <c r="F9" s="364"/>
      <c r="G9" s="364"/>
      <c r="H9" s="364"/>
    </row>
    <row r="10" spans="1:24" x14ac:dyDescent="0.3">
      <c r="A10" s="281"/>
      <c r="B10" s="282" t="s">
        <v>134</v>
      </c>
      <c r="C10" s="283"/>
      <c r="D10" s="281"/>
      <c r="E10" s="281"/>
      <c r="F10" s="284"/>
      <c r="G10" s="281"/>
      <c r="H10" s="283"/>
      <c r="I10" s="281"/>
      <c r="J10" s="283"/>
      <c r="K10" s="281"/>
      <c r="L10" s="283"/>
      <c r="M10" s="281"/>
      <c r="N10" s="283"/>
      <c r="O10" s="281"/>
      <c r="P10" s="283"/>
      <c r="Q10" s="281"/>
      <c r="R10" s="283"/>
      <c r="S10" s="281"/>
      <c r="T10" s="283"/>
      <c r="U10" s="283"/>
      <c r="V10" s="283"/>
    </row>
    <row r="11" spans="1:24" x14ac:dyDescent="0.3">
      <c r="A11" s="27"/>
      <c r="B11" s="29" t="s">
        <v>329</v>
      </c>
      <c r="C11" s="90"/>
      <c r="D11" s="982"/>
      <c r="E11" s="364"/>
      <c r="F11" s="364"/>
      <c r="G11" s="364"/>
      <c r="H11" s="364"/>
      <c r="J11" s="364"/>
      <c r="L11" s="72"/>
      <c r="N11" s="72"/>
      <c r="P11" s="72"/>
      <c r="R11" s="72"/>
      <c r="T11" s="72"/>
    </row>
    <row r="12" spans="1:24" ht="41.4" x14ac:dyDescent="0.3">
      <c r="A12" s="89"/>
      <c r="B12" s="115" t="s">
        <v>330</v>
      </c>
      <c r="C12" s="123" t="s">
        <v>331</v>
      </c>
      <c r="D12" s="119" t="s">
        <v>122</v>
      </c>
      <c r="E12" s="182"/>
      <c r="F12" s="120" t="s">
        <v>332</v>
      </c>
      <c r="G12" s="182"/>
      <c r="H12" s="123" t="s">
        <v>148</v>
      </c>
      <c r="I12" s="182"/>
      <c r="J12" s="123" t="s">
        <v>333</v>
      </c>
      <c r="K12" s="182"/>
      <c r="L12" s="116" t="s">
        <v>334</v>
      </c>
      <c r="M12" s="131"/>
      <c r="N12" s="148" t="s">
        <v>335</v>
      </c>
      <c r="O12" s="120"/>
      <c r="P12" s="120" t="s">
        <v>336</v>
      </c>
      <c r="Q12" s="210"/>
      <c r="R12" s="148" t="s">
        <v>337</v>
      </c>
      <c r="S12" s="131"/>
      <c r="T12" s="148" t="s">
        <v>338</v>
      </c>
      <c r="U12" s="131"/>
      <c r="V12" s="148" t="s">
        <v>339</v>
      </c>
    </row>
    <row r="13" spans="1:24" ht="15" thickBot="1" x14ac:dyDescent="0.35">
      <c r="A13" s="89"/>
      <c r="B13" s="178" t="s">
        <v>341</v>
      </c>
      <c r="C13" s="176" t="s">
        <v>342</v>
      </c>
      <c r="D13" s="371"/>
      <c r="E13" s="183"/>
      <c r="F13" s="371"/>
      <c r="G13" s="370"/>
      <c r="H13" s="176" t="s">
        <v>343</v>
      </c>
      <c r="I13" s="370"/>
      <c r="J13" s="176" t="s">
        <v>344</v>
      </c>
      <c r="K13" s="183"/>
      <c r="L13" s="179" t="s">
        <v>345</v>
      </c>
      <c r="M13" s="211"/>
      <c r="N13" s="179" t="s">
        <v>346</v>
      </c>
      <c r="O13" s="208"/>
      <c r="P13" s="176" t="s">
        <v>347</v>
      </c>
      <c r="Q13" s="211"/>
      <c r="R13" s="179" t="s">
        <v>348</v>
      </c>
      <c r="S13" s="233"/>
      <c r="T13" s="179" t="s">
        <v>349</v>
      </c>
      <c r="U13" s="233"/>
      <c r="V13" s="179" t="s">
        <v>350</v>
      </c>
    </row>
    <row r="14" spans="1:24" s="359" customFormat="1" thickTop="1" x14ac:dyDescent="0.3">
      <c r="A14" s="373"/>
      <c r="B14" s="141" t="s">
        <v>352</v>
      </c>
      <c r="C14" s="373" t="s">
        <v>351</v>
      </c>
      <c r="D14" s="373" t="s">
        <v>137</v>
      </c>
      <c r="E14" s="137"/>
      <c r="F14" s="422" t="s">
        <v>352</v>
      </c>
      <c r="G14" s="345" t="s">
        <v>300</v>
      </c>
      <c r="H14" s="373" t="s">
        <v>353</v>
      </c>
      <c r="I14" s="345" t="s">
        <v>300</v>
      </c>
      <c r="J14" s="373" t="s">
        <v>353</v>
      </c>
      <c r="K14" s="345" t="s">
        <v>300</v>
      </c>
      <c r="L14" s="373" t="s">
        <v>354</v>
      </c>
      <c r="M14" s="345" t="s">
        <v>300</v>
      </c>
      <c r="N14" s="373">
        <v>55</v>
      </c>
      <c r="O14" s="345" t="s">
        <v>300</v>
      </c>
      <c r="P14" s="373">
        <v>60</v>
      </c>
      <c r="Q14" s="345" t="s">
        <v>300</v>
      </c>
      <c r="R14" s="373" t="s">
        <v>355</v>
      </c>
      <c r="S14" s="345" t="s">
        <v>300</v>
      </c>
      <c r="T14" s="364">
        <v>60</v>
      </c>
      <c r="U14" s="345" t="s">
        <v>300</v>
      </c>
      <c r="V14" s="209">
        <v>55</v>
      </c>
      <c r="W14" s="364"/>
      <c r="X14" s="92"/>
    </row>
    <row r="15" spans="1:24" s="359" customFormat="1" ht="13.8" x14ac:dyDescent="0.3">
      <c r="A15" s="373"/>
      <c r="B15" s="141" t="s">
        <v>357</v>
      </c>
      <c r="C15" s="373" t="s">
        <v>356</v>
      </c>
      <c r="D15" s="373" t="s">
        <v>137</v>
      </c>
      <c r="E15" s="137"/>
      <c r="F15" s="366" t="s">
        <v>357</v>
      </c>
      <c r="G15" s="142" t="s">
        <v>300</v>
      </c>
      <c r="H15" s="373" t="s">
        <v>353</v>
      </c>
      <c r="I15" s="142" t="s">
        <v>300</v>
      </c>
      <c r="J15" s="373" t="s">
        <v>353</v>
      </c>
      <c r="K15" s="142" t="s">
        <v>300</v>
      </c>
      <c r="L15" s="373" t="s">
        <v>354</v>
      </c>
      <c r="M15" s="142" t="s">
        <v>300</v>
      </c>
      <c r="N15" s="373">
        <v>55</v>
      </c>
      <c r="O15" s="142" t="s">
        <v>300</v>
      </c>
      <c r="P15" s="373">
        <v>60</v>
      </c>
      <c r="Q15" s="142" t="s">
        <v>300</v>
      </c>
      <c r="R15" s="373" t="s">
        <v>355</v>
      </c>
      <c r="S15" s="142" t="s">
        <v>300</v>
      </c>
      <c r="T15" s="364">
        <v>60</v>
      </c>
      <c r="U15" s="142" t="s">
        <v>300</v>
      </c>
      <c r="V15" s="209">
        <v>55</v>
      </c>
      <c r="W15" s="364"/>
      <c r="X15" s="92"/>
    </row>
    <row r="16" spans="1:24" s="357" customFormat="1" ht="13.8" x14ac:dyDescent="0.3">
      <c r="A16" s="89"/>
      <c r="B16" s="141" t="s">
        <v>359</v>
      </c>
      <c r="C16" s="373" t="s">
        <v>358</v>
      </c>
      <c r="D16" s="373" t="s">
        <v>137</v>
      </c>
      <c r="E16" s="137"/>
      <c r="F16" s="366" t="s">
        <v>359</v>
      </c>
      <c r="G16" s="142" t="s">
        <v>300</v>
      </c>
      <c r="H16" s="373" t="s">
        <v>353</v>
      </c>
      <c r="I16" s="142" t="s">
        <v>300</v>
      </c>
      <c r="J16" s="373" t="s">
        <v>353</v>
      </c>
      <c r="K16" s="142" t="s">
        <v>300</v>
      </c>
      <c r="L16" s="373" t="s">
        <v>354</v>
      </c>
      <c r="M16" s="142" t="s">
        <v>300</v>
      </c>
      <c r="N16" s="373">
        <v>55</v>
      </c>
      <c r="O16" s="142" t="s">
        <v>300</v>
      </c>
      <c r="P16" s="373">
        <v>60</v>
      </c>
      <c r="Q16" s="142" t="s">
        <v>300</v>
      </c>
      <c r="R16" s="373" t="s">
        <v>355</v>
      </c>
      <c r="S16" s="142" t="s">
        <v>300</v>
      </c>
      <c r="T16" s="364">
        <v>60</v>
      </c>
      <c r="U16" s="142" t="s">
        <v>300</v>
      </c>
      <c r="V16" s="209">
        <v>55</v>
      </c>
      <c r="W16" s="364"/>
      <c r="X16" s="92"/>
    </row>
    <row r="17" spans="1:26" s="357" customFormat="1" ht="13.8" x14ac:dyDescent="0.3">
      <c r="A17" s="89"/>
      <c r="B17" s="141" t="s">
        <v>361</v>
      </c>
      <c r="C17" s="373" t="s">
        <v>360</v>
      </c>
      <c r="D17" s="373" t="s">
        <v>137</v>
      </c>
      <c r="E17" s="137"/>
      <c r="F17" s="366" t="s">
        <v>361</v>
      </c>
      <c r="G17" s="142" t="s">
        <v>300</v>
      </c>
      <c r="H17" s="373" t="s">
        <v>353</v>
      </c>
      <c r="I17" s="142" t="s">
        <v>300</v>
      </c>
      <c r="J17" s="373" t="s">
        <v>353</v>
      </c>
      <c r="K17" s="142" t="s">
        <v>300</v>
      </c>
      <c r="L17" s="373" t="s">
        <v>354</v>
      </c>
      <c r="M17" s="142" t="s">
        <v>300</v>
      </c>
      <c r="N17" s="373">
        <v>55</v>
      </c>
      <c r="O17" s="142" t="s">
        <v>300</v>
      </c>
      <c r="P17" s="373">
        <v>60</v>
      </c>
      <c r="Q17" s="142" t="s">
        <v>300</v>
      </c>
      <c r="R17" s="373" t="s">
        <v>355</v>
      </c>
      <c r="S17" s="142" t="s">
        <v>300</v>
      </c>
      <c r="T17" s="364">
        <v>60</v>
      </c>
      <c r="U17" s="142" t="s">
        <v>300</v>
      </c>
      <c r="V17" s="209">
        <v>55</v>
      </c>
      <c r="W17" s="364"/>
      <c r="X17" s="92"/>
    </row>
    <row r="18" spans="1:26" s="357" customFormat="1" ht="13.8" x14ac:dyDescent="0.3">
      <c r="A18" s="89"/>
      <c r="B18" s="309" t="s">
        <v>1637</v>
      </c>
      <c r="C18" s="165" t="s">
        <v>1638</v>
      </c>
      <c r="D18" s="165" t="s">
        <v>137</v>
      </c>
      <c r="E18" s="236"/>
      <c r="F18" s="167" t="s">
        <v>1637</v>
      </c>
      <c r="G18" s="160" t="s">
        <v>300</v>
      </c>
      <c r="H18" s="165" t="s">
        <v>365</v>
      </c>
      <c r="I18" s="160" t="s">
        <v>300</v>
      </c>
      <c r="J18" s="165" t="s">
        <v>365</v>
      </c>
      <c r="K18" s="160" t="s">
        <v>300</v>
      </c>
      <c r="L18" s="165" t="s">
        <v>1639</v>
      </c>
      <c r="M18" s="160" t="s">
        <v>300</v>
      </c>
      <c r="N18" s="165">
        <v>55</v>
      </c>
      <c r="O18" s="160" t="s">
        <v>300</v>
      </c>
      <c r="P18" s="165">
        <v>95</v>
      </c>
      <c r="Q18" s="160" t="s">
        <v>300</v>
      </c>
      <c r="R18" s="165" t="s">
        <v>377</v>
      </c>
      <c r="S18" s="405" t="s">
        <v>173</v>
      </c>
      <c r="T18" s="419" t="s">
        <v>173</v>
      </c>
      <c r="U18" s="405" t="s">
        <v>173</v>
      </c>
      <c r="V18" s="406" t="s">
        <v>173</v>
      </c>
      <c r="W18" s="364"/>
      <c r="X18" s="92"/>
    </row>
    <row r="19" spans="1:26" x14ac:dyDescent="0.3">
      <c r="A19" s="89"/>
      <c r="B19" s="84"/>
      <c r="C19" s="82"/>
      <c r="D19" s="30"/>
      <c r="E19" s="364"/>
      <c r="F19" s="364"/>
      <c r="G19" s="364"/>
      <c r="H19" s="364"/>
      <c r="J19" s="364"/>
      <c r="K19" s="91"/>
      <c r="L19" s="89"/>
      <c r="N19" s="364"/>
      <c r="P19" s="364"/>
      <c r="R19" s="364"/>
      <c r="T19" s="364"/>
      <c r="Y19" s="982"/>
      <c r="Z19" s="982"/>
    </row>
    <row r="20" spans="1:26" x14ac:dyDescent="0.3">
      <c r="A20" s="89"/>
      <c r="B20" s="84"/>
      <c r="C20" s="82"/>
      <c r="D20" s="30"/>
      <c r="E20" s="364"/>
      <c r="F20" s="364"/>
      <c r="G20" s="364"/>
      <c r="H20" s="364"/>
      <c r="J20" s="364"/>
      <c r="K20" s="91"/>
      <c r="L20" s="89"/>
      <c r="N20" s="364"/>
      <c r="P20" s="364"/>
      <c r="R20" s="364"/>
      <c r="T20" s="364"/>
      <c r="Y20" s="982"/>
      <c r="Z20" s="982"/>
    </row>
    <row r="21" spans="1:26" ht="41.4" x14ac:dyDescent="0.3">
      <c r="A21" s="89"/>
      <c r="B21" s="115" t="s">
        <v>330</v>
      </c>
      <c r="C21" s="123" t="s">
        <v>368</v>
      </c>
      <c r="D21" s="119" t="s">
        <v>122</v>
      </c>
      <c r="E21" s="182"/>
      <c r="F21" s="120" t="s">
        <v>332</v>
      </c>
      <c r="G21" s="182"/>
      <c r="H21" s="123" t="s">
        <v>148</v>
      </c>
      <c r="I21" s="182"/>
      <c r="J21" s="123" t="s">
        <v>333</v>
      </c>
      <c r="K21" s="182"/>
      <c r="L21" s="116" t="s">
        <v>334</v>
      </c>
      <c r="M21" s="131"/>
      <c r="N21" s="148" t="s">
        <v>335</v>
      </c>
      <c r="O21" s="120"/>
      <c r="P21" s="120" t="s">
        <v>336</v>
      </c>
      <c r="Q21" s="210"/>
      <c r="R21" s="148" t="s">
        <v>337</v>
      </c>
      <c r="S21" s="131"/>
      <c r="T21" s="148" t="s">
        <v>338</v>
      </c>
      <c r="U21" s="131"/>
      <c r="V21" s="148" t="s">
        <v>339</v>
      </c>
      <c r="Y21" s="364"/>
      <c r="Z21" s="92"/>
    </row>
    <row r="22" spans="1:26" ht="15" thickBot="1" x14ac:dyDescent="0.35">
      <c r="A22" s="89"/>
      <c r="B22" s="178" t="s">
        <v>369</v>
      </c>
      <c r="C22" s="176"/>
      <c r="D22" s="371"/>
      <c r="E22" s="183"/>
      <c r="F22" s="371"/>
      <c r="G22" s="370"/>
      <c r="H22" s="176" t="s">
        <v>370</v>
      </c>
      <c r="I22" s="370"/>
      <c r="J22" s="176" t="s">
        <v>371</v>
      </c>
      <c r="K22" s="183"/>
      <c r="L22" s="179" t="s">
        <v>345</v>
      </c>
      <c r="M22" s="211"/>
      <c r="N22" s="179" t="s">
        <v>346</v>
      </c>
      <c r="O22" s="208"/>
      <c r="P22" s="176" t="s">
        <v>347</v>
      </c>
      <c r="Q22" s="211"/>
      <c r="R22" s="179" t="s">
        <v>372</v>
      </c>
      <c r="S22" s="233"/>
      <c r="T22" s="372"/>
      <c r="U22" s="233"/>
      <c r="V22" s="372"/>
      <c r="Y22" s="364"/>
      <c r="Z22" s="92"/>
    </row>
    <row r="23" spans="1:26" s="358" customFormat="1" ht="15" thickTop="1" x14ac:dyDescent="0.3">
      <c r="A23" s="373"/>
      <c r="B23" s="141" t="s">
        <v>597</v>
      </c>
      <c r="C23" s="373" t="s">
        <v>1640</v>
      </c>
      <c r="D23" s="373" t="s">
        <v>137</v>
      </c>
      <c r="E23" s="137"/>
      <c r="F23" s="366" t="s">
        <v>1641</v>
      </c>
      <c r="G23" s="142" t="s">
        <v>300</v>
      </c>
      <c r="H23" s="365" t="s">
        <v>365</v>
      </c>
      <c r="I23" s="142" t="s">
        <v>300</v>
      </c>
      <c r="J23" s="365" t="s">
        <v>781</v>
      </c>
      <c r="K23" s="142"/>
      <c r="L23" s="839" t="s">
        <v>1314</v>
      </c>
      <c r="M23" s="142" t="s">
        <v>300</v>
      </c>
      <c r="N23" s="373">
        <v>58</v>
      </c>
      <c r="O23" s="142" t="s">
        <v>300</v>
      </c>
      <c r="P23" s="373">
        <v>95</v>
      </c>
      <c r="Q23" s="345" t="s">
        <v>300</v>
      </c>
      <c r="R23" s="373" t="s">
        <v>377</v>
      </c>
      <c r="S23" s="403" t="s">
        <v>173</v>
      </c>
      <c r="T23" s="404" t="s">
        <v>173</v>
      </c>
      <c r="U23" s="403" t="s">
        <v>173</v>
      </c>
      <c r="V23" s="404" t="s">
        <v>173</v>
      </c>
      <c r="W23" s="373"/>
      <c r="X23" s="988"/>
      <c r="Y23" s="373"/>
      <c r="Z23" s="366"/>
    </row>
    <row r="24" spans="1:26" s="358" customFormat="1" x14ac:dyDescent="0.3">
      <c r="A24" s="373"/>
      <c r="B24" s="141" t="s">
        <v>601</v>
      </c>
      <c r="C24" s="373" t="s">
        <v>1642</v>
      </c>
      <c r="D24" s="373" t="s">
        <v>137</v>
      </c>
      <c r="E24" s="137"/>
      <c r="F24" s="366" t="s">
        <v>1641</v>
      </c>
      <c r="G24" s="142" t="s">
        <v>300</v>
      </c>
      <c r="H24" s="365" t="s">
        <v>365</v>
      </c>
      <c r="I24" s="142" t="s">
        <v>300</v>
      </c>
      <c r="J24" s="365" t="s">
        <v>781</v>
      </c>
      <c r="K24" s="142"/>
      <c r="L24" s="839" t="s">
        <v>1314</v>
      </c>
      <c r="M24" s="142" t="s">
        <v>300</v>
      </c>
      <c r="N24" s="373">
        <v>58</v>
      </c>
      <c r="O24" s="142" t="s">
        <v>300</v>
      </c>
      <c r="P24" s="373">
        <v>95</v>
      </c>
      <c r="Q24" s="142" t="s">
        <v>300</v>
      </c>
      <c r="R24" s="373" t="s">
        <v>377</v>
      </c>
      <c r="S24" s="403" t="s">
        <v>173</v>
      </c>
      <c r="T24" s="404" t="s">
        <v>173</v>
      </c>
      <c r="U24" s="403" t="s">
        <v>173</v>
      </c>
      <c r="V24" s="404" t="s">
        <v>173</v>
      </c>
      <c r="W24" s="373"/>
      <c r="X24" s="988"/>
      <c r="Y24" s="373"/>
      <c r="Z24" s="366"/>
    </row>
    <row r="25" spans="1:26" s="358" customFormat="1" x14ac:dyDescent="0.3">
      <c r="A25" s="373"/>
      <c r="B25" s="141" t="s">
        <v>603</v>
      </c>
      <c r="C25" s="373" t="s">
        <v>1643</v>
      </c>
      <c r="D25" s="373" t="s">
        <v>137</v>
      </c>
      <c r="E25" s="137"/>
      <c r="F25" s="366" t="s">
        <v>1641</v>
      </c>
      <c r="G25" s="142" t="s">
        <v>300</v>
      </c>
      <c r="H25" s="365" t="s">
        <v>1300</v>
      </c>
      <c r="I25" s="142" t="s">
        <v>300</v>
      </c>
      <c r="J25" s="365" t="s">
        <v>1644</v>
      </c>
      <c r="K25" s="142"/>
      <c r="L25" s="839" t="s">
        <v>1314</v>
      </c>
      <c r="M25" s="142" t="s">
        <v>300</v>
      </c>
      <c r="N25" s="373">
        <v>58</v>
      </c>
      <c r="O25" s="142" t="s">
        <v>300</v>
      </c>
      <c r="P25" s="373">
        <v>95</v>
      </c>
      <c r="Q25" s="142" t="s">
        <v>300</v>
      </c>
      <c r="R25" s="373" t="s">
        <v>377</v>
      </c>
      <c r="S25" s="403" t="s">
        <v>173</v>
      </c>
      <c r="T25" s="404" t="s">
        <v>173</v>
      </c>
      <c r="U25" s="403" t="s">
        <v>173</v>
      </c>
      <c r="V25" s="404" t="s">
        <v>173</v>
      </c>
      <c r="W25" s="373"/>
      <c r="X25" s="988"/>
      <c r="Y25" s="373"/>
      <c r="Z25" s="366"/>
    </row>
    <row r="26" spans="1:26" s="358" customFormat="1" x14ac:dyDescent="0.3">
      <c r="A26" s="373"/>
      <c r="B26" s="141" t="s">
        <v>605</v>
      </c>
      <c r="C26" s="373" t="s">
        <v>1645</v>
      </c>
      <c r="D26" s="373" t="s">
        <v>137</v>
      </c>
      <c r="E26" s="137"/>
      <c r="F26" s="366" t="s">
        <v>1641</v>
      </c>
      <c r="G26" s="142" t="s">
        <v>300</v>
      </c>
      <c r="H26" s="365" t="s">
        <v>1300</v>
      </c>
      <c r="I26" s="142" t="s">
        <v>300</v>
      </c>
      <c r="J26" s="365" t="s">
        <v>1644</v>
      </c>
      <c r="K26" s="142"/>
      <c r="L26" s="839" t="s">
        <v>1314</v>
      </c>
      <c r="M26" s="142" t="s">
        <v>300</v>
      </c>
      <c r="N26" s="373">
        <v>58</v>
      </c>
      <c r="O26" s="142" t="s">
        <v>300</v>
      </c>
      <c r="P26" s="373">
        <v>95</v>
      </c>
      <c r="Q26" s="142" t="s">
        <v>300</v>
      </c>
      <c r="R26" s="373" t="s">
        <v>377</v>
      </c>
      <c r="S26" s="403" t="s">
        <v>173</v>
      </c>
      <c r="T26" s="404" t="s">
        <v>173</v>
      </c>
      <c r="U26" s="403" t="s">
        <v>173</v>
      </c>
      <c r="V26" s="404" t="s">
        <v>173</v>
      </c>
      <c r="W26" s="373"/>
      <c r="X26" s="988"/>
      <c r="Y26" s="373"/>
      <c r="Z26" s="366"/>
    </row>
    <row r="27" spans="1:26" x14ac:dyDescent="0.3">
      <c r="A27" s="89"/>
      <c r="B27" s="128" t="s">
        <v>1646</v>
      </c>
      <c r="C27" s="366" t="s">
        <v>374</v>
      </c>
      <c r="D27" s="373" t="s">
        <v>137</v>
      </c>
      <c r="E27" s="137"/>
      <c r="F27" s="366" t="s">
        <v>1647</v>
      </c>
      <c r="G27" s="142" t="s">
        <v>300</v>
      </c>
      <c r="H27" s="373" t="s">
        <v>376</v>
      </c>
      <c r="I27" s="142" t="s">
        <v>300</v>
      </c>
      <c r="J27" s="373" t="s">
        <v>376</v>
      </c>
      <c r="K27" s="142"/>
      <c r="L27" s="839" t="s">
        <v>1314</v>
      </c>
      <c r="M27" s="142" t="s">
        <v>300</v>
      </c>
      <c r="N27" s="373">
        <v>58</v>
      </c>
      <c r="O27" s="142" t="s">
        <v>300</v>
      </c>
      <c r="P27" s="373">
        <v>95</v>
      </c>
      <c r="Q27" s="142" t="s">
        <v>300</v>
      </c>
      <c r="R27" s="373" t="s">
        <v>377</v>
      </c>
      <c r="S27" s="403" t="s">
        <v>173</v>
      </c>
      <c r="T27" s="404" t="s">
        <v>173</v>
      </c>
      <c r="U27" s="403" t="s">
        <v>173</v>
      </c>
      <c r="V27" s="404" t="s">
        <v>173</v>
      </c>
      <c r="X27" s="982"/>
      <c r="Y27" s="364"/>
      <c r="Z27" s="92"/>
    </row>
    <row r="28" spans="1:26" s="857" customFormat="1" x14ac:dyDescent="0.3">
      <c r="A28" s="89"/>
      <c r="B28" s="128" t="s">
        <v>1648</v>
      </c>
      <c r="C28" s="366" t="s">
        <v>374</v>
      </c>
      <c r="D28" s="373" t="s">
        <v>137</v>
      </c>
      <c r="E28" s="137"/>
      <c r="F28" s="366" t="s">
        <v>1649</v>
      </c>
      <c r="G28" s="905"/>
      <c r="H28" s="373" t="s">
        <v>376</v>
      </c>
      <c r="I28" s="905"/>
      <c r="J28" s="373" t="s">
        <v>376</v>
      </c>
      <c r="K28" s="905"/>
      <c r="L28" s="839" t="s">
        <v>1314</v>
      </c>
      <c r="M28" s="906"/>
      <c r="N28" s="373">
        <v>58</v>
      </c>
      <c r="O28" s="906"/>
      <c r="P28" s="373">
        <v>95</v>
      </c>
      <c r="Q28" s="905"/>
      <c r="R28" s="373" t="s">
        <v>377</v>
      </c>
      <c r="S28" s="403"/>
      <c r="T28" s="404"/>
      <c r="U28" s="403"/>
      <c r="V28" s="404"/>
      <c r="W28" s="364"/>
      <c r="X28" s="982"/>
      <c r="Y28" s="364"/>
      <c r="Z28" s="92"/>
    </row>
    <row r="29" spans="1:26" s="857" customFormat="1" x14ac:dyDescent="0.3">
      <c r="A29" s="89"/>
      <c r="B29" s="128" t="s">
        <v>1650</v>
      </c>
      <c r="C29" s="366" t="s">
        <v>374</v>
      </c>
      <c r="D29" s="373" t="s">
        <v>137</v>
      </c>
      <c r="E29" s="137"/>
      <c r="F29" s="366" t="s">
        <v>1651</v>
      </c>
      <c r="G29" s="905"/>
      <c r="H29" s="373" t="s">
        <v>376</v>
      </c>
      <c r="I29" s="905"/>
      <c r="J29" s="373" t="s">
        <v>376</v>
      </c>
      <c r="K29" s="905"/>
      <c r="L29" s="839" t="s">
        <v>1314</v>
      </c>
      <c r="M29" s="906"/>
      <c r="N29" s="373">
        <v>58</v>
      </c>
      <c r="O29" s="906"/>
      <c r="P29" s="373">
        <v>95</v>
      </c>
      <c r="Q29" s="905"/>
      <c r="R29" s="373" t="s">
        <v>377</v>
      </c>
      <c r="S29" s="403"/>
      <c r="T29" s="404"/>
      <c r="U29" s="403"/>
      <c r="V29" s="404"/>
      <c r="W29" s="364"/>
      <c r="X29" s="982"/>
      <c r="Y29" s="364"/>
      <c r="Z29" s="92"/>
    </row>
    <row r="30" spans="1:26" s="857" customFormat="1" x14ac:dyDescent="0.3">
      <c r="A30" s="89"/>
      <c r="B30" s="128" t="s">
        <v>1650</v>
      </c>
      <c r="C30" s="366" t="s">
        <v>1652</v>
      </c>
      <c r="D30" s="373" t="s">
        <v>137</v>
      </c>
      <c r="E30" s="137"/>
      <c r="F30" s="366" t="s">
        <v>1651</v>
      </c>
      <c r="G30" s="905"/>
      <c r="H30" s="373" t="s">
        <v>1653</v>
      </c>
      <c r="I30" s="905"/>
      <c r="J30" s="373" t="s">
        <v>381</v>
      </c>
      <c r="K30" s="905"/>
      <c r="L30" s="839" t="s">
        <v>366</v>
      </c>
      <c r="M30" s="403"/>
      <c r="N30" s="415">
        <v>-99996</v>
      </c>
      <c r="O30" s="403"/>
      <c r="P30" s="404">
        <v>-99996</v>
      </c>
      <c r="Q30" s="905"/>
      <c r="R30" s="373" t="s">
        <v>377</v>
      </c>
      <c r="S30" s="403"/>
      <c r="T30" s="404"/>
      <c r="U30" s="403"/>
      <c r="V30" s="404"/>
      <c r="W30" s="364"/>
      <c r="X30" s="982"/>
      <c r="Y30" s="364"/>
      <c r="Z30" s="92"/>
    </row>
    <row r="31" spans="1:26" s="359" customFormat="1" x14ac:dyDescent="0.3">
      <c r="A31" s="373"/>
      <c r="B31" s="309" t="s">
        <v>1637</v>
      </c>
      <c r="C31" s="232" t="s">
        <v>1654</v>
      </c>
      <c r="D31" s="165" t="s">
        <v>137</v>
      </c>
      <c r="E31" s="236"/>
      <c r="F31" s="167" t="s">
        <v>1637</v>
      </c>
      <c r="G31" s="171" t="s">
        <v>300</v>
      </c>
      <c r="H31" s="165" t="s">
        <v>381</v>
      </c>
      <c r="I31" s="171" t="s">
        <v>300</v>
      </c>
      <c r="J31" s="165" t="s">
        <v>381</v>
      </c>
      <c r="K31" s="171" t="s">
        <v>300</v>
      </c>
      <c r="L31" s="165" t="s">
        <v>1639</v>
      </c>
      <c r="M31" s="405" t="s">
        <v>173</v>
      </c>
      <c r="N31" s="419" t="s">
        <v>173</v>
      </c>
      <c r="O31" s="405" t="s">
        <v>173</v>
      </c>
      <c r="P31" s="419" t="s">
        <v>173</v>
      </c>
      <c r="Q31" s="171" t="s">
        <v>300</v>
      </c>
      <c r="R31" s="204" t="s">
        <v>377</v>
      </c>
      <c r="S31" s="405" t="s">
        <v>173</v>
      </c>
      <c r="T31" s="406" t="s">
        <v>173</v>
      </c>
      <c r="U31" s="405" t="s">
        <v>173</v>
      </c>
      <c r="V31" s="406" t="s">
        <v>173</v>
      </c>
      <c r="W31" s="364"/>
      <c r="X31" s="982"/>
      <c r="Y31" s="364"/>
      <c r="Z31" s="92"/>
    </row>
    <row r="32" spans="1:26" x14ac:dyDescent="0.3">
      <c r="A32" s="89"/>
      <c r="B32" s="84"/>
      <c r="C32" s="91"/>
      <c r="D32" s="89"/>
      <c r="E32" s="91"/>
      <c r="F32" s="89"/>
      <c r="G32" s="89"/>
      <c r="H32" s="89"/>
      <c r="I32" s="91"/>
      <c r="J32" s="89"/>
      <c r="K32" s="91"/>
      <c r="L32" s="89"/>
      <c r="N32" s="364"/>
      <c r="P32" s="364"/>
      <c r="R32" s="364"/>
      <c r="T32" s="364"/>
      <c r="Y32" s="982"/>
      <c r="Z32" s="982"/>
    </row>
    <row r="33" spans="1:24" x14ac:dyDescent="0.3">
      <c r="A33" s="89"/>
      <c r="B33" s="84"/>
      <c r="C33" s="91"/>
      <c r="D33" s="89"/>
      <c r="E33" s="91"/>
      <c r="F33" s="89"/>
      <c r="G33" s="91"/>
      <c r="H33" s="89"/>
      <c r="I33" s="91"/>
      <c r="J33" s="89"/>
      <c r="K33" s="89"/>
      <c r="L33" s="89"/>
      <c r="N33" s="364"/>
      <c r="P33" s="364"/>
      <c r="R33" s="364"/>
      <c r="T33" s="364"/>
    </row>
    <row r="34" spans="1:24" ht="41.4" x14ac:dyDescent="0.3">
      <c r="A34" s="89"/>
      <c r="B34" s="115" t="s">
        <v>331</v>
      </c>
      <c r="C34" s="123" t="s">
        <v>382</v>
      </c>
      <c r="D34" s="119" t="s">
        <v>122</v>
      </c>
      <c r="E34" s="182"/>
      <c r="F34" s="117" t="s">
        <v>148</v>
      </c>
      <c r="G34" s="175"/>
      <c r="H34" s="173" t="s">
        <v>383</v>
      </c>
      <c r="I34" s="194"/>
      <c r="J34" s="117" t="s">
        <v>385</v>
      </c>
      <c r="K34" s="425"/>
      <c r="L34" s="117" t="s">
        <v>386</v>
      </c>
      <c r="M34" s="427"/>
      <c r="N34" s="117" t="s">
        <v>387</v>
      </c>
      <c r="O34" s="426"/>
      <c r="P34" s="117" t="s">
        <v>388</v>
      </c>
      <c r="R34" s="364"/>
      <c r="T34" s="364"/>
      <c r="V34" s="364"/>
      <c r="X34" s="364"/>
    </row>
    <row r="35" spans="1:24" ht="15" thickBot="1" x14ac:dyDescent="0.35">
      <c r="A35" s="89"/>
      <c r="B35" s="178" t="s">
        <v>389</v>
      </c>
      <c r="C35" s="176" t="s">
        <v>390</v>
      </c>
      <c r="D35" s="371"/>
      <c r="E35" s="183"/>
      <c r="F35" s="179" t="s">
        <v>391</v>
      </c>
      <c r="G35" s="177"/>
      <c r="H35" s="176" t="s">
        <v>392</v>
      </c>
      <c r="I35" s="183"/>
      <c r="J35" s="179" t="s">
        <v>394</v>
      </c>
      <c r="K35" s="189"/>
      <c r="L35" s="176" t="s">
        <v>395</v>
      </c>
      <c r="M35" s="178"/>
      <c r="N35" s="179" t="s">
        <v>396</v>
      </c>
      <c r="O35" s="176"/>
      <c r="P35" s="179" t="s">
        <v>397</v>
      </c>
      <c r="R35" s="364"/>
      <c r="T35" s="364"/>
      <c r="V35" s="364"/>
      <c r="X35" s="364"/>
    </row>
    <row r="36" spans="1:24" s="359" customFormat="1" thickTop="1" x14ac:dyDescent="0.3">
      <c r="A36" s="373"/>
      <c r="B36" s="141" t="s">
        <v>351</v>
      </c>
      <c r="C36" s="373" t="s">
        <v>398</v>
      </c>
      <c r="D36" s="373" t="s">
        <v>137</v>
      </c>
      <c r="E36" s="345" t="s">
        <v>300</v>
      </c>
      <c r="F36" s="373" t="s">
        <v>399</v>
      </c>
      <c r="G36" s="345" t="s">
        <v>300</v>
      </c>
      <c r="H36" s="1">
        <v>9.8000000000000007</v>
      </c>
      <c r="I36" s="403" t="s">
        <v>173</v>
      </c>
      <c r="J36" s="404" t="s">
        <v>173</v>
      </c>
      <c r="K36" s="345" t="s">
        <v>300</v>
      </c>
      <c r="L36" s="366" t="s">
        <v>400</v>
      </c>
      <c r="M36" s="345" t="s">
        <v>300</v>
      </c>
      <c r="N36" s="366" t="s">
        <v>401</v>
      </c>
      <c r="O36" s="345" t="s">
        <v>300</v>
      </c>
      <c r="P36" s="633" t="s">
        <v>402</v>
      </c>
      <c r="Q36" s="364"/>
      <c r="R36" s="364"/>
      <c r="S36" s="364"/>
      <c r="T36" s="364"/>
      <c r="U36" s="373"/>
      <c r="V36" s="373"/>
      <c r="W36" s="373"/>
      <c r="X36" s="373"/>
    </row>
    <row r="37" spans="1:24" s="359" customFormat="1" ht="13.8" x14ac:dyDescent="0.3">
      <c r="A37" s="373"/>
      <c r="B37" s="141" t="s">
        <v>356</v>
      </c>
      <c r="C37" s="373" t="s">
        <v>403</v>
      </c>
      <c r="D37" s="373" t="s">
        <v>137</v>
      </c>
      <c r="E37" s="142" t="s">
        <v>300</v>
      </c>
      <c r="F37" s="373" t="s">
        <v>399</v>
      </c>
      <c r="G37" s="142" t="s">
        <v>300</v>
      </c>
      <c r="H37" s="20">
        <v>10.8446</v>
      </c>
      <c r="I37" s="403" t="s">
        <v>173</v>
      </c>
      <c r="J37" s="404" t="s">
        <v>173</v>
      </c>
      <c r="K37" s="142" t="s">
        <v>300</v>
      </c>
      <c r="L37" s="363" t="s">
        <v>404</v>
      </c>
      <c r="M37" s="142" t="s">
        <v>300</v>
      </c>
      <c r="N37" s="366" t="s">
        <v>405</v>
      </c>
      <c r="O37" s="142" t="s">
        <v>300</v>
      </c>
      <c r="P37" s="362" t="s">
        <v>402</v>
      </c>
      <c r="Q37" s="364"/>
      <c r="R37" s="364"/>
      <c r="S37" s="364"/>
      <c r="T37" s="364"/>
      <c r="U37" s="373"/>
      <c r="V37" s="373"/>
      <c r="W37" s="373"/>
      <c r="X37" s="373"/>
    </row>
    <row r="38" spans="1:24" s="359" customFormat="1" ht="27.6" x14ac:dyDescent="0.3">
      <c r="A38" s="373"/>
      <c r="B38" s="141" t="s">
        <v>358</v>
      </c>
      <c r="C38" s="373" t="s">
        <v>406</v>
      </c>
      <c r="D38" s="373" t="s">
        <v>137</v>
      </c>
      <c r="E38" s="142" t="s">
        <v>300</v>
      </c>
      <c r="F38" s="373" t="s">
        <v>399</v>
      </c>
      <c r="G38" s="142" t="s">
        <v>300</v>
      </c>
      <c r="H38" s="20">
        <v>10.8446</v>
      </c>
      <c r="I38" s="403" t="s">
        <v>173</v>
      </c>
      <c r="J38" s="404" t="s">
        <v>173</v>
      </c>
      <c r="K38" s="142" t="s">
        <v>300</v>
      </c>
      <c r="L38" s="363" t="s">
        <v>407</v>
      </c>
      <c r="M38" s="142" t="s">
        <v>300</v>
      </c>
      <c r="N38" s="366" t="s">
        <v>405</v>
      </c>
      <c r="O38" s="142" t="s">
        <v>300</v>
      </c>
      <c r="P38" s="362" t="s">
        <v>402</v>
      </c>
      <c r="Q38" s="364"/>
      <c r="R38" s="364"/>
      <c r="S38" s="364"/>
      <c r="T38" s="364"/>
      <c r="U38" s="373"/>
      <c r="V38" s="373"/>
      <c r="W38" s="373"/>
      <c r="X38" s="373"/>
    </row>
    <row r="39" spans="1:24" s="359" customFormat="1" ht="13.8" x14ac:dyDescent="0.3">
      <c r="A39" s="373"/>
      <c r="B39" s="141" t="s">
        <v>360</v>
      </c>
      <c r="C39" s="373" t="s">
        <v>408</v>
      </c>
      <c r="D39" s="373" t="s">
        <v>137</v>
      </c>
      <c r="E39" s="142" t="s">
        <v>300</v>
      </c>
      <c r="F39" s="373" t="s">
        <v>399</v>
      </c>
      <c r="G39" s="142" t="s">
        <v>300</v>
      </c>
      <c r="H39" s="20">
        <v>11</v>
      </c>
      <c r="I39" s="403" t="s">
        <v>173</v>
      </c>
      <c r="J39" s="404" t="s">
        <v>173</v>
      </c>
      <c r="K39" s="142" t="s">
        <v>300</v>
      </c>
      <c r="L39" s="363" t="s">
        <v>400</v>
      </c>
      <c r="M39" s="142" t="s">
        <v>300</v>
      </c>
      <c r="N39" s="366" t="s">
        <v>401</v>
      </c>
      <c r="O39" s="142" t="s">
        <v>300</v>
      </c>
      <c r="P39" s="362" t="s">
        <v>402</v>
      </c>
      <c r="Q39" s="364"/>
      <c r="R39" s="364"/>
      <c r="S39" s="364"/>
      <c r="T39" s="364"/>
      <c r="U39" s="373"/>
      <c r="V39" s="373"/>
      <c r="W39" s="373"/>
      <c r="X39" s="373"/>
    </row>
    <row r="40" spans="1:24" s="359" customFormat="1" ht="27.6" x14ac:dyDescent="0.3">
      <c r="A40" s="373"/>
      <c r="B40" s="141" t="s">
        <v>1640</v>
      </c>
      <c r="C40" s="373" t="s">
        <v>1655</v>
      </c>
      <c r="D40" s="373" t="s">
        <v>137</v>
      </c>
      <c r="E40" s="258" t="s">
        <v>300</v>
      </c>
      <c r="F40" s="373" t="s">
        <v>399</v>
      </c>
      <c r="G40" s="142" t="s">
        <v>300</v>
      </c>
      <c r="H40" s="20">
        <v>10.8</v>
      </c>
      <c r="I40" s="403"/>
      <c r="J40" s="404"/>
      <c r="K40" s="142" t="s">
        <v>300</v>
      </c>
      <c r="L40" s="363" t="s">
        <v>412</v>
      </c>
      <c r="M40" s="142" t="s">
        <v>300</v>
      </c>
      <c r="N40" s="366" t="s">
        <v>405</v>
      </c>
      <c r="O40" s="142" t="s">
        <v>300</v>
      </c>
      <c r="P40" s="362" t="s">
        <v>402</v>
      </c>
      <c r="Q40" s="364"/>
      <c r="R40" s="364"/>
      <c r="S40" s="364"/>
      <c r="T40" s="364"/>
      <c r="U40" s="373"/>
      <c r="V40" s="373"/>
      <c r="W40" s="373"/>
      <c r="X40" s="373"/>
    </row>
    <row r="41" spans="1:24" s="359" customFormat="1" ht="27.6" x14ac:dyDescent="0.3">
      <c r="A41" s="373"/>
      <c r="B41" s="141" t="s">
        <v>1642</v>
      </c>
      <c r="C41" s="373" t="s">
        <v>1656</v>
      </c>
      <c r="D41" s="373" t="s">
        <v>137</v>
      </c>
      <c r="E41" s="258" t="s">
        <v>300</v>
      </c>
      <c r="F41" s="373" t="s">
        <v>399</v>
      </c>
      <c r="G41" s="142" t="s">
        <v>300</v>
      </c>
      <c r="H41" s="20">
        <v>12.2</v>
      </c>
      <c r="I41" s="403"/>
      <c r="J41" s="404"/>
      <c r="K41" s="142" t="s">
        <v>300</v>
      </c>
      <c r="L41" s="363" t="s">
        <v>1657</v>
      </c>
      <c r="M41" s="142" t="s">
        <v>300</v>
      </c>
      <c r="N41" s="366" t="s">
        <v>405</v>
      </c>
      <c r="O41" s="142" t="s">
        <v>300</v>
      </c>
      <c r="P41" s="362" t="s">
        <v>402</v>
      </c>
      <c r="Q41" s="364"/>
      <c r="R41" s="364"/>
      <c r="S41" s="364"/>
      <c r="T41" s="364"/>
      <c r="U41" s="373"/>
      <c r="V41" s="373"/>
      <c r="W41" s="373"/>
      <c r="X41" s="373"/>
    </row>
    <row r="42" spans="1:24" s="359" customFormat="1" ht="27.6" x14ac:dyDescent="0.3">
      <c r="A42" s="373"/>
      <c r="B42" s="141" t="s">
        <v>1643</v>
      </c>
      <c r="C42" s="373" t="s">
        <v>1658</v>
      </c>
      <c r="D42" s="373" t="s">
        <v>137</v>
      </c>
      <c r="E42" s="258" t="s">
        <v>300</v>
      </c>
      <c r="F42" s="373" t="s">
        <v>399</v>
      </c>
      <c r="G42" s="142" t="s">
        <v>300</v>
      </c>
      <c r="H42" s="20">
        <v>11.4072</v>
      </c>
      <c r="I42" s="403"/>
      <c r="J42" s="404"/>
      <c r="K42" s="142" t="s">
        <v>300</v>
      </c>
      <c r="L42" s="363" t="s">
        <v>1659</v>
      </c>
      <c r="M42" s="142" t="s">
        <v>300</v>
      </c>
      <c r="N42" s="366" t="s">
        <v>405</v>
      </c>
      <c r="O42" s="142" t="s">
        <v>300</v>
      </c>
      <c r="P42" s="362" t="s">
        <v>402</v>
      </c>
      <c r="Q42" s="364"/>
      <c r="R42" s="364"/>
      <c r="S42" s="364"/>
      <c r="T42" s="364"/>
      <c r="U42" s="373"/>
      <c r="V42" s="373"/>
      <c r="W42" s="373"/>
      <c r="X42" s="373"/>
    </row>
    <row r="43" spans="1:24" s="359" customFormat="1" ht="27.6" x14ac:dyDescent="0.3">
      <c r="A43" s="373"/>
      <c r="B43" s="141" t="s">
        <v>1645</v>
      </c>
      <c r="C43" s="373" t="s">
        <v>1660</v>
      </c>
      <c r="D43" s="373" t="s">
        <v>137</v>
      </c>
      <c r="E43" s="258" t="s">
        <v>300</v>
      </c>
      <c r="F43" s="373" t="s">
        <v>399</v>
      </c>
      <c r="G43" s="142" t="s">
        <v>300</v>
      </c>
      <c r="H43" s="20">
        <v>11.4072</v>
      </c>
      <c r="I43" s="403"/>
      <c r="J43" s="404"/>
      <c r="K43" s="142" t="s">
        <v>300</v>
      </c>
      <c r="L43" s="363" t="s">
        <v>1661</v>
      </c>
      <c r="M43" s="142" t="s">
        <v>300</v>
      </c>
      <c r="N43" s="366" t="s">
        <v>405</v>
      </c>
      <c r="O43" s="142" t="s">
        <v>300</v>
      </c>
      <c r="P43" s="362" t="s">
        <v>402</v>
      </c>
      <c r="Q43" s="364"/>
      <c r="R43" s="364"/>
      <c r="S43" s="364"/>
      <c r="T43" s="364"/>
      <c r="U43" s="373"/>
      <c r="V43" s="373"/>
      <c r="W43" s="373"/>
      <c r="X43" s="373"/>
    </row>
    <row r="44" spans="1:24" s="359" customFormat="1" ht="13.8" x14ac:dyDescent="0.3">
      <c r="A44" s="373"/>
      <c r="B44" s="141" t="s">
        <v>374</v>
      </c>
      <c r="C44" s="373" t="s">
        <v>409</v>
      </c>
      <c r="D44" s="373" t="s">
        <v>137</v>
      </c>
      <c r="E44" s="142" t="s">
        <v>300</v>
      </c>
      <c r="F44" s="373" t="s">
        <v>410</v>
      </c>
      <c r="G44" s="403" t="s">
        <v>173</v>
      </c>
      <c r="H44" s="709" t="s">
        <v>173</v>
      </c>
      <c r="I44" s="403" t="s">
        <v>173</v>
      </c>
      <c r="J44" s="404" t="s">
        <v>173</v>
      </c>
      <c r="K44" s="403" t="s">
        <v>173</v>
      </c>
      <c r="L44" s="449" t="s">
        <v>173</v>
      </c>
      <c r="M44" s="403" t="s">
        <v>173</v>
      </c>
      <c r="N44" s="449" t="s">
        <v>173</v>
      </c>
      <c r="O44" s="403" t="s">
        <v>173</v>
      </c>
      <c r="P44" s="447" t="s">
        <v>173</v>
      </c>
      <c r="Q44" s="364"/>
      <c r="R44" s="364"/>
      <c r="S44" s="364"/>
      <c r="T44" s="364"/>
      <c r="U44" s="373"/>
      <c r="V44" s="373"/>
      <c r="W44" s="373"/>
      <c r="X44" s="373"/>
    </row>
    <row r="45" spans="1:24" s="359" customFormat="1" ht="27.6" x14ac:dyDescent="0.3">
      <c r="A45" s="373"/>
      <c r="B45" s="309" t="s">
        <v>1638</v>
      </c>
      <c r="C45" s="165" t="s">
        <v>1662</v>
      </c>
      <c r="D45" s="165" t="s">
        <v>137</v>
      </c>
      <c r="E45" s="160" t="s">
        <v>300</v>
      </c>
      <c r="F45" s="165" t="s">
        <v>399</v>
      </c>
      <c r="G45" s="410" t="s">
        <v>300</v>
      </c>
      <c r="H45" s="889">
        <v>10.8446</v>
      </c>
      <c r="I45" s="405" t="s">
        <v>173</v>
      </c>
      <c r="J45" s="406" t="s">
        <v>173</v>
      </c>
      <c r="K45" s="410" t="s">
        <v>300</v>
      </c>
      <c r="L45" s="833" t="s">
        <v>1663</v>
      </c>
      <c r="M45" s="410" t="s">
        <v>300</v>
      </c>
      <c r="N45" s="167" t="s">
        <v>405</v>
      </c>
      <c r="O45" s="410" t="s">
        <v>300</v>
      </c>
      <c r="P45" s="172" t="s">
        <v>402</v>
      </c>
      <c r="Q45" s="364"/>
      <c r="R45" s="364"/>
      <c r="S45" s="364"/>
      <c r="T45" s="364"/>
      <c r="U45" s="373"/>
      <c r="V45" s="373"/>
      <c r="W45" s="373"/>
      <c r="X45" s="373"/>
    </row>
    <row r="46" spans="1:24" x14ac:dyDescent="0.3">
      <c r="A46" s="89"/>
      <c r="B46" s="84"/>
      <c r="C46" s="82"/>
      <c r="D46" s="89"/>
      <c r="E46" s="91"/>
      <c r="F46" s="89"/>
      <c r="G46" s="91"/>
      <c r="H46" s="89"/>
      <c r="I46" s="91"/>
      <c r="J46" s="89"/>
      <c r="K46" s="30"/>
      <c r="L46" s="364"/>
      <c r="N46" s="364"/>
      <c r="P46" s="364"/>
      <c r="R46" s="364"/>
      <c r="T46" s="364"/>
      <c r="V46" s="364"/>
      <c r="X46" s="364"/>
    </row>
    <row r="47" spans="1:24" x14ac:dyDescent="0.3">
      <c r="G47" s="364"/>
      <c r="H47" s="92"/>
      <c r="R47" s="364"/>
      <c r="T47" s="364"/>
      <c r="U47" s="982"/>
      <c r="V47" s="982"/>
      <c r="W47" s="982"/>
      <c r="X47" s="982"/>
    </row>
    <row r="48" spans="1:24" ht="27.6" x14ac:dyDescent="0.3">
      <c r="A48" s="89"/>
      <c r="B48" s="115" t="s">
        <v>331</v>
      </c>
      <c r="C48" s="123" t="s">
        <v>413</v>
      </c>
      <c r="D48" s="119" t="s">
        <v>122</v>
      </c>
      <c r="E48" s="182"/>
      <c r="F48" s="117" t="s">
        <v>414</v>
      </c>
      <c r="G48" s="173"/>
      <c r="H48" s="173" t="s">
        <v>415</v>
      </c>
      <c r="I48" s="194"/>
      <c r="J48" s="117" t="s">
        <v>385</v>
      </c>
      <c r="K48" s="187"/>
      <c r="L48" s="117" t="s">
        <v>416</v>
      </c>
      <c r="N48" s="364"/>
      <c r="P48" s="364"/>
      <c r="R48" s="364"/>
      <c r="S48" s="982"/>
      <c r="T48" s="982"/>
      <c r="U48" s="982"/>
      <c r="V48" s="982"/>
      <c r="W48" s="982"/>
      <c r="X48" s="982"/>
    </row>
    <row r="49" spans="1:24" ht="15" thickBot="1" x14ac:dyDescent="0.35">
      <c r="A49" s="89"/>
      <c r="B49" s="178" t="s">
        <v>417</v>
      </c>
      <c r="C49" s="176" t="s">
        <v>418</v>
      </c>
      <c r="D49" s="176"/>
      <c r="E49" s="183"/>
      <c r="F49" s="179" t="s">
        <v>419</v>
      </c>
      <c r="G49" s="177"/>
      <c r="H49" s="176" t="s">
        <v>420</v>
      </c>
      <c r="I49" s="183"/>
      <c r="J49" s="179"/>
      <c r="K49" s="124"/>
      <c r="L49" s="179" t="s">
        <v>421</v>
      </c>
      <c r="N49" s="364"/>
      <c r="P49" s="364"/>
      <c r="R49" s="364"/>
      <c r="S49" s="982"/>
      <c r="T49" s="982"/>
      <c r="U49" s="982"/>
      <c r="V49" s="982"/>
      <c r="W49" s="982"/>
      <c r="X49" s="982"/>
    </row>
    <row r="50" spans="1:24" s="359" customFormat="1" thickTop="1" x14ac:dyDescent="0.3">
      <c r="A50" s="373"/>
      <c r="B50" s="141" t="s">
        <v>351</v>
      </c>
      <c r="C50" s="373" t="s">
        <v>422</v>
      </c>
      <c r="D50" s="373" t="s">
        <v>137</v>
      </c>
      <c r="E50" s="413" t="s">
        <v>300</v>
      </c>
      <c r="F50" s="266" t="s">
        <v>423</v>
      </c>
      <c r="G50" s="375" t="s">
        <v>173</v>
      </c>
      <c r="H50" s="277" t="s">
        <v>173</v>
      </c>
      <c r="I50" s="375" t="s">
        <v>173</v>
      </c>
      <c r="J50" s="277" t="s">
        <v>173</v>
      </c>
      <c r="K50" s="375" t="s">
        <v>173</v>
      </c>
      <c r="L50" s="277" t="s">
        <v>173</v>
      </c>
      <c r="M50" s="373"/>
      <c r="N50" s="373"/>
      <c r="O50" s="373"/>
      <c r="P50" s="364"/>
      <c r="Q50" s="373"/>
      <c r="R50" s="373"/>
    </row>
    <row r="51" spans="1:24" s="359" customFormat="1" ht="13.8" x14ac:dyDescent="0.3">
      <c r="A51" s="373"/>
      <c r="B51" s="141" t="s">
        <v>356</v>
      </c>
      <c r="C51" s="373" t="s">
        <v>424</v>
      </c>
      <c r="D51" s="373" t="s">
        <v>137</v>
      </c>
      <c r="E51" s="409" t="s">
        <v>300</v>
      </c>
      <c r="F51" s="266" t="s">
        <v>423</v>
      </c>
      <c r="G51" s="375" t="s">
        <v>173</v>
      </c>
      <c r="H51" s="277" t="s">
        <v>173</v>
      </c>
      <c r="I51" s="375" t="s">
        <v>173</v>
      </c>
      <c r="J51" s="277" t="s">
        <v>173</v>
      </c>
      <c r="K51" s="375" t="s">
        <v>173</v>
      </c>
      <c r="L51" s="277" t="s">
        <v>173</v>
      </c>
      <c r="M51" s="373"/>
      <c r="N51" s="373"/>
      <c r="O51" s="373"/>
      <c r="P51" s="364"/>
      <c r="Q51" s="373"/>
      <c r="R51" s="373"/>
    </row>
    <row r="52" spans="1:24" s="359" customFormat="1" ht="13.8" x14ac:dyDescent="0.3">
      <c r="A52" s="373"/>
      <c r="B52" s="141" t="s">
        <v>358</v>
      </c>
      <c r="C52" s="373" t="s">
        <v>425</v>
      </c>
      <c r="D52" s="373" t="s">
        <v>137</v>
      </c>
      <c r="E52" s="409" t="s">
        <v>300</v>
      </c>
      <c r="F52" s="266" t="s">
        <v>423</v>
      </c>
      <c r="G52" s="375" t="s">
        <v>173</v>
      </c>
      <c r="H52" s="277" t="s">
        <v>173</v>
      </c>
      <c r="I52" s="375" t="s">
        <v>173</v>
      </c>
      <c r="J52" s="277" t="s">
        <v>173</v>
      </c>
      <c r="K52" s="375" t="s">
        <v>173</v>
      </c>
      <c r="L52" s="277" t="s">
        <v>173</v>
      </c>
      <c r="M52" s="373"/>
      <c r="N52" s="373"/>
      <c r="O52" s="373"/>
      <c r="P52" s="373"/>
      <c r="Q52" s="373"/>
      <c r="R52" s="373"/>
    </row>
    <row r="53" spans="1:24" s="359" customFormat="1" ht="13.8" x14ac:dyDescent="0.3">
      <c r="A53" s="373"/>
      <c r="B53" s="141" t="s">
        <v>360</v>
      </c>
      <c r="C53" s="373" t="s">
        <v>426</v>
      </c>
      <c r="D53" s="373" t="s">
        <v>137</v>
      </c>
      <c r="E53" s="409" t="s">
        <v>300</v>
      </c>
      <c r="F53" s="266" t="s">
        <v>423</v>
      </c>
      <c r="G53" s="375" t="s">
        <v>173</v>
      </c>
      <c r="H53" s="277" t="s">
        <v>173</v>
      </c>
      <c r="I53" s="375" t="s">
        <v>173</v>
      </c>
      <c r="J53" s="277" t="s">
        <v>173</v>
      </c>
      <c r="K53" s="375" t="s">
        <v>173</v>
      </c>
      <c r="L53" s="277" t="s">
        <v>173</v>
      </c>
      <c r="M53" s="373"/>
      <c r="N53" s="373"/>
      <c r="O53" s="373"/>
      <c r="P53" s="373"/>
      <c r="Q53" s="373"/>
      <c r="R53" s="373"/>
    </row>
    <row r="54" spans="1:24" s="359" customFormat="1" ht="13.8" x14ac:dyDescent="0.3">
      <c r="A54" s="373"/>
      <c r="B54" s="141" t="s">
        <v>351</v>
      </c>
      <c r="C54" s="373" t="s">
        <v>427</v>
      </c>
      <c r="D54" s="373" t="s">
        <v>137</v>
      </c>
      <c r="E54" s="409" t="s">
        <v>300</v>
      </c>
      <c r="F54" s="266" t="s">
        <v>423</v>
      </c>
      <c r="G54" s="375" t="s">
        <v>173</v>
      </c>
      <c r="H54" s="277" t="s">
        <v>173</v>
      </c>
      <c r="I54" s="375" t="s">
        <v>173</v>
      </c>
      <c r="J54" s="277" t="s">
        <v>173</v>
      </c>
      <c r="K54" s="375" t="s">
        <v>173</v>
      </c>
      <c r="L54" s="277" t="s">
        <v>173</v>
      </c>
      <c r="M54" s="373"/>
      <c r="N54" s="373"/>
      <c r="O54" s="373"/>
      <c r="P54" s="373"/>
      <c r="Q54" s="373"/>
      <c r="R54" s="373"/>
    </row>
    <row r="55" spans="1:24" s="359" customFormat="1" ht="13.8" x14ac:dyDescent="0.3">
      <c r="A55" s="373"/>
      <c r="B55" s="141" t="s">
        <v>356</v>
      </c>
      <c r="C55" s="373" t="s">
        <v>427</v>
      </c>
      <c r="D55" s="373" t="s">
        <v>137</v>
      </c>
      <c r="E55" s="409" t="s">
        <v>300</v>
      </c>
      <c r="F55" s="266" t="s">
        <v>423</v>
      </c>
      <c r="G55" s="375" t="s">
        <v>173</v>
      </c>
      <c r="H55" s="277" t="s">
        <v>173</v>
      </c>
      <c r="I55" s="375" t="s">
        <v>173</v>
      </c>
      <c r="J55" s="277" t="s">
        <v>173</v>
      </c>
      <c r="K55" s="375" t="s">
        <v>173</v>
      </c>
      <c r="L55" s="277" t="s">
        <v>173</v>
      </c>
      <c r="M55" s="373"/>
      <c r="N55" s="373"/>
      <c r="O55" s="373"/>
      <c r="P55" s="373"/>
      <c r="Q55" s="373"/>
      <c r="R55" s="373"/>
    </row>
    <row r="56" spans="1:24" s="359" customFormat="1" ht="13.8" x14ac:dyDescent="0.3">
      <c r="A56" s="373"/>
      <c r="B56" s="141" t="s">
        <v>358</v>
      </c>
      <c r="C56" s="373" t="s">
        <v>427</v>
      </c>
      <c r="D56" s="373" t="s">
        <v>137</v>
      </c>
      <c r="E56" s="409" t="s">
        <v>300</v>
      </c>
      <c r="F56" s="266" t="s">
        <v>423</v>
      </c>
      <c r="G56" s="375" t="s">
        <v>173</v>
      </c>
      <c r="H56" s="277" t="s">
        <v>173</v>
      </c>
      <c r="I56" s="375" t="s">
        <v>173</v>
      </c>
      <c r="J56" s="277" t="s">
        <v>173</v>
      </c>
      <c r="K56" s="375" t="s">
        <v>173</v>
      </c>
      <c r="L56" s="277" t="s">
        <v>173</v>
      </c>
      <c r="M56" s="373"/>
      <c r="N56" s="373"/>
      <c r="O56" s="373"/>
      <c r="P56" s="373"/>
      <c r="Q56" s="373"/>
      <c r="R56" s="373"/>
    </row>
    <row r="57" spans="1:24" s="359" customFormat="1" ht="13.8" x14ac:dyDescent="0.3">
      <c r="A57" s="373"/>
      <c r="B57" s="141" t="s">
        <v>360</v>
      </c>
      <c r="C57" s="373" t="s">
        <v>427</v>
      </c>
      <c r="D57" s="373" t="s">
        <v>137</v>
      </c>
      <c r="E57" s="409" t="s">
        <v>300</v>
      </c>
      <c r="F57" s="202" t="s">
        <v>423</v>
      </c>
      <c r="G57" s="375" t="s">
        <v>173</v>
      </c>
      <c r="H57" s="277" t="s">
        <v>173</v>
      </c>
      <c r="I57" s="375" t="s">
        <v>173</v>
      </c>
      <c r="J57" s="277" t="s">
        <v>173</v>
      </c>
      <c r="K57" s="375" t="s">
        <v>173</v>
      </c>
      <c r="L57" s="277" t="s">
        <v>173</v>
      </c>
      <c r="M57" s="373"/>
      <c r="N57" s="373"/>
      <c r="O57" s="373"/>
      <c r="P57" s="373"/>
      <c r="Q57" s="373"/>
      <c r="R57" s="373"/>
    </row>
    <row r="58" spans="1:24" s="359" customFormat="1" ht="13.8" x14ac:dyDescent="0.3">
      <c r="A58" s="373"/>
      <c r="B58" s="141" t="s">
        <v>1640</v>
      </c>
      <c r="C58" s="373" t="s">
        <v>1664</v>
      </c>
      <c r="D58" s="373" t="s">
        <v>137</v>
      </c>
      <c r="E58" s="625" t="s">
        <v>300</v>
      </c>
      <c r="F58" s="202" t="s">
        <v>430</v>
      </c>
      <c r="G58" s="411" t="s">
        <v>300</v>
      </c>
      <c r="H58" s="903">
        <f>0.0051427*(81)+0.3989</f>
        <v>0.81545869999999998</v>
      </c>
      <c r="I58" s="375" t="s">
        <v>173</v>
      </c>
      <c r="J58" s="277" t="s">
        <v>173</v>
      </c>
      <c r="K58" s="411" t="s">
        <v>300</v>
      </c>
      <c r="L58" s="202" t="s">
        <v>431</v>
      </c>
      <c r="M58" s="373"/>
      <c r="N58" s="373"/>
      <c r="O58" s="373"/>
      <c r="P58" s="373"/>
      <c r="Q58" s="373"/>
      <c r="R58" s="373"/>
    </row>
    <row r="59" spans="1:24" s="359" customFormat="1" ht="13.8" x14ac:dyDescent="0.3">
      <c r="A59" s="373"/>
      <c r="B59" s="141" t="s">
        <v>1642</v>
      </c>
      <c r="C59" s="373" t="s">
        <v>1665</v>
      </c>
      <c r="D59" s="373" t="s">
        <v>137</v>
      </c>
      <c r="E59" s="625" t="s">
        <v>300</v>
      </c>
      <c r="F59" s="202" t="s">
        <v>430</v>
      </c>
      <c r="G59" s="409" t="s">
        <v>300</v>
      </c>
      <c r="H59" s="903">
        <f>0.0051427*(80)+0.3989</f>
        <v>0.81031600000000004</v>
      </c>
      <c r="I59" s="375" t="s">
        <v>173</v>
      </c>
      <c r="J59" s="277" t="s">
        <v>173</v>
      </c>
      <c r="K59" s="409" t="s">
        <v>300</v>
      </c>
      <c r="L59" s="202" t="s">
        <v>431</v>
      </c>
      <c r="M59" s="373"/>
      <c r="N59" s="373"/>
      <c r="O59" s="373"/>
      <c r="P59" s="373"/>
      <c r="Q59" s="373"/>
      <c r="R59" s="373"/>
    </row>
    <row r="60" spans="1:24" s="359" customFormat="1" ht="13.8" x14ac:dyDescent="0.3">
      <c r="A60" s="373"/>
      <c r="B60" s="141" t="s">
        <v>1643</v>
      </c>
      <c r="C60" s="373" t="s">
        <v>1666</v>
      </c>
      <c r="D60" s="373" t="s">
        <v>137</v>
      </c>
      <c r="E60" s="625"/>
      <c r="F60" s="361" t="s">
        <v>1667</v>
      </c>
      <c r="G60" s="375" t="s">
        <v>173</v>
      </c>
      <c r="H60" s="277" t="s">
        <v>173</v>
      </c>
      <c r="I60" s="375" t="s">
        <v>173</v>
      </c>
      <c r="J60" s="277" t="s">
        <v>173</v>
      </c>
      <c r="K60" s="375" t="s">
        <v>173</v>
      </c>
      <c r="L60" s="277" t="s">
        <v>173</v>
      </c>
      <c r="M60" s="373"/>
      <c r="N60" s="373"/>
      <c r="O60" s="373"/>
      <c r="P60" s="373"/>
      <c r="Q60" s="373"/>
      <c r="R60" s="373"/>
    </row>
    <row r="61" spans="1:24" s="359" customFormat="1" ht="13.8" x14ac:dyDescent="0.3">
      <c r="A61" s="373"/>
      <c r="B61" s="141" t="s">
        <v>1645</v>
      </c>
      <c r="C61" s="373" t="s">
        <v>1668</v>
      </c>
      <c r="D61" s="373" t="s">
        <v>137</v>
      </c>
      <c r="E61" s="625"/>
      <c r="F61" s="361" t="s">
        <v>1667</v>
      </c>
      <c r="G61" s="375" t="s">
        <v>173</v>
      </c>
      <c r="H61" s="277" t="s">
        <v>173</v>
      </c>
      <c r="I61" s="375" t="s">
        <v>173</v>
      </c>
      <c r="J61" s="277" t="s">
        <v>173</v>
      </c>
      <c r="K61" s="375" t="s">
        <v>173</v>
      </c>
      <c r="L61" s="277" t="s">
        <v>173</v>
      </c>
      <c r="M61" s="373"/>
      <c r="N61" s="373"/>
      <c r="O61" s="373"/>
      <c r="P61" s="373"/>
      <c r="Q61" s="373"/>
      <c r="R61" s="373"/>
    </row>
    <row r="62" spans="1:24" s="359" customFormat="1" ht="13.8" x14ac:dyDescent="0.3">
      <c r="A62" s="373"/>
      <c r="B62" s="141" t="s">
        <v>374</v>
      </c>
      <c r="C62" s="373" t="s">
        <v>428</v>
      </c>
      <c r="D62" s="373" t="s">
        <v>137</v>
      </c>
      <c r="E62" s="625" t="s">
        <v>300</v>
      </c>
      <c r="F62" s="202" t="s">
        <v>423</v>
      </c>
      <c r="G62" s="375" t="s">
        <v>173</v>
      </c>
      <c r="H62" s="277" t="s">
        <v>173</v>
      </c>
      <c r="I62" s="375" t="s">
        <v>173</v>
      </c>
      <c r="J62" s="277" t="s">
        <v>173</v>
      </c>
      <c r="K62" s="375" t="s">
        <v>173</v>
      </c>
      <c r="L62" s="277" t="s">
        <v>173</v>
      </c>
      <c r="M62" s="373"/>
      <c r="N62" s="373"/>
      <c r="O62" s="373"/>
      <c r="P62" s="373"/>
      <c r="Q62" s="373"/>
      <c r="R62" s="373"/>
    </row>
    <row r="63" spans="1:24" s="359" customFormat="1" ht="13.8" x14ac:dyDescent="0.3">
      <c r="A63" s="373"/>
      <c r="B63" s="278" t="s">
        <v>1638</v>
      </c>
      <c r="C63" s="167" t="s">
        <v>1669</v>
      </c>
      <c r="D63" s="452" t="s">
        <v>137</v>
      </c>
      <c r="E63" s="410" t="s">
        <v>300</v>
      </c>
      <c r="F63" s="198" t="s">
        <v>430</v>
      </c>
      <c r="G63" s="174"/>
      <c r="H63" s="904">
        <f>0.0051427*(78)+0.3989</f>
        <v>0.80003059999999993</v>
      </c>
      <c r="I63" s="273" t="s">
        <v>173</v>
      </c>
      <c r="J63" s="275" t="s">
        <v>173</v>
      </c>
      <c r="K63" s="174" t="s">
        <v>300</v>
      </c>
      <c r="L63" s="162" t="s">
        <v>431</v>
      </c>
      <c r="M63" s="373"/>
      <c r="N63" s="373"/>
      <c r="O63" s="373"/>
      <c r="P63" s="373"/>
      <c r="Q63" s="373"/>
      <c r="R63" s="373"/>
    </row>
    <row r="64" spans="1:24" x14ac:dyDescent="0.3">
      <c r="A64" s="89"/>
      <c r="B64" s="380"/>
      <c r="C64" s="380"/>
      <c r="D64" s="982"/>
      <c r="E64" s="357"/>
      <c r="F64" s="982"/>
      <c r="G64" s="357"/>
      <c r="H64" s="982"/>
      <c r="I64" s="357"/>
      <c r="J64" s="982"/>
      <c r="K64" s="357"/>
      <c r="L64" s="982"/>
      <c r="N64" s="364"/>
      <c r="P64" s="364"/>
      <c r="R64" s="364"/>
      <c r="T64" s="364"/>
      <c r="U64" s="358"/>
      <c r="V64" s="358"/>
      <c r="W64" s="358"/>
      <c r="X64" s="358"/>
    </row>
    <row r="65" spans="1:24" x14ac:dyDescent="0.3">
      <c r="A65" s="89"/>
      <c r="B65" s="90"/>
      <c r="C65" s="93"/>
      <c r="D65" s="89"/>
      <c r="E65" s="91"/>
      <c r="F65" s="89"/>
      <c r="G65" s="91"/>
      <c r="H65" s="89"/>
      <c r="I65" s="91"/>
      <c r="J65" s="89"/>
      <c r="K65" s="91"/>
      <c r="L65" s="89"/>
      <c r="M65" s="91"/>
      <c r="N65" s="89"/>
      <c r="O65" s="91"/>
      <c r="P65" s="89"/>
      <c r="Q65" s="91"/>
      <c r="R65" s="89"/>
      <c r="S65" s="91"/>
      <c r="T65" s="89"/>
      <c r="U65" s="358"/>
      <c r="V65" s="358"/>
      <c r="W65" s="358"/>
      <c r="X65" s="358"/>
    </row>
    <row r="66" spans="1:24" ht="27.6" x14ac:dyDescent="0.3">
      <c r="A66" s="89"/>
      <c r="B66" s="115" t="s">
        <v>330</v>
      </c>
      <c r="C66" s="123" t="s">
        <v>432</v>
      </c>
      <c r="D66" s="120" t="s">
        <v>122</v>
      </c>
      <c r="E66" s="182"/>
      <c r="F66" s="117" t="s">
        <v>433</v>
      </c>
      <c r="G66" s="120"/>
      <c r="H66" s="173" t="s">
        <v>434</v>
      </c>
      <c r="I66" s="131"/>
      <c r="J66" s="117" t="s">
        <v>435</v>
      </c>
      <c r="K66" s="131"/>
      <c r="L66" s="117" t="s">
        <v>436</v>
      </c>
      <c r="M66" s="173"/>
      <c r="N66" s="120" t="s">
        <v>437</v>
      </c>
      <c r="O66" s="194"/>
      <c r="P66" s="117" t="s">
        <v>438</v>
      </c>
      <c r="Q66" s="173"/>
      <c r="R66" s="173" t="s">
        <v>439</v>
      </c>
      <c r="S66" s="194"/>
      <c r="T66" s="117" t="s">
        <v>440</v>
      </c>
      <c r="U66" s="194"/>
      <c r="V66" s="117" t="s">
        <v>1670</v>
      </c>
      <c r="W66" s="358"/>
      <c r="X66" s="358"/>
    </row>
    <row r="67" spans="1:24" ht="15" thickBot="1" x14ac:dyDescent="0.35">
      <c r="A67" s="89"/>
      <c r="B67" s="178" t="s">
        <v>441</v>
      </c>
      <c r="C67" s="176" t="s">
        <v>442</v>
      </c>
      <c r="D67" s="176"/>
      <c r="E67" s="183"/>
      <c r="F67" s="179" t="s">
        <v>443</v>
      </c>
      <c r="G67" s="177"/>
      <c r="H67" s="176" t="s">
        <v>444</v>
      </c>
      <c r="I67" s="183"/>
      <c r="J67" s="179"/>
      <c r="K67" s="183"/>
      <c r="L67" s="179" t="s">
        <v>445</v>
      </c>
      <c r="M67" s="177"/>
      <c r="N67" s="176" t="s">
        <v>1671</v>
      </c>
      <c r="O67" s="183"/>
      <c r="P67" s="179" t="s">
        <v>447</v>
      </c>
      <c r="Q67" s="177"/>
      <c r="R67" s="176" t="s">
        <v>448</v>
      </c>
      <c r="S67" s="183"/>
      <c r="T67" s="179" t="s">
        <v>449</v>
      </c>
      <c r="U67" s="183"/>
      <c r="V67" s="179" t="s">
        <v>1672</v>
      </c>
      <c r="W67" s="358"/>
      <c r="X67" s="358"/>
    </row>
    <row r="68" spans="1:24" s="359" customFormat="1" thickTop="1" x14ac:dyDescent="0.3">
      <c r="A68" s="373"/>
      <c r="B68" s="141" t="s">
        <v>352</v>
      </c>
      <c r="C68" s="373" t="s">
        <v>450</v>
      </c>
      <c r="D68" s="373" t="s">
        <v>137</v>
      </c>
      <c r="E68" s="409" t="s">
        <v>300</v>
      </c>
      <c r="F68" s="373" t="s">
        <v>451</v>
      </c>
      <c r="G68" s="409"/>
      <c r="H68" s="365" t="s">
        <v>452</v>
      </c>
      <c r="I68" s="458" t="s">
        <v>173</v>
      </c>
      <c r="J68" s="463">
        <v>12396.3</v>
      </c>
      <c r="K68" s="409"/>
      <c r="L68" s="428">
        <f>0.0013*J68</f>
        <v>16.115189999999998</v>
      </c>
      <c r="M68" s="409"/>
      <c r="N68" s="266">
        <v>0.65</v>
      </c>
      <c r="O68" s="409"/>
      <c r="P68" s="858">
        <v>5.3619700000000003</v>
      </c>
      <c r="Q68" s="409"/>
      <c r="R68" s="858">
        <v>20</v>
      </c>
      <c r="S68" s="409"/>
      <c r="T68" s="861">
        <v>0.93</v>
      </c>
      <c r="U68" s="804"/>
      <c r="V68" s="805"/>
      <c r="X68" s="482"/>
    </row>
    <row r="69" spans="1:24" s="359" customFormat="1" ht="13.8" x14ac:dyDescent="0.3">
      <c r="A69" s="373"/>
      <c r="B69" s="141" t="s">
        <v>357</v>
      </c>
      <c r="C69" s="373" t="s">
        <v>453</v>
      </c>
      <c r="D69" s="373" t="s">
        <v>137</v>
      </c>
      <c r="E69" s="412" t="s">
        <v>300</v>
      </c>
      <c r="F69" s="373" t="s">
        <v>451</v>
      </c>
      <c r="G69" s="412"/>
      <c r="H69" s="365" t="s">
        <v>452</v>
      </c>
      <c r="I69" s="459" t="s">
        <v>173</v>
      </c>
      <c r="J69" s="463">
        <v>1646.78</v>
      </c>
      <c r="K69" s="411"/>
      <c r="L69" s="428">
        <f t="shared" ref="L69:L71" si="0">0.0013*J69</f>
        <v>2.1408139999999998</v>
      </c>
      <c r="M69" s="412"/>
      <c r="N69" s="1">
        <v>0.65</v>
      </c>
      <c r="O69" s="412"/>
      <c r="P69" s="20">
        <v>5.3619700000000003</v>
      </c>
      <c r="Q69" s="412"/>
      <c r="R69" s="20">
        <v>3</v>
      </c>
      <c r="S69" s="412"/>
      <c r="T69" s="725">
        <v>0.89500000000000002</v>
      </c>
      <c r="U69" s="678"/>
      <c r="V69" s="806"/>
      <c r="X69" s="482"/>
    </row>
    <row r="70" spans="1:24" s="359" customFormat="1" ht="13.8" x14ac:dyDescent="0.3">
      <c r="A70" s="373"/>
      <c r="B70" s="141" t="s">
        <v>359</v>
      </c>
      <c r="C70" s="373" t="s">
        <v>454</v>
      </c>
      <c r="D70" s="373" t="s">
        <v>137</v>
      </c>
      <c r="E70" s="412" t="s">
        <v>300</v>
      </c>
      <c r="F70" s="373" t="s">
        <v>451</v>
      </c>
      <c r="G70" s="412"/>
      <c r="H70" s="365" t="s">
        <v>452</v>
      </c>
      <c r="I70" s="459" t="s">
        <v>173</v>
      </c>
      <c r="J70" s="463">
        <v>1674.51</v>
      </c>
      <c r="K70" s="411"/>
      <c r="L70" s="428">
        <f t="shared" si="0"/>
        <v>2.176863</v>
      </c>
      <c r="M70" s="412"/>
      <c r="N70" s="1">
        <v>0.65</v>
      </c>
      <c r="O70" s="412"/>
      <c r="P70" s="20">
        <v>5.3619700000000003</v>
      </c>
      <c r="Q70" s="412"/>
      <c r="R70" s="20">
        <v>3</v>
      </c>
      <c r="S70" s="412"/>
      <c r="T70" s="725">
        <v>0.89500000000000002</v>
      </c>
      <c r="U70" s="678"/>
      <c r="V70" s="806"/>
      <c r="X70" s="482"/>
    </row>
    <row r="71" spans="1:24" s="359" customFormat="1" ht="13.8" x14ac:dyDescent="0.3">
      <c r="A71" s="373"/>
      <c r="B71" s="141" t="s">
        <v>361</v>
      </c>
      <c r="C71" s="373" t="s">
        <v>455</v>
      </c>
      <c r="D71" s="373" t="s">
        <v>137</v>
      </c>
      <c r="E71" s="412" t="s">
        <v>300</v>
      </c>
      <c r="F71" s="373" t="s">
        <v>451</v>
      </c>
      <c r="G71" s="412"/>
      <c r="H71" s="365" t="s">
        <v>452</v>
      </c>
      <c r="I71" s="459" t="s">
        <v>173</v>
      </c>
      <c r="J71" s="463">
        <v>1721.44</v>
      </c>
      <c r="K71" s="411"/>
      <c r="L71" s="428">
        <f t="shared" si="0"/>
        <v>2.2378719999999999</v>
      </c>
      <c r="M71" s="412"/>
      <c r="N71" s="1">
        <v>0.65</v>
      </c>
      <c r="O71" s="412"/>
      <c r="P71" s="20">
        <v>5.3619700000000003</v>
      </c>
      <c r="Q71" s="412"/>
      <c r="R71" s="20">
        <v>3</v>
      </c>
      <c r="S71" s="412"/>
      <c r="T71" s="725">
        <v>0.89500000000000002</v>
      </c>
      <c r="U71" s="678"/>
      <c r="V71" s="806"/>
      <c r="X71" s="482"/>
    </row>
    <row r="72" spans="1:24" s="533" customFormat="1" ht="13.8" x14ac:dyDescent="0.3">
      <c r="A72" s="397"/>
      <c r="B72" s="141" t="s">
        <v>456</v>
      </c>
      <c r="C72" s="373" t="s">
        <v>1673</v>
      </c>
      <c r="D72" s="373" t="s">
        <v>137</v>
      </c>
      <c r="E72" s="412" t="s">
        <v>300</v>
      </c>
      <c r="F72" s="373" t="s">
        <v>458</v>
      </c>
      <c r="G72" s="412"/>
      <c r="H72" s="365" t="s">
        <v>452</v>
      </c>
      <c r="I72" s="626" t="s">
        <v>173</v>
      </c>
      <c r="J72" s="463">
        <v>351.02600000000001</v>
      </c>
      <c r="K72" s="459" t="s">
        <v>173</v>
      </c>
      <c r="L72" s="428">
        <f t="shared" ref="L72:L108" si="1">J72*P72*(0.1175/745.6)/N72</f>
        <v>0.14088543384388411</v>
      </c>
      <c r="M72" s="412"/>
      <c r="N72" s="1">
        <v>0.5</v>
      </c>
      <c r="O72" s="412" t="s">
        <v>300</v>
      </c>
      <c r="P72" s="20">
        <v>1.2734000000000001</v>
      </c>
      <c r="Q72" s="412"/>
      <c r="R72" s="20">
        <v>0.25</v>
      </c>
      <c r="S72" s="412" t="s">
        <v>300</v>
      </c>
      <c r="T72" s="418">
        <v>0.85499999999999998</v>
      </c>
      <c r="U72" s="678"/>
      <c r="V72" s="806"/>
      <c r="X72" s="535"/>
    </row>
    <row r="73" spans="1:24" s="533" customFormat="1" ht="13.8" x14ac:dyDescent="0.3">
      <c r="A73" s="397"/>
      <c r="B73" s="141" t="s">
        <v>456</v>
      </c>
      <c r="C73" s="373" t="s">
        <v>1674</v>
      </c>
      <c r="D73" s="373" t="s">
        <v>137</v>
      </c>
      <c r="E73" s="412" t="s">
        <v>300</v>
      </c>
      <c r="F73" s="373" t="s">
        <v>458</v>
      </c>
      <c r="G73" s="412"/>
      <c r="H73" s="365" t="s">
        <v>452</v>
      </c>
      <c r="I73" s="626" t="s">
        <v>173</v>
      </c>
      <c r="J73" s="463">
        <v>351.02600000000001</v>
      </c>
      <c r="K73" s="459" t="s">
        <v>173</v>
      </c>
      <c r="L73" s="428">
        <f t="shared" si="1"/>
        <v>0.14088543384388411</v>
      </c>
      <c r="M73" s="412"/>
      <c r="N73" s="1">
        <v>0.5</v>
      </c>
      <c r="O73" s="412" t="s">
        <v>300</v>
      </c>
      <c r="P73" s="20">
        <v>1.2734000000000001</v>
      </c>
      <c r="Q73" s="412"/>
      <c r="R73" s="20">
        <v>0.25</v>
      </c>
      <c r="S73" s="412" t="s">
        <v>300</v>
      </c>
      <c r="T73" s="418">
        <v>0.85499999999999998</v>
      </c>
      <c r="U73" s="678"/>
      <c r="V73" s="806"/>
      <c r="X73" s="535"/>
    </row>
    <row r="74" spans="1:24" s="533" customFormat="1" ht="13.8" x14ac:dyDescent="0.3">
      <c r="A74" s="397"/>
      <c r="B74" s="141" t="s">
        <v>456</v>
      </c>
      <c r="C74" s="373" t="s">
        <v>1675</v>
      </c>
      <c r="D74" s="373" t="s">
        <v>137</v>
      </c>
      <c r="E74" s="412" t="s">
        <v>300</v>
      </c>
      <c r="F74" s="373" t="s">
        <v>458</v>
      </c>
      <c r="G74" s="412"/>
      <c r="H74" s="365" t="s">
        <v>452</v>
      </c>
      <c r="I74" s="626" t="s">
        <v>173</v>
      </c>
      <c r="J74" s="463">
        <v>351.02600000000001</v>
      </c>
      <c r="K74" s="459" t="s">
        <v>173</v>
      </c>
      <c r="L74" s="428">
        <f t="shared" si="1"/>
        <v>0.14088543384388411</v>
      </c>
      <c r="M74" s="412"/>
      <c r="N74" s="1">
        <v>0.5</v>
      </c>
      <c r="O74" s="412" t="s">
        <v>300</v>
      </c>
      <c r="P74" s="20">
        <v>1.2734000000000001</v>
      </c>
      <c r="Q74" s="412"/>
      <c r="R74" s="20">
        <v>0.25</v>
      </c>
      <c r="S74" s="412" t="s">
        <v>300</v>
      </c>
      <c r="T74" s="418">
        <v>0.85499999999999998</v>
      </c>
      <c r="U74" s="678"/>
      <c r="V74" s="806"/>
      <c r="X74" s="535"/>
    </row>
    <row r="75" spans="1:24" s="533" customFormat="1" ht="13.8" x14ac:dyDescent="0.3">
      <c r="A75" s="397"/>
      <c r="B75" s="141" t="s">
        <v>456</v>
      </c>
      <c r="C75" s="373" t="s">
        <v>1676</v>
      </c>
      <c r="D75" s="373" t="s">
        <v>137</v>
      </c>
      <c r="E75" s="412" t="s">
        <v>300</v>
      </c>
      <c r="F75" s="373" t="s">
        <v>458</v>
      </c>
      <c r="G75" s="412"/>
      <c r="H75" s="365" t="s">
        <v>452</v>
      </c>
      <c r="I75" s="626" t="s">
        <v>173</v>
      </c>
      <c r="J75" s="463">
        <v>351</v>
      </c>
      <c r="K75" s="459" t="s">
        <v>173</v>
      </c>
      <c r="L75" s="428">
        <f t="shared" si="1"/>
        <v>0.14087499865879827</v>
      </c>
      <c r="M75" s="412"/>
      <c r="N75" s="1">
        <v>0.5</v>
      </c>
      <c r="O75" s="412" t="s">
        <v>300</v>
      </c>
      <c r="P75" s="20">
        <v>1.2734000000000001</v>
      </c>
      <c r="Q75" s="412"/>
      <c r="R75" s="20">
        <v>0.25</v>
      </c>
      <c r="S75" s="412" t="s">
        <v>300</v>
      </c>
      <c r="T75" s="418">
        <v>0.85499999999999998</v>
      </c>
      <c r="U75" s="678"/>
      <c r="V75" s="806"/>
      <c r="X75" s="535"/>
    </row>
    <row r="76" spans="1:24" s="359" customFormat="1" ht="13.8" x14ac:dyDescent="0.3">
      <c r="A76" s="373"/>
      <c r="B76" s="141" t="s">
        <v>456</v>
      </c>
      <c r="C76" s="373" t="s">
        <v>462</v>
      </c>
      <c r="D76" s="373" t="s">
        <v>137</v>
      </c>
      <c r="E76" s="412" t="s">
        <v>300</v>
      </c>
      <c r="F76" s="373" t="s">
        <v>458</v>
      </c>
      <c r="G76" s="412"/>
      <c r="H76" s="365" t="s">
        <v>452</v>
      </c>
      <c r="I76" s="459" t="s">
        <v>173</v>
      </c>
      <c r="J76" s="463">
        <v>351</v>
      </c>
      <c r="K76" s="459" t="s">
        <v>173</v>
      </c>
      <c r="L76" s="428">
        <f t="shared" si="1"/>
        <v>0.14087499865879827</v>
      </c>
      <c r="M76" s="412"/>
      <c r="N76" s="1">
        <v>0.5</v>
      </c>
      <c r="O76" s="412" t="s">
        <v>300</v>
      </c>
      <c r="P76" s="20">
        <v>1.2734000000000001</v>
      </c>
      <c r="Q76" s="412"/>
      <c r="R76" s="20">
        <v>0.25</v>
      </c>
      <c r="S76" s="412" t="s">
        <v>300</v>
      </c>
      <c r="T76" s="418">
        <v>0.85499999999999998</v>
      </c>
      <c r="U76" s="678"/>
      <c r="V76" s="806"/>
      <c r="X76" s="482"/>
    </row>
    <row r="77" spans="1:24" s="359" customFormat="1" ht="13.8" x14ac:dyDescent="0.3">
      <c r="A77" s="373"/>
      <c r="B77" s="141" t="s">
        <v>463</v>
      </c>
      <c r="C77" s="373" t="s">
        <v>464</v>
      </c>
      <c r="D77" s="373" t="s">
        <v>137</v>
      </c>
      <c r="E77" s="412" t="s">
        <v>300</v>
      </c>
      <c r="F77" s="373" t="s">
        <v>458</v>
      </c>
      <c r="G77" s="412"/>
      <c r="H77" s="365" t="s">
        <v>452</v>
      </c>
      <c r="I77" s="459" t="s">
        <v>173</v>
      </c>
      <c r="J77" s="463">
        <v>351.02699999999999</v>
      </c>
      <c r="K77" s="459" t="s">
        <v>173</v>
      </c>
      <c r="L77" s="428">
        <f t="shared" si="1"/>
        <v>0.14088583519715664</v>
      </c>
      <c r="M77" s="412"/>
      <c r="N77" s="1">
        <v>0.5</v>
      </c>
      <c r="O77" s="412" t="s">
        <v>300</v>
      </c>
      <c r="P77" s="20">
        <v>1.2734000000000001</v>
      </c>
      <c r="Q77" s="412"/>
      <c r="R77" s="20">
        <v>0.25</v>
      </c>
      <c r="S77" s="412" t="s">
        <v>300</v>
      </c>
      <c r="T77" s="418">
        <v>0.85499999999999998</v>
      </c>
      <c r="U77" s="678"/>
      <c r="V77" s="806"/>
      <c r="X77" s="482"/>
    </row>
    <row r="78" spans="1:24" s="359" customFormat="1" ht="13.8" x14ac:dyDescent="0.3">
      <c r="A78" s="373"/>
      <c r="B78" s="141" t="s">
        <v>463</v>
      </c>
      <c r="C78" s="373" t="s">
        <v>465</v>
      </c>
      <c r="D78" s="373" t="s">
        <v>137</v>
      </c>
      <c r="E78" s="412" t="s">
        <v>300</v>
      </c>
      <c r="F78" s="373" t="s">
        <v>458</v>
      </c>
      <c r="G78" s="412"/>
      <c r="H78" s="365" t="s">
        <v>452</v>
      </c>
      <c r="I78" s="459" t="s">
        <v>173</v>
      </c>
      <c r="J78" s="463">
        <v>351.02600000000001</v>
      </c>
      <c r="K78" s="459" t="s">
        <v>173</v>
      </c>
      <c r="L78" s="428">
        <f t="shared" si="1"/>
        <v>0.14088543384388411</v>
      </c>
      <c r="M78" s="412"/>
      <c r="N78" s="1">
        <v>0.5</v>
      </c>
      <c r="O78" s="412" t="s">
        <v>300</v>
      </c>
      <c r="P78" s="20">
        <v>1.2734000000000001</v>
      </c>
      <c r="Q78" s="412"/>
      <c r="R78" s="20">
        <v>0.25</v>
      </c>
      <c r="S78" s="412" t="s">
        <v>300</v>
      </c>
      <c r="T78" s="418">
        <v>0.85499999999999998</v>
      </c>
      <c r="U78" s="678"/>
      <c r="V78" s="806"/>
      <c r="X78" s="482"/>
    </row>
    <row r="79" spans="1:24" s="359" customFormat="1" ht="13.8" x14ac:dyDescent="0.3">
      <c r="A79" s="373"/>
      <c r="B79" s="141" t="s">
        <v>463</v>
      </c>
      <c r="C79" s="373" t="s">
        <v>466</v>
      </c>
      <c r="D79" s="373" t="s">
        <v>137</v>
      </c>
      <c r="E79" s="412" t="s">
        <v>300</v>
      </c>
      <c r="F79" s="373" t="s">
        <v>458</v>
      </c>
      <c r="G79" s="412"/>
      <c r="H79" s="365" t="s">
        <v>452</v>
      </c>
      <c r="I79" s="459" t="s">
        <v>173</v>
      </c>
      <c r="J79" s="463">
        <v>378.03</v>
      </c>
      <c r="K79" s="459" t="s">
        <v>173</v>
      </c>
      <c r="L79" s="428">
        <f t="shared" si="1"/>
        <v>0.15172357761534333</v>
      </c>
      <c r="M79" s="412"/>
      <c r="N79" s="1">
        <v>0.5</v>
      </c>
      <c r="O79" s="412" t="s">
        <v>300</v>
      </c>
      <c r="P79" s="20">
        <v>1.2734000000000001</v>
      </c>
      <c r="Q79" s="412"/>
      <c r="R79" s="20">
        <v>0.25</v>
      </c>
      <c r="S79" s="412" t="s">
        <v>300</v>
      </c>
      <c r="T79" s="418">
        <v>0.85499999999999998</v>
      </c>
      <c r="U79" s="678"/>
      <c r="V79" s="806"/>
      <c r="X79" s="482"/>
    </row>
    <row r="80" spans="1:24" s="359" customFormat="1" ht="13.8" x14ac:dyDescent="0.3">
      <c r="A80" s="373"/>
      <c r="B80" s="141" t="s">
        <v>463</v>
      </c>
      <c r="C80" s="373" t="s">
        <v>467</v>
      </c>
      <c r="D80" s="373" t="s">
        <v>137</v>
      </c>
      <c r="E80" s="412" t="s">
        <v>300</v>
      </c>
      <c r="F80" s="373" t="s">
        <v>458</v>
      </c>
      <c r="G80" s="412"/>
      <c r="H80" s="365" t="s">
        <v>452</v>
      </c>
      <c r="I80" s="459" t="s">
        <v>173</v>
      </c>
      <c r="J80" s="463">
        <v>351.02600000000001</v>
      </c>
      <c r="K80" s="459" t="s">
        <v>173</v>
      </c>
      <c r="L80" s="428">
        <f t="shared" si="1"/>
        <v>0.14088543384388411</v>
      </c>
      <c r="M80" s="412"/>
      <c r="N80" s="1">
        <v>0.5</v>
      </c>
      <c r="O80" s="412" t="s">
        <v>300</v>
      </c>
      <c r="P80" s="20">
        <v>1.2734000000000001</v>
      </c>
      <c r="Q80" s="412"/>
      <c r="R80" s="20">
        <v>0.25</v>
      </c>
      <c r="S80" s="412" t="s">
        <v>300</v>
      </c>
      <c r="T80" s="418">
        <v>0.85499999999999998</v>
      </c>
      <c r="U80" s="678"/>
      <c r="V80" s="806"/>
      <c r="X80" s="482"/>
    </row>
    <row r="81" spans="1:24" s="359" customFormat="1" ht="13.8" x14ac:dyDescent="0.3">
      <c r="A81" s="373"/>
      <c r="B81" s="141" t="s">
        <v>463</v>
      </c>
      <c r="C81" s="373" t="s">
        <v>468</v>
      </c>
      <c r="D81" s="373" t="s">
        <v>137</v>
      </c>
      <c r="E81" s="412" t="s">
        <v>300</v>
      </c>
      <c r="F81" s="373" t="s">
        <v>458</v>
      </c>
      <c r="G81" s="412"/>
      <c r="H81" s="365" t="s">
        <v>452</v>
      </c>
      <c r="I81" s="459" t="s">
        <v>173</v>
      </c>
      <c r="J81" s="463">
        <v>351.02600000000001</v>
      </c>
      <c r="K81" s="459" t="s">
        <v>173</v>
      </c>
      <c r="L81" s="428">
        <f t="shared" si="1"/>
        <v>0.14088543384388411</v>
      </c>
      <c r="M81" s="412"/>
      <c r="N81" s="1">
        <v>0.5</v>
      </c>
      <c r="O81" s="412" t="s">
        <v>300</v>
      </c>
      <c r="P81" s="20">
        <v>1.2734000000000001</v>
      </c>
      <c r="Q81" s="412"/>
      <c r="R81" s="20">
        <v>0.25</v>
      </c>
      <c r="S81" s="412" t="s">
        <v>300</v>
      </c>
      <c r="T81" s="418">
        <v>0.85499999999999998</v>
      </c>
      <c r="U81" s="678"/>
      <c r="V81" s="806"/>
      <c r="X81" s="482"/>
    </row>
    <row r="82" spans="1:24" s="359" customFormat="1" ht="13.8" x14ac:dyDescent="0.3">
      <c r="A82" s="373"/>
      <c r="B82" s="141" t="s">
        <v>463</v>
      </c>
      <c r="C82" s="373" t="s">
        <v>469</v>
      </c>
      <c r="D82" s="373" t="s">
        <v>137</v>
      </c>
      <c r="E82" s="412" t="s">
        <v>300</v>
      </c>
      <c r="F82" s="373" t="s">
        <v>458</v>
      </c>
      <c r="G82" s="412"/>
      <c r="H82" s="365" t="s">
        <v>452</v>
      </c>
      <c r="I82" s="459" t="s">
        <v>173</v>
      </c>
      <c r="J82" s="463">
        <v>351</v>
      </c>
      <c r="K82" s="459" t="s">
        <v>173</v>
      </c>
      <c r="L82" s="428">
        <f t="shared" si="1"/>
        <v>0.14087499865879827</v>
      </c>
      <c r="M82" s="412"/>
      <c r="N82" s="1">
        <v>0.5</v>
      </c>
      <c r="O82" s="412" t="s">
        <v>300</v>
      </c>
      <c r="P82" s="20">
        <v>1.2734000000000001</v>
      </c>
      <c r="Q82" s="412"/>
      <c r="R82" s="20">
        <v>0.25</v>
      </c>
      <c r="S82" s="412" t="s">
        <v>300</v>
      </c>
      <c r="T82" s="418">
        <v>0.85499999999999998</v>
      </c>
      <c r="U82" s="678"/>
      <c r="V82" s="806"/>
      <c r="X82" s="482"/>
    </row>
    <row r="83" spans="1:24" s="359" customFormat="1" ht="13.8" x14ac:dyDescent="0.3">
      <c r="A83" s="373"/>
      <c r="B83" s="141" t="s">
        <v>463</v>
      </c>
      <c r="C83" s="373" t="s">
        <v>470</v>
      </c>
      <c r="D83" s="373" t="s">
        <v>137</v>
      </c>
      <c r="E83" s="412" t="s">
        <v>300</v>
      </c>
      <c r="F83" s="373" t="s">
        <v>458</v>
      </c>
      <c r="G83" s="412"/>
      <c r="H83" s="365" t="s">
        <v>452</v>
      </c>
      <c r="I83" s="459" t="s">
        <v>173</v>
      </c>
      <c r="J83" s="463">
        <v>351</v>
      </c>
      <c r="K83" s="459" t="s">
        <v>173</v>
      </c>
      <c r="L83" s="428">
        <f t="shared" si="1"/>
        <v>0.14087499865879827</v>
      </c>
      <c r="M83" s="412"/>
      <c r="N83" s="1">
        <v>0.5</v>
      </c>
      <c r="O83" s="412" t="s">
        <v>300</v>
      </c>
      <c r="P83" s="20">
        <v>1.2734000000000001</v>
      </c>
      <c r="Q83" s="412"/>
      <c r="R83" s="20">
        <v>0.25</v>
      </c>
      <c r="S83" s="412" t="s">
        <v>300</v>
      </c>
      <c r="T83" s="418">
        <v>0.85499999999999998</v>
      </c>
      <c r="U83" s="678"/>
      <c r="V83" s="806"/>
      <c r="X83" s="482"/>
    </row>
    <row r="84" spans="1:24" s="359" customFormat="1" ht="13.8" x14ac:dyDescent="0.3">
      <c r="A84" s="373"/>
      <c r="B84" s="141" t="s">
        <v>463</v>
      </c>
      <c r="C84" s="373" t="s">
        <v>471</v>
      </c>
      <c r="D84" s="373" t="s">
        <v>137</v>
      </c>
      <c r="E84" s="412" t="s">
        <v>300</v>
      </c>
      <c r="F84" s="373" t="s">
        <v>458</v>
      </c>
      <c r="G84" s="412"/>
      <c r="H84" s="365" t="s">
        <v>452</v>
      </c>
      <c r="I84" s="459" t="s">
        <v>173</v>
      </c>
      <c r="J84" s="463">
        <v>351.00599999999997</v>
      </c>
      <c r="K84" s="459" t="s">
        <v>173</v>
      </c>
      <c r="L84" s="428">
        <f t="shared" si="1"/>
        <v>0.14087740677843347</v>
      </c>
      <c r="M84" s="412"/>
      <c r="N84" s="1">
        <v>0.5</v>
      </c>
      <c r="O84" s="412" t="s">
        <v>300</v>
      </c>
      <c r="P84" s="20">
        <v>1.2734000000000001</v>
      </c>
      <c r="Q84" s="412"/>
      <c r="R84" s="20">
        <v>0.25</v>
      </c>
      <c r="S84" s="412" t="s">
        <v>300</v>
      </c>
      <c r="T84" s="418">
        <v>0.85499999999999998</v>
      </c>
      <c r="U84" s="678"/>
      <c r="V84" s="806"/>
      <c r="X84" s="482"/>
    </row>
    <row r="85" spans="1:24" s="359" customFormat="1" ht="13.8" x14ac:dyDescent="0.3">
      <c r="A85" s="373"/>
      <c r="B85" s="141" t="s">
        <v>463</v>
      </c>
      <c r="C85" s="373" t="s">
        <v>472</v>
      </c>
      <c r="D85" s="373" t="s">
        <v>137</v>
      </c>
      <c r="E85" s="412" t="s">
        <v>300</v>
      </c>
      <c r="F85" s="373" t="s">
        <v>458</v>
      </c>
      <c r="G85" s="412"/>
      <c r="H85" s="365" t="s">
        <v>452</v>
      </c>
      <c r="I85" s="459" t="s">
        <v>173</v>
      </c>
      <c r="J85" s="463">
        <v>351</v>
      </c>
      <c r="K85" s="459" t="s">
        <v>173</v>
      </c>
      <c r="L85" s="428">
        <f t="shared" si="1"/>
        <v>0.14087499865879827</v>
      </c>
      <c r="M85" s="412"/>
      <c r="N85" s="1">
        <v>0.5</v>
      </c>
      <c r="O85" s="412" t="s">
        <v>300</v>
      </c>
      <c r="P85" s="20">
        <v>1.2734000000000001</v>
      </c>
      <c r="Q85" s="412"/>
      <c r="R85" s="20">
        <v>0.25</v>
      </c>
      <c r="S85" s="412" t="s">
        <v>300</v>
      </c>
      <c r="T85" s="418">
        <v>0.85499999999999998</v>
      </c>
      <c r="U85" s="678"/>
      <c r="V85" s="806"/>
      <c r="X85" s="482"/>
    </row>
    <row r="86" spans="1:24" s="359" customFormat="1" ht="13.8" x14ac:dyDescent="0.3">
      <c r="A86" s="373"/>
      <c r="B86" s="141" t="s">
        <v>463</v>
      </c>
      <c r="C86" s="373" t="s">
        <v>473</v>
      </c>
      <c r="D86" s="373" t="s">
        <v>137</v>
      </c>
      <c r="E86" s="412" t="s">
        <v>300</v>
      </c>
      <c r="F86" s="373" t="s">
        <v>458</v>
      </c>
      <c r="G86" s="412"/>
      <c r="H86" s="365" t="s">
        <v>452</v>
      </c>
      <c r="I86" s="459" t="s">
        <v>173</v>
      </c>
      <c r="J86" s="463">
        <v>351</v>
      </c>
      <c r="K86" s="459" t="s">
        <v>173</v>
      </c>
      <c r="L86" s="428">
        <f t="shared" si="1"/>
        <v>0.14087499865879827</v>
      </c>
      <c r="M86" s="412"/>
      <c r="N86" s="1">
        <v>0.5</v>
      </c>
      <c r="O86" s="412" t="s">
        <v>300</v>
      </c>
      <c r="P86" s="20">
        <v>1.2734000000000001</v>
      </c>
      <c r="Q86" s="412"/>
      <c r="R86" s="20">
        <v>0.25</v>
      </c>
      <c r="S86" s="412" t="s">
        <v>300</v>
      </c>
      <c r="T86" s="418">
        <v>0.85499999999999998</v>
      </c>
      <c r="U86" s="678"/>
      <c r="V86" s="806"/>
      <c r="X86" s="482"/>
    </row>
    <row r="87" spans="1:24" s="359" customFormat="1" ht="13.8" x14ac:dyDescent="0.3">
      <c r="A87" s="373"/>
      <c r="B87" s="141" t="s">
        <v>474</v>
      </c>
      <c r="C87" s="373" t="s">
        <v>475</v>
      </c>
      <c r="D87" s="373" t="s">
        <v>137</v>
      </c>
      <c r="E87" s="412" t="s">
        <v>300</v>
      </c>
      <c r="F87" s="373" t="s">
        <v>458</v>
      </c>
      <c r="G87" s="412"/>
      <c r="H87" s="365" t="s">
        <v>452</v>
      </c>
      <c r="I87" s="459" t="s">
        <v>173</v>
      </c>
      <c r="J87" s="463">
        <v>351.02699999999999</v>
      </c>
      <c r="K87" s="459" t="s">
        <v>173</v>
      </c>
      <c r="L87" s="428">
        <f t="shared" si="1"/>
        <v>0.14088583519715664</v>
      </c>
      <c r="M87" s="412"/>
      <c r="N87" s="1">
        <v>0.5</v>
      </c>
      <c r="O87" s="412" t="s">
        <v>300</v>
      </c>
      <c r="P87" s="20">
        <v>1.2734000000000001</v>
      </c>
      <c r="Q87" s="412"/>
      <c r="R87" s="20">
        <v>0.25</v>
      </c>
      <c r="S87" s="412" t="s">
        <v>300</v>
      </c>
      <c r="T87" s="418">
        <v>0.85499999999999998</v>
      </c>
      <c r="U87" s="678"/>
      <c r="V87" s="806"/>
      <c r="X87" s="482"/>
    </row>
    <row r="88" spans="1:24" s="359" customFormat="1" ht="13.8" x14ac:dyDescent="0.3">
      <c r="A88" s="373"/>
      <c r="B88" s="141" t="s">
        <v>474</v>
      </c>
      <c r="C88" s="373" t="s">
        <v>476</v>
      </c>
      <c r="D88" s="373" t="s">
        <v>137</v>
      </c>
      <c r="E88" s="412" t="s">
        <v>300</v>
      </c>
      <c r="F88" s="373" t="s">
        <v>458</v>
      </c>
      <c r="G88" s="412"/>
      <c r="H88" s="365" t="s">
        <v>452</v>
      </c>
      <c r="I88" s="459" t="s">
        <v>173</v>
      </c>
      <c r="J88" s="463">
        <v>351.02600000000001</v>
      </c>
      <c r="K88" s="459" t="s">
        <v>173</v>
      </c>
      <c r="L88" s="428">
        <f t="shared" si="1"/>
        <v>0.14088543384388411</v>
      </c>
      <c r="M88" s="412"/>
      <c r="N88" s="1">
        <v>0.5</v>
      </c>
      <c r="O88" s="412" t="s">
        <v>300</v>
      </c>
      <c r="P88" s="20">
        <v>1.2734000000000001</v>
      </c>
      <c r="Q88" s="412"/>
      <c r="R88" s="20">
        <v>0.25</v>
      </c>
      <c r="S88" s="412" t="s">
        <v>300</v>
      </c>
      <c r="T88" s="418">
        <v>0.85499999999999998</v>
      </c>
      <c r="U88" s="678"/>
      <c r="V88" s="806"/>
      <c r="X88" s="482"/>
    </row>
    <row r="89" spans="1:24" s="359" customFormat="1" ht="13.8" x14ac:dyDescent="0.3">
      <c r="A89" s="373"/>
      <c r="B89" s="141" t="s">
        <v>474</v>
      </c>
      <c r="C89" s="373" t="s">
        <v>477</v>
      </c>
      <c r="D89" s="373" t="s">
        <v>137</v>
      </c>
      <c r="E89" s="412" t="s">
        <v>300</v>
      </c>
      <c r="F89" s="373" t="s">
        <v>458</v>
      </c>
      <c r="G89" s="412"/>
      <c r="H89" s="365" t="s">
        <v>452</v>
      </c>
      <c r="I89" s="459" t="s">
        <v>173</v>
      </c>
      <c r="J89" s="463">
        <v>378.03</v>
      </c>
      <c r="K89" s="459" t="s">
        <v>173</v>
      </c>
      <c r="L89" s="428">
        <f t="shared" si="1"/>
        <v>0.15172357761534333</v>
      </c>
      <c r="M89" s="412"/>
      <c r="N89" s="1">
        <v>0.5</v>
      </c>
      <c r="O89" s="412" t="s">
        <v>300</v>
      </c>
      <c r="P89" s="20">
        <v>1.2734000000000001</v>
      </c>
      <c r="Q89" s="412"/>
      <c r="R89" s="20">
        <v>0.25</v>
      </c>
      <c r="S89" s="412" t="s">
        <v>300</v>
      </c>
      <c r="T89" s="418">
        <v>0.85499999999999998</v>
      </c>
      <c r="U89" s="678"/>
      <c r="V89" s="806"/>
      <c r="X89" s="482"/>
    </row>
    <row r="90" spans="1:24" s="359" customFormat="1" ht="13.8" x14ac:dyDescent="0.3">
      <c r="A90" s="373"/>
      <c r="B90" s="141" t="s">
        <v>474</v>
      </c>
      <c r="C90" s="373" t="s">
        <v>478</v>
      </c>
      <c r="D90" s="373" t="s">
        <v>137</v>
      </c>
      <c r="E90" s="412" t="s">
        <v>300</v>
      </c>
      <c r="F90" s="373" t="s">
        <v>458</v>
      </c>
      <c r="G90" s="412"/>
      <c r="H90" s="365" t="s">
        <v>452</v>
      </c>
      <c r="I90" s="459" t="s">
        <v>173</v>
      </c>
      <c r="J90" s="463">
        <v>351.02600000000001</v>
      </c>
      <c r="K90" s="459" t="s">
        <v>173</v>
      </c>
      <c r="L90" s="428">
        <f t="shared" si="1"/>
        <v>0.14088543384388411</v>
      </c>
      <c r="M90" s="412"/>
      <c r="N90" s="1">
        <v>0.5</v>
      </c>
      <c r="O90" s="412" t="s">
        <v>300</v>
      </c>
      <c r="P90" s="20">
        <v>1.2734000000000001</v>
      </c>
      <c r="Q90" s="412"/>
      <c r="R90" s="20">
        <v>0.25</v>
      </c>
      <c r="S90" s="412" t="s">
        <v>300</v>
      </c>
      <c r="T90" s="418">
        <v>0.85499999999999998</v>
      </c>
      <c r="U90" s="678"/>
      <c r="V90" s="806"/>
      <c r="X90" s="482"/>
    </row>
    <row r="91" spans="1:24" s="359" customFormat="1" ht="13.8" x14ac:dyDescent="0.3">
      <c r="A91" s="373"/>
      <c r="B91" s="141" t="s">
        <v>474</v>
      </c>
      <c r="C91" s="373" t="s">
        <v>479</v>
      </c>
      <c r="D91" s="373" t="s">
        <v>137</v>
      </c>
      <c r="E91" s="412" t="s">
        <v>300</v>
      </c>
      <c r="F91" s="373" t="s">
        <v>458</v>
      </c>
      <c r="G91" s="412"/>
      <c r="H91" s="365" t="s">
        <v>452</v>
      </c>
      <c r="I91" s="459" t="s">
        <v>173</v>
      </c>
      <c r="J91" s="463">
        <v>351.02600000000001</v>
      </c>
      <c r="K91" s="459" t="s">
        <v>173</v>
      </c>
      <c r="L91" s="428">
        <f t="shared" si="1"/>
        <v>0.14088543384388411</v>
      </c>
      <c r="M91" s="412"/>
      <c r="N91" s="1">
        <v>0.5</v>
      </c>
      <c r="O91" s="412" t="s">
        <v>300</v>
      </c>
      <c r="P91" s="20">
        <v>1.2734000000000001</v>
      </c>
      <c r="Q91" s="412"/>
      <c r="R91" s="20">
        <v>0.25</v>
      </c>
      <c r="S91" s="412" t="s">
        <v>300</v>
      </c>
      <c r="T91" s="418">
        <v>0.85499999999999998</v>
      </c>
      <c r="U91" s="678"/>
      <c r="V91" s="806"/>
      <c r="X91" s="482"/>
    </row>
    <row r="92" spans="1:24" s="359" customFormat="1" ht="13.8" x14ac:dyDescent="0.3">
      <c r="A92" s="373"/>
      <c r="B92" s="141" t="s">
        <v>474</v>
      </c>
      <c r="C92" s="373" t="s">
        <v>480</v>
      </c>
      <c r="D92" s="373" t="s">
        <v>137</v>
      </c>
      <c r="E92" s="412" t="s">
        <v>300</v>
      </c>
      <c r="F92" s="373" t="s">
        <v>458</v>
      </c>
      <c r="G92" s="412"/>
      <c r="H92" s="365" t="s">
        <v>452</v>
      </c>
      <c r="I92" s="459" t="s">
        <v>173</v>
      </c>
      <c r="J92" s="463">
        <v>351</v>
      </c>
      <c r="K92" s="459" t="s">
        <v>173</v>
      </c>
      <c r="L92" s="428">
        <f t="shared" si="1"/>
        <v>0.14087499865879827</v>
      </c>
      <c r="M92" s="412"/>
      <c r="N92" s="1">
        <v>0.5</v>
      </c>
      <c r="O92" s="412" t="s">
        <v>300</v>
      </c>
      <c r="P92" s="20">
        <v>1.2734000000000001</v>
      </c>
      <c r="Q92" s="412"/>
      <c r="R92" s="20">
        <v>0.25</v>
      </c>
      <c r="S92" s="412" t="s">
        <v>300</v>
      </c>
      <c r="T92" s="418">
        <v>0.85499999999999998</v>
      </c>
      <c r="U92" s="678"/>
      <c r="V92" s="806"/>
      <c r="X92" s="482"/>
    </row>
    <row r="93" spans="1:24" s="359" customFormat="1" ht="13.8" x14ac:dyDescent="0.3">
      <c r="A93" s="373"/>
      <c r="B93" s="141" t="s">
        <v>474</v>
      </c>
      <c r="C93" s="373" t="s">
        <v>481</v>
      </c>
      <c r="D93" s="373" t="s">
        <v>137</v>
      </c>
      <c r="E93" s="412" t="s">
        <v>300</v>
      </c>
      <c r="F93" s="373" t="s">
        <v>458</v>
      </c>
      <c r="G93" s="412"/>
      <c r="H93" s="365" t="s">
        <v>452</v>
      </c>
      <c r="I93" s="459" t="s">
        <v>173</v>
      </c>
      <c r="J93" s="463">
        <v>351</v>
      </c>
      <c r="K93" s="459" t="s">
        <v>173</v>
      </c>
      <c r="L93" s="428">
        <f t="shared" si="1"/>
        <v>0.14087499865879827</v>
      </c>
      <c r="M93" s="412"/>
      <c r="N93" s="1">
        <v>0.5</v>
      </c>
      <c r="O93" s="412" t="s">
        <v>300</v>
      </c>
      <c r="P93" s="20">
        <v>1.2734000000000001</v>
      </c>
      <c r="Q93" s="412"/>
      <c r="R93" s="20">
        <v>0.25</v>
      </c>
      <c r="S93" s="412" t="s">
        <v>300</v>
      </c>
      <c r="T93" s="418">
        <v>0.85499999999999998</v>
      </c>
      <c r="U93" s="678"/>
      <c r="V93" s="806"/>
      <c r="X93" s="482"/>
    </row>
    <row r="94" spans="1:24" s="359" customFormat="1" ht="13.8" x14ac:dyDescent="0.3">
      <c r="A94" s="373"/>
      <c r="B94" s="141" t="s">
        <v>474</v>
      </c>
      <c r="C94" s="373" t="s">
        <v>482</v>
      </c>
      <c r="D94" s="373" t="s">
        <v>137</v>
      </c>
      <c r="E94" s="412" t="s">
        <v>300</v>
      </c>
      <c r="F94" s="373" t="s">
        <v>458</v>
      </c>
      <c r="G94" s="412"/>
      <c r="H94" s="365" t="s">
        <v>452</v>
      </c>
      <c r="I94" s="459" t="s">
        <v>173</v>
      </c>
      <c r="J94" s="463">
        <v>351.00599999999997</v>
      </c>
      <c r="K94" s="459" t="s">
        <v>173</v>
      </c>
      <c r="L94" s="428">
        <f t="shared" si="1"/>
        <v>0.14087740677843347</v>
      </c>
      <c r="M94" s="412"/>
      <c r="N94" s="1">
        <v>0.5</v>
      </c>
      <c r="O94" s="412" t="s">
        <v>300</v>
      </c>
      <c r="P94" s="20">
        <v>1.2734000000000001</v>
      </c>
      <c r="Q94" s="412"/>
      <c r="R94" s="20">
        <v>0.25</v>
      </c>
      <c r="S94" s="412" t="s">
        <v>300</v>
      </c>
      <c r="T94" s="418">
        <v>0.85499999999999998</v>
      </c>
      <c r="U94" s="678"/>
      <c r="V94" s="806"/>
      <c r="X94" s="482"/>
    </row>
    <row r="95" spans="1:24" s="359" customFormat="1" ht="13.8" x14ac:dyDescent="0.3">
      <c r="A95" s="373"/>
      <c r="B95" s="141" t="s">
        <v>474</v>
      </c>
      <c r="C95" s="373" t="s">
        <v>483</v>
      </c>
      <c r="D95" s="373" t="s">
        <v>137</v>
      </c>
      <c r="E95" s="412" t="s">
        <v>300</v>
      </c>
      <c r="F95" s="373" t="s">
        <v>458</v>
      </c>
      <c r="G95" s="412"/>
      <c r="H95" s="365" t="s">
        <v>452</v>
      </c>
      <c r="I95" s="459" t="s">
        <v>173</v>
      </c>
      <c r="J95" s="463">
        <v>351</v>
      </c>
      <c r="K95" s="459" t="s">
        <v>173</v>
      </c>
      <c r="L95" s="428">
        <f t="shared" si="1"/>
        <v>0.14087499865879827</v>
      </c>
      <c r="M95" s="412"/>
      <c r="N95" s="1">
        <v>0.5</v>
      </c>
      <c r="O95" s="412" t="s">
        <v>300</v>
      </c>
      <c r="P95" s="20">
        <v>1.2734000000000001</v>
      </c>
      <c r="Q95" s="412"/>
      <c r="R95" s="20">
        <v>0.25</v>
      </c>
      <c r="S95" s="412" t="s">
        <v>300</v>
      </c>
      <c r="T95" s="418">
        <v>0.85499999999999998</v>
      </c>
      <c r="U95" s="678"/>
      <c r="V95" s="806"/>
      <c r="X95" s="482"/>
    </row>
    <row r="96" spans="1:24" s="359" customFormat="1" ht="13.8" x14ac:dyDescent="0.3">
      <c r="A96" s="373"/>
      <c r="B96" s="141" t="s">
        <v>474</v>
      </c>
      <c r="C96" s="373" t="s">
        <v>484</v>
      </c>
      <c r="D96" s="373" t="s">
        <v>137</v>
      </c>
      <c r="E96" s="412" t="s">
        <v>300</v>
      </c>
      <c r="F96" s="373" t="s">
        <v>458</v>
      </c>
      <c r="G96" s="412"/>
      <c r="H96" s="365" t="s">
        <v>452</v>
      </c>
      <c r="I96" s="459" t="s">
        <v>173</v>
      </c>
      <c r="J96" s="463">
        <v>351</v>
      </c>
      <c r="K96" s="459" t="s">
        <v>173</v>
      </c>
      <c r="L96" s="428">
        <f t="shared" si="1"/>
        <v>0.14087499865879827</v>
      </c>
      <c r="M96" s="412"/>
      <c r="N96" s="1">
        <v>0.5</v>
      </c>
      <c r="O96" s="412" t="s">
        <v>300</v>
      </c>
      <c r="P96" s="20">
        <v>1.2734000000000001</v>
      </c>
      <c r="Q96" s="412"/>
      <c r="R96" s="20">
        <v>0.25</v>
      </c>
      <c r="S96" s="412" t="s">
        <v>300</v>
      </c>
      <c r="T96" s="418">
        <v>0.85499999999999998</v>
      </c>
      <c r="U96" s="678"/>
      <c r="V96" s="806"/>
      <c r="X96" s="482"/>
    </row>
    <row r="97" spans="1:24" s="359" customFormat="1" ht="13.8" x14ac:dyDescent="0.3">
      <c r="A97" s="373"/>
      <c r="B97" s="141" t="s">
        <v>485</v>
      </c>
      <c r="C97" s="373" t="s">
        <v>486</v>
      </c>
      <c r="D97" s="373" t="s">
        <v>137</v>
      </c>
      <c r="E97" s="412" t="s">
        <v>300</v>
      </c>
      <c r="F97" s="373" t="s">
        <v>458</v>
      </c>
      <c r="G97" s="412"/>
      <c r="H97" s="365" t="s">
        <v>452</v>
      </c>
      <c r="I97" s="459" t="s">
        <v>173</v>
      </c>
      <c r="J97" s="463">
        <v>351.02699999999999</v>
      </c>
      <c r="K97" s="459" t="s">
        <v>173</v>
      </c>
      <c r="L97" s="428">
        <f t="shared" si="1"/>
        <v>0.14088583519715664</v>
      </c>
      <c r="M97" s="412"/>
      <c r="N97" s="1">
        <v>0.5</v>
      </c>
      <c r="O97" s="412" t="s">
        <v>300</v>
      </c>
      <c r="P97" s="20">
        <v>1.2734000000000001</v>
      </c>
      <c r="Q97" s="412"/>
      <c r="R97" s="20">
        <v>0.25</v>
      </c>
      <c r="S97" s="412" t="s">
        <v>300</v>
      </c>
      <c r="T97" s="418">
        <v>0.85499999999999998</v>
      </c>
      <c r="U97" s="678"/>
      <c r="V97" s="806"/>
      <c r="X97" s="482"/>
    </row>
    <row r="98" spans="1:24" s="359" customFormat="1" ht="13.8" x14ac:dyDescent="0.3">
      <c r="A98" s="373"/>
      <c r="B98" s="141" t="s">
        <v>485</v>
      </c>
      <c r="C98" s="373" t="s">
        <v>487</v>
      </c>
      <c r="D98" s="373" t="s">
        <v>137</v>
      </c>
      <c r="E98" s="412" t="s">
        <v>300</v>
      </c>
      <c r="F98" s="373" t="s">
        <v>458</v>
      </c>
      <c r="G98" s="412"/>
      <c r="H98" s="365" t="s">
        <v>452</v>
      </c>
      <c r="I98" s="459" t="s">
        <v>173</v>
      </c>
      <c r="J98" s="463">
        <v>351.02600000000001</v>
      </c>
      <c r="K98" s="459" t="s">
        <v>173</v>
      </c>
      <c r="L98" s="428">
        <f t="shared" si="1"/>
        <v>0.14088543384388411</v>
      </c>
      <c r="M98" s="412"/>
      <c r="N98" s="1">
        <v>0.5</v>
      </c>
      <c r="O98" s="412" t="s">
        <v>300</v>
      </c>
      <c r="P98" s="20">
        <v>1.2734000000000001</v>
      </c>
      <c r="Q98" s="412"/>
      <c r="R98" s="20">
        <v>0.25</v>
      </c>
      <c r="S98" s="412" t="s">
        <v>300</v>
      </c>
      <c r="T98" s="418">
        <v>0.85499999999999998</v>
      </c>
      <c r="U98" s="678"/>
      <c r="V98" s="806"/>
      <c r="X98" s="482"/>
    </row>
    <row r="99" spans="1:24" s="359" customFormat="1" ht="13.8" x14ac:dyDescent="0.3">
      <c r="A99" s="373"/>
      <c r="B99" s="141" t="s">
        <v>485</v>
      </c>
      <c r="C99" s="373" t="s">
        <v>488</v>
      </c>
      <c r="D99" s="373" t="s">
        <v>137</v>
      </c>
      <c r="E99" s="412" t="s">
        <v>300</v>
      </c>
      <c r="F99" s="373" t="s">
        <v>458</v>
      </c>
      <c r="G99" s="412"/>
      <c r="H99" s="365" t="s">
        <v>452</v>
      </c>
      <c r="I99" s="459" t="s">
        <v>173</v>
      </c>
      <c r="J99" s="463">
        <v>378.03</v>
      </c>
      <c r="K99" s="459" t="s">
        <v>173</v>
      </c>
      <c r="L99" s="428">
        <f>J99*P99*(0.1175/745.6)/N99</f>
        <v>0.15172357761534333</v>
      </c>
      <c r="M99" s="412"/>
      <c r="N99" s="1">
        <v>0.5</v>
      </c>
      <c r="O99" s="412" t="s">
        <v>300</v>
      </c>
      <c r="P99" s="20">
        <v>1.2734000000000001</v>
      </c>
      <c r="Q99" s="412"/>
      <c r="R99" s="20">
        <v>0.25</v>
      </c>
      <c r="S99" s="412" t="s">
        <v>300</v>
      </c>
      <c r="T99" s="418">
        <v>0.85499999999999998</v>
      </c>
      <c r="U99" s="678"/>
      <c r="V99" s="806"/>
      <c r="X99" s="482"/>
    </row>
    <row r="100" spans="1:24" s="359" customFormat="1" ht="13.8" x14ac:dyDescent="0.3">
      <c r="A100" s="373"/>
      <c r="B100" s="141" t="s">
        <v>485</v>
      </c>
      <c r="C100" s="373" t="s">
        <v>489</v>
      </c>
      <c r="D100" s="373" t="s">
        <v>137</v>
      </c>
      <c r="E100" s="412" t="s">
        <v>300</v>
      </c>
      <c r="F100" s="373" t="s">
        <v>458</v>
      </c>
      <c r="G100" s="412"/>
      <c r="H100" s="365" t="s">
        <v>452</v>
      </c>
      <c r="I100" s="459" t="s">
        <v>173</v>
      </c>
      <c r="J100" s="463">
        <v>351.02600000000001</v>
      </c>
      <c r="K100" s="459" t="s">
        <v>173</v>
      </c>
      <c r="L100" s="428">
        <f t="shared" si="1"/>
        <v>0.14088543384388411</v>
      </c>
      <c r="M100" s="412"/>
      <c r="N100" s="1">
        <v>0.5</v>
      </c>
      <c r="O100" s="412" t="s">
        <v>300</v>
      </c>
      <c r="P100" s="20">
        <v>1.2734000000000001</v>
      </c>
      <c r="Q100" s="412"/>
      <c r="R100" s="20">
        <v>0.25</v>
      </c>
      <c r="S100" s="412" t="s">
        <v>300</v>
      </c>
      <c r="T100" s="418">
        <v>0.85499999999999998</v>
      </c>
      <c r="U100" s="678"/>
      <c r="V100" s="806"/>
      <c r="X100" s="482"/>
    </row>
    <row r="101" spans="1:24" s="359" customFormat="1" ht="13.8" x14ac:dyDescent="0.3">
      <c r="A101" s="373"/>
      <c r="B101" s="141" t="s">
        <v>485</v>
      </c>
      <c r="C101" s="373" t="s">
        <v>490</v>
      </c>
      <c r="D101" s="373" t="s">
        <v>137</v>
      </c>
      <c r="E101" s="412" t="s">
        <v>300</v>
      </c>
      <c r="F101" s="373" t="s">
        <v>458</v>
      </c>
      <c r="G101" s="412"/>
      <c r="H101" s="365" t="s">
        <v>452</v>
      </c>
      <c r="I101" s="459" t="s">
        <v>173</v>
      </c>
      <c r="J101" s="463">
        <v>351.02600000000001</v>
      </c>
      <c r="K101" s="459" t="s">
        <v>173</v>
      </c>
      <c r="L101" s="428">
        <f t="shared" si="1"/>
        <v>0.14088543384388411</v>
      </c>
      <c r="M101" s="412"/>
      <c r="N101" s="1">
        <v>0.5</v>
      </c>
      <c r="O101" s="412" t="s">
        <v>300</v>
      </c>
      <c r="P101" s="20">
        <v>1.2734000000000001</v>
      </c>
      <c r="Q101" s="412"/>
      <c r="R101" s="20">
        <v>0.25</v>
      </c>
      <c r="S101" s="412" t="s">
        <v>300</v>
      </c>
      <c r="T101" s="418">
        <v>0.85499999999999998</v>
      </c>
      <c r="U101" s="678"/>
      <c r="V101" s="806"/>
      <c r="X101" s="482"/>
    </row>
    <row r="102" spans="1:24" s="359" customFormat="1" ht="13.8" x14ac:dyDescent="0.3">
      <c r="A102" s="373"/>
      <c r="B102" s="141" t="s">
        <v>485</v>
      </c>
      <c r="C102" s="373" t="s">
        <v>491</v>
      </c>
      <c r="D102" s="373" t="s">
        <v>137</v>
      </c>
      <c r="E102" s="412" t="s">
        <v>300</v>
      </c>
      <c r="F102" s="373" t="s">
        <v>458</v>
      </c>
      <c r="G102" s="412"/>
      <c r="H102" s="365" t="s">
        <v>452</v>
      </c>
      <c r="I102" s="459" t="s">
        <v>173</v>
      </c>
      <c r="J102" s="463">
        <v>351</v>
      </c>
      <c r="K102" s="459" t="s">
        <v>173</v>
      </c>
      <c r="L102" s="428">
        <f t="shared" si="1"/>
        <v>0.14087499865879827</v>
      </c>
      <c r="M102" s="412"/>
      <c r="N102" s="1">
        <v>0.5</v>
      </c>
      <c r="O102" s="412" t="s">
        <v>300</v>
      </c>
      <c r="P102" s="20">
        <v>1.2734000000000001</v>
      </c>
      <c r="Q102" s="412"/>
      <c r="R102" s="20">
        <v>0.25</v>
      </c>
      <c r="S102" s="412" t="s">
        <v>300</v>
      </c>
      <c r="T102" s="418">
        <v>0.85499999999999998</v>
      </c>
      <c r="U102" s="678"/>
      <c r="V102" s="806"/>
      <c r="X102" s="482"/>
    </row>
    <row r="103" spans="1:24" s="359" customFormat="1" ht="13.8" x14ac:dyDescent="0.3">
      <c r="A103" s="373"/>
      <c r="B103" s="141" t="s">
        <v>485</v>
      </c>
      <c r="C103" s="373" t="s">
        <v>492</v>
      </c>
      <c r="D103" s="373" t="s">
        <v>137</v>
      </c>
      <c r="E103" s="412" t="s">
        <v>300</v>
      </c>
      <c r="F103" s="373" t="s">
        <v>458</v>
      </c>
      <c r="G103" s="412"/>
      <c r="H103" s="365" t="s">
        <v>452</v>
      </c>
      <c r="I103" s="459" t="s">
        <v>173</v>
      </c>
      <c r="J103" s="463">
        <v>351</v>
      </c>
      <c r="K103" s="459" t="s">
        <v>173</v>
      </c>
      <c r="L103" s="428">
        <f t="shared" si="1"/>
        <v>0.14087499865879827</v>
      </c>
      <c r="M103" s="412"/>
      <c r="N103" s="1">
        <v>0.5</v>
      </c>
      <c r="O103" s="412" t="s">
        <v>300</v>
      </c>
      <c r="P103" s="20">
        <v>1.2734000000000001</v>
      </c>
      <c r="Q103" s="412"/>
      <c r="R103" s="20">
        <v>0.25</v>
      </c>
      <c r="S103" s="412" t="s">
        <v>300</v>
      </c>
      <c r="T103" s="418">
        <v>0.85499999999999998</v>
      </c>
      <c r="U103" s="678"/>
      <c r="V103" s="806"/>
      <c r="X103" s="482"/>
    </row>
    <row r="104" spans="1:24" s="359" customFormat="1" ht="13.8" x14ac:dyDescent="0.3">
      <c r="A104" s="373"/>
      <c r="B104" s="141" t="s">
        <v>485</v>
      </c>
      <c r="C104" s="373" t="s">
        <v>493</v>
      </c>
      <c r="D104" s="373" t="s">
        <v>137</v>
      </c>
      <c r="E104" s="412" t="s">
        <v>300</v>
      </c>
      <c r="F104" s="373" t="s">
        <v>458</v>
      </c>
      <c r="G104" s="412"/>
      <c r="H104" s="365" t="s">
        <v>452</v>
      </c>
      <c r="I104" s="459" t="s">
        <v>173</v>
      </c>
      <c r="J104" s="463">
        <v>351.00599999999997</v>
      </c>
      <c r="K104" s="459" t="s">
        <v>173</v>
      </c>
      <c r="L104" s="428">
        <f t="shared" si="1"/>
        <v>0.14087740677843347</v>
      </c>
      <c r="M104" s="412"/>
      <c r="N104" s="1">
        <v>0.5</v>
      </c>
      <c r="O104" s="412" t="s">
        <v>300</v>
      </c>
      <c r="P104" s="20">
        <v>1.2734000000000001</v>
      </c>
      <c r="Q104" s="412"/>
      <c r="R104" s="20">
        <v>0.25</v>
      </c>
      <c r="S104" s="412" t="s">
        <v>300</v>
      </c>
      <c r="T104" s="418">
        <v>0.85499999999999998</v>
      </c>
      <c r="U104" s="678"/>
      <c r="V104" s="806"/>
      <c r="X104" s="482"/>
    </row>
    <row r="105" spans="1:24" s="359" customFormat="1" ht="13.8" x14ac:dyDescent="0.3">
      <c r="A105" s="373"/>
      <c r="B105" s="141" t="s">
        <v>485</v>
      </c>
      <c r="C105" s="373" t="s">
        <v>494</v>
      </c>
      <c r="D105" s="373" t="s">
        <v>137</v>
      </c>
      <c r="E105" s="412" t="s">
        <v>300</v>
      </c>
      <c r="F105" s="373" t="s">
        <v>458</v>
      </c>
      <c r="G105" s="412"/>
      <c r="H105" s="365" t="s">
        <v>452</v>
      </c>
      <c r="I105" s="459" t="s">
        <v>173</v>
      </c>
      <c r="J105" s="463">
        <v>351</v>
      </c>
      <c r="K105" s="459" t="s">
        <v>173</v>
      </c>
      <c r="L105" s="428">
        <f t="shared" si="1"/>
        <v>0.14087499865879827</v>
      </c>
      <c r="M105" s="412"/>
      <c r="N105" s="1">
        <v>0.5</v>
      </c>
      <c r="O105" s="412" t="s">
        <v>300</v>
      </c>
      <c r="P105" s="20">
        <v>1.2734000000000001</v>
      </c>
      <c r="Q105" s="412"/>
      <c r="R105" s="20">
        <v>0.25</v>
      </c>
      <c r="S105" s="412" t="s">
        <v>300</v>
      </c>
      <c r="T105" s="418">
        <v>0.85499999999999998</v>
      </c>
      <c r="U105" s="678"/>
      <c r="V105" s="806"/>
      <c r="X105" s="482"/>
    </row>
    <row r="106" spans="1:24" s="359" customFormat="1" ht="13.8" x14ac:dyDescent="0.3">
      <c r="A106" s="373"/>
      <c r="B106" s="141" t="s">
        <v>485</v>
      </c>
      <c r="C106" s="373" t="s">
        <v>495</v>
      </c>
      <c r="D106" s="373" t="s">
        <v>137</v>
      </c>
      <c r="E106" s="412" t="s">
        <v>300</v>
      </c>
      <c r="F106" s="373" t="s">
        <v>458</v>
      </c>
      <c r="G106" s="412"/>
      <c r="H106" s="365" t="s">
        <v>452</v>
      </c>
      <c r="I106" s="459" t="s">
        <v>173</v>
      </c>
      <c r="J106" s="463">
        <v>351</v>
      </c>
      <c r="K106" s="459" t="s">
        <v>173</v>
      </c>
      <c r="L106" s="428">
        <f t="shared" si="1"/>
        <v>0.14087499865879827</v>
      </c>
      <c r="M106" s="412"/>
      <c r="N106" s="1">
        <v>0.5</v>
      </c>
      <c r="O106" s="412" t="s">
        <v>300</v>
      </c>
      <c r="P106" s="20">
        <v>1.2734000000000001</v>
      </c>
      <c r="Q106" s="412"/>
      <c r="R106" s="20">
        <v>0.25</v>
      </c>
      <c r="S106" s="412" t="s">
        <v>300</v>
      </c>
      <c r="T106" s="418">
        <v>0.85499999999999998</v>
      </c>
      <c r="U106" s="678"/>
      <c r="V106" s="806"/>
      <c r="X106" s="482"/>
    </row>
    <row r="107" spans="1:24" s="359" customFormat="1" ht="13.8" x14ac:dyDescent="0.3">
      <c r="A107" s="373"/>
      <c r="B107" s="141" t="s">
        <v>1637</v>
      </c>
      <c r="C107" s="373" t="s">
        <v>1677</v>
      </c>
      <c r="D107" s="373" t="s">
        <v>137</v>
      </c>
      <c r="E107" s="412" t="s">
        <v>300</v>
      </c>
      <c r="F107" s="373" t="s">
        <v>458</v>
      </c>
      <c r="G107" s="412"/>
      <c r="H107" s="365" t="s">
        <v>452</v>
      </c>
      <c r="I107" s="459" t="s">
        <v>173</v>
      </c>
      <c r="J107" s="463">
        <v>864.06899999999996</v>
      </c>
      <c r="K107" s="411"/>
      <c r="L107" s="428">
        <f t="shared" si="1"/>
        <v>0.68084836038090113</v>
      </c>
      <c r="M107" s="412"/>
      <c r="N107" s="1">
        <v>0.5</v>
      </c>
      <c r="O107" s="412"/>
      <c r="P107" s="20">
        <v>2.5</v>
      </c>
      <c r="Q107" s="412"/>
      <c r="R107" s="20">
        <v>1</v>
      </c>
      <c r="S107" s="412" t="s">
        <v>300</v>
      </c>
      <c r="T107" s="418">
        <v>0.85499999999999998</v>
      </c>
      <c r="U107" s="678"/>
      <c r="V107" s="806"/>
      <c r="X107" s="482"/>
    </row>
    <row r="108" spans="1:24" s="359" customFormat="1" x14ac:dyDescent="0.3">
      <c r="A108" s="373"/>
      <c r="B108" s="309" t="s">
        <v>1637</v>
      </c>
      <c r="C108" s="232" t="s">
        <v>1678</v>
      </c>
      <c r="D108" s="165" t="s">
        <v>137</v>
      </c>
      <c r="E108" s="410" t="s">
        <v>300</v>
      </c>
      <c r="F108" s="165" t="s">
        <v>458</v>
      </c>
      <c r="G108" s="410" t="s">
        <v>300</v>
      </c>
      <c r="H108" s="165" t="s">
        <v>1348</v>
      </c>
      <c r="I108" s="444" t="s">
        <v>173</v>
      </c>
      <c r="J108" s="642">
        <v>1050</v>
      </c>
      <c r="K108" s="410"/>
      <c r="L108" s="794">
        <f t="shared" si="1"/>
        <v>0.49641228540772525</v>
      </c>
      <c r="M108" s="775" t="s">
        <v>173</v>
      </c>
      <c r="N108" s="800">
        <v>0.5</v>
      </c>
      <c r="O108" s="802" t="s">
        <v>173</v>
      </c>
      <c r="P108" s="800">
        <v>1.5</v>
      </c>
      <c r="Q108" s="802" t="s">
        <v>173</v>
      </c>
      <c r="R108" s="800">
        <v>0.5</v>
      </c>
      <c r="S108" s="802" t="s">
        <v>173</v>
      </c>
      <c r="T108" s="801">
        <v>0.85499999999999998</v>
      </c>
      <c r="U108" s="410"/>
      <c r="V108" s="803">
        <f>P108*J108/R108/T108*0.1175/1000</f>
        <v>0.43289473684210528</v>
      </c>
      <c r="X108" s="982"/>
    </row>
    <row r="109" spans="1:24" s="364" customFormat="1" x14ac:dyDescent="0.3">
      <c r="A109" s="89"/>
      <c r="B109" s="89"/>
      <c r="C109" s="380"/>
      <c r="D109" s="89"/>
      <c r="E109" s="89"/>
      <c r="F109" s="89"/>
      <c r="G109" s="89"/>
      <c r="H109" s="89"/>
      <c r="I109" s="89"/>
      <c r="J109" s="89"/>
      <c r="K109" s="89"/>
      <c r="L109" s="89"/>
      <c r="M109" s="89"/>
      <c r="N109" s="89"/>
      <c r="O109" s="89"/>
      <c r="P109" s="89"/>
      <c r="Q109" s="89"/>
      <c r="R109" s="89"/>
      <c r="S109" s="89"/>
      <c r="U109" s="358"/>
      <c r="V109" s="358"/>
      <c r="W109" s="358"/>
      <c r="X109" s="358"/>
    </row>
    <row r="110" spans="1:24" s="364" customFormat="1" x14ac:dyDescent="0.3">
      <c r="A110" s="982"/>
      <c r="B110" s="982"/>
      <c r="C110" s="982"/>
      <c r="D110" s="982"/>
      <c r="E110" s="357"/>
      <c r="F110" s="982"/>
      <c r="G110" s="357"/>
      <c r="H110" s="982"/>
      <c r="I110" s="357"/>
      <c r="J110" s="982"/>
      <c r="K110" s="982"/>
      <c r="L110" s="982"/>
      <c r="M110" s="357"/>
      <c r="N110" s="982"/>
      <c r="O110" s="127"/>
      <c r="P110" s="118"/>
      <c r="Q110" s="89"/>
      <c r="R110" s="89"/>
      <c r="S110" s="89"/>
      <c r="T110" s="89"/>
      <c r="U110" s="358"/>
      <c r="V110" s="358"/>
      <c r="W110" s="358"/>
      <c r="X110" s="358"/>
    </row>
    <row r="111" spans="1:24" s="364" customFormat="1" x14ac:dyDescent="0.3">
      <c r="A111" s="982"/>
      <c r="B111" s="115" t="s">
        <v>331</v>
      </c>
      <c r="C111" s="120" t="s">
        <v>507</v>
      </c>
      <c r="D111" s="120" t="s">
        <v>122</v>
      </c>
      <c r="E111" s="210"/>
      <c r="F111" s="148" t="s">
        <v>508</v>
      </c>
      <c r="G111" s="131"/>
      <c r="H111" s="148" t="s">
        <v>509</v>
      </c>
      <c r="I111" s="357"/>
      <c r="J111" s="982"/>
      <c r="K111" s="982"/>
      <c r="L111" s="982"/>
      <c r="M111" s="357"/>
      <c r="N111" s="982"/>
      <c r="O111" s="127"/>
      <c r="P111" s="118"/>
      <c r="Q111" s="89"/>
      <c r="R111" s="89"/>
      <c r="S111" s="89"/>
      <c r="T111" s="89"/>
      <c r="U111" s="358"/>
      <c r="V111" s="358"/>
      <c r="W111" s="358"/>
      <c r="X111" s="358"/>
    </row>
    <row r="112" spans="1:24" s="364" customFormat="1" ht="15" thickBot="1" x14ac:dyDescent="0.35">
      <c r="A112" s="982"/>
      <c r="B112" s="178" t="s">
        <v>342</v>
      </c>
      <c r="C112" s="176"/>
      <c r="D112" s="176"/>
      <c r="E112" s="211"/>
      <c r="F112" s="179" t="s">
        <v>510</v>
      </c>
      <c r="G112" s="211"/>
      <c r="H112" s="179" t="s">
        <v>511</v>
      </c>
      <c r="I112" s="357"/>
      <c r="J112" s="982"/>
      <c r="K112" s="982"/>
      <c r="L112" s="982"/>
      <c r="M112" s="357"/>
      <c r="N112" s="982"/>
      <c r="O112" s="127"/>
      <c r="P112" s="118"/>
      <c r="Q112" s="89"/>
      <c r="R112" s="89"/>
      <c r="S112" s="89"/>
      <c r="T112" s="89"/>
      <c r="U112" s="358"/>
      <c r="V112" s="358"/>
      <c r="W112" s="358"/>
      <c r="X112" s="358"/>
    </row>
    <row r="113" spans="1:48" s="364" customFormat="1" thickTop="1" x14ac:dyDescent="0.3">
      <c r="A113" s="357"/>
      <c r="B113" s="420" t="s">
        <v>351</v>
      </c>
      <c r="C113" s="260" t="s">
        <v>512</v>
      </c>
      <c r="D113" s="260" t="s">
        <v>137</v>
      </c>
      <c r="E113" s="409" t="s">
        <v>300</v>
      </c>
      <c r="F113" s="373" t="s">
        <v>513</v>
      </c>
      <c r="G113" s="413" t="s">
        <v>300</v>
      </c>
      <c r="H113" s="266" t="s">
        <v>514</v>
      </c>
      <c r="I113" s="357"/>
      <c r="J113" s="357"/>
      <c r="K113" s="357"/>
      <c r="L113" s="357"/>
      <c r="M113" s="357"/>
      <c r="N113" s="357"/>
      <c r="O113" s="127"/>
      <c r="P113" s="127"/>
      <c r="Q113" s="89"/>
      <c r="R113" s="89"/>
      <c r="S113" s="89"/>
      <c r="T113" s="89"/>
      <c r="U113" s="359"/>
      <c r="V113" s="359"/>
      <c r="W113" s="359"/>
      <c r="X113" s="359"/>
    </row>
    <row r="114" spans="1:48" s="364" customFormat="1" ht="13.8" x14ac:dyDescent="0.3">
      <c r="A114" s="357"/>
      <c r="B114" s="141" t="s">
        <v>356</v>
      </c>
      <c r="C114" s="373" t="s">
        <v>515</v>
      </c>
      <c r="D114" s="373" t="s">
        <v>137</v>
      </c>
      <c r="E114" s="412" t="s">
        <v>300</v>
      </c>
      <c r="F114" s="373" t="s">
        <v>513</v>
      </c>
      <c r="G114" s="412" t="s">
        <v>300</v>
      </c>
      <c r="H114" s="266" t="s">
        <v>514</v>
      </c>
      <c r="I114" s="357"/>
      <c r="J114" s="357"/>
      <c r="K114" s="357"/>
      <c r="L114" s="357"/>
      <c r="M114" s="357"/>
      <c r="N114" s="357"/>
      <c r="O114" s="127"/>
      <c r="P114" s="127"/>
      <c r="Q114" s="89"/>
      <c r="R114" s="89"/>
      <c r="S114" s="89"/>
      <c r="T114" s="89"/>
      <c r="U114" s="359"/>
      <c r="V114" s="359"/>
      <c r="W114" s="359"/>
      <c r="X114" s="359"/>
    </row>
    <row r="115" spans="1:48" s="364" customFormat="1" ht="13.8" x14ac:dyDescent="0.3">
      <c r="A115" s="357"/>
      <c r="B115" s="141" t="s">
        <v>358</v>
      </c>
      <c r="C115" s="373" t="s">
        <v>516</v>
      </c>
      <c r="D115" s="373" t="s">
        <v>137</v>
      </c>
      <c r="E115" s="412" t="s">
        <v>300</v>
      </c>
      <c r="F115" s="373" t="s">
        <v>513</v>
      </c>
      <c r="G115" s="412" t="s">
        <v>300</v>
      </c>
      <c r="H115" s="266" t="s">
        <v>514</v>
      </c>
      <c r="I115" s="357"/>
      <c r="J115" s="357"/>
      <c r="K115" s="357"/>
      <c r="L115" s="357"/>
      <c r="M115" s="357"/>
      <c r="N115" s="357"/>
      <c r="O115" s="127"/>
      <c r="P115" s="127"/>
      <c r="Q115" s="89"/>
      <c r="R115" s="89"/>
      <c r="S115" s="89"/>
      <c r="T115" s="89"/>
      <c r="U115" s="359"/>
      <c r="V115" s="359"/>
      <c r="W115" s="359"/>
      <c r="X115" s="359"/>
    </row>
    <row r="116" spans="1:48" s="364" customFormat="1" ht="13.8" x14ac:dyDescent="0.3">
      <c r="A116" s="357"/>
      <c r="B116" s="141" t="s">
        <v>360</v>
      </c>
      <c r="C116" s="373" t="s">
        <v>517</v>
      </c>
      <c r="D116" s="373" t="s">
        <v>137</v>
      </c>
      <c r="E116" s="412" t="s">
        <v>300</v>
      </c>
      <c r="F116" s="373" t="s">
        <v>513</v>
      </c>
      <c r="G116" s="412" t="s">
        <v>300</v>
      </c>
      <c r="H116" s="266" t="s">
        <v>514</v>
      </c>
      <c r="I116" s="357"/>
      <c r="J116" s="357"/>
      <c r="K116" s="357"/>
      <c r="L116" s="357"/>
      <c r="M116" s="357"/>
      <c r="N116" s="357"/>
      <c r="O116" s="127"/>
      <c r="P116" s="127"/>
      <c r="Q116" s="89"/>
      <c r="R116" s="89"/>
      <c r="S116" s="89"/>
      <c r="T116" s="89"/>
      <c r="U116" s="359"/>
      <c r="V116" s="359"/>
      <c r="W116" s="359"/>
      <c r="X116" s="359"/>
    </row>
    <row r="117" spans="1:48" s="364" customFormat="1" ht="13.8" x14ac:dyDescent="0.3">
      <c r="A117" s="357"/>
      <c r="B117" s="309" t="s">
        <v>1638</v>
      </c>
      <c r="C117" s="165" t="s">
        <v>1679</v>
      </c>
      <c r="D117" s="165" t="s">
        <v>137</v>
      </c>
      <c r="E117" s="410" t="s">
        <v>300</v>
      </c>
      <c r="F117" s="165" t="s">
        <v>513</v>
      </c>
      <c r="G117" s="410" t="s">
        <v>300</v>
      </c>
      <c r="H117" s="250" t="s">
        <v>514</v>
      </c>
      <c r="I117" s="357"/>
      <c r="J117" s="357"/>
      <c r="K117" s="357"/>
      <c r="L117" s="357"/>
      <c r="M117" s="357"/>
      <c r="N117" s="357"/>
      <c r="O117" s="127"/>
      <c r="P117" s="127"/>
      <c r="Q117" s="89"/>
      <c r="R117" s="89"/>
      <c r="S117" s="89"/>
      <c r="T117" s="89"/>
      <c r="U117" s="359"/>
      <c r="V117" s="359"/>
      <c r="W117" s="359"/>
      <c r="X117" s="359"/>
    </row>
    <row r="118" spans="1:48" s="364" customFormat="1" x14ac:dyDescent="0.3">
      <c r="A118" s="982"/>
      <c r="B118" s="92"/>
      <c r="C118" s="92"/>
      <c r="D118" s="92"/>
      <c r="E118" s="92"/>
      <c r="F118" s="92"/>
      <c r="G118" s="92"/>
      <c r="H118" s="92"/>
      <c r="I118" s="92"/>
      <c r="J118" s="982"/>
      <c r="K118" s="982"/>
      <c r="L118" s="982"/>
      <c r="M118" s="357"/>
      <c r="N118" s="982"/>
      <c r="O118" s="127"/>
      <c r="P118" s="118"/>
      <c r="Q118" s="89"/>
      <c r="R118" s="89"/>
      <c r="S118" s="89"/>
      <c r="T118" s="89"/>
      <c r="U118" s="358"/>
      <c r="V118" s="358"/>
      <c r="W118" s="358"/>
      <c r="X118" s="358"/>
    </row>
    <row r="119" spans="1:48" s="364" customFormat="1" x14ac:dyDescent="0.3">
      <c r="A119" s="89"/>
      <c r="B119" s="92"/>
      <c r="C119" s="90"/>
      <c r="D119" s="982"/>
      <c r="E119" s="89"/>
      <c r="F119" s="89"/>
      <c r="G119" s="89"/>
      <c r="H119" s="89"/>
      <c r="I119" s="89"/>
      <c r="J119" s="89"/>
      <c r="K119" s="89"/>
      <c r="L119" s="89"/>
      <c r="M119" s="89"/>
      <c r="N119" s="89"/>
      <c r="O119" s="89"/>
      <c r="P119" s="89"/>
      <c r="Q119" s="89"/>
      <c r="R119" s="89"/>
      <c r="S119" s="89"/>
      <c r="T119" s="89"/>
      <c r="U119" s="358"/>
      <c r="V119" s="358"/>
      <c r="W119" s="358"/>
      <c r="X119" s="358"/>
    </row>
    <row r="120" spans="1:48" x14ac:dyDescent="0.3">
      <c r="A120" s="27"/>
      <c r="B120" s="29" t="s">
        <v>826</v>
      </c>
      <c r="C120" s="29"/>
      <c r="D120" s="982"/>
      <c r="E120" s="357"/>
      <c r="F120" s="982"/>
      <c r="G120" s="357"/>
      <c r="H120" s="982"/>
      <c r="I120" s="357"/>
      <c r="J120" s="982"/>
      <c r="K120" s="357"/>
      <c r="L120" s="982"/>
      <c r="M120" s="357"/>
      <c r="N120" s="982"/>
      <c r="O120" s="127"/>
      <c r="P120" s="118"/>
      <c r="Q120" s="89"/>
      <c r="R120" s="89"/>
      <c r="S120" s="89"/>
      <c r="T120" s="89"/>
      <c r="U120" s="358"/>
      <c r="V120" s="358"/>
      <c r="W120" s="358"/>
      <c r="X120" s="358"/>
      <c r="Y120" s="982"/>
      <c r="Z120" s="982"/>
      <c r="AA120" s="982"/>
      <c r="AB120" s="982"/>
      <c r="AC120" s="982"/>
      <c r="AD120" s="982"/>
      <c r="AE120" s="982"/>
      <c r="AF120" s="982"/>
      <c r="AG120" s="982"/>
      <c r="AH120" s="982"/>
      <c r="AI120" s="982"/>
      <c r="AJ120" s="982"/>
      <c r="AK120" s="982"/>
      <c r="AL120" s="982"/>
      <c r="AM120" s="982"/>
      <c r="AN120" s="982"/>
      <c r="AO120" s="982"/>
      <c r="AP120" s="982"/>
      <c r="AQ120" s="982"/>
      <c r="AR120" s="982"/>
      <c r="AS120" s="982"/>
      <c r="AT120" s="982"/>
      <c r="AU120" s="982"/>
      <c r="AV120" s="982"/>
    </row>
    <row r="121" spans="1:48" s="373" customFormat="1" ht="41.4" x14ac:dyDescent="0.3">
      <c r="A121" s="358"/>
      <c r="B121" s="131" t="s">
        <v>522</v>
      </c>
      <c r="C121" s="120" t="s">
        <v>523</v>
      </c>
      <c r="D121" s="120" t="s">
        <v>122</v>
      </c>
      <c r="E121" s="115"/>
      <c r="F121" s="488" t="s">
        <v>524</v>
      </c>
      <c r="G121" s="115"/>
      <c r="H121" s="488" t="s">
        <v>525</v>
      </c>
      <c r="I121" s="675"/>
      <c r="J121" s="488" t="s">
        <v>526</v>
      </c>
      <c r="K121" s="675"/>
      <c r="L121" s="488" t="s">
        <v>527</v>
      </c>
      <c r="M121" s="274"/>
      <c r="N121" s="319" t="s">
        <v>528</v>
      </c>
      <c r="O121" s="488"/>
      <c r="P121" s="319" t="s">
        <v>529</v>
      </c>
      <c r="Q121" s="274"/>
      <c r="R121" s="117" t="s">
        <v>530</v>
      </c>
      <c r="S121" s="274"/>
      <c r="T121" s="173" t="s">
        <v>531</v>
      </c>
      <c r="U121" s="602"/>
      <c r="V121" s="173" t="s">
        <v>532</v>
      </c>
      <c r="W121" s="194"/>
      <c r="X121" s="173" t="s">
        <v>586</v>
      </c>
      <c r="Y121" s="194"/>
      <c r="Z121" s="173" t="s">
        <v>1680</v>
      </c>
      <c r="AA121" s="194"/>
      <c r="AB121" s="173" t="s">
        <v>1681</v>
      </c>
      <c r="AC121" s="293"/>
      <c r="AD121" s="148" t="s">
        <v>533</v>
      </c>
      <c r="AE121" s="131"/>
      <c r="AF121" s="148" t="s">
        <v>534</v>
      </c>
      <c r="AG121" s="359"/>
      <c r="AH121" s="358"/>
      <c r="AJ121" s="358"/>
      <c r="AK121" s="359"/>
      <c r="AL121" s="358"/>
      <c r="AM121" s="578"/>
      <c r="AN121" s="579"/>
      <c r="AS121" s="358"/>
      <c r="AT121" s="358"/>
      <c r="AU121" s="358"/>
      <c r="AV121" s="358"/>
    </row>
    <row r="122" spans="1:48" s="89" customFormat="1" ht="28.2" thickBot="1" x14ac:dyDescent="0.35">
      <c r="B122" s="178" t="s">
        <v>535</v>
      </c>
      <c r="C122" s="176" t="s">
        <v>536</v>
      </c>
      <c r="D122" s="582"/>
      <c r="E122" s="635"/>
      <c r="F122" s="176"/>
      <c r="G122" s="635"/>
      <c r="H122" s="176" t="s">
        <v>537</v>
      </c>
      <c r="I122" s="178"/>
      <c r="J122" s="338" t="s">
        <v>538</v>
      </c>
      <c r="K122" s="178"/>
      <c r="L122" s="338" t="s">
        <v>539</v>
      </c>
      <c r="M122" s="315"/>
      <c r="N122" s="124" t="s">
        <v>540</v>
      </c>
      <c r="O122" s="132"/>
      <c r="P122" s="124"/>
      <c r="Q122" s="315"/>
      <c r="R122" s="124" t="s">
        <v>541</v>
      </c>
      <c r="S122" s="315"/>
      <c r="T122" s="124" t="s">
        <v>542</v>
      </c>
      <c r="U122" s="603"/>
      <c r="V122" s="124"/>
      <c r="W122" s="132"/>
      <c r="X122" s="124" t="s">
        <v>1682</v>
      </c>
      <c r="Y122" s="132"/>
      <c r="Z122" s="124" t="s">
        <v>1683</v>
      </c>
      <c r="AA122" s="132"/>
      <c r="AB122" s="124" t="s">
        <v>1684</v>
      </c>
      <c r="AC122" s="580"/>
      <c r="AD122" s="339" t="s">
        <v>543</v>
      </c>
      <c r="AE122" s="580"/>
      <c r="AF122" s="339" t="s">
        <v>544</v>
      </c>
      <c r="AG122" s="101"/>
      <c r="AH122" s="101"/>
      <c r="AI122" s="101"/>
      <c r="AJ122" s="101"/>
      <c r="AM122" s="101"/>
      <c r="AN122" s="101"/>
      <c r="AO122" s="101"/>
      <c r="AP122" s="101"/>
      <c r="AQ122" s="101"/>
      <c r="AR122" s="101"/>
      <c r="AS122" s="101"/>
      <c r="AT122" s="101"/>
      <c r="AU122" s="101"/>
      <c r="AV122" s="101"/>
    </row>
    <row r="123" spans="1:48" s="359" customFormat="1" thickTop="1" x14ac:dyDescent="0.3">
      <c r="A123" s="373"/>
      <c r="B123" s="420" t="s">
        <v>545</v>
      </c>
      <c r="C123" s="260" t="s">
        <v>546</v>
      </c>
      <c r="D123" s="583" t="s">
        <v>137</v>
      </c>
      <c r="E123" s="667" t="s">
        <v>173</v>
      </c>
      <c r="F123" s="676">
        <v>1620</v>
      </c>
      <c r="G123" s="667" t="s">
        <v>173</v>
      </c>
      <c r="H123" s="677" t="s">
        <v>547</v>
      </c>
      <c r="I123" s="667" t="s">
        <v>173</v>
      </c>
      <c r="J123" s="677" t="s">
        <v>548</v>
      </c>
      <c r="K123" s="667" t="s">
        <v>173</v>
      </c>
      <c r="L123" s="677" t="s">
        <v>549</v>
      </c>
      <c r="M123" s="413" t="s">
        <v>300</v>
      </c>
      <c r="N123" s="711">
        <v>10</v>
      </c>
      <c r="O123" s="667" t="s">
        <v>173</v>
      </c>
      <c r="P123" s="680">
        <f t="shared" ref="P123:P149" si="2">ROUND(F123/1000*N123*0.5,1)</f>
        <v>8.1</v>
      </c>
      <c r="Q123" s="413" t="s">
        <v>300</v>
      </c>
      <c r="R123" s="202">
        <v>0</v>
      </c>
      <c r="S123" s="413" t="s">
        <v>300</v>
      </c>
      <c r="T123" s="202">
        <v>0.15</v>
      </c>
      <c r="U123" s="413" t="s">
        <v>300</v>
      </c>
      <c r="V123" s="595">
        <f t="shared" ref="V123:V131" si="3">IF(LEFT(B123,9)="GuestRoom",ROUNDUP(P123,0)*30,ROUND(MAX(P123*R123,T123*F123),0))</f>
        <v>243</v>
      </c>
      <c r="W123" s="324" t="s">
        <v>173</v>
      </c>
      <c r="X123" s="262" t="s">
        <v>173</v>
      </c>
      <c r="Y123" s="324" t="s">
        <v>173</v>
      </c>
      <c r="Z123" s="262" t="s">
        <v>173</v>
      </c>
      <c r="AA123" s="324" t="s">
        <v>173</v>
      </c>
      <c r="AB123" s="262" t="s">
        <v>173</v>
      </c>
      <c r="AC123" s="413" t="s">
        <v>300</v>
      </c>
      <c r="AD123" s="260" t="s">
        <v>550</v>
      </c>
      <c r="AE123" s="413" t="s">
        <v>300</v>
      </c>
      <c r="AF123" s="259" t="s">
        <v>551</v>
      </c>
      <c r="AK123" s="373"/>
      <c r="AL123" s="373"/>
    </row>
    <row r="124" spans="1:48" s="359" customFormat="1" ht="13.8" x14ac:dyDescent="0.3">
      <c r="A124" s="373"/>
      <c r="B124" s="141" t="s">
        <v>552</v>
      </c>
      <c r="C124" s="373" t="s">
        <v>546</v>
      </c>
      <c r="D124" s="62" t="s">
        <v>137</v>
      </c>
      <c r="E124" s="667" t="s">
        <v>173</v>
      </c>
      <c r="F124" s="664">
        <v>1350</v>
      </c>
      <c r="G124" s="667" t="s">
        <v>173</v>
      </c>
      <c r="H124" s="665" t="s">
        <v>547</v>
      </c>
      <c r="I124" s="667" t="s">
        <v>173</v>
      </c>
      <c r="J124" s="665" t="s">
        <v>548</v>
      </c>
      <c r="K124" s="667" t="s">
        <v>173</v>
      </c>
      <c r="L124" s="665" t="s">
        <v>549</v>
      </c>
      <c r="M124" s="412" t="s">
        <v>300</v>
      </c>
      <c r="N124" s="457">
        <v>10</v>
      </c>
      <c r="O124" s="667" t="s">
        <v>173</v>
      </c>
      <c r="P124" s="680">
        <f t="shared" si="2"/>
        <v>6.8</v>
      </c>
      <c r="Q124" s="412" t="s">
        <v>300</v>
      </c>
      <c r="R124" s="202">
        <v>0</v>
      </c>
      <c r="S124" s="412" t="s">
        <v>300</v>
      </c>
      <c r="T124" s="202">
        <v>0.15</v>
      </c>
      <c r="U124" s="412" t="s">
        <v>300</v>
      </c>
      <c r="V124" s="595">
        <f t="shared" si="3"/>
        <v>203</v>
      </c>
      <c r="W124" s="324" t="s">
        <v>173</v>
      </c>
      <c r="X124" s="262" t="s">
        <v>173</v>
      </c>
      <c r="Y124" s="324" t="s">
        <v>173</v>
      </c>
      <c r="Z124" s="262" t="s">
        <v>173</v>
      </c>
      <c r="AA124" s="324" t="s">
        <v>173</v>
      </c>
      <c r="AB124" s="262" t="s">
        <v>173</v>
      </c>
      <c r="AC124" s="412" t="s">
        <v>300</v>
      </c>
      <c r="AD124" s="373" t="s">
        <v>550</v>
      </c>
      <c r="AE124" s="412" t="s">
        <v>300</v>
      </c>
      <c r="AF124" s="266" t="s">
        <v>551</v>
      </c>
      <c r="AK124" s="373"/>
      <c r="AL124" s="373"/>
    </row>
    <row r="125" spans="1:48" s="359" customFormat="1" ht="13.8" x14ac:dyDescent="0.3">
      <c r="A125" s="373"/>
      <c r="B125" s="141" t="s">
        <v>553</v>
      </c>
      <c r="C125" s="373" t="s">
        <v>546</v>
      </c>
      <c r="D125" s="62" t="s">
        <v>137</v>
      </c>
      <c r="E125" s="667" t="s">
        <v>173</v>
      </c>
      <c r="F125" s="664">
        <v>1350</v>
      </c>
      <c r="G125" s="667" t="s">
        <v>173</v>
      </c>
      <c r="H125" s="665" t="s">
        <v>547</v>
      </c>
      <c r="I125" s="667" t="s">
        <v>173</v>
      </c>
      <c r="J125" s="665" t="s">
        <v>548</v>
      </c>
      <c r="K125" s="667" t="s">
        <v>173</v>
      </c>
      <c r="L125" s="665" t="s">
        <v>549</v>
      </c>
      <c r="M125" s="412" t="s">
        <v>300</v>
      </c>
      <c r="N125" s="457">
        <v>10</v>
      </c>
      <c r="O125" s="667" t="s">
        <v>173</v>
      </c>
      <c r="P125" s="680">
        <f t="shared" si="2"/>
        <v>6.8</v>
      </c>
      <c r="Q125" s="412" t="s">
        <v>300</v>
      </c>
      <c r="R125" s="202">
        <v>0</v>
      </c>
      <c r="S125" s="412" t="s">
        <v>300</v>
      </c>
      <c r="T125" s="202">
        <v>0.15</v>
      </c>
      <c r="U125" s="412" t="s">
        <v>300</v>
      </c>
      <c r="V125" s="595">
        <f t="shared" si="3"/>
        <v>203</v>
      </c>
      <c r="W125" s="324" t="s">
        <v>173</v>
      </c>
      <c r="X125" s="262" t="s">
        <v>173</v>
      </c>
      <c r="Y125" s="324" t="s">
        <v>173</v>
      </c>
      <c r="Z125" s="262" t="s">
        <v>173</v>
      </c>
      <c r="AA125" s="324" t="s">
        <v>173</v>
      </c>
      <c r="AB125" s="262" t="s">
        <v>173</v>
      </c>
      <c r="AC125" s="412" t="s">
        <v>300</v>
      </c>
      <c r="AD125" s="373" t="s">
        <v>550</v>
      </c>
      <c r="AE125" s="412" t="s">
        <v>300</v>
      </c>
      <c r="AF125" s="266" t="s">
        <v>551</v>
      </c>
      <c r="AK125" s="373"/>
      <c r="AL125" s="373"/>
    </row>
    <row r="126" spans="1:48" s="359" customFormat="1" ht="13.8" x14ac:dyDescent="0.3">
      <c r="A126" s="373"/>
      <c r="B126" s="141" t="s">
        <v>554</v>
      </c>
      <c r="C126" s="373" t="s">
        <v>546</v>
      </c>
      <c r="D126" s="62" t="s">
        <v>137</v>
      </c>
      <c r="E126" s="667" t="s">
        <v>173</v>
      </c>
      <c r="F126" s="664">
        <v>1350</v>
      </c>
      <c r="G126" s="667" t="s">
        <v>173</v>
      </c>
      <c r="H126" s="665" t="s">
        <v>547</v>
      </c>
      <c r="I126" s="667" t="s">
        <v>173</v>
      </c>
      <c r="J126" s="665" t="s">
        <v>548</v>
      </c>
      <c r="K126" s="667" t="s">
        <v>173</v>
      </c>
      <c r="L126" s="665" t="s">
        <v>549</v>
      </c>
      <c r="M126" s="412" t="s">
        <v>300</v>
      </c>
      <c r="N126" s="457">
        <v>10</v>
      </c>
      <c r="O126" s="667" t="s">
        <v>173</v>
      </c>
      <c r="P126" s="680">
        <f t="shared" si="2"/>
        <v>6.8</v>
      </c>
      <c r="Q126" s="412" t="s">
        <v>300</v>
      </c>
      <c r="R126" s="202">
        <v>0</v>
      </c>
      <c r="S126" s="412" t="s">
        <v>300</v>
      </c>
      <c r="T126" s="202">
        <v>0.15</v>
      </c>
      <c r="U126" s="412" t="s">
        <v>300</v>
      </c>
      <c r="V126" s="595">
        <f t="shared" si="3"/>
        <v>203</v>
      </c>
      <c r="W126" s="324" t="s">
        <v>173</v>
      </c>
      <c r="X126" s="262" t="s">
        <v>173</v>
      </c>
      <c r="Y126" s="324" t="s">
        <v>173</v>
      </c>
      <c r="Z126" s="262" t="s">
        <v>173</v>
      </c>
      <c r="AA126" s="324" t="s">
        <v>173</v>
      </c>
      <c r="AB126" s="262" t="s">
        <v>173</v>
      </c>
      <c r="AC126" s="412" t="s">
        <v>300</v>
      </c>
      <c r="AD126" s="373" t="s">
        <v>550</v>
      </c>
      <c r="AE126" s="412" t="s">
        <v>300</v>
      </c>
      <c r="AF126" s="266" t="s">
        <v>551</v>
      </c>
      <c r="AK126" s="373"/>
      <c r="AL126" s="373"/>
    </row>
    <row r="127" spans="1:48" s="359" customFormat="1" ht="13.8" x14ac:dyDescent="0.3">
      <c r="A127" s="373"/>
      <c r="B127" s="141" t="s">
        <v>555</v>
      </c>
      <c r="C127" s="373" t="s">
        <v>546</v>
      </c>
      <c r="D127" s="62" t="s">
        <v>137</v>
      </c>
      <c r="E127" s="667" t="s">
        <v>173</v>
      </c>
      <c r="F127" s="664">
        <v>351</v>
      </c>
      <c r="G127" s="667" t="s">
        <v>173</v>
      </c>
      <c r="H127" s="665" t="s">
        <v>547</v>
      </c>
      <c r="I127" s="667" t="s">
        <v>173</v>
      </c>
      <c r="J127" s="665" t="s">
        <v>548</v>
      </c>
      <c r="K127" s="667" t="s">
        <v>173</v>
      </c>
      <c r="L127" s="665" t="s">
        <v>549</v>
      </c>
      <c r="M127" s="412" t="s">
        <v>300</v>
      </c>
      <c r="N127" s="457">
        <v>10</v>
      </c>
      <c r="O127" s="667" t="s">
        <v>173</v>
      </c>
      <c r="P127" s="680">
        <f t="shared" si="2"/>
        <v>1.8</v>
      </c>
      <c r="Q127" s="412" t="s">
        <v>300</v>
      </c>
      <c r="R127" s="202">
        <v>0</v>
      </c>
      <c r="S127" s="412" t="s">
        <v>300</v>
      </c>
      <c r="T127" s="202">
        <v>0.15</v>
      </c>
      <c r="U127" s="412" t="s">
        <v>300</v>
      </c>
      <c r="V127" s="595">
        <f t="shared" si="3"/>
        <v>53</v>
      </c>
      <c r="W127" s="324" t="s">
        <v>173</v>
      </c>
      <c r="X127" s="262" t="s">
        <v>173</v>
      </c>
      <c r="Y127" s="324" t="s">
        <v>173</v>
      </c>
      <c r="Z127" s="262" t="s">
        <v>173</v>
      </c>
      <c r="AA127" s="324" t="s">
        <v>173</v>
      </c>
      <c r="AB127" s="262" t="s">
        <v>173</v>
      </c>
      <c r="AC127" s="412" t="s">
        <v>300</v>
      </c>
      <c r="AD127" s="373" t="s">
        <v>550</v>
      </c>
      <c r="AE127" s="412" t="s">
        <v>300</v>
      </c>
      <c r="AF127" s="266" t="s">
        <v>551</v>
      </c>
      <c r="AK127" s="373"/>
      <c r="AL127" s="373"/>
    </row>
    <row r="128" spans="1:48" s="359" customFormat="1" ht="13.8" x14ac:dyDescent="0.3">
      <c r="A128" s="373"/>
      <c r="B128" s="141" t="s">
        <v>556</v>
      </c>
      <c r="C128" s="373" t="s">
        <v>546</v>
      </c>
      <c r="D128" s="62" t="s">
        <v>137</v>
      </c>
      <c r="E128" s="667" t="s">
        <v>173</v>
      </c>
      <c r="F128" s="664">
        <v>351</v>
      </c>
      <c r="G128" s="667" t="s">
        <v>173</v>
      </c>
      <c r="H128" s="665" t="s">
        <v>547</v>
      </c>
      <c r="I128" s="667" t="s">
        <v>173</v>
      </c>
      <c r="J128" s="665" t="s">
        <v>548</v>
      </c>
      <c r="K128" s="667" t="s">
        <v>173</v>
      </c>
      <c r="L128" s="665" t="s">
        <v>549</v>
      </c>
      <c r="M128" s="412" t="s">
        <v>300</v>
      </c>
      <c r="N128" s="457">
        <v>10</v>
      </c>
      <c r="O128" s="667" t="s">
        <v>173</v>
      </c>
      <c r="P128" s="680">
        <f t="shared" si="2"/>
        <v>1.8</v>
      </c>
      <c r="Q128" s="412" t="s">
        <v>300</v>
      </c>
      <c r="R128" s="202">
        <v>0</v>
      </c>
      <c r="S128" s="412" t="s">
        <v>300</v>
      </c>
      <c r="T128" s="202">
        <v>0.15</v>
      </c>
      <c r="U128" s="412" t="s">
        <v>300</v>
      </c>
      <c r="V128" s="595">
        <f t="shared" si="3"/>
        <v>53</v>
      </c>
      <c r="W128" s="324" t="s">
        <v>173</v>
      </c>
      <c r="X128" s="262" t="s">
        <v>173</v>
      </c>
      <c r="Y128" s="324" t="s">
        <v>173</v>
      </c>
      <c r="Z128" s="262" t="s">
        <v>173</v>
      </c>
      <c r="AA128" s="324" t="s">
        <v>173</v>
      </c>
      <c r="AB128" s="262" t="s">
        <v>173</v>
      </c>
      <c r="AC128" s="412" t="s">
        <v>300</v>
      </c>
      <c r="AD128" s="373" t="s">
        <v>550</v>
      </c>
      <c r="AE128" s="412" t="s">
        <v>300</v>
      </c>
      <c r="AF128" s="266" t="s">
        <v>551</v>
      </c>
      <c r="AK128" s="373"/>
      <c r="AL128" s="373"/>
    </row>
    <row r="129" spans="1:46" s="359" customFormat="1" ht="13.8" x14ac:dyDescent="0.3">
      <c r="A129" s="373"/>
      <c r="B129" s="141" t="s">
        <v>557</v>
      </c>
      <c r="C129" s="373" t="s">
        <v>546</v>
      </c>
      <c r="D129" s="62" t="s">
        <v>137</v>
      </c>
      <c r="E129" s="667" t="s">
        <v>173</v>
      </c>
      <c r="F129" s="664">
        <v>1755.1</v>
      </c>
      <c r="G129" s="667" t="s">
        <v>173</v>
      </c>
      <c r="H129" s="665" t="s">
        <v>547</v>
      </c>
      <c r="I129" s="667" t="s">
        <v>173</v>
      </c>
      <c r="J129" s="665" t="s">
        <v>548</v>
      </c>
      <c r="K129" s="667" t="s">
        <v>173</v>
      </c>
      <c r="L129" s="665" t="s">
        <v>558</v>
      </c>
      <c r="M129" s="412" t="s">
        <v>300</v>
      </c>
      <c r="N129" s="457">
        <v>142.9</v>
      </c>
      <c r="O129" s="667" t="s">
        <v>173</v>
      </c>
      <c r="P129" s="680">
        <f t="shared" si="2"/>
        <v>125.4</v>
      </c>
      <c r="Q129" s="412" t="s">
        <v>300</v>
      </c>
      <c r="R129" s="202">
        <v>15</v>
      </c>
      <c r="S129" s="412" t="s">
        <v>300</v>
      </c>
      <c r="T129" s="202">
        <v>0.15</v>
      </c>
      <c r="U129" s="412" t="s">
        <v>300</v>
      </c>
      <c r="V129" s="595">
        <f t="shared" si="3"/>
        <v>1881</v>
      </c>
      <c r="W129" s="324" t="s">
        <v>173</v>
      </c>
      <c r="X129" s="262" t="s">
        <v>173</v>
      </c>
      <c r="Y129" s="324" t="s">
        <v>173</v>
      </c>
      <c r="Z129" s="262" t="s">
        <v>173</v>
      </c>
      <c r="AA129" s="324" t="s">
        <v>173</v>
      </c>
      <c r="AB129" s="262" t="s">
        <v>173</v>
      </c>
      <c r="AC129" s="412" t="s">
        <v>300</v>
      </c>
      <c r="AD129" s="373" t="s">
        <v>550</v>
      </c>
      <c r="AE129" s="412" t="s">
        <v>300</v>
      </c>
      <c r="AF129" s="266" t="s">
        <v>551</v>
      </c>
      <c r="AK129" s="373"/>
      <c r="AL129" s="373"/>
    </row>
    <row r="130" spans="1:46" s="359" customFormat="1" ht="13.8" x14ac:dyDescent="0.3">
      <c r="A130" s="373"/>
      <c r="B130" s="141" t="s">
        <v>559</v>
      </c>
      <c r="C130" s="373" t="s">
        <v>546</v>
      </c>
      <c r="D130" s="62" t="s">
        <v>137</v>
      </c>
      <c r="E130" s="667" t="s">
        <v>173</v>
      </c>
      <c r="F130" s="664">
        <v>1404</v>
      </c>
      <c r="G130" s="667" t="s">
        <v>173</v>
      </c>
      <c r="H130" s="665" t="s">
        <v>547</v>
      </c>
      <c r="I130" s="667" t="s">
        <v>173</v>
      </c>
      <c r="J130" s="665" t="s">
        <v>548</v>
      </c>
      <c r="K130" s="667" t="s">
        <v>173</v>
      </c>
      <c r="L130" s="665" t="s">
        <v>549</v>
      </c>
      <c r="M130" s="412" t="s">
        <v>300</v>
      </c>
      <c r="N130" s="457">
        <v>10</v>
      </c>
      <c r="O130" s="667" t="s">
        <v>173</v>
      </c>
      <c r="P130" s="680">
        <f t="shared" si="2"/>
        <v>7</v>
      </c>
      <c r="Q130" s="412" t="s">
        <v>300</v>
      </c>
      <c r="R130" s="202">
        <v>0</v>
      </c>
      <c r="S130" s="412" t="s">
        <v>300</v>
      </c>
      <c r="T130" s="202">
        <v>0.15</v>
      </c>
      <c r="U130" s="412" t="s">
        <v>300</v>
      </c>
      <c r="V130" s="595">
        <f t="shared" si="3"/>
        <v>211</v>
      </c>
      <c r="W130" s="324" t="s">
        <v>173</v>
      </c>
      <c r="X130" s="262" t="s">
        <v>173</v>
      </c>
      <c r="Y130" s="324" t="s">
        <v>173</v>
      </c>
      <c r="Z130" s="262" t="s">
        <v>173</v>
      </c>
      <c r="AA130" s="324" t="s">
        <v>173</v>
      </c>
      <c r="AB130" s="262" t="s">
        <v>173</v>
      </c>
      <c r="AC130" s="412" t="s">
        <v>300</v>
      </c>
      <c r="AD130" s="373" t="s">
        <v>550</v>
      </c>
      <c r="AE130" s="412" t="s">
        <v>300</v>
      </c>
      <c r="AF130" s="266" t="s">
        <v>551</v>
      </c>
      <c r="AK130" s="373"/>
      <c r="AL130" s="373"/>
    </row>
    <row r="131" spans="1:46" s="359" customFormat="1" ht="13.8" x14ac:dyDescent="0.3">
      <c r="A131" s="373"/>
      <c r="B131" s="141" t="s">
        <v>560</v>
      </c>
      <c r="C131" s="373" t="s">
        <v>546</v>
      </c>
      <c r="D131" s="62" t="s">
        <v>137</v>
      </c>
      <c r="E131" s="667" t="s">
        <v>173</v>
      </c>
      <c r="F131" s="664">
        <v>1053</v>
      </c>
      <c r="G131" s="667" t="s">
        <v>173</v>
      </c>
      <c r="H131" s="665" t="s">
        <v>547</v>
      </c>
      <c r="I131" s="667" t="s">
        <v>173</v>
      </c>
      <c r="J131" s="665" t="s">
        <v>548</v>
      </c>
      <c r="K131" s="667" t="s">
        <v>173</v>
      </c>
      <c r="L131" s="665" t="s">
        <v>549</v>
      </c>
      <c r="M131" s="412" t="s">
        <v>300</v>
      </c>
      <c r="N131" s="457">
        <v>10</v>
      </c>
      <c r="O131" s="667" t="s">
        <v>173</v>
      </c>
      <c r="P131" s="680">
        <f t="shared" si="2"/>
        <v>5.3</v>
      </c>
      <c r="Q131" s="412" t="s">
        <v>300</v>
      </c>
      <c r="R131" s="202">
        <v>0</v>
      </c>
      <c r="S131" s="412" t="s">
        <v>300</v>
      </c>
      <c r="T131" s="202">
        <v>0.15</v>
      </c>
      <c r="U131" s="412" t="s">
        <v>300</v>
      </c>
      <c r="V131" s="595">
        <f t="shared" si="3"/>
        <v>158</v>
      </c>
      <c r="W131" s="324" t="s">
        <v>173</v>
      </c>
      <c r="X131" s="262" t="s">
        <v>173</v>
      </c>
      <c r="Y131" s="324" t="s">
        <v>173</v>
      </c>
      <c r="Z131" s="262" t="s">
        <v>173</v>
      </c>
      <c r="AA131" s="324" t="s">
        <v>173</v>
      </c>
      <c r="AB131" s="262" t="s">
        <v>173</v>
      </c>
      <c r="AC131" s="412" t="s">
        <v>300</v>
      </c>
      <c r="AD131" s="373" t="s">
        <v>550</v>
      </c>
      <c r="AE131" s="412" t="s">
        <v>300</v>
      </c>
      <c r="AF131" s="266" t="s">
        <v>551</v>
      </c>
      <c r="AK131" s="373"/>
      <c r="AL131" s="373"/>
    </row>
    <row r="132" spans="1:46" s="359" customFormat="1" ht="13.8" x14ac:dyDescent="0.3">
      <c r="A132" s="373"/>
      <c r="B132" s="141" t="s">
        <v>561</v>
      </c>
      <c r="C132" s="373" t="s">
        <v>546</v>
      </c>
      <c r="D132" s="62" t="s">
        <v>137</v>
      </c>
      <c r="E132" s="667" t="s">
        <v>173</v>
      </c>
      <c r="F132" s="664">
        <v>351</v>
      </c>
      <c r="G132" s="667" t="s">
        <v>173</v>
      </c>
      <c r="H132" s="665" t="s">
        <v>547</v>
      </c>
      <c r="I132" s="667" t="s">
        <v>173</v>
      </c>
      <c r="J132" s="665" t="s">
        <v>548</v>
      </c>
      <c r="K132" s="667" t="s">
        <v>173</v>
      </c>
      <c r="L132" s="665" t="s">
        <v>549</v>
      </c>
      <c r="M132" s="412" t="s">
        <v>300</v>
      </c>
      <c r="N132" s="457">
        <v>3</v>
      </c>
      <c r="O132" s="667" t="s">
        <v>173</v>
      </c>
      <c r="P132" s="680">
        <f t="shared" si="2"/>
        <v>0.5</v>
      </c>
      <c r="Q132" s="412" t="s">
        <v>300</v>
      </c>
      <c r="R132" s="202">
        <v>0</v>
      </c>
      <c r="S132" s="412" t="s">
        <v>300</v>
      </c>
      <c r="T132" s="202">
        <v>0.15</v>
      </c>
      <c r="U132" s="412" t="s">
        <v>300</v>
      </c>
      <c r="V132" s="595">
        <f>IF(LEFT(B132,9)="GuestRoom",ROUNDUP(P132,0)*30,ROUND(MAX(P132*R132,T132*F132),0))</f>
        <v>53</v>
      </c>
      <c r="W132" s="324" t="s">
        <v>173</v>
      </c>
      <c r="X132" s="262" t="s">
        <v>173</v>
      </c>
      <c r="Y132" s="324" t="s">
        <v>173</v>
      </c>
      <c r="Z132" s="262" t="s">
        <v>173</v>
      </c>
      <c r="AA132" s="324" t="s">
        <v>173</v>
      </c>
      <c r="AB132" s="262" t="s">
        <v>173</v>
      </c>
      <c r="AC132" s="412" t="s">
        <v>300</v>
      </c>
      <c r="AD132" s="373" t="s">
        <v>550</v>
      </c>
      <c r="AE132" s="412" t="s">
        <v>300</v>
      </c>
      <c r="AF132" s="266" t="s">
        <v>551</v>
      </c>
      <c r="AK132" s="373"/>
      <c r="AL132" s="373"/>
    </row>
    <row r="133" spans="1:46" s="359" customFormat="1" ht="28.5" customHeight="1" x14ac:dyDescent="0.3">
      <c r="A133" s="373"/>
      <c r="B133" s="141" t="s">
        <v>1685</v>
      </c>
      <c r="C133" s="373" t="s">
        <v>546</v>
      </c>
      <c r="D133" s="62" t="s">
        <v>137</v>
      </c>
      <c r="E133" s="667" t="s">
        <v>173</v>
      </c>
      <c r="F133" s="664">
        <v>864.1</v>
      </c>
      <c r="G133" s="667" t="s">
        <v>173</v>
      </c>
      <c r="H133" s="665" t="s">
        <v>547</v>
      </c>
      <c r="I133" s="667" t="s">
        <v>173</v>
      </c>
      <c r="J133" s="665" t="s">
        <v>548</v>
      </c>
      <c r="K133" s="667" t="s">
        <v>173</v>
      </c>
      <c r="L133" s="665" t="s">
        <v>549</v>
      </c>
      <c r="M133" s="412" t="s">
        <v>300</v>
      </c>
      <c r="N133" s="457">
        <v>5</v>
      </c>
      <c r="O133" s="667" t="s">
        <v>173</v>
      </c>
      <c r="P133" s="680">
        <f t="shared" si="2"/>
        <v>2.2000000000000002</v>
      </c>
      <c r="Q133" s="412" t="s">
        <v>300</v>
      </c>
      <c r="R133" s="202">
        <v>0</v>
      </c>
      <c r="S133" s="412" t="s">
        <v>300</v>
      </c>
      <c r="T133" s="202">
        <v>0.15</v>
      </c>
      <c r="U133" s="412" t="s">
        <v>300</v>
      </c>
      <c r="V133" s="595">
        <f>IF(LEFT(B133,9)="GuestRoom",ROUNDUP(P133,0)*30,ROUND(MAX(P133*R133,T133*F133),0))</f>
        <v>130</v>
      </c>
      <c r="W133" s="142" t="s">
        <v>300</v>
      </c>
      <c r="X133" s="365">
        <v>1050</v>
      </c>
      <c r="Y133" s="142"/>
      <c r="Z133" s="890">
        <v>0.42749999999999999</v>
      </c>
      <c r="AA133" s="142"/>
      <c r="AB133" s="907">
        <f>V108*1000/X133*Z133/0.1175</f>
        <v>1.5</v>
      </c>
      <c r="AC133" s="412" t="s">
        <v>300</v>
      </c>
      <c r="AD133" s="363" t="s">
        <v>1686</v>
      </c>
      <c r="AE133" s="412" t="s">
        <v>300</v>
      </c>
      <c r="AF133" s="834" t="s">
        <v>1687</v>
      </c>
      <c r="AH133" s="989"/>
      <c r="AI133" s="990"/>
      <c r="AJ133" s="990"/>
      <c r="AK133" s="990"/>
      <c r="AL133" s="990"/>
      <c r="AM133" s="990"/>
      <c r="AN133" s="990"/>
      <c r="AO133" s="990"/>
      <c r="AP133" s="990"/>
      <c r="AQ133" s="990"/>
      <c r="AR133" s="990"/>
      <c r="AS133" s="990"/>
      <c r="AT133" s="990"/>
    </row>
    <row r="134" spans="1:46" s="359" customFormat="1" ht="13.8" x14ac:dyDescent="0.3">
      <c r="A134" s="373"/>
      <c r="B134" s="141" t="s">
        <v>563</v>
      </c>
      <c r="C134" s="373" t="s">
        <v>546</v>
      </c>
      <c r="D134" s="62" t="s">
        <v>137</v>
      </c>
      <c r="E134" s="667" t="s">
        <v>173</v>
      </c>
      <c r="F134" s="664">
        <v>216</v>
      </c>
      <c r="G134" s="667" t="s">
        <v>173</v>
      </c>
      <c r="H134" s="665" t="s">
        <v>547</v>
      </c>
      <c r="I134" s="667" t="s">
        <v>173</v>
      </c>
      <c r="J134" s="665" t="s">
        <v>548</v>
      </c>
      <c r="K134" s="667" t="s">
        <v>173</v>
      </c>
      <c r="L134" s="665" t="s">
        <v>549</v>
      </c>
      <c r="M134" s="412" t="s">
        <v>300</v>
      </c>
      <c r="N134" s="457">
        <v>10</v>
      </c>
      <c r="O134" s="667" t="s">
        <v>173</v>
      </c>
      <c r="P134" s="680">
        <f t="shared" si="2"/>
        <v>1.1000000000000001</v>
      </c>
      <c r="Q134" s="412" t="s">
        <v>300</v>
      </c>
      <c r="R134" s="202">
        <v>0</v>
      </c>
      <c r="S134" s="412" t="s">
        <v>300</v>
      </c>
      <c r="T134" s="202">
        <v>0.15</v>
      </c>
      <c r="U134" s="412" t="s">
        <v>300</v>
      </c>
      <c r="V134" s="595">
        <f t="shared" ref="V134:V150" si="4">IF(LEFT(B134,9)="GuestRoom",ROUNDUP(P134,0)*30,ROUND(MAX(P134*R134,T134*F134),0))</f>
        <v>32</v>
      </c>
      <c r="W134" s="324" t="s">
        <v>173</v>
      </c>
      <c r="X134" s="262" t="s">
        <v>173</v>
      </c>
      <c r="Y134" s="324" t="s">
        <v>173</v>
      </c>
      <c r="Z134" s="262" t="s">
        <v>173</v>
      </c>
      <c r="AA134" s="324" t="s">
        <v>173</v>
      </c>
      <c r="AB134" s="262" t="s">
        <v>173</v>
      </c>
      <c r="AC134" s="412" t="s">
        <v>300</v>
      </c>
      <c r="AD134" s="373" t="s">
        <v>550</v>
      </c>
      <c r="AE134" s="412" t="s">
        <v>300</v>
      </c>
      <c r="AF134" s="266" t="s">
        <v>551</v>
      </c>
      <c r="AI134" s="674"/>
      <c r="AK134" s="373"/>
      <c r="AL134" s="373"/>
    </row>
    <row r="135" spans="1:46" s="359" customFormat="1" ht="13.8" x14ac:dyDescent="0.3">
      <c r="A135" s="373"/>
      <c r="B135" s="141" t="s">
        <v>564</v>
      </c>
      <c r="C135" s="373" t="s">
        <v>546</v>
      </c>
      <c r="D135" s="62" t="s">
        <v>137</v>
      </c>
      <c r="E135" s="667" t="s">
        <v>173</v>
      </c>
      <c r="F135" s="664">
        <v>216</v>
      </c>
      <c r="G135" s="667" t="s">
        <v>173</v>
      </c>
      <c r="H135" s="665" t="s">
        <v>547</v>
      </c>
      <c r="I135" s="667" t="s">
        <v>173</v>
      </c>
      <c r="J135" s="665" t="s">
        <v>548</v>
      </c>
      <c r="K135" s="667" t="s">
        <v>173</v>
      </c>
      <c r="L135" s="665" t="s">
        <v>549</v>
      </c>
      <c r="M135" s="412" t="s">
        <v>300</v>
      </c>
      <c r="N135" s="457">
        <v>10</v>
      </c>
      <c r="O135" s="667" t="s">
        <v>173</v>
      </c>
      <c r="P135" s="680">
        <f t="shared" si="2"/>
        <v>1.1000000000000001</v>
      </c>
      <c r="Q135" s="412" t="s">
        <v>300</v>
      </c>
      <c r="R135" s="202">
        <v>0</v>
      </c>
      <c r="S135" s="412" t="s">
        <v>300</v>
      </c>
      <c r="T135" s="202">
        <v>0.15</v>
      </c>
      <c r="U135" s="412" t="s">
        <v>300</v>
      </c>
      <c r="V135" s="595">
        <f t="shared" si="4"/>
        <v>32</v>
      </c>
      <c r="W135" s="324" t="s">
        <v>173</v>
      </c>
      <c r="X135" s="262" t="s">
        <v>173</v>
      </c>
      <c r="Y135" s="324" t="s">
        <v>173</v>
      </c>
      <c r="Z135" s="262" t="s">
        <v>173</v>
      </c>
      <c r="AA135" s="324" t="s">
        <v>173</v>
      </c>
      <c r="AB135" s="262" t="s">
        <v>173</v>
      </c>
      <c r="AC135" s="412" t="s">
        <v>300</v>
      </c>
      <c r="AD135" s="373" t="s">
        <v>550</v>
      </c>
      <c r="AE135" s="412" t="s">
        <v>300</v>
      </c>
      <c r="AF135" s="266" t="s">
        <v>551</v>
      </c>
      <c r="AK135" s="373"/>
      <c r="AL135" s="373"/>
    </row>
    <row r="136" spans="1:46" s="359" customFormat="1" ht="13.8" x14ac:dyDescent="0.3">
      <c r="A136" s="373"/>
      <c r="B136" s="141" t="s">
        <v>565</v>
      </c>
      <c r="C136" s="373" t="s">
        <v>546</v>
      </c>
      <c r="D136" s="62" t="s">
        <v>137</v>
      </c>
      <c r="E136" s="667" t="s">
        <v>173</v>
      </c>
      <c r="F136" s="664">
        <v>216</v>
      </c>
      <c r="G136" s="667" t="s">
        <v>173</v>
      </c>
      <c r="H136" s="665" t="s">
        <v>547</v>
      </c>
      <c r="I136" s="667" t="s">
        <v>173</v>
      </c>
      <c r="J136" s="665" t="s">
        <v>548</v>
      </c>
      <c r="K136" s="667" t="s">
        <v>173</v>
      </c>
      <c r="L136" s="665" t="s">
        <v>549</v>
      </c>
      <c r="M136" s="412" t="s">
        <v>300</v>
      </c>
      <c r="N136" s="457">
        <v>10</v>
      </c>
      <c r="O136" s="667" t="s">
        <v>173</v>
      </c>
      <c r="P136" s="680">
        <f t="shared" si="2"/>
        <v>1.1000000000000001</v>
      </c>
      <c r="Q136" s="412" t="s">
        <v>300</v>
      </c>
      <c r="R136" s="202">
        <v>0</v>
      </c>
      <c r="S136" s="412" t="s">
        <v>300</v>
      </c>
      <c r="T136" s="202">
        <v>0.15</v>
      </c>
      <c r="U136" s="412" t="s">
        <v>300</v>
      </c>
      <c r="V136" s="595">
        <f t="shared" si="4"/>
        <v>32</v>
      </c>
      <c r="W136" s="324" t="s">
        <v>173</v>
      </c>
      <c r="X136" s="262" t="s">
        <v>173</v>
      </c>
      <c r="Y136" s="324" t="s">
        <v>173</v>
      </c>
      <c r="Z136" s="262" t="s">
        <v>173</v>
      </c>
      <c r="AA136" s="324" t="s">
        <v>173</v>
      </c>
      <c r="AB136" s="262" t="s">
        <v>173</v>
      </c>
      <c r="AC136" s="412" t="s">
        <v>300</v>
      </c>
      <c r="AD136" s="373" t="s">
        <v>550</v>
      </c>
      <c r="AE136" s="412" t="s">
        <v>300</v>
      </c>
      <c r="AF136" s="266" t="s">
        <v>551</v>
      </c>
      <c r="AK136" s="373"/>
      <c r="AL136" s="373"/>
    </row>
    <row r="137" spans="1:46" s="359" customFormat="1" ht="13.8" x14ac:dyDescent="0.3">
      <c r="A137" s="373"/>
      <c r="B137" s="141" t="s">
        <v>566</v>
      </c>
      <c r="C137" s="373" t="s">
        <v>546</v>
      </c>
      <c r="D137" s="62" t="s">
        <v>137</v>
      </c>
      <c r="E137" s="667" t="s">
        <v>173</v>
      </c>
      <c r="F137" s="664">
        <v>216</v>
      </c>
      <c r="G137" s="667" t="s">
        <v>173</v>
      </c>
      <c r="H137" s="665" t="s">
        <v>547</v>
      </c>
      <c r="I137" s="667" t="s">
        <v>173</v>
      </c>
      <c r="J137" s="665" t="s">
        <v>548</v>
      </c>
      <c r="K137" s="667" t="s">
        <v>173</v>
      </c>
      <c r="L137" s="665" t="s">
        <v>549</v>
      </c>
      <c r="M137" s="412" t="s">
        <v>300</v>
      </c>
      <c r="N137" s="457">
        <v>10</v>
      </c>
      <c r="O137" s="667" t="s">
        <v>173</v>
      </c>
      <c r="P137" s="680">
        <f t="shared" si="2"/>
        <v>1.1000000000000001</v>
      </c>
      <c r="Q137" s="412" t="s">
        <v>300</v>
      </c>
      <c r="R137" s="202">
        <v>0</v>
      </c>
      <c r="S137" s="412" t="s">
        <v>300</v>
      </c>
      <c r="T137" s="202">
        <v>0.15</v>
      </c>
      <c r="U137" s="412" t="s">
        <v>300</v>
      </c>
      <c r="V137" s="595">
        <f t="shared" si="4"/>
        <v>32</v>
      </c>
      <c r="W137" s="324" t="s">
        <v>173</v>
      </c>
      <c r="X137" s="262" t="s">
        <v>173</v>
      </c>
      <c r="Y137" s="324" t="s">
        <v>173</v>
      </c>
      <c r="Z137" s="262" t="s">
        <v>173</v>
      </c>
      <c r="AA137" s="324" t="s">
        <v>173</v>
      </c>
      <c r="AB137" s="262" t="s">
        <v>173</v>
      </c>
      <c r="AC137" s="412" t="s">
        <v>300</v>
      </c>
      <c r="AD137" s="373" t="s">
        <v>550</v>
      </c>
      <c r="AE137" s="412" t="s">
        <v>300</v>
      </c>
      <c r="AF137" s="266" t="s">
        <v>551</v>
      </c>
      <c r="AK137" s="373"/>
      <c r="AL137" s="373"/>
    </row>
    <row r="138" spans="1:46" s="359" customFormat="1" ht="13.8" x14ac:dyDescent="0.3">
      <c r="A138" s="373"/>
      <c r="B138" s="141" t="s">
        <v>567</v>
      </c>
      <c r="C138" s="373" t="s">
        <v>546</v>
      </c>
      <c r="D138" s="62" t="s">
        <v>137</v>
      </c>
      <c r="E138" s="667" t="s">
        <v>173</v>
      </c>
      <c r="F138" s="664">
        <v>135</v>
      </c>
      <c r="G138" s="667" t="s">
        <v>173</v>
      </c>
      <c r="H138" s="665" t="s">
        <v>547</v>
      </c>
      <c r="I138" s="667" t="s">
        <v>173</v>
      </c>
      <c r="J138" s="665" t="s">
        <v>548</v>
      </c>
      <c r="K138" s="667" t="s">
        <v>173</v>
      </c>
      <c r="L138" s="665" t="s">
        <v>549</v>
      </c>
      <c r="M138" s="412" t="s">
        <v>300</v>
      </c>
      <c r="N138" s="457">
        <v>10</v>
      </c>
      <c r="O138" s="667" t="s">
        <v>173</v>
      </c>
      <c r="P138" s="680">
        <f t="shared" si="2"/>
        <v>0.7</v>
      </c>
      <c r="Q138" s="412" t="s">
        <v>300</v>
      </c>
      <c r="R138" s="202">
        <v>0</v>
      </c>
      <c r="S138" s="412" t="s">
        <v>300</v>
      </c>
      <c r="T138" s="202">
        <v>0.15</v>
      </c>
      <c r="U138" s="412" t="s">
        <v>300</v>
      </c>
      <c r="V138" s="595">
        <f t="shared" si="4"/>
        <v>20</v>
      </c>
      <c r="W138" s="324" t="s">
        <v>173</v>
      </c>
      <c r="X138" s="262" t="s">
        <v>173</v>
      </c>
      <c r="Y138" s="324" t="s">
        <v>173</v>
      </c>
      <c r="Z138" s="262" t="s">
        <v>173</v>
      </c>
      <c r="AA138" s="324" t="s">
        <v>173</v>
      </c>
      <c r="AB138" s="262" t="s">
        <v>173</v>
      </c>
      <c r="AC138" s="412" t="s">
        <v>300</v>
      </c>
      <c r="AD138" s="373" t="s">
        <v>550</v>
      </c>
      <c r="AE138" s="412" t="s">
        <v>300</v>
      </c>
      <c r="AF138" s="266" t="s">
        <v>551</v>
      </c>
      <c r="AK138" s="373"/>
      <c r="AL138" s="373"/>
    </row>
    <row r="139" spans="1:46" s="359" customFormat="1" x14ac:dyDescent="0.3">
      <c r="A139" s="373"/>
      <c r="B139" s="141" t="s">
        <v>568</v>
      </c>
      <c r="C139" s="373" t="s">
        <v>546</v>
      </c>
      <c r="D139" s="62" t="s">
        <v>137</v>
      </c>
      <c r="E139" s="667" t="s">
        <v>173</v>
      </c>
      <c r="F139" s="664">
        <v>135</v>
      </c>
      <c r="G139" s="667" t="s">
        <v>173</v>
      </c>
      <c r="H139" s="665" t="s">
        <v>547</v>
      </c>
      <c r="I139" s="667" t="s">
        <v>173</v>
      </c>
      <c r="J139" s="665" t="s">
        <v>548</v>
      </c>
      <c r="K139" s="667" t="s">
        <v>173</v>
      </c>
      <c r="L139" s="665" t="s">
        <v>549</v>
      </c>
      <c r="M139" s="412" t="s">
        <v>300</v>
      </c>
      <c r="N139" s="457">
        <v>10</v>
      </c>
      <c r="O139" s="667" t="s">
        <v>173</v>
      </c>
      <c r="P139" s="680">
        <f t="shared" si="2"/>
        <v>0.7</v>
      </c>
      <c r="Q139" s="412" t="s">
        <v>300</v>
      </c>
      <c r="R139" s="202">
        <v>0</v>
      </c>
      <c r="S139" s="412" t="s">
        <v>300</v>
      </c>
      <c r="T139" s="202">
        <v>0.15</v>
      </c>
      <c r="U139" s="412" t="s">
        <v>300</v>
      </c>
      <c r="V139" s="595">
        <f t="shared" si="4"/>
        <v>20</v>
      </c>
      <c r="W139" s="324" t="s">
        <v>173</v>
      </c>
      <c r="X139" s="262" t="s">
        <v>173</v>
      </c>
      <c r="Y139" s="324" t="s">
        <v>173</v>
      </c>
      <c r="Z139" s="262" t="s">
        <v>173</v>
      </c>
      <c r="AA139" s="324" t="s">
        <v>173</v>
      </c>
      <c r="AB139" s="262" t="s">
        <v>173</v>
      </c>
      <c r="AC139" s="412" t="s">
        <v>300</v>
      </c>
      <c r="AD139" s="373" t="s">
        <v>550</v>
      </c>
      <c r="AE139" s="412" t="s">
        <v>300</v>
      </c>
      <c r="AF139" s="266" t="s">
        <v>551</v>
      </c>
      <c r="AK139" s="93"/>
      <c r="AL139" s="93"/>
      <c r="AM139" s="93"/>
      <c r="AN139" s="101"/>
      <c r="AO139" s="101"/>
    </row>
    <row r="140" spans="1:46" s="359" customFormat="1" x14ac:dyDescent="0.3">
      <c r="A140" s="373"/>
      <c r="B140" s="141" t="s">
        <v>569</v>
      </c>
      <c r="C140" s="373" t="s">
        <v>546</v>
      </c>
      <c r="D140" s="62" t="s">
        <v>137</v>
      </c>
      <c r="E140" s="667" t="s">
        <v>173</v>
      </c>
      <c r="F140" s="664">
        <v>135</v>
      </c>
      <c r="G140" s="667" t="s">
        <v>173</v>
      </c>
      <c r="H140" s="665" t="s">
        <v>547</v>
      </c>
      <c r="I140" s="667" t="s">
        <v>173</v>
      </c>
      <c r="J140" s="665" t="s">
        <v>548</v>
      </c>
      <c r="K140" s="667" t="s">
        <v>173</v>
      </c>
      <c r="L140" s="665" t="s">
        <v>549</v>
      </c>
      <c r="M140" s="412" t="s">
        <v>300</v>
      </c>
      <c r="N140" s="457">
        <v>10</v>
      </c>
      <c r="O140" s="667" t="s">
        <v>173</v>
      </c>
      <c r="P140" s="680">
        <f t="shared" si="2"/>
        <v>0.7</v>
      </c>
      <c r="Q140" s="412" t="s">
        <v>300</v>
      </c>
      <c r="R140" s="202">
        <v>0</v>
      </c>
      <c r="S140" s="412" t="s">
        <v>300</v>
      </c>
      <c r="T140" s="202">
        <v>0.15</v>
      </c>
      <c r="U140" s="412" t="s">
        <v>300</v>
      </c>
      <c r="V140" s="595">
        <f t="shared" si="4"/>
        <v>20</v>
      </c>
      <c r="W140" s="324" t="s">
        <v>173</v>
      </c>
      <c r="X140" s="262" t="s">
        <v>173</v>
      </c>
      <c r="Y140" s="324" t="s">
        <v>173</v>
      </c>
      <c r="Z140" s="262" t="s">
        <v>173</v>
      </c>
      <c r="AA140" s="324" t="s">
        <v>173</v>
      </c>
      <c r="AB140" s="262" t="s">
        <v>173</v>
      </c>
      <c r="AC140" s="412" t="s">
        <v>300</v>
      </c>
      <c r="AD140" s="373" t="s">
        <v>550</v>
      </c>
      <c r="AE140" s="412" t="s">
        <v>300</v>
      </c>
      <c r="AF140" s="266" t="s">
        <v>551</v>
      </c>
      <c r="AK140" s="93"/>
      <c r="AL140" s="93"/>
      <c r="AM140" s="93"/>
      <c r="AN140" s="101"/>
      <c r="AO140" s="101"/>
    </row>
    <row r="141" spans="1:46" s="359" customFormat="1" x14ac:dyDescent="0.3">
      <c r="A141" s="373"/>
      <c r="B141" s="141" t="s">
        <v>570</v>
      </c>
      <c r="C141" s="373" t="s">
        <v>546</v>
      </c>
      <c r="D141" s="62" t="s">
        <v>137</v>
      </c>
      <c r="E141" s="667" t="s">
        <v>173</v>
      </c>
      <c r="F141" s="664">
        <v>135</v>
      </c>
      <c r="G141" s="667" t="s">
        <v>173</v>
      </c>
      <c r="H141" s="665" t="s">
        <v>547</v>
      </c>
      <c r="I141" s="667" t="s">
        <v>173</v>
      </c>
      <c r="J141" s="665" t="s">
        <v>548</v>
      </c>
      <c r="K141" s="667" t="s">
        <v>173</v>
      </c>
      <c r="L141" s="665" t="s">
        <v>549</v>
      </c>
      <c r="M141" s="412" t="s">
        <v>300</v>
      </c>
      <c r="N141" s="457">
        <v>10</v>
      </c>
      <c r="O141" s="667" t="s">
        <v>173</v>
      </c>
      <c r="P141" s="680">
        <f t="shared" si="2"/>
        <v>0.7</v>
      </c>
      <c r="Q141" s="412" t="s">
        <v>300</v>
      </c>
      <c r="R141" s="202">
        <v>0</v>
      </c>
      <c r="S141" s="412" t="s">
        <v>300</v>
      </c>
      <c r="T141" s="202">
        <v>0.15</v>
      </c>
      <c r="U141" s="412" t="s">
        <v>300</v>
      </c>
      <c r="V141" s="595">
        <f t="shared" si="4"/>
        <v>20</v>
      </c>
      <c r="W141" s="324" t="s">
        <v>173</v>
      </c>
      <c r="X141" s="262" t="s">
        <v>173</v>
      </c>
      <c r="Y141" s="324" t="s">
        <v>173</v>
      </c>
      <c r="Z141" s="262" t="s">
        <v>173</v>
      </c>
      <c r="AA141" s="324" t="s">
        <v>173</v>
      </c>
      <c r="AB141" s="262" t="s">
        <v>173</v>
      </c>
      <c r="AC141" s="412" t="s">
        <v>300</v>
      </c>
      <c r="AD141" s="373" t="s">
        <v>550</v>
      </c>
      <c r="AE141" s="412" t="s">
        <v>300</v>
      </c>
      <c r="AF141" s="266" t="s">
        <v>551</v>
      </c>
      <c r="AK141" s="672"/>
      <c r="AL141" s="93"/>
      <c r="AM141" s="93"/>
      <c r="AN141" s="101"/>
      <c r="AO141" s="101"/>
    </row>
    <row r="142" spans="1:46" s="359" customFormat="1" x14ac:dyDescent="0.3">
      <c r="A142" s="373"/>
      <c r="B142" s="141" t="s">
        <v>571</v>
      </c>
      <c r="C142" s="373" t="s">
        <v>546</v>
      </c>
      <c r="D142" s="62" t="s">
        <v>137</v>
      </c>
      <c r="E142" s="667" t="s">
        <v>173</v>
      </c>
      <c r="F142" s="664">
        <v>216.1</v>
      </c>
      <c r="G142" s="667" t="s">
        <v>173</v>
      </c>
      <c r="H142" s="665" t="s">
        <v>547</v>
      </c>
      <c r="I142" s="667" t="s">
        <v>173</v>
      </c>
      <c r="J142" s="665" t="s">
        <v>548</v>
      </c>
      <c r="K142" s="667" t="s">
        <v>173</v>
      </c>
      <c r="L142" s="665" t="s">
        <v>549</v>
      </c>
      <c r="M142" s="412" t="s">
        <v>300</v>
      </c>
      <c r="N142" s="457">
        <v>10</v>
      </c>
      <c r="O142" s="667" t="s">
        <v>173</v>
      </c>
      <c r="P142" s="680">
        <f t="shared" si="2"/>
        <v>1.1000000000000001</v>
      </c>
      <c r="Q142" s="412" t="s">
        <v>300</v>
      </c>
      <c r="R142" s="202">
        <v>0</v>
      </c>
      <c r="S142" s="412" t="s">
        <v>300</v>
      </c>
      <c r="T142" s="202">
        <v>0.15</v>
      </c>
      <c r="U142" s="412" t="s">
        <v>300</v>
      </c>
      <c r="V142" s="595">
        <f t="shared" si="4"/>
        <v>32</v>
      </c>
      <c r="W142" s="324" t="s">
        <v>173</v>
      </c>
      <c r="X142" s="262" t="s">
        <v>173</v>
      </c>
      <c r="Y142" s="324" t="s">
        <v>173</v>
      </c>
      <c r="Z142" s="262" t="s">
        <v>173</v>
      </c>
      <c r="AA142" s="324" t="s">
        <v>173</v>
      </c>
      <c r="AB142" s="262" t="s">
        <v>173</v>
      </c>
      <c r="AC142" s="412" t="s">
        <v>300</v>
      </c>
      <c r="AD142" s="373" t="s">
        <v>550</v>
      </c>
      <c r="AE142" s="412" t="s">
        <v>300</v>
      </c>
      <c r="AF142" s="266" t="s">
        <v>551</v>
      </c>
      <c r="AK142" s="93"/>
      <c r="AL142" s="93"/>
      <c r="AM142" s="93"/>
      <c r="AN142" s="101"/>
      <c r="AO142" s="101"/>
    </row>
    <row r="143" spans="1:46" s="359" customFormat="1" x14ac:dyDescent="0.3">
      <c r="A143" s="373"/>
      <c r="B143" s="141" t="s">
        <v>572</v>
      </c>
      <c r="C143" s="373" t="s">
        <v>546</v>
      </c>
      <c r="D143" s="62" t="s">
        <v>137</v>
      </c>
      <c r="E143" s="667" t="s">
        <v>173</v>
      </c>
      <c r="F143" s="664">
        <v>216.1</v>
      </c>
      <c r="G143" s="667" t="s">
        <v>173</v>
      </c>
      <c r="H143" s="665" t="s">
        <v>547</v>
      </c>
      <c r="I143" s="667" t="s">
        <v>173</v>
      </c>
      <c r="J143" s="665" t="s">
        <v>548</v>
      </c>
      <c r="K143" s="667" t="s">
        <v>173</v>
      </c>
      <c r="L143" s="665" t="s">
        <v>549</v>
      </c>
      <c r="M143" s="412" t="s">
        <v>300</v>
      </c>
      <c r="N143" s="457">
        <v>10</v>
      </c>
      <c r="O143" s="667" t="s">
        <v>173</v>
      </c>
      <c r="P143" s="680">
        <f t="shared" si="2"/>
        <v>1.1000000000000001</v>
      </c>
      <c r="Q143" s="412" t="s">
        <v>300</v>
      </c>
      <c r="R143" s="202">
        <v>0</v>
      </c>
      <c r="S143" s="412" t="s">
        <v>300</v>
      </c>
      <c r="T143" s="202">
        <v>0.15</v>
      </c>
      <c r="U143" s="412" t="s">
        <v>300</v>
      </c>
      <c r="V143" s="595">
        <f t="shared" si="4"/>
        <v>32</v>
      </c>
      <c r="W143" s="324" t="s">
        <v>173</v>
      </c>
      <c r="X143" s="262" t="s">
        <v>173</v>
      </c>
      <c r="Y143" s="324" t="s">
        <v>173</v>
      </c>
      <c r="Z143" s="262" t="s">
        <v>173</v>
      </c>
      <c r="AA143" s="324" t="s">
        <v>173</v>
      </c>
      <c r="AB143" s="262" t="s">
        <v>173</v>
      </c>
      <c r="AC143" s="412" t="s">
        <v>300</v>
      </c>
      <c r="AD143" s="373" t="s">
        <v>550</v>
      </c>
      <c r="AE143" s="412" t="s">
        <v>300</v>
      </c>
      <c r="AF143" s="266" t="s">
        <v>551</v>
      </c>
      <c r="AK143" s="93"/>
      <c r="AL143" s="93"/>
      <c r="AM143" s="93"/>
      <c r="AN143" s="101"/>
      <c r="AO143" s="101"/>
    </row>
    <row r="144" spans="1:46" s="359" customFormat="1" x14ac:dyDescent="0.3">
      <c r="A144" s="373"/>
      <c r="B144" s="141" t="s">
        <v>573</v>
      </c>
      <c r="C144" s="373" t="s">
        <v>546</v>
      </c>
      <c r="D144" s="62" t="s">
        <v>137</v>
      </c>
      <c r="E144" s="667" t="s">
        <v>173</v>
      </c>
      <c r="F144" s="664">
        <v>216.1</v>
      </c>
      <c r="G144" s="667" t="s">
        <v>173</v>
      </c>
      <c r="H144" s="665" t="s">
        <v>547</v>
      </c>
      <c r="I144" s="667" t="s">
        <v>173</v>
      </c>
      <c r="J144" s="665" t="s">
        <v>548</v>
      </c>
      <c r="K144" s="667" t="s">
        <v>173</v>
      </c>
      <c r="L144" s="665" t="s">
        <v>549</v>
      </c>
      <c r="M144" s="412" t="s">
        <v>300</v>
      </c>
      <c r="N144" s="457">
        <v>10</v>
      </c>
      <c r="O144" s="667" t="s">
        <v>173</v>
      </c>
      <c r="P144" s="680">
        <f t="shared" si="2"/>
        <v>1.1000000000000001</v>
      </c>
      <c r="Q144" s="412" t="s">
        <v>300</v>
      </c>
      <c r="R144" s="202">
        <v>0</v>
      </c>
      <c r="S144" s="412" t="s">
        <v>300</v>
      </c>
      <c r="T144" s="202">
        <v>0.15</v>
      </c>
      <c r="U144" s="412" t="s">
        <v>300</v>
      </c>
      <c r="V144" s="595">
        <f t="shared" si="4"/>
        <v>32</v>
      </c>
      <c r="W144" s="324" t="s">
        <v>173</v>
      </c>
      <c r="X144" s="262" t="s">
        <v>173</v>
      </c>
      <c r="Y144" s="324" t="s">
        <v>173</v>
      </c>
      <c r="Z144" s="262" t="s">
        <v>173</v>
      </c>
      <c r="AA144" s="324" t="s">
        <v>173</v>
      </c>
      <c r="AB144" s="262" t="s">
        <v>173</v>
      </c>
      <c r="AC144" s="412" t="s">
        <v>300</v>
      </c>
      <c r="AD144" s="373" t="s">
        <v>550</v>
      </c>
      <c r="AE144" s="412" t="s">
        <v>300</v>
      </c>
      <c r="AF144" s="266" t="s">
        <v>551</v>
      </c>
      <c r="AK144" s="93"/>
      <c r="AL144" s="93"/>
      <c r="AM144" s="93"/>
      <c r="AN144" s="101"/>
      <c r="AO144" s="101"/>
    </row>
    <row r="145" spans="1:48" s="359" customFormat="1" x14ac:dyDescent="0.3">
      <c r="A145" s="373"/>
      <c r="B145" s="141" t="s">
        <v>574</v>
      </c>
      <c r="C145" s="373" t="s">
        <v>546</v>
      </c>
      <c r="D145" s="62" t="s">
        <v>137</v>
      </c>
      <c r="E145" s="667" t="s">
        <v>173</v>
      </c>
      <c r="F145" s="664">
        <v>216.1</v>
      </c>
      <c r="G145" s="667" t="s">
        <v>173</v>
      </c>
      <c r="H145" s="665" t="s">
        <v>547</v>
      </c>
      <c r="I145" s="667" t="s">
        <v>173</v>
      </c>
      <c r="J145" s="665" t="s">
        <v>548</v>
      </c>
      <c r="K145" s="667" t="s">
        <v>173</v>
      </c>
      <c r="L145" s="665" t="s">
        <v>549</v>
      </c>
      <c r="M145" s="412" t="s">
        <v>300</v>
      </c>
      <c r="N145" s="457">
        <v>10</v>
      </c>
      <c r="O145" s="667" t="s">
        <v>173</v>
      </c>
      <c r="P145" s="680">
        <f t="shared" si="2"/>
        <v>1.1000000000000001</v>
      </c>
      <c r="Q145" s="412" t="s">
        <v>300</v>
      </c>
      <c r="R145" s="202">
        <v>0</v>
      </c>
      <c r="S145" s="412" t="s">
        <v>300</v>
      </c>
      <c r="T145" s="202">
        <v>0.15</v>
      </c>
      <c r="U145" s="412" t="s">
        <v>300</v>
      </c>
      <c r="V145" s="595">
        <f t="shared" si="4"/>
        <v>32</v>
      </c>
      <c r="W145" s="324" t="s">
        <v>173</v>
      </c>
      <c r="X145" s="262" t="s">
        <v>173</v>
      </c>
      <c r="Y145" s="324" t="s">
        <v>173</v>
      </c>
      <c r="Z145" s="262" t="s">
        <v>173</v>
      </c>
      <c r="AA145" s="324" t="s">
        <v>173</v>
      </c>
      <c r="AB145" s="262" t="s">
        <v>173</v>
      </c>
      <c r="AC145" s="412" t="s">
        <v>300</v>
      </c>
      <c r="AD145" s="373" t="s">
        <v>550</v>
      </c>
      <c r="AE145" s="412" t="s">
        <v>300</v>
      </c>
      <c r="AF145" s="266" t="s">
        <v>551</v>
      </c>
      <c r="AL145" s="93"/>
      <c r="AM145" s="93"/>
      <c r="AN145" s="101"/>
      <c r="AO145" s="101"/>
    </row>
    <row r="146" spans="1:48" s="359" customFormat="1" x14ac:dyDescent="0.3">
      <c r="A146" s="373"/>
      <c r="B146" s="141" t="s">
        <v>575</v>
      </c>
      <c r="C146" s="373" t="s">
        <v>546</v>
      </c>
      <c r="D146" s="62" t="s">
        <v>137</v>
      </c>
      <c r="E146" s="667" t="s">
        <v>173</v>
      </c>
      <c r="F146" s="664">
        <v>216.1</v>
      </c>
      <c r="G146" s="667" t="s">
        <v>173</v>
      </c>
      <c r="H146" s="665" t="s">
        <v>547</v>
      </c>
      <c r="I146" s="667" t="s">
        <v>173</v>
      </c>
      <c r="J146" s="665" t="s">
        <v>548</v>
      </c>
      <c r="K146" s="667" t="s">
        <v>173</v>
      </c>
      <c r="L146" s="665" t="s">
        <v>549</v>
      </c>
      <c r="M146" s="412" t="s">
        <v>300</v>
      </c>
      <c r="N146" s="457">
        <v>10</v>
      </c>
      <c r="O146" s="667" t="s">
        <v>173</v>
      </c>
      <c r="P146" s="680">
        <f t="shared" si="2"/>
        <v>1.1000000000000001</v>
      </c>
      <c r="Q146" s="412" t="s">
        <v>300</v>
      </c>
      <c r="R146" s="202">
        <v>0</v>
      </c>
      <c r="S146" s="412" t="s">
        <v>300</v>
      </c>
      <c r="T146" s="202">
        <v>0.15</v>
      </c>
      <c r="U146" s="412" t="s">
        <v>300</v>
      </c>
      <c r="V146" s="595">
        <f t="shared" si="4"/>
        <v>32</v>
      </c>
      <c r="W146" s="324" t="s">
        <v>173</v>
      </c>
      <c r="X146" s="262" t="s">
        <v>173</v>
      </c>
      <c r="Y146" s="324" t="s">
        <v>173</v>
      </c>
      <c r="Z146" s="262" t="s">
        <v>173</v>
      </c>
      <c r="AA146" s="324" t="s">
        <v>173</v>
      </c>
      <c r="AB146" s="262" t="s">
        <v>173</v>
      </c>
      <c r="AC146" s="412" t="s">
        <v>300</v>
      </c>
      <c r="AD146" s="373" t="s">
        <v>550</v>
      </c>
      <c r="AE146" s="412" t="s">
        <v>300</v>
      </c>
      <c r="AF146" s="266" t="s">
        <v>551</v>
      </c>
      <c r="AK146" s="93"/>
      <c r="AL146" s="93"/>
      <c r="AM146" s="89"/>
      <c r="AN146" s="673"/>
      <c r="AO146" s="101"/>
    </row>
    <row r="147" spans="1:48" s="359" customFormat="1" x14ac:dyDescent="0.3">
      <c r="A147" s="373"/>
      <c r="B147" s="141" t="s">
        <v>576</v>
      </c>
      <c r="C147" s="373" t="s">
        <v>546</v>
      </c>
      <c r="D147" s="62" t="s">
        <v>137</v>
      </c>
      <c r="E147" s="667" t="s">
        <v>173</v>
      </c>
      <c r="F147" s="664">
        <v>216.1</v>
      </c>
      <c r="G147" s="667" t="s">
        <v>173</v>
      </c>
      <c r="H147" s="665" t="s">
        <v>547</v>
      </c>
      <c r="I147" s="667" t="s">
        <v>173</v>
      </c>
      <c r="J147" s="665" t="s">
        <v>548</v>
      </c>
      <c r="K147" s="667" t="s">
        <v>173</v>
      </c>
      <c r="L147" s="665" t="s">
        <v>549</v>
      </c>
      <c r="M147" s="412" t="s">
        <v>300</v>
      </c>
      <c r="N147" s="457">
        <v>10</v>
      </c>
      <c r="O147" s="667" t="s">
        <v>173</v>
      </c>
      <c r="P147" s="680">
        <f t="shared" si="2"/>
        <v>1.1000000000000001</v>
      </c>
      <c r="Q147" s="412" t="s">
        <v>300</v>
      </c>
      <c r="R147" s="202">
        <v>0</v>
      </c>
      <c r="S147" s="412" t="s">
        <v>300</v>
      </c>
      <c r="T147" s="202">
        <v>0.15</v>
      </c>
      <c r="U147" s="412" t="s">
        <v>300</v>
      </c>
      <c r="V147" s="595">
        <f t="shared" si="4"/>
        <v>32</v>
      </c>
      <c r="W147" s="324" t="s">
        <v>173</v>
      </c>
      <c r="X147" s="262" t="s">
        <v>173</v>
      </c>
      <c r="Y147" s="324" t="s">
        <v>173</v>
      </c>
      <c r="Z147" s="262" t="s">
        <v>173</v>
      </c>
      <c r="AA147" s="324" t="s">
        <v>173</v>
      </c>
      <c r="AB147" s="262" t="s">
        <v>173</v>
      </c>
      <c r="AC147" s="412" t="s">
        <v>300</v>
      </c>
      <c r="AD147" s="373" t="s">
        <v>550</v>
      </c>
      <c r="AE147" s="412" t="s">
        <v>300</v>
      </c>
      <c r="AF147" s="266" t="s">
        <v>551</v>
      </c>
      <c r="AK147" s="93"/>
      <c r="AL147" s="93"/>
      <c r="AN147" s="101"/>
      <c r="AO147" s="101"/>
    </row>
    <row r="148" spans="1:48" s="359" customFormat="1" x14ac:dyDescent="0.3">
      <c r="A148" s="373"/>
      <c r="B148" s="141" t="s">
        <v>577</v>
      </c>
      <c r="C148" s="373" t="s">
        <v>546</v>
      </c>
      <c r="D148" s="62" t="s">
        <v>137</v>
      </c>
      <c r="E148" s="667" t="s">
        <v>173</v>
      </c>
      <c r="F148" s="664">
        <v>216.1</v>
      </c>
      <c r="G148" s="667" t="s">
        <v>173</v>
      </c>
      <c r="H148" s="665" t="s">
        <v>547</v>
      </c>
      <c r="I148" s="667" t="s">
        <v>173</v>
      </c>
      <c r="J148" s="665" t="s">
        <v>548</v>
      </c>
      <c r="K148" s="667" t="s">
        <v>173</v>
      </c>
      <c r="L148" s="665" t="s">
        <v>549</v>
      </c>
      <c r="M148" s="412" t="s">
        <v>300</v>
      </c>
      <c r="N148" s="457">
        <v>10</v>
      </c>
      <c r="O148" s="667" t="s">
        <v>173</v>
      </c>
      <c r="P148" s="680">
        <f t="shared" si="2"/>
        <v>1.1000000000000001</v>
      </c>
      <c r="Q148" s="412" t="s">
        <v>300</v>
      </c>
      <c r="R148" s="202">
        <v>0</v>
      </c>
      <c r="S148" s="412" t="s">
        <v>300</v>
      </c>
      <c r="T148" s="202">
        <v>0.15</v>
      </c>
      <c r="U148" s="412" t="s">
        <v>300</v>
      </c>
      <c r="V148" s="595">
        <f t="shared" si="4"/>
        <v>32</v>
      </c>
      <c r="W148" s="324" t="s">
        <v>173</v>
      </c>
      <c r="X148" s="262" t="s">
        <v>173</v>
      </c>
      <c r="Y148" s="324" t="s">
        <v>173</v>
      </c>
      <c r="Z148" s="262" t="s">
        <v>173</v>
      </c>
      <c r="AA148" s="324" t="s">
        <v>173</v>
      </c>
      <c r="AB148" s="262" t="s">
        <v>173</v>
      </c>
      <c r="AC148" s="412" t="s">
        <v>300</v>
      </c>
      <c r="AD148" s="373" t="s">
        <v>550</v>
      </c>
      <c r="AE148" s="412" t="s">
        <v>300</v>
      </c>
      <c r="AF148" s="266" t="s">
        <v>551</v>
      </c>
      <c r="AK148" s="93"/>
      <c r="AL148" s="93"/>
      <c r="AM148" s="93"/>
      <c r="AN148" s="101"/>
      <c r="AO148" s="101"/>
    </row>
    <row r="149" spans="1:48" s="359" customFormat="1" x14ac:dyDescent="0.3">
      <c r="A149" s="373"/>
      <c r="B149" s="141" t="s">
        <v>578</v>
      </c>
      <c r="C149" s="373" t="s">
        <v>546</v>
      </c>
      <c r="D149" s="62" t="s">
        <v>137</v>
      </c>
      <c r="E149" s="667" t="s">
        <v>173</v>
      </c>
      <c r="F149" s="664">
        <v>216.1</v>
      </c>
      <c r="G149" s="667" t="s">
        <v>173</v>
      </c>
      <c r="H149" s="665" t="s">
        <v>547</v>
      </c>
      <c r="I149" s="667" t="s">
        <v>173</v>
      </c>
      <c r="J149" s="665" t="s">
        <v>548</v>
      </c>
      <c r="K149" s="667" t="s">
        <v>173</v>
      </c>
      <c r="L149" s="665" t="s">
        <v>549</v>
      </c>
      <c r="M149" s="412" t="s">
        <v>300</v>
      </c>
      <c r="N149" s="457">
        <v>10</v>
      </c>
      <c r="O149" s="667" t="s">
        <v>173</v>
      </c>
      <c r="P149" s="680">
        <f t="shared" si="2"/>
        <v>1.1000000000000001</v>
      </c>
      <c r="Q149" s="412" t="s">
        <v>300</v>
      </c>
      <c r="R149" s="202">
        <v>0</v>
      </c>
      <c r="S149" s="412" t="s">
        <v>300</v>
      </c>
      <c r="T149" s="202">
        <v>0.15</v>
      </c>
      <c r="U149" s="412" t="s">
        <v>300</v>
      </c>
      <c r="V149" s="595">
        <f t="shared" si="4"/>
        <v>32</v>
      </c>
      <c r="W149" s="324" t="s">
        <v>173</v>
      </c>
      <c r="X149" s="262" t="s">
        <v>173</v>
      </c>
      <c r="Y149" s="324" t="s">
        <v>173</v>
      </c>
      <c r="Z149" s="262" t="s">
        <v>173</v>
      </c>
      <c r="AA149" s="324" t="s">
        <v>173</v>
      </c>
      <c r="AB149" s="262" t="s">
        <v>173</v>
      </c>
      <c r="AC149" s="412" t="s">
        <v>300</v>
      </c>
      <c r="AD149" s="373" t="s">
        <v>550</v>
      </c>
      <c r="AE149" s="412" t="s">
        <v>300</v>
      </c>
      <c r="AF149" s="266" t="s">
        <v>551</v>
      </c>
      <c r="AK149" s="93"/>
      <c r="AL149" s="93"/>
      <c r="AM149" s="93"/>
      <c r="AN149" s="101"/>
      <c r="AO149" s="101"/>
    </row>
    <row r="150" spans="1:48" s="359" customFormat="1" x14ac:dyDescent="0.3">
      <c r="A150" s="373"/>
      <c r="B150" s="309" t="s">
        <v>579</v>
      </c>
      <c r="C150" s="165" t="s">
        <v>546</v>
      </c>
      <c r="D150" s="452" t="s">
        <v>137</v>
      </c>
      <c r="E150" s="668" t="s">
        <v>173</v>
      </c>
      <c r="F150" s="669">
        <v>351</v>
      </c>
      <c r="G150" s="668" t="s">
        <v>173</v>
      </c>
      <c r="H150" s="670" t="s">
        <v>547</v>
      </c>
      <c r="I150" s="668" t="s">
        <v>173</v>
      </c>
      <c r="J150" s="670" t="s">
        <v>548</v>
      </c>
      <c r="K150" s="668" t="s">
        <v>173</v>
      </c>
      <c r="L150" s="670" t="s">
        <v>549</v>
      </c>
      <c r="M150" s="410" t="s">
        <v>300</v>
      </c>
      <c r="N150" s="429">
        <v>10</v>
      </c>
      <c r="O150" s="668" t="s">
        <v>173</v>
      </c>
      <c r="P150" s="682">
        <f>ROUND(F150/1000*N150*0.5,1)</f>
        <v>1.8</v>
      </c>
      <c r="Q150" s="410" t="s">
        <v>300</v>
      </c>
      <c r="R150" s="204">
        <v>0</v>
      </c>
      <c r="S150" s="410" t="s">
        <v>300</v>
      </c>
      <c r="T150" s="204">
        <v>0.15</v>
      </c>
      <c r="U150" s="410" t="s">
        <v>300</v>
      </c>
      <c r="V150" s="653">
        <f t="shared" si="4"/>
        <v>53</v>
      </c>
      <c r="W150" s="325" t="s">
        <v>173</v>
      </c>
      <c r="X150" s="265" t="s">
        <v>173</v>
      </c>
      <c r="Y150" s="325" t="s">
        <v>173</v>
      </c>
      <c r="Z150" s="265" t="s">
        <v>173</v>
      </c>
      <c r="AA150" s="325" t="s">
        <v>173</v>
      </c>
      <c r="AB150" s="265" t="s">
        <v>173</v>
      </c>
      <c r="AC150" s="410" t="s">
        <v>300</v>
      </c>
      <c r="AD150" s="165" t="s">
        <v>550</v>
      </c>
      <c r="AE150" s="410" t="s">
        <v>300</v>
      </c>
      <c r="AF150" s="250" t="s">
        <v>551</v>
      </c>
      <c r="AK150" s="93"/>
      <c r="AL150" s="93"/>
      <c r="AM150" s="93"/>
      <c r="AN150" s="101"/>
      <c r="AO150" s="101"/>
    </row>
    <row r="151" spans="1:48" s="93" customFormat="1" x14ac:dyDescent="0.3">
      <c r="A151" s="89"/>
      <c r="B151" s="92"/>
      <c r="C151" s="90"/>
      <c r="E151" s="357"/>
      <c r="F151" s="652"/>
      <c r="G151" s="25"/>
      <c r="H151" s="652"/>
      <c r="I151" s="96"/>
      <c r="K151" s="96"/>
      <c r="M151" s="96"/>
      <c r="O151" s="96"/>
      <c r="Q151" s="89"/>
      <c r="R151" s="89"/>
      <c r="S151" s="89"/>
      <c r="T151" s="89"/>
      <c r="U151" s="358"/>
      <c r="V151" s="358"/>
      <c r="W151" s="358"/>
      <c r="X151" s="358"/>
      <c r="AJ151" s="101"/>
      <c r="AK151" s="101"/>
    </row>
    <row r="152" spans="1:48" s="17" customFormat="1" x14ac:dyDescent="0.3">
      <c r="A152" s="397"/>
      <c r="B152" s="401"/>
      <c r="C152" s="74"/>
      <c r="E152" s="533"/>
      <c r="F152" s="587"/>
      <c r="G152" s="570"/>
      <c r="I152" s="570"/>
      <c r="K152" s="570"/>
      <c r="M152" s="570"/>
      <c r="O152" s="570"/>
      <c r="Q152" s="397"/>
      <c r="R152" s="397"/>
      <c r="S152" s="397"/>
      <c r="T152" s="397"/>
      <c r="U152" s="534"/>
      <c r="V152" s="534"/>
      <c r="W152" s="534"/>
      <c r="X152" s="534"/>
      <c r="AF152" s="545"/>
      <c r="AG152" s="93"/>
      <c r="AH152" s="93"/>
      <c r="AI152" s="93"/>
      <c r="AJ152" s="101"/>
      <c r="AK152" s="101"/>
    </row>
    <row r="153" spans="1:48" s="373" customFormat="1" ht="41.4" x14ac:dyDescent="0.3">
      <c r="A153" s="358"/>
      <c r="B153" s="115" t="s">
        <v>580</v>
      </c>
      <c r="C153" s="120" t="s">
        <v>523</v>
      </c>
      <c r="D153" s="120" t="s">
        <v>122</v>
      </c>
      <c r="E153" s="115"/>
      <c r="F153" s="488" t="s">
        <v>522</v>
      </c>
      <c r="G153" s="675"/>
      <c r="H153" s="123" t="s">
        <v>52</v>
      </c>
      <c r="I153" s="675"/>
      <c r="J153" s="319" t="s">
        <v>524</v>
      </c>
      <c r="K153" s="675"/>
      <c r="L153" s="488" t="s">
        <v>581</v>
      </c>
      <c r="M153" s="675"/>
      <c r="N153" s="319" t="s">
        <v>525</v>
      </c>
      <c r="O153" s="675"/>
      <c r="P153" s="488" t="s">
        <v>526</v>
      </c>
      <c r="Q153" s="675"/>
      <c r="R153" s="488" t="s">
        <v>527</v>
      </c>
      <c r="S153" s="274"/>
      <c r="T153" s="319" t="s">
        <v>528</v>
      </c>
      <c r="U153" s="488"/>
      <c r="V153" s="488" t="s">
        <v>529</v>
      </c>
      <c r="W153" s="194"/>
      <c r="X153" s="173" t="s">
        <v>531</v>
      </c>
      <c r="Y153" s="602"/>
      <c r="Z153" s="173" t="s">
        <v>532</v>
      </c>
      <c r="AA153" s="293"/>
      <c r="AB153" s="148" t="s">
        <v>533</v>
      </c>
      <c r="AC153" s="131"/>
      <c r="AD153" s="148" t="s">
        <v>534</v>
      </c>
      <c r="AE153" s="17"/>
      <c r="AF153" s="93"/>
      <c r="AG153" s="93"/>
      <c r="AH153" s="93"/>
      <c r="AJ153" s="358"/>
      <c r="AK153" s="359"/>
      <c r="AL153" s="358"/>
      <c r="AM153" s="578"/>
      <c r="AN153" s="579"/>
      <c r="AS153" s="358"/>
      <c r="AT153" s="358"/>
      <c r="AU153" s="358"/>
      <c r="AV153" s="358"/>
    </row>
    <row r="154" spans="1:48" s="89" customFormat="1" ht="28.2" thickBot="1" x14ac:dyDescent="0.35">
      <c r="B154" s="315" t="s">
        <v>587</v>
      </c>
      <c r="C154" s="176" t="s">
        <v>536</v>
      </c>
      <c r="D154" s="582"/>
      <c r="E154" s="635"/>
      <c r="F154" s="176" t="s">
        <v>589</v>
      </c>
      <c r="G154" s="178"/>
      <c r="H154" s="218" t="s">
        <v>588</v>
      </c>
      <c r="I154" s="178"/>
      <c r="J154" s="176"/>
      <c r="K154" s="178"/>
      <c r="L154" s="176" t="s">
        <v>590</v>
      </c>
      <c r="M154" s="178"/>
      <c r="N154" s="176" t="s">
        <v>537</v>
      </c>
      <c r="O154" s="178"/>
      <c r="P154" s="338" t="s">
        <v>538</v>
      </c>
      <c r="Q154" s="178"/>
      <c r="R154" s="338" t="s">
        <v>539</v>
      </c>
      <c r="S154" s="315"/>
      <c r="T154" s="124" t="s">
        <v>540</v>
      </c>
      <c r="U154" s="132"/>
      <c r="V154" s="124"/>
      <c r="W154" s="132"/>
      <c r="X154" s="124" t="s">
        <v>542</v>
      </c>
      <c r="Y154" s="603"/>
      <c r="Z154" s="124"/>
      <c r="AA154" s="580"/>
      <c r="AB154" s="339" t="s">
        <v>543</v>
      </c>
      <c r="AC154" s="580"/>
      <c r="AD154" s="339" t="s">
        <v>544</v>
      </c>
      <c r="AE154" s="17"/>
      <c r="AF154" s="93"/>
      <c r="AG154" s="93"/>
      <c r="AH154" s="93"/>
      <c r="AI154" s="101"/>
      <c r="AJ154" s="101"/>
      <c r="AM154" s="101"/>
      <c r="AN154" s="101"/>
      <c r="AO154" s="101"/>
      <c r="AP154" s="101"/>
      <c r="AQ154" s="101"/>
      <c r="AR154" s="101"/>
      <c r="AS154" s="101"/>
      <c r="AT154" s="101"/>
      <c r="AU154" s="101"/>
      <c r="AV154" s="101"/>
    </row>
    <row r="155" spans="1:48" s="89" customFormat="1" ht="28.2" thickTop="1" x14ac:dyDescent="0.3">
      <c r="B155" s="128" t="s">
        <v>595</v>
      </c>
      <c r="C155" s="373" t="s">
        <v>546</v>
      </c>
      <c r="D155" s="62" t="s">
        <v>137</v>
      </c>
      <c r="E155" s="228"/>
      <c r="F155" s="373" t="s">
        <v>597</v>
      </c>
      <c r="G155" s="769" t="s">
        <v>173</v>
      </c>
      <c r="H155" s="664" t="s">
        <v>596</v>
      </c>
      <c r="I155" s="769" t="s">
        <v>173</v>
      </c>
      <c r="J155" s="664">
        <v>351</v>
      </c>
      <c r="K155" s="769" t="s">
        <v>173</v>
      </c>
      <c r="L155" s="712">
        <v>1</v>
      </c>
      <c r="M155" s="769" t="s">
        <v>173</v>
      </c>
      <c r="N155" s="664" t="s">
        <v>547</v>
      </c>
      <c r="O155" s="769" t="s">
        <v>173</v>
      </c>
      <c r="P155" s="665" t="s">
        <v>548</v>
      </c>
      <c r="Q155" s="769" t="s">
        <v>173</v>
      </c>
      <c r="R155" s="665" t="s">
        <v>549</v>
      </c>
      <c r="S155" s="769" t="s">
        <v>173</v>
      </c>
      <c r="T155" s="666">
        <v>5</v>
      </c>
      <c r="U155" s="412" t="s">
        <v>300</v>
      </c>
      <c r="V155" s="662">
        <f t="shared" ref="V155:V179" si="5">ROUND(J155/1000*T155*0.5,2)</f>
        <v>0.88</v>
      </c>
      <c r="W155" s="412"/>
      <c r="X155" s="841">
        <f t="shared" ref="X155:X179" si="6">IF(AND(LEFT(B155,9)="GuestRoom",H155="Hotel/Motel Guest Room"),0.15,IF(AND(H155="High-Rise Residential Living Spaces",P155="Sum"),0.09))</f>
        <v>0.15</v>
      </c>
      <c r="Y155" s="412"/>
      <c r="Z155" s="908">
        <f>ROUND(X155*J155,2)</f>
        <v>52.65</v>
      </c>
      <c r="AA155" s="412" t="s">
        <v>300</v>
      </c>
      <c r="AB155" s="362" t="s">
        <v>598</v>
      </c>
      <c r="AC155" s="412" t="s">
        <v>300</v>
      </c>
      <c r="AD155" s="362" t="s">
        <v>599</v>
      </c>
      <c r="AE155" s="17"/>
      <c r="AG155" s="93"/>
      <c r="AH155" s="93"/>
      <c r="AI155" s="101"/>
      <c r="AJ155" s="101"/>
      <c r="AM155" s="101"/>
      <c r="AN155" s="101"/>
      <c r="AO155" s="101"/>
      <c r="AP155" s="101"/>
      <c r="AQ155" s="101"/>
      <c r="AR155" s="101"/>
      <c r="AS155" s="101"/>
      <c r="AT155" s="101"/>
      <c r="AU155" s="101"/>
      <c r="AV155" s="101"/>
    </row>
    <row r="156" spans="1:48" s="89" customFormat="1" ht="27.6" x14ac:dyDescent="0.3">
      <c r="B156" s="128" t="s">
        <v>600</v>
      </c>
      <c r="C156" s="373" t="s">
        <v>546</v>
      </c>
      <c r="D156" s="62" t="s">
        <v>137</v>
      </c>
      <c r="E156" s="228"/>
      <c r="F156" s="373" t="s">
        <v>601</v>
      </c>
      <c r="G156" s="667" t="s">
        <v>173</v>
      </c>
      <c r="H156" s="664" t="s">
        <v>596</v>
      </c>
      <c r="I156" s="667" t="s">
        <v>173</v>
      </c>
      <c r="J156" s="664">
        <v>351</v>
      </c>
      <c r="K156" s="667" t="s">
        <v>173</v>
      </c>
      <c r="L156" s="712">
        <v>1</v>
      </c>
      <c r="M156" s="667" t="s">
        <v>173</v>
      </c>
      <c r="N156" s="664" t="s">
        <v>547</v>
      </c>
      <c r="O156" s="667" t="s">
        <v>173</v>
      </c>
      <c r="P156" s="665" t="s">
        <v>548</v>
      </c>
      <c r="Q156" s="667" t="s">
        <v>173</v>
      </c>
      <c r="R156" s="665" t="s">
        <v>549</v>
      </c>
      <c r="S156" s="667" t="s">
        <v>173</v>
      </c>
      <c r="T156" s="666">
        <v>5</v>
      </c>
      <c r="U156" s="412" t="s">
        <v>300</v>
      </c>
      <c r="V156" s="662">
        <f t="shared" si="5"/>
        <v>0.88</v>
      </c>
      <c r="W156" s="412"/>
      <c r="X156" s="841">
        <f t="shared" si="6"/>
        <v>0.15</v>
      </c>
      <c r="Y156" s="412"/>
      <c r="Z156" s="908">
        <f t="shared" ref="Z156:Z189" si="7">ROUND(X156*J156,2)</f>
        <v>52.65</v>
      </c>
      <c r="AA156" s="412" t="s">
        <v>300</v>
      </c>
      <c r="AB156" s="362" t="s">
        <v>598</v>
      </c>
      <c r="AC156" s="412" t="s">
        <v>300</v>
      </c>
      <c r="AD156" s="362" t="s">
        <v>599</v>
      </c>
      <c r="AE156" s="17"/>
      <c r="AM156" s="101"/>
      <c r="AN156" s="101"/>
      <c r="AO156" s="101"/>
      <c r="AP156" s="101"/>
      <c r="AQ156" s="101"/>
      <c r="AR156" s="101"/>
      <c r="AS156" s="101"/>
      <c r="AT156" s="101"/>
      <c r="AU156" s="101"/>
      <c r="AV156" s="101"/>
    </row>
    <row r="157" spans="1:48" s="89" customFormat="1" ht="27.6" x14ac:dyDescent="0.3">
      <c r="B157" s="128" t="s">
        <v>602</v>
      </c>
      <c r="C157" s="373" t="s">
        <v>546</v>
      </c>
      <c r="D157" s="62" t="s">
        <v>137</v>
      </c>
      <c r="E157" s="228"/>
      <c r="F157" s="373" t="s">
        <v>603</v>
      </c>
      <c r="G157" s="667" t="s">
        <v>173</v>
      </c>
      <c r="H157" s="664" t="s">
        <v>596</v>
      </c>
      <c r="I157" s="667" t="s">
        <v>173</v>
      </c>
      <c r="J157" s="664">
        <v>351</v>
      </c>
      <c r="K157" s="667" t="s">
        <v>173</v>
      </c>
      <c r="L157" s="712">
        <v>1</v>
      </c>
      <c r="M157" s="667" t="s">
        <v>173</v>
      </c>
      <c r="N157" s="664" t="s">
        <v>547</v>
      </c>
      <c r="O157" s="667" t="s">
        <v>173</v>
      </c>
      <c r="P157" s="665" t="s">
        <v>548</v>
      </c>
      <c r="Q157" s="667" t="s">
        <v>173</v>
      </c>
      <c r="R157" s="665" t="s">
        <v>549</v>
      </c>
      <c r="S157" s="667" t="s">
        <v>173</v>
      </c>
      <c r="T157" s="666">
        <v>5</v>
      </c>
      <c r="U157" s="412" t="s">
        <v>300</v>
      </c>
      <c r="V157" s="662">
        <f t="shared" si="5"/>
        <v>0.88</v>
      </c>
      <c r="W157" s="412"/>
      <c r="X157" s="841">
        <f t="shared" si="6"/>
        <v>0.15</v>
      </c>
      <c r="Y157" s="412"/>
      <c r="Z157" s="908">
        <f t="shared" si="7"/>
        <v>52.65</v>
      </c>
      <c r="AA157" s="412" t="s">
        <v>300</v>
      </c>
      <c r="AB157" s="362" t="s">
        <v>598</v>
      </c>
      <c r="AC157" s="412" t="s">
        <v>300</v>
      </c>
      <c r="AD157" s="362" t="s">
        <v>599</v>
      </c>
      <c r="AE157" s="17"/>
      <c r="AF157" s="93"/>
      <c r="AM157" s="101"/>
      <c r="AN157" s="101"/>
      <c r="AO157" s="101"/>
      <c r="AP157" s="101"/>
      <c r="AQ157" s="101"/>
      <c r="AR157" s="101"/>
      <c r="AS157" s="101"/>
      <c r="AT157" s="101"/>
      <c r="AU157" s="101"/>
      <c r="AV157" s="101"/>
    </row>
    <row r="158" spans="1:48" s="89" customFormat="1" ht="27.6" x14ac:dyDescent="0.3">
      <c r="B158" s="128" t="s">
        <v>604</v>
      </c>
      <c r="C158" s="373" t="s">
        <v>546</v>
      </c>
      <c r="D158" s="62" t="s">
        <v>137</v>
      </c>
      <c r="E158" s="228"/>
      <c r="F158" s="373" t="s">
        <v>605</v>
      </c>
      <c r="G158" s="667" t="s">
        <v>173</v>
      </c>
      <c r="H158" s="664" t="s">
        <v>596</v>
      </c>
      <c r="I158" s="667" t="s">
        <v>173</v>
      </c>
      <c r="J158" s="664">
        <v>351</v>
      </c>
      <c r="K158" s="667" t="s">
        <v>173</v>
      </c>
      <c r="L158" s="712">
        <v>1</v>
      </c>
      <c r="M158" s="667" t="s">
        <v>173</v>
      </c>
      <c r="N158" s="664" t="s">
        <v>547</v>
      </c>
      <c r="O158" s="667" t="s">
        <v>173</v>
      </c>
      <c r="P158" s="665" t="s">
        <v>548</v>
      </c>
      <c r="Q158" s="667" t="s">
        <v>173</v>
      </c>
      <c r="R158" s="665" t="s">
        <v>549</v>
      </c>
      <c r="S158" s="667" t="s">
        <v>173</v>
      </c>
      <c r="T158" s="666">
        <v>5</v>
      </c>
      <c r="U158" s="412" t="s">
        <v>300</v>
      </c>
      <c r="V158" s="662">
        <f t="shared" si="5"/>
        <v>0.88</v>
      </c>
      <c r="W158" s="412"/>
      <c r="X158" s="841">
        <f t="shared" si="6"/>
        <v>0.15</v>
      </c>
      <c r="Y158" s="412"/>
      <c r="Z158" s="908">
        <f t="shared" si="7"/>
        <v>52.65</v>
      </c>
      <c r="AA158" s="412" t="s">
        <v>300</v>
      </c>
      <c r="AB158" s="362" t="s">
        <v>598</v>
      </c>
      <c r="AC158" s="412" t="s">
        <v>300</v>
      </c>
      <c r="AD158" s="362" t="s">
        <v>599</v>
      </c>
      <c r="AE158" s="17"/>
      <c r="AM158" s="101"/>
      <c r="AN158" s="101"/>
      <c r="AO158" s="101"/>
      <c r="AP158" s="101"/>
      <c r="AQ158" s="101"/>
      <c r="AR158" s="101"/>
      <c r="AS158" s="101"/>
      <c r="AT158" s="101"/>
      <c r="AU158" s="101"/>
      <c r="AV158" s="101"/>
    </row>
    <row r="159" spans="1:48" s="89" customFormat="1" ht="27.6" x14ac:dyDescent="0.3">
      <c r="B159" s="128" t="s">
        <v>606</v>
      </c>
      <c r="C159" s="373" t="s">
        <v>546</v>
      </c>
      <c r="D159" s="62" t="s">
        <v>137</v>
      </c>
      <c r="E159" s="228"/>
      <c r="F159" s="373" t="s">
        <v>607</v>
      </c>
      <c r="G159" s="667" t="s">
        <v>173</v>
      </c>
      <c r="H159" s="664" t="s">
        <v>596</v>
      </c>
      <c r="I159" s="667" t="s">
        <v>173</v>
      </c>
      <c r="J159" s="664">
        <v>351</v>
      </c>
      <c r="K159" s="667" t="s">
        <v>173</v>
      </c>
      <c r="L159" s="712">
        <v>1</v>
      </c>
      <c r="M159" s="667" t="s">
        <v>173</v>
      </c>
      <c r="N159" s="664" t="s">
        <v>547</v>
      </c>
      <c r="O159" s="667" t="s">
        <v>173</v>
      </c>
      <c r="P159" s="665" t="s">
        <v>548</v>
      </c>
      <c r="Q159" s="667" t="s">
        <v>173</v>
      </c>
      <c r="R159" s="665" t="s">
        <v>549</v>
      </c>
      <c r="S159" s="667" t="s">
        <v>173</v>
      </c>
      <c r="T159" s="666">
        <v>5</v>
      </c>
      <c r="U159" s="412" t="s">
        <v>300</v>
      </c>
      <c r="V159" s="662">
        <f t="shared" si="5"/>
        <v>0.88</v>
      </c>
      <c r="W159" s="412"/>
      <c r="X159" s="841">
        <f t="shared" si="6"/>
        <v>0.15</v>
      </c>
      <c r="Y159" s="412"/>
      <c r="Z159" s="908">
        <f t="shared" si="7"/>
        <v>52.65</v>
      </c>
      <c r="AA159" s="412" t="s">
        <v>300</v>
      </c>
      <c r="AB159" s="362" t="s">
        <v>598</v>
      </c>
      <c r="AC159" s="412" t="s">
        <v>300</v>
      </c>
      <c r="AD159" s="362" t="s">
        <v>599</v>
      </c>
      <c r="AE159" s="17"/>
      <c r="AM159" s="101"/>
      <c r="AN159" s="101"/>
      <c r="AO159" s="101"/>
      <c r="AP159" s="101"/>
      <c r="AQ159" s="101"/>
      <c r="AR159" s="101"/>
      <c r="AS159" s="101"/>
      <c r="AT159" s="101"/>
      <c r="AU159" s="101"/>
      <c r="AV159" s="101"/>
    </row>
    <row r="160" spans="1:48" s="89" customFormat="1" ht="27.6" x14ac:dyDescent="0.3">
      <c r="B160" s="128" t="s">
        <v>608</v>
      </c>
      <c r="C160" s="373" t="s">
        <v>546</v>
      </c>
      <c r="D160" s="62" t="s">
        <v>137</v>
      </c>
      <c r="E160" s="228"/>
      <c r="F160" s="373" t="s">
        <v>609</v>
      </c>
      <c r="G160" s="667" t="s">
        <v>173</v>
      </c>
      <c r="H160" s="664" t="s">
        <v>596</v>
      </c>
      <c r="I160" s="667" t="s">
        <v>173</v>
      </c>
      <c r="J160" s="664">
        <v>351</v>
      </c>
      <c r="K160" s="667" t="s">
        <v>173</v>
      </c>
      <c r="L160" s="712">
        <v>1</v>
      </c>
      <c r="M160" s="667" t="s">
        <v>173</v>
      </c>
      <c r="N160" s="664" t="s">
        <v>547</v>
      </c>
      <c r="O160" s="667" t="s">
        <v>173</v>
      </c>
      <c r="P160" s="665" t="s">
        <v>548</v>
      </c>
      <c r="Q160" s="667" t="s">
        <v>173</v>
      </c>
      <c r="R160" s="665" t="s">
        <v>549</v>
      </c>
      <c r="S160" s="667" t="s">
        <v>173</v>
      </c>
      <c r="T160" s="666">
        <v>5</v>
      </c>
      <c r="U160" s="412" t="s">
        <v>300</v>
      </c>
      <c r="V160" s="662">
        <f t="shared" si="5"/>
        <v>0.88</v>
      </c>
      <c r="W160" s="412"/>
      <c r="X160" s="841">
        <f t="shared" si="6"/>
        <v>0.15</v>
      </c>
      <c r="Y160" s="412"/>
      <c r="Z160" s="908">
        <f t="shared" si="7"/>
        <v>52.65</v>
      </c>
      <c r="AA160" s="412" t="s">
        <v>300</v>
      </c>
      <c r="AB160" s="362" t="s">
        <v>598</v>
      </c>
      <c r="AC160" s="412" t="s">
        <v>300</v>
      </c>
      <c r="AD160" s="362" t="s">
        <v>599</v>
      </c>
      <c r="AE160" s="17"/>
      <c r="AM160" s="101"/>
      <c r="AN160" s="101"/>
      <c r="AO160" s="101"/>
      <c r="AP160" s="101"/>
      <c r="AQ160" s="101"/>
      <c r="AR160" s="101"/>
      <c r="AS160" s="101"/>
      <c r="AT160" s="101"/>
      <c r="AU160" s="101"/>
      <c r="AV160" s="101"/>
    </row>
    <row r="161" spans="1:48" s="89" customFormat="1" ht="27.6" x14ac:dyDescent="0.3">
      <c r="B161" s="128" t="s">
        <v>610</v>
      </c>
      <c r="C161" s="373" t="s">
        <v>546</v>
      </c>
      <c r="D161" s="62" t="s">
        <v>137</v>
      </c>
      <c r="E161" s="228"/>
      <c r="F161" s="373" t="s">
        <v>362</v>
      </c>
      <c r="G161" s="667" t="s">
        <v>173</v>
      </c>
      <c r="H161" s="664" t="s">
        <v>596</v>
      </c>
      <c r="I161" s="667" t="s">
        <v>173</v>
      </c>
      <c r="J161" s="664">
        <v>1404.1</v>
      </c>
      <c r="K161" s="667" t="s">
        <v>173</v>
      </c>
      <c r="L161" s="712">
        <v>4</v>
      </c>
      <c r="M161" s="667" t="s">
        <v>173</v>
      </c>
      <c r="N161" s="664" t="s">
        <v>547</v>
      </c>
      <c r="O161" s="667" t="s">
        <v>173</v>
      </c>
      <c r="P161" s="665" t="s">
        <v>548</v>
      </c>
      <c r="Q161" s="667" t="s">
        <v>173</v>
      </c>
      <c r="R161" s="665" t="s">
        <v>549</v>
      </c>
      <c r="S161" s="667" t="s">
        <v>173</v>
      </c>
      <c r="T161" s="666">
        <v>5</v>
      </c>
      <c r="U161" s="412" t="s">
        <v>300</v>
      </c>
      <c r="V161" s="662">
        <f t="shared" si="5"/>
        <v>3.51</v>
      </c>
      <c r="W161" s="412"/>
      <c r="X161" s="841">
        <f t="shared" si="6"/>
        <v>0.15</v>
      </c>
      <c r="Y161" s="412"/>
      <c r="Z161" s="908">
        <f t="shared" si="7"/>
        <v>210.62</v>
      </c>
      <c r="AA161" s="412" t="s">
        <v>300</v>
      </c>
      <c r="AB161" s="362" t="s">
        <v>598</v>
      </c>
      <c r="AC161" s="412" t="s">
        <v>300</v>
      </c>
      <c r="AD161" s="362" t="s">
        <v>599</v>
      </c>
      <c r="AE161" s="17"/>
      <c r="AM161" s="101"/>
      <c r="AN161" s="101"/>
      <c r="AO161" s="101"/>
      <c r="AP161" s="101"/>
      <c r="AQ161" s="101"/>
      <c r="AR161" s="101"/>
      <c r="AS161" s="101"/>
      <c r="AT161" s="101"/>
      <c r="AU161" s="101"/>
      <c r="AV161" s="101"/>
    </row>
    <row r="162" spans="1:48" s="89" customFormat="1" ht="27.6" x14ac:dyDescent="0.3">
      <c r="B162" s="128" t="s">
        <v>611</v>
      </c>
      <c r="C162" s="373" t="s">
        <v>546</v>
      </c>
      <c r="D162" s="62" t="s">
        <v>137</v>
      </c>
      <c r="E162" s="228"/>
      <c r="F162" s="373" t="s">
        <v>612</v>
      </c>
      <c r="G162" s="667" t="s">
        <v>173</v>
      </c>
      <c r="H162" s="664" t="s">
        <v>596</v>
      </c>
      <c r="I162" s="667" t="s">
        <v>173</v>
      </c>
      <c r="J162" s="664">
        <v>1134.0999999999999</v>
      </c>
      <c r="K162" s="667" t="s">
        <v>173</v>
      </c>
      <c r="L162" s="712">
        <v>3</v>
      </c>
      <c r="M162" s="667" t="s">
        <v>173</v>
      </c>
      <c r="N162" s="664" t="s">
        <v>547</v>
      </c>
      <c r="O162" s="667" t="s">
        <v>173</v>
      </c>
      <c r="P162" s="665" t="s">
        <v>548</v>
      </c>
      <c r="Q162" s="667" t="s">
        <v>173</v>
      </c>
      <c r="R162" s="665" t="s">
        <v>549</v>
      </c>
      <c r="S162" s="667" t="s">
        <v>173</v>
      </c>
      <c r="T162" s="666">
        <v>5</v>
      </c>
      <c r="U162" s="412" t="s">
        <v>300</v>
      </c>
      <c r="V162" s="662">
        <f t="shared" si="5"/>
        <v>2.84</v>
      </c>
      <c r="W162" s="412"/>
      <c r="X162" s="841">
        <f t="shared" si="6"/>
        <v>0.15</v>
      </c>
      <c r="Y162" s="412"/>
      <c r="Z162" s="908">
        <f t="shared" si="7"/>
        <v>170.12</v>
      </c>
      <c r="AA162" s="412" t="s">
        <v>300</v>
      </c>
      <c r="AB162" s="362" t="s">
        <v>598</v>
      </c>
      <c r="AC162" s="412" t="s">
        <v>300</v>
      </c>
      <c r="AD162" s="362" t="s">
        <v>599</v>
      </c>
      <c r="AE162" s="17"/>
      <c r="AM162" s="101"/>
      <c r="AN162" s="101"/>
      <c r="AO162" s="101"/>
      <c r="AP162" s="101"/>
      <c r="AQ162" s="101"/>
      <c r="AR162" s="101"/>
      <c r="AS162" s="101"/>
      <c r="AT162" s="101"/>
      <c r="AU162" s="101"/>
      <c r="AV162" s="101"/>
    </row>
    <row r="163" spans="1:48" s="89" customFormat="1" ht="27.6" x14ac:dyDescent="0.3">
      <c r="B163" s="128" t="s">
        <v>613</v>
      </c>
      <c r="C163" s="373" t="s">
        <v>546</v>
      </c>
      <c r="D163" s="62" t="s">
        <v>137</v>
      </c>
      <c r="E163" s="228"/>
      <c r="F163" s="373" t="s">
        <v>614</v>
      </c>
      <c r="G163" s="667" t="s">
        <v>173</v>
      </c>
      <c r="H163" s="664" t="s">
        <v>596</v>
      </c>
      <c r="I163" s="667" t="s">
        <v>173</v>
      </c>
      <c r="J163" s="664">
        <v>1404.1</v>
      </c>
      <c r="K163" s="667" t="s">
        <v>173</v>
      </c>
      <c r="L163" s="712">
        <v>4</v>
      </c>
      <c r="M163" s="667" t="s">
        <v>173</v>
      </c>
      <c r="N163" s="664" t="s">
        <v>547</v>
      </c>
      <c r="O163" s="667" t="s">
        <v>173</v>
      </c>
      <c r="P163" s="665" t="s">
        <v>548</v>
      </c>
      <c r="Q163" s="667" t="s">
        <v>173</v>
      </c>
      <c r="R163" s="665" t="s">
        <v>549</v>
      </c>
      <c r="S163" s="667" t="s">
        <v>173</v>
      </c>
      <c r="T163" s="666">
        <v>5</v>
      </c>
      <c r="U163" s="412" t="s">
        <v>300</v>
      </c>
      <c r="V163" s="662">
        <f t="shared" si="5"/>
        <v>3.51</v>
      </c>
      <c r="W163" s="412"/>
      <c r="X163" s="841">
        <f t="shared" si="6"/>
        <v>0.15</v>
      </c>
      <c r="Y163" s="412"/>
      <c r="Z163" s="908">
        <f t="shared" si="7"/>
        <v>210.62</v>
      </c>
      <c r="AA163" s="412" t="s">
        <v>300</v>
      </c>
      <c r="AB163" s="362" t="s">
        <v>598</v>
      </c>
      <c r="AC163" s="412" t="s">
        <v>300</v>
      </c>
      <c r="AD163" s="362" t="s">
        <v>599</v>
      </c>
      <c r="AE163" s="17"/>
      <c r="AM163" s="101"/>
      <c r="AN163" s="101"/>
      <c r="AO163" s="101"/>
      <c r="AP163" s="101"/>
      <c r="AQ163" s="101"/>
      <c r="AR163" s="101"/>
      <c r="AS163" s="101"/>
      <c r="AT163" s="101"/>
      <c r="AU163" s="101"/>
      <c r="AV163" s="101"/>
    </row>
    <row r="164" spans="1:48" s="89" customFormat="1" ht="27.6" x14ac:dyDescent="0.3">
      <c r="B164" s="128" t="s">
        <v>615</v>
      </c>
      <c r="C164" s="373" t="s">
        <v>546</v>
      </c>
      <c r="D164" s="62" t="s">
        <v>137</v>
      </c>
      <c r="E164" s="228"/>
      <c r="F164" s="373" t="s">
        <v>616</v>
      </c>
      <c r="G164" s="667" t="s">
        <v>173</v>
      </c>
      <c r="H164" s="664" t="s">
        <v>596</v>
      </c>
      <c r="I164" s="667" t="s">
        <v>173</v>
      </c>
      <c r="J164" s="664">
        <v>351</v>
      </c>
      <c r="K164" s="667" t="s">
        <v>173</v>
      </c>
      <c r="L164" s="712">
        <v>1</v>
      </c>
      <c r="M164" s="667" t="s">
        <v>173</v>
      </c>
      <c r="N164" s="664" t="s">
        <v>547</v>
      </c>
      <c r="O164" s="667" t="s">
        <v>173</v>
      </c>
      <c r="P164" s="665" t="s">
        <v>548</v>
      </c>
      <c r="Q164" s="667" t="s">
        <v>173</v>
      </c>
      <c r="R164" s="665" t="s">
        <v>549</v>
      </c>
      <c r="S164" s="667" t="s">
        <v>173</v>
      </c>
      <c r="T164" s="666">
        <v>5</v>
      </c>
      <c r="U164" s="412" t="s">
        <v>300</v>
      </c>
      <c r="V164" s="662">
        <f t="shared" si="5"/>
        <v>0.88</v>
      </c>
      <c r="W164" s="412"/>
      <c r="X164" s="841">
        <f t="shared" si="6"/>
        <v>0.15</v>
      </c>
      <c r="Y164" s="412"/>
      <c r="Z164" s="908">
        <f t="shared" si="7"/>
        <v>52.65</v>
      </c>
      <c r="AA164" s="412" t="s">
        <v>300</v>
      </c>
      <c r="AB164" s="362" t="s">
        <v>598</v>
      </c>
      <c r="AC164" s="412" t="s">
        <v>300</v>
      </c>
      <c r="AD164" s="362" t="s">
        <v>599</v>
      </c>
      <c r="AE164" s="17"/>
      <c r="AM164" s="101"/>
      <c r="AN164" s="101"/>
      <c r="AO164" s="101"/>
      <c r="AP164" s="101"/>
      <c r="AQ164" s="101"/>
      <c r="AR164" s="101"/>
      <c r="AS164" s="101"/>
      <c r="AT164" s="101"/>
      <c r="AU164" s="101"/>
      <c r="AV164" s="101"/>
    </row>
    <row r="165" spans="1:48" s="89" customFormat="1" ht="27.6" x14ac:dyDescent="0.3">
      <c r="B165" s="128" t="s">
        <v>617</v>
      </c>
      <c r="C165" s="373" t="s">
        <v>546</v>
      </c>
      <c r="D165" s="62" t="s">
        <v>137</v>
      </c>
      <c r="E165" s="228"/>
      <c r="F165" s="373" t="s">
        <v>618</v>
      </c>
      <c r="G165" s="667" t="s">
        <v>173</v>
      </c>
      <c r="H165" s="664" t="s">
        <v>596</v>
      </c>
      <c r="I165" s="667" t="s">
        <v>173</v>
      </c>
      <c r="J165" s="664">
        <v>351</v>
      </c>
      <c r="K165" s="667" t="s">
        <v>173</v>
      </c>
      <c r="L165" s="712">
        <v>1</v>
      </c>
      <c r="M165" s="667" t="s">
        <v>173</v>
      </c>
      <c r="N165" s="664" t="s">
        <v>547</v>
      </c>
      <c r="O165" s="667" t="s">
        <v>173</v>
      </c>
      <c r="P165" s="665" t="s">
        <v>548</v>
      </c>
      <c r="Q165" s="667" t="s">
        <v>173</v>
      </c>
      <c r="R165" s="665" t="s">
        <v>549</v>
      </c>
      <c r="S165" s="667" t="s">
        <v>173</v>
      </c>
      <c r="T165" s="666">
        <v>5</v>
      </c>
      <c r="U165" s="412" t="s">
        <v>300</v>
      </c>
      <c r="V165" s="662">
        <f t="shared" si="5"/>
        <v>0.88</v>
      </c>
      <c r="W165" s="412"/>
      <c r="X165" s="841">
        <f t="shared" si="6"/>
        <v>0.15</v>
      </c>
      <c r="Y165" s="412"/>
      <c r="Z165" s="908">
        <f t="shared" si="7"/>
        <v>52.65</v>
      </c>
      <c r="AA165" s="412" t="s">
        <v>300</v>
      </c>
      <c r="AB165" s="362" t="s">
        <v>598</v>
      </c>
      <c r="AC165" s="412" t="s">
        <v>300</v>
      </c>
      <c r="AD165" s="362" t="s">
        <v>599</v>
      </c>
      <c r="AE165" s="17"/>
      <c r="AM165" s="101"/>
      <c r="AN165" s="101"/>
      <c r="AO165" s="101"/>
      <c r="AP165" s="101"/>
      <c r="AQ165" s="101"/>
      <c r="AR165" s="101"/>
      <c r="AS165" s="101"/>
      <c r="AT165" s="101"/>
      <c r="AU165" s="101"/>
      <c r="AV165" s="101"/>
    </row>
    <row r="166" spans="1:48" s="89" customFormat="1" ht="27.6" x14ac:dyDescent="0.3">
      <c r="B166" s="128" t="s">
        <v>619</v>
      </c>
      <c r="C166" s="373" t="s">
        <v>546</v>
      </c>
      <c r="D166" s="62" t="s">
        <v>137</v>
      </c>
      <c r="E166" s="228"/>
      <c r="F166" s="373" t="s">
        <v>620</v>
      </c>
      <c r="G166" s="667" t="s">
        <v>173</v>
      </c>
      <c r="H166" s="664" t="s">
        <v>596</v>
      </c>
      <c r="I166" s="667" t="s">
        <v>173</v>
      </c>
      <c r="J166" s="664">
        <v>1404</v>
      </c>
      <c r="K166" s="667" t="s">
        <v>173</v>
      </c>
      <c r="L166" s="712">
        <v>4</v>
      </c>
      <c r="M166" s="667" t="s">
        <v>173</v>
      </c>
      <c r="N166" s="664" t="s">
        <v>547</v>
      </c>
      <c r="O166" s="667" t="s">
        <v>173</v>
      </c>
      <c r="P166" s="665" t="s">
        <v>548</v>
      </c>
      <c r="Q166" s="667" t="s">
        <v>173</v>
      </c>
      <c r="R166" s="665" t="s">
        <v>549</v>
      </c>
      <c r="S166" s="667" t="s">
        <v>173</v>
      </c>
      <c r="T166" s="666">
        <v>5</v>
      </c>
      <c r="U166" s="412" t="s">
        <v>300</v>
      </c>
      <c r="V166" s="662">
        <f t="shared" si="5"/>
        <v>3.51</v>
      </c>
      <c r="W166" s="412"/>
      <c r="X166" s="841">
        <f t="shared" si="6"/>
        <v>0.15</v>
      </c>
      <c r="Y166" s="412"/>
      <c r="Z166" s="908">
        <f t="shared" si="7"/>
        <v>210.6</v>
      </c>
      <c r="AA166" s="412" t="s">
        <v>300</v>
      </c>
      <c r="AB166" s="362" t="s">
        <v>598</v>
      </c>
      <c r="AC166" s="412" t="s">
        <v>300</v>
      </c>
      <c r="AD166" s="362" t="s">
        <v>599</v>
      </c>
      <c r="AE166" s="17"/>
      <c r="AM166" s="101"/>
      <c r="AN166" s="101"/>
      <c r="AO166" s="101"/>
      <c r="AP166" s="101"/>
      <c r="AQ166" s="101"/>
      <c r="AR166" s="101"/>
      <c r="AS166" s="101"/>
      <c r="AT166" s="101"/>
      <c r="AU166" s="101"/>
      <c r="AV166" s="101"/>
    </row>
    <row r="167" spans="1:48" s="89" customFormat="1" ht="27.6" x14ac:dyDescent="0.3">
      <c r="B167" s="128" t="s">
        <v>621</v>
      </c>
      <c r="C167" s="373" t="s">
        <v>546</v>
      </c>
      <c r="D167" s="62" t="s">
        <v>137</v>
      </c>
      <c r="E167" s="228"/>
      <c r="F167" s="373" t="s">
        <v>622</v>
      </c>
      <c r="G167" s="667" t="s">
        <v>173</v>
      </c>
      <c r="H167" s="664" t="s">
        <v>596</v>
      </c>
      <c r="I167" s="667" t="s">
        <v>173</v>
      </c>
      <c r="J167" s="664">
        <v>351</v>
      </c>
      <c r="K167" s="667" t="s">
        <v>173</v>
      </c>
      <c r="L167" s="712">
        <v>1</v>
      </c>
      <c r="M167" s="667" t="s">
        <v>173</v>
      </c>
      <c r="N167" s="664" t="s">
        <v>547</v>
      </c>
      <c r="O167" s="667" t="s">
        <v>173</v>
      </c>
      <c r="P167" s="665" t="s">
        <v>548</v>
      </c>
      <c r="Q167" s="667" t="s">
        <v>173</v>
      </c>
      <c r="R167" s="665" t="s">
        <v>549</v>
      </c>
      <c r="S167" s="667" t="s">
        <v>173</v>
      </c>
      <c r="T167" s="666">
        <v>5</v>
      </c>
      <c r="U167" s="412" t="s">
        <v>300</v>
      </c>
      <c r="V167" s="662">
        <f t="shared" si="5"/>
        <v>0.88</v>
      </c>
      <c r="W167" s="412"/>
      <c r="X167" s="841">
        <f t="shared" si="6"/>
        <v>0.15</v>
      </c>
      <c r="Y167" s="412"/>
      <c r="Z167" s="908">
        <f t="shared" si="7"/>
        <v>52.65</v>
      </c>
      <c r="AA167" s="412" t="s">
        <v>300</v>
      </c>
      <c r="AB167" s="362" t="s">
        <v>598</v>
      </c>
      <c r="AC167" s="412" t="s">
        <v>300</v>
      </c>
      <c r="AD167" s="362" t="s">
        <v>599</v>
      </c>
      <c r="AE167" s="17"/>
      <c r="AM167" s="101"/>
      <c r="AN167" s="101"/>
      <c r="AO167" s="101"/>
      <c r="AP167" s="101"/>
      <c r="AQ167" s="101"/>
      <c r="AR167" s="101"/>
      <c r="AS167" s="101"/>
      <c r="AT167" s="101"/>
      <c r="AU167" s="101"/>
      <c r="AV167" s="101"/>
    </row>
    <row r="168" spans="1:48" s="89" customFormat="1" ht="27.6" x14ac:dyDescent="0.3">
      <c r="B168" s="128" t="s">
        <v>623</v>
      </c>
      <c r="C168" s="373" t="s">
        <v>546</v>
      </c>
      <c r="D168" s="62" t="s">
        <v>137</v>
      </c>
      <c r="E168" s="228"/>
      <c r="F168" s="373" t="s">
        <v>624</v>
      </c>
      <c r="G168" s="667" t="s">
        <v>173</v>
      </c>
      <c r="H168" s="664" t="s">
        <v>596</v>
      </c>
      <c r="I168" s="667" t="s">
        <v>173</v>
      </c>
      <c r="J168" s="664">
        <v>1404</v>
      </c>
      <c r="K168" s="667" t="s">
        <v>173</v>
      </c>
      <c r="L168" s="712">
        <v>4</v>
      </c>
      <c r="M168" s="667" t="s">
        <v>173</v>
      </c>
      <c r="N168" s="664" t="s">
        <v>547</v>
      </c>
      <c r="O168" s="667" t="s">
        <v>173</v>
      </c>
      <c r="P168" s="665" t="s">
        <v>548</v>
      </c>
      <c r="Q168" s="667" t="s">
        <v>173</v>
      </c>
      <c r="R168" s="665" t="s">
        <v>549</v>
      </c>
      <c r="S168" s="667" t="s">
        <v>173</v>
      </c>
      <c r="T168" s="666">
        <v>5</v>
      </c>
      <c r="U168" s="412" t="s">
        <v>300</v>
      </c>
      <c r="V168" s="662">
        <f t="shared" si="5"/>
        <v>3.51</v>
      </c>
      <c r="W168" s="412"/>
      <c r="X168" s="841">
        <f t="shared" si="6"/>
        <v>0.15</v>
      </c>
      <c r="Y168" s="412"/>
      <c r="Z168" s="908">
        <f t="shared" si="7"/>
        <v>210.6</v>
      </c>
      <c r="AA168" s="412" t="s">
        <v>300</v>
      </c>
      <c r="AB168" s="362" t="s">
        <v>598</v>
      </c>
      <c r="AC168" s="412" t="s">
        <v>300</v>
      </c>
      <c r="AD168" s="362" t="s">
        <v>599</v>
      </c>
      <c r="AE168" s="17"/>
      <c r="AM168" s="101"/>
      <c r="AN168" s="101"/>
      <c r="AO168" s="101"/>
      <c r="AP168" s="101"/>
      <c r="AQ168" s="101"/>
      <c r="AR168" s="101"/>
      <c r="AS168" s="101"/>
      <c r="AT168" s="101"/>
      <c r="AU168" s="101"/>
      <c r="AV168" s="101"/>
    </row>
    <row r="169" spans="1:48" s="89" customFormat="1" ht="27.6" x14ac:dyDescent="0.3">
      <c r="B169" s="128" t="s">
        <v>625</v>
      </c>
      <c r="C169" s="373" t="s">
        <v>546</v>
      </c>
      <c r="D169" s="62" t="s">
        <v>137</v>
      </c>
      <c r="E169" s="228"/>
      <c r="F169" s="373" t="s">
        <v>626</v>
      </c>
      <c r="G169" s="667" t="s">
        <v>173</v>
      </c>
      <c r="H169" s="664" t="s">
        <v>596</v>
      </c>
      <c r="I169" s="667" t="s">
        <v>173</v>
      </c>
      <c r="J169" s="664">
        <v>351</v>
      </c>
      <c r="K169" s="667" t="s">
        <v>173</v>
      </c>
      <c r="L169" s="712">
        <v>1</v>
      </c>
      <c r="M169" s="667" t="s">
        <v>173</v>
      </c>
      <c r="N169" s="664" t="s">
        <v>547</v>
      </c>
      <c r="O169" s="667" t="s">
        <v>173</v>
      </c>
      <c r="P169" s="665" t="s">
        <v>548</v>
      </c>
      <c r="Q169" s="667" t="s">
        <v>173</v>
      </c>
      <c r="R169" s="665" t="s">
        <v>549</v>
      </c>
      <c r="S169" s="667" t="s">
        <v>173</v>
      </c>
      <c r="T169" s="666">
        <v>5</v>
      </c>
      <c r="U169" s="412" t="s">
        <v>300</v>
      </c>
      <c r="V169" s="662">
        <f t="shared" si="5"/>
        <v>0.88</v>
      </c>
      <c r="W169" s="412"/>
      <c r="X169" s="841">
        <f t="shared" si="6"/>
        <v>0.15</v>
      </c>
      <c r="Y169" s="412"/>
      <c r="Z169" s="908">
        <f t="shared" si="7"/>
        <v>52.65</v>
      </c>
      <c r="AA169" s="412" t="s">
        <v>300</v>
      </c>
      <c r="AB169" s="362" t="s">
        <v>598</v>
      </c>
      <c r="AC169" s="412" t="s">
        <v>300</v>
      </c>
      <c r="AD169" s="362" t="s">
        <v>599</v>
      </c>
      <c r="AE169" s="17"/>
      <c r="AM169" s="101"/>
      <c r="AN169" s="101"/>
      <c r="AO169" s="101"/>
      <c r="AP169" s="101"/>
      <c r="AQ169" s="101"/>
      <c r="AR169" s="101"/>
      <c r="AS169" s="101"/>
      <c r="AT169" s="101"/>
      <c r="AU169" s="101"/>
      <c r="AV169" s="101"/>
    </row>
    <row r="170" spans="1:48" s="17" customFormat="1" ht="27.6" x14ac:dyDescent="0.3">
      <c r="A170" s="397"/>
      <c r="B170" s="141" t="s">
        <v>627</v>
      </c>
      <c r="C170" s="373" t="s">
        <v>546</v>
      </c>
      <c r="D170" s="62" t="s">
        <v>137</v>
      </c>
      <c r="E170" s="228"/>
      <c r="F170" s="365" t="s">
        <v>628</v>
      </c>
      <c r="G170" s="667" t="s">
        <v>173</v>
      </c>
      <c r="H170" s="664" t="s">
        <v>596</v>
      </c>
      <c r="I170" s="667" t="s">
        <v>173</v>
      </c>
      <c r="J170" s="664">
        <v>351</v>
      </c>
      <c r="K170" s="667" t="s">
        <v>173</v>
      </c>
      <c r="L170" s="712">
        <v>1</v>
      </c>
      <c r="M170" s="667" t="s">
        <v>173</v>
      </c>
      <c r="N170" s="664" t="s">
        <v>547</v>
      </c>
      <c r="O170" s="667" t="s">
        <v>173</v>
      </c>
      <c r="P170" s="665" t="s">
        <v>548</v>
      </c>
      <c r="Q170" s="667" t="s">
        <v>173</v>
      </c>
      <c r="R170" s="665" t="s">
        <v>549</v>
      </c>
      <c r="S170" s="667" t="s">
        <v>173</v>
      </c>
      <c r="T170" s="666">
        <v>5</v>
      </c>
      <c r="U170" s="412" t="s">
        <v>300</v>
      </c>
      <c r="V170" s="662">
        <f t="shared" si="5"/>
        <v>0.88</v>
      </c>
      <c r="W170" s="412"/>
      <c r="X170" s="841">
        <f t="shared" si="6"/>
        <v>0.15</v>
      </c>
      <c r="Y170" s="412"/>
      <c r="Z170" s="908">
        <f t="shared" si="7"/>
        <v>52.65</v>
      </c>
      <c r="AA170" s="412" t="s">
        <v>300</v>
      </c>
      <c r="AB170" s="362" t="s">
        <v>598</v>
      </c>
      <c r="AC170" s="412" t="s">
        <v>300</v>
      </c>
      <c r="AD170" s="362" t="s">
        <v>599</v>
      </c>
      <c r="AF170" s="93"/>
      <c r="AG170" s="89"/>
      <c r="AH170" s="93"/>
    </row>
    <row r="171" spans="1:48" s="17" customFormat="1" ht="27.6" x14ac:dyDescent="0.3">
      <c r="A171" s="397"/>
      <c r="B171" s="141" t="s">
        <v>631</v>
      </c>
      <c r="C171" s="373" t="s">
        <v>546</v>
      </c>
      <c r="D171" s="62" t="s">
        <v>137</v>
      </c>
      <c r="E171" s="228"/>
      <c r="F171" s="365" t="s">
        <v>632</v>
      </c>
      <c r="G171" s="667" t="s">
        <v>173</v>
      </c>
      <c r="H171" s="664" t="s">
        <v>596</v>
      </c>
      <c r="I171" s="667" t="s">
        <v>173</v>
      </c>
      <c r="J171" s="664">
        <v>1404.1</v>
      </c>
      <c r="K171" s="667" t="s">
        <v>173</v>
      </c>
      <c r="L171" s="712">
        <v>4</v>
      </c>
      <c r="M171" s="667" t="s">
        <v>173</v>
      </c>
      <c r="N171" s="664" t="s">
        <v>547</v>
      </c>
      <c r="O171" s="667" t="s">
        <v>173</v>
      </c>
      <c r="P171" s="665" t="s">
        <v>548</v>
      </c>
      <c r="Q171" s="667" t="s">
        <v>173</v>
      </c>
      <c r="R171" s="665" t="s">
        <v>549</v>
      </c>
      <c r="S171" s="667" t="s">
        <v>173</v>
      </c>
      <c r="T171" s="666">
        <v>5</v>
      </c>
      <c r="U171" s="412" t="s">
        <v>300</v>
      </c>
      <c r="V171" s="662">
        <f t="shared" si="5"/>
        <v>3.51</v>
      </c>
      <c r="W171" s="412"/>
      <c r="X171" s="841">
        <f t="shared" si="6"/>
        <v>0.15</v>
      </c>
      <c r="Y171" s="412"/>
      <c r="Z171" s="908">
        <f t="shared" si="7"/>
        <v>210.62</v>
      </c>
      <c r="AA171" s="412" t="s">
        <v>300</v>
      </c>
      <c r="AB171" s="366" t="s">
        <v>598</v>
      </c>
      <c r="AC171" s="412" t="s">
        <v>300</v>
      </c>
      <c r="AD171" s="356" t="s">
        <v>599</v>
      </c>
      <c r="AF171" s="93"/>
      <c r="AG171" s="89"/>
      <c r="AH171" s="93"/>
    </row>
    <row r="172" spans="1:48" s="17" customFormat="1" ht="27.6" x14ac:dyDescent="0.3">
      <c r="A172" s="397"/>
      <c r="B172" s="141" t="s">
        <v>633</v>
      </c>
      <c r="C172" s="373" t="s">
        <v>546</v>
      </c>
      <c r="D172" s="62" t="s">
        <v>137</v>
      </c>
      <c r="E172" s="228"/>
      <c r="F172" s="365" t="s">
        <v>634</v>
      </c>
      <c r="G172" s="667" t="s">
        <v>173</v>
      </c>
      <c r="H172" s="664" t="s">
        <v>596</v>
      </c>
      <c r="I172" s="667" t="s">
        <v>173</v>
      </c>
      <c r="J172" s="664">
        <v>1134.0999999999999</v>
      </c>
      <c r="K172" s="667" t="s">
        <v>173</v>
      </c>
      <c r="L172" s="712">
        <v>3</v>
      </c>
      <c r="M172" s="667" t="s">
        <v>173</v>
      </c>
      <c r="N172" s="664" t="s">
        <v>547</v>
      </c>
      <c r="O172" s="667" t="s">
        <v>173</v>
      </c>
      <c r="P172" s="665" t="s">
        <v>548</v>
      </c>
      <c r="Q172" s="667" t="s">
        <v>173</v>
      </c>
      <c r="R172" s="665" t="s">
        <v>549</v>
      </c>
      <c r="S172" s="667" t="s">
        <v>173</v>
      </c>
      <c r="T172" s="666">
        <v>5</v>
      </c>
      <c r="U172" s="412" t="s">
        <v>300</v>
      </c>
      <c r="V172" s="662">
        <f t="shared" si="5"/>
        <v>2.84</v>
      </c>
      <c r="W172" s="412"/>
      <c r="X172" s="841">
        <f t="shared" si="6"/>
        <v>0.15</v>
      </c>
      <c r="Y172" s="412"/>
      <c r="Z172" s="908">
        <f t="shared" si="7"/>
        <v>170.12</v>
      </c>
      <c r="AA172" s="412" t="s">
        <v>300</v>
      </c>
      <c r="AB172" s="366" t="s">
        <v>598</v>
      </c>
      <c r="AC172" s="412" t="s">
        <v>300</v>
      </c>
      <c r="AD172" s="356" t="s">
        <v>599</v>
      </c>
      <c r="AF172" s="93"/>
      <c r="AG172" s="89"/>
      <c r="AH172" s="93"/>
    </row>
    <row r="173" spans="1:48" s="17" customFormat="1" ht="27.6" x14ac:dyDescent="0.3">
      <c r="A173" s="397"/>
      <c r="B173" s="141" t="s">
        <v>635</v>
      </c>
      <c r="C173" s="373" t="s">
        <v>546</v>
      </c>
      <c r="D173" s="62" t="s">
        <v>137</v>
      </c>
      <c r="E173" s="228"/>
      <c r="F173" s="365" t="s">
        <v>636</v>
      </c>
      <c r="G173" s="667" t="s">
        <v>173</v>
      </c>
      <c r="H173" s="664" t="s">
        <v>596</v>
      </c>
      <c r="I173" s="667" t="s">
        <v>173</v>
      </c>
      <c r="J173" s="664">
        <v>1404.1</v>
      </c>
      <c r="K173" s="667" t="s">
        <v>173</v>
      </c>
      <c r="L173" s="712">
        <v>4</v>
      </c>
      <c r="M173" s="667" t="s">
        <v>173</v>
      </c>
      <c r="N173" s="664" t="s">
        <v>547</v>
      </c>
      <c r="O173" s="667" t="s">
        <v>173</v>
      </c>
      <c r="P173" s="665" t="s">
        <v>548</v>
      </c>
      <c r="Q173" s="667" t="s">
        <v>173</v>
      </c>
      <c r="R173" s="665" t="s">
        <v>549</v>
      </c>
      <c r="S173" s="667" t="s">
        <v>173</v>
      </c>
      <c r="T173" s="666">
        <v>5</v>
      </c>
      <c r="U173" s="412" t="s">
        <v>300</v>
      </c>
      <c r="V173" s="662">
        <f t="shared" si="5"/>
        <v>3.51</v>
      </c>
      <c r="W173" s="412"/>
      <c r="X173" s="841">
        <f t="shared" si="6"/>
        <v>0.15</v>
      </c>
      <c r="Y173" s="412"/>
      <c r="Z173" s="908">
        <f t="shared" si="7"/>
        <v>210.62</v>
      </c>
      <c r="AA173" s="412" t="s">
        <v>300</v>
      </c>
      <c r="AB173" s="366" t="s">
        <v>598</v>
      </c>
      <c r="AC173" s="412" t="s">
        <v>300</v>
      </c>
      <c r="AD173" s="356" t="s">
        <v>599</v>
      </c>
      <c r="AF173" s="93"/>
      <c r="AG173" s="89"/>
      <c r="AH173" s="93"/>
    </row>
    <row r="174" spans="1:48" s="17" customFormat="1" ht="27.6" x14ac:dyDescent="0.3">
      <c r="A174" s="397"/>
      <c r="B174" s="141" t="s">
        <v>637</v>
      </c>
      <c r="C174" s="373" t="s">
        <v>546</v>
      </c>
      <c r="D174" s="62" t="s">
        <v>137</v>
      </c>
      <c r="E174" s="228"/>
      <c r="F174" s="365" t="s">
        <v>638</v>
      </c>
      <c r="G174" s="667" t="s">
        <v>173</v>
      </c>
      <c r="H174" s="664" t="s">
        <v>596</v>
      </c>
      <c r="I174" s="667" t="s">
        <v>173</v>
      </c>
      <c r="J174" s="664">
        <v>351</v>
      </c>
      <c r="K174" s="667" t="s">
        <v>173</v>
      </c>
      <c r="L174" s="712">
        <v>1</v>
      </c>
      <c r="M174" s="667" t="s">
        <v>173</v>
      </c>
      <c r="N174" s="664" t="s">
        <v>547</v>
      </c>
      <c r="O174" s="667" t="s">
        <v>173</v>
      </c>
      <c r="P174" s="665" t="s">
        <v>548</v>
      </c>
      <c r="Q174" s="667" t="s">
        <v>173</v>
      </c>
      <c r="R174" s="665" t="s">
        <v>549</v>
      </c>
      <c r="S174" s="667" t="s">
        <v>173</v>
      </c>
      <c r="T174" s="666">
        <v>5</v>
      </c>
      <c r="U174" s="412" t="s">
        <v>300</v>
      </c>
      <c r="V174" s="662">
        <f t="shared" si="5"/>
        <v>0.88</v>
      </c>
      <c r="W174" s="412"/>
      <c r="X174" s="841">
        <f t="shared" si="6"/>
        <v>0.15</v>
      </c>
      <c r="Y174" s="412"/>
      <c r="Z174" s="908">
        <f t="shared" si="7"/>
        <v>52.65</v>
      </c>
      <c r="AA174" s="412" t="s">
        <v>300</v>
      </c>
      <c r="AB174" s="366" t="s">
        <v>598</v>
      </c>
      <c r="AC174" s="412" t="s">
        <v>300</v>
      </c>
      <c r="AD174" s="356" t="s">
        <v>599</v>
      </c>
      <c r="AF174" s="93"/>
      <c r="AG174" s="89"/>
      <c r="AH174" s="93"/>
    </row>
    <row r="175" spans="1:48" s="17" customFormat="1" ht="27.6" x14ac:dyDescent="0.3">
      <c r="A175" s="397"/>
      <c r="B175" s="141" t="s">
        <v>639</v>
      </c>
      <c r="C175" s="373" t="s">
        <v>546</v>
      </c>
      <c r="D175" s="62" t="s">
        <v>137</v>
      </c>
      <c r="E175" s="228"/>
      <c r="F175" s="365" t="s">
        <v>640</v>
      </c>
      <c r="G175" s="667" t="s">
        <v>173</v>
      </c>
      <c r="H175" s="664" t="s">
        <v>596</v>
      </c>
      <c r="I175" s="667" t="s">
        <v>173</v>
      </c>
      <c r="J175" s="664">
        <v>351</v>
      </c>
      <c r="K175" s="667" t="s">
        <v>173</v>
      </c>
      <c r="L175" s="712">
        <v>1</v>
      </c>
      <c r="M175" s="667" t="s">
        <v>173</v>
      </c>
      <c r="N175" s="664" t="s">
        <v>547</v>
      </c>
      <c r="O175" s="667" t="s">
        <v>173</v>
      </c>
      <c r="P175" s="665" t="s">
        <v>548</v>
      </c>
      <c r="Q175" s="667" t="s">
        <v>173</v>
      </c>
      <c r="R175" s="665" t="s">
        <v>549</v>
      </c>
      <c r="S175" s="667" t="s">
        <v>173</v>
      </c>
      <c r="T175" s="666">
        <v>5</v>
      </c>
      <c r="U175" s="412" t="s">
        <v>300</v>
      </c>
      <c r="V175" s="662">
        <f t="shared" si="5"/>
        <v>0.88</v>
      </c>
      <c r="W175" s="412"/>
      <c r="X175" s="841">
        <f t="shared" si="6"/>
        <v>0.15</v>
      </c>
      <c r="Y175" s="412"/>
      <c r="Z175" s="908">
        <f t="shared" si="7"/>
        <v>52.65</v>
      </c>
      <c r="AA175" s="412" t="s">
        <v>300</v>
      </c>
      <c r="AB175" s="366" t="s">
        <v>598</v>
      </c>
      <c r="AC175" s="412" t="s">
        <v>300</v>
      </c>
      <c r="AD175" s="356" t="s">
        <v>599</v>
      </c>
      <c r="AF175" s="93"/>
      <c r="AG175" s="89"/>
      <c r="AH175" s="93"/>
    </row>
    <row r="176" spans="1:48" s="17" customFormat="1" ht="27.6" x14ac:dyDescent="0.3">
      <c r="A176" s="397"/>
      <c r="B176" s="141" t="s">
        <v>641</v>
      </c>
      <c r="C176" s="373" t="s">
        <v>546</v>
      </c>
      <c r="D176" s="62" t="s">
        <v>137</v>
      </c>
      <c r="E176" s="228"/>
      <c r="F176" s="365" t="s">
        <v>642</v>
      </c>
      <c r="G176" s="667" t="s">
        <v>173</v>
      </c>
      <c r="H176" s="664" t="s">
        <v>596</v>
      </c>
      <c r="I176" s="667" t="s">
        <v>173</v>
      </c>
      <c r="J176" s="664">
        <v>1404</v>
      </c>
      <c r="K176" s="667" t="s">
        <v>173</v>
      </c>
      <c r="L176" s="712">
        <v>4</v>
      </c>
      <c r="M176" s="667" t="s">
        <v>173</v>
      </c>
      <c r="N176" s="664" t="s">
        <v>547</v>
      </c>
      <c r="O176" s="667" t="s">
        <v>173</v>
      </c>
      <c r="P176" s="665" t="s">
        <v>548</v>
      </c>
      <c r="Q176" s="667" t="s">
        <v>173</v>
      </c>
      <c r="R176" s="665" t="s">
        <v>549</v>
      </c>
      <c r="S176" s="667" t="s">
        <v>173</v>
      </c>
      <c r="T176" s="666">
        <v>5</v>
      </c>
      <c r="U176" s="412" t="s">
        <v>300</v>
      </c>
      <c r="V176" s="662">
        <f t="shared" si="5"/>
        <v>3.51</v>
      </c>
      <c r="W176" s="412"/>
      <c r="X176" s="841">
        <f t="shared" si="6"/>
        <v>0.15</v>
      </c>
      <c r="Y176" s="412"/>
      <c r="Z176" s="908">
        <f t="shared" si="7"/>
        <v>210.6</v>
      </c>
      <c r="AA176" s="412" t="s">
        <v>300</v>
      </c>
      <c r="AB176" s="366" t="s">
        <v>598</v>
      </c>
      <c r="AC176" s="412" t="s">
        <v>300</v>
      </c>
      <c r="AD176" s="356" t="s">
        <v>599</v>
      </c>
      <c r="AF176" s="93"/>
      <c r="AG176" s="89"/>
      <c r="AH176" s="93"/>
    </row>
    <row r="177" spans="1:34" s="17" customFormat="1" ht="27.6" x14ac:dyDescent="0.3">
      <c r="A177" s="397"/>
      <c r="B177" s="141" t="s">
        <v>643</v>
      </c>
      <c r="C177" s="373" t="s">
        <v>546</v>
      </c>
      <c r="D177" s="62" t="s">
        <v>137</v>
      </c>
      <c r="E177" s="228"/>
      <c r="F177" s="365" t="s">
        <v>644</v>
      </c>
      <c r="G177" s="667" t="s">
        <v>173</v>
      </c>
      <c r="H177" s="664" t="s">
        <v>596</v>
      </c>
      <c r="I177" s="667" t="s">
        <v>173</v>
      </c>
      <c r="J177" s="664">
        <v>351</v>
      </c>
      <c r="K177" s="667" t="s">
        <v>173</v>
      </c>
      <c r="L177" s="712">
        <v>1</v>
      </c>
      <c r="M177" s="667" t="s">
        <v>173</v>
      </c>
      <c r="N177" s="664" t="s">
        <v>547</v>
      </c>
      <c r="O177" s="667" t="s">
        <v>173</v>
      </c>
      <c r="P177" s="665" t="s">
        <v>548</v>
      </c>
      <c r="Q177" s="667" t="s">
        <v>173</v>
      </c>
      <c r="R177" s="665" t="s">
        <v>549</v>
      </c>
      <c r="S177" s="667" t="s">
        <v>173</v>
      </c>
      <c r="T177" s="666">
        <v>5</v>
      </c>
      <c r="U177" s="412" t="s">
        <v>300</v>
      </c>
      <c r="V177" s="662">
        <f t="shared" si="5"/>
        <v>0.88</v>
      </c>
      <c r="W177" s="412"/>
      <c r="X177" s="841">
        <f t="shared" si="6"/>
        <v>0.15</v>
      </c>
      <c r="Y177" s="412"/>
      <c r="Z177" s="908">
        <f t="shared" si="7"/>
        <v>52.65</v>
      </c>
      <c r="AA177" s="412" t="s">
        <v>300</v>
      </c>
      <c r="AB177" s="366" t="s">
        <v>598</v>
      </c>
      <c r="AC177" s="412" t="s">
        <v>300</v>
      </c>
      <c r="AD177" s="356" t="s">
        <v>599</v>
      </c>
      <c r="AF177" s="93"/>
      <c r="AG177" s="89"/>
      <c r="AH177" s="93"/>
    </row>
    <row r="178" spans="1:34" s="17" customFormat="1" ht="27.6" x14ac:dyDescent="0.3">
      <c r="A178" s="397"/>
      <c r="B178" s="141" t="s">
        <v>645</v>
      </c>
      <c r="C178" s="373" t="s">
        <v>546</v>
      </c>
      <c r="D178" s="62" t="s">
        <v>137</v>
      </c>
      <c r="E178" s="228"/>
      <c r="F178" s="365" t="s">
        <v>646</v>
      </c>
      <c r="G178" s="667" t="s">
        <v>173</v>
      </c>
      <c r="H178" s="664" t="s">
        <v>596</v>
      </c>
      <c r="I178" s="667" t="s">
        <v>173</v>
      </c>
      <c r="J178" s="664">
        <v>1404</v>
      </c>
      <c r="K178" s="667" t="s">
        <v>173</v>
      </c>
      <c r="L178" s="712">
        <v>4</v>
      </c>
      <c r="M178" s="667" t="s">
        <v>173</v>
      </c>
      <c r="N178" s="664" t="s">
        <v>547</v>
      </c>
      <c r="O178" s="667" t="s">
        <v>173</v>
      </c>
      <c r="P178" s="665" t="s">
        <v>548</v>
      </c>
      <c r="Q178" s="667" t="s">
        <v>173</v>
      </c>
      <c r="R178" s="665" t="s">
        <v>549</v>
      </c>
      <c r="S178" s="667" t="s">
        <v>173</v>
      </c>
      <c r="T178" s="666">
        <v>5</v>
      </c>
      <c r="U178" s="412" t="s">
        <v>300</v>
      </c>
      <c r="V178" s="662">
        <f t="shared" si="5"/>
        <v>3.51</v>
      </c>
      <c r="W178" s="412"/>
      <c r="X178" s="841">
        <f t="shared" si="6"/>
        <v>0.15</v>
      </c>
      <c r="Y178" s="412"/>
      <c r="Z178" s="908">
        <f t="shared" si="7"/>
        <v>210.6</v>
      </c>
      <c r="AA178" s="412" t="s">
        <v>300</v>
      </c>
      <c r="AB178" s="366" t="s">
        <v>598</v>
      </c>
      <c r="AC178" s="412" t="s">
        <v>300</v>
      </c>
      <c r="AD178" s="356" t="s">
        <v>599</v>
      </c>
      <c r="AF178" s="93"/>
      <c r="AG178" s="89"/>
      <c r="AH178" s="93"/>
    </row>
    <row r="179" spans="1:34" s="17" customFormat="1" ht="27.6" x14ac:dyDescent="0.3">
      <c r="A179" s="397"/>
      <c r="B179" s="141" t="s">
        <v>647</v>
      </c>
      <c r="C179" s="373" t="s">
        <v>546</v>
      </c>
      <c r="D179" s="62" t="s">
        <v>137</v>
      </c>
      <c r="E179" s="228"/>
      <c r="F179" s="365" t="s">
        <v>648</v>
      </c>
      <c r="G179" s="667" t="s">
        <v>173</v>
      </c>
      <c r="H179" s="664" t="s">
        <v>596</v>
      </c>
      <c r="I179" s="667" t="s">
        <v>173</v>
      </c>
      <c r="J179" s="664">
        <v>351</v>
      </c>
      <c r="K179" s="667" t="s">
        <v>173</v>
      </c>
      <c r="L179" s="712">
        <v>1</v>
      </c>
      <c r="M179" s="667" t="s">
        <v>173</v>
      </c>
      <c r="N179" s="664" t="s">
        <v>547</v>
      </c>
      <c r="O179" s="667" t="s">
        <v>173</v>
      </c>
      <c r="P179" s="665" t="s">
        <v>548</v>
      </c>
      <c r="Q179" s="667" t="s">
        <v>173</v>
      </c>
      <c r="R179" s="665" t="s">
        <v>549</v>
      </c>
      <c r="S179" s="667" t="s">
        <v>173</v>
      </c>
      <c r="T179" s="666">
        <v>5</v>
      </c>
      <c r="U179" s="412" t="s">
        <v>300</v>
      </c>
      <c r="V179" s="662">
        <f t="shared" si="5"/>
        <v>0.88</v>
      </c>
      <c r="W179" s="412"/>
      <c r="X179" s="841">
        <f t="shared" si="6"/>
        <v>0.15</v>
      </c>
      <c r="Y179" s="412"/>
      <c r="Z179" s="908">
        <f t="shared" si="7"/>
        <v>52.65</v>
      </c>
      <c r="AA179" s="412" t="s">
        <v>300</v>
      </c>
      <c r="AB179" s="366" t="s">
        <v>598</v>
      </c>
      <c r="AC179" s="412" t="s">
        <v>300</v>
      </c>
      <c r="AD179" s="356" t="s">
        <v>599</v>
      </c>
      <c r="AF179" s="93"/>
      <c r="AG179" s="89"/>
      <c r="AH179" s="93"/>
    </row>
    <row r="180" spans="1:34" s="17" customFormat="1" ht="27.6" x14ac:dyDescent="0.3">
      <c r="A180" s="397"/>
      <c r="B180" s="141" t="s">
        <v>649</v>
      </c>
      <c r="C180" s="373" t="s">
        <v>546</v>
      </c>
      <c r="D180" s="62" t="s">
        <v>137</v>
      </c>
      <c r="E180" s="228"/>
      <c r="F180" s="365" t="s">
        <v>650</v>
      </c>
      <c r="G180" s="667" t="s">
        <v>173</v>
      </c>
      <c r="H180" s="664" t="s">
        <v>1688</v>
      </c>
      <c r="I180" s="667" t="s">
        <v>173</v>
      </c>
      <c r="J180" s="664">
        <v>351</v>
      </c>
      <c r="K180" s="667" t="s">
        <v>173</v>
      </c>
      <c r="L180" s="712">
        <v>1</v>
      </c>
      <c r="M180" s="667" t="s">
        <v>173</v>
      </c>
      <c r="N180" s="664" t="s">
        <v>547</v>
      </c>
      <c r="O180" s="667" t="s">
        <v>173</v>
      </c>
      <c r="P180" s="665" t="s">
        <v>1005</v>
      </c>
      <c r="Q180" s="667" t="s">
        <v>173</v>
      </c>
      <c r="R180" s="665" t="s">
        <v>549</v>
      </c>
      <c r="S180" s="667" t="s">
        <v>173</v>
      </c>
      <c r="T180" s="262" t="s">
        <v>173</v>
      </c>
      <c r="U180" s="412" t="s">
        <v>300</v>
      </c>
      <c r="V180" s="662">
        <f>3*L180</f>
        <v>3</v>
      </c>
      <c r="W180" s="678"/>
      <c r="X180" s="624">
        <f>IF(AND(LEFT(B180,9)="GuestRoom",H180="Hotel/Motel Guest Room"),0.15,IF(AND(H180="High-Rise Residential Living Spaces",P180="Sum"),(7.5*V180+0.03*J180)/J180))</f>
        <v>9.410256410256411E-2</v>
      </c>
      <c r="Y180" s="412"/>
      <c r="Z180" s="908">
        <f t="shared" si="7"/>
        <v>33.03</v>
      </c>
      <c r="AA180" s="412" t="s">
        <v>300</v>
      </c>
      <c r="AB180" s="366" t="s">
        <v>598</v>
      </c>
      <c r="AC180" s="412" t="s">
        <v>300</v>
      </c>
      <c r="AD180" s="356" t="s">
        <v>599</v>
      </c>
      <c r="AF180" s="93"/>
      <c r="AG180" s="89"/>
      <c r="AH180" s="93"/>
    </row>
    <row r="181" spans="1:34" s="17" customFormat="1" ht="27.6" x14ac:dyDescent="0.3">
      <c r="A181" s="397"/>
      <c r="B181" s="141" t="s">
        <v>651</v>
      </c>
      <c r="C181" s="373" t="s">
        <v>546</v>
      </c>
      <c r="D181" s="62" t="s">
        <v>137</v>
      </c>
      <c r="E181" s="228"/>
      <c r="F181" s="365" t="s">
        <v>652</v>
      </c>
      <c r="G181" s="667" t="s">
        <v>173</v>
      </c>
      <c r="H181" s="664" t="s">
        <v>1688</v>
      </c>
      <c r="I181" s="667" t="s">
        <v>173</v>
      </c>
      <c r="J181" s="664">
        <v>1404.1</v>
      </c>
      <c r="K181" s="667" t="s">
        <v>173</v>
      </c>
      <c r="L181" s="712">
        <v>4</v>
      </c>
      <c r="M181" s="667" t="s">
        <v>173</v>
      </c>
      <c r="N181" s="664" t="s">
        <v>547</v>
      </c>
      <c r="O181" s="667" t="s">
        <v>173</v>
      </c>
      <c r="P181" s="665" t="s">
        <v>1005</v>
      </c>
      <c r="Q181" s="667" t="s">
        <v>173</v>
      </c>
      <c r="R181" s="665" t="s">
        <v>549</v>
      </c>
      <c r="S181" s="667" t="s">
        <v>173</v>
      </c>
      <c r="T181" s="262" t="s">
        <v>173</v>
      </c>
      <c r="U181" s="412" t="s">
        <v>300</v>
      </c>
      <c r="V181" s="662">
        <f t="shared" ref="V181:V188" si="8">3*L181</f>
        <v>12</v>
      </c>
      <c r="W181" s="678"/>
      <c r="X181" s="624">
        <f t="shared" ref="X181:X189" si="9">IF(AND(LEFT(B181,9)="GuestRoom",H181="Hotel/Motel Guest Room"),0.15,IF(AND(H181="High-Rise Residential Living Spaces",P181="Sum"),(7.5*V181+0.03*J181)/J181))</f>
        <v>9.4097998718040018E-2</v>
      </c>
      <c r="Y181" s="412"/>
      <c r="Z181" s="908">
        <f t="shared" si="7"/>
        <v>132.12</v>
      </c>
      <c r="AA181" s="412" t="s">
        <v>300</v>
      </c>
      <c r="AB181" s="366" t="s">
        <v>598</v>
      </c>
      <c r="AC181" s="412" t="s">
        <v>300</v>
      </c>
      <c r="AD181" s="356" t="s">
        <v>599</v>
      </c>
      <c r="AF181" s="93"/>
      <c r="AG181" s="89"/>
      <c r="AH181" s="93"/>
    </row>
    <row r="182" spans="1:34" s="17" customFormat="1" ht="27.6" x14ac:dyDescent="0.3">
      <c r="A182" s="397"/>
      <c r="B182" s="141" t="s">
        <v>653</v>
      </c>
      <c r="C182" s="373" t="s">
        <v>546</v>
      </c>
      <c r="D182" s="62" t="s">
        <v>137</v>
      </c>
      <c r="E182" s="228"/>
      <c r="F182" s="365" t="s">
        <v>654</v>
      </c>
      <c r="G182" s="667" t="s">
        <v>173</v>
      </c>
      <c r="H182" s="664" t="s">
        <v>1688</v>
      </c>
      <c r="I182" s="667" t="s">
        <v>173</v>
      </c>
      <c r="J182" s="664">
        <v>1134.0999999999999</v>
      </c>
      <c r="K182" s="667" t="s">
        <v>173</v>
      </c>
      <c r="L182" s="712">
        <v>3</v>
      </c>
      <c r="M182" s="667" t="s">
        <v>173</v>
      </c>
      <c r="N182" s="664" t="s">
        <v>547</v>
      </c>
      <c r="O182" s="667" t="s">
        <v>173</v>
      </c>
      <c r="P182" s="665" t="s">
        <v>1005</v>
      </c>
      <c r="Q182" s="667" t="s">
        <v>173</v>
      </c>
      <c r="R182" s="665" t="s">
        <v>549</v>
      </c>
      <c r="S182" s="667" t="s">
        <v>173</v>
      </c>
      <c r="T182" s="262" t="s">
        <v>173</v>
      </c>
      <c r="U182" s="412" t="s">
        <v>300</v>
      </c>
      <c r="V182" s="662">
        <f t="shared" si="8"/>
        <v>9</v>
      </c>
      <c r="W182" s="678"/>
      <c r="X182" s="624">
        <f t="shared" si="9"/>
        <v>8.951856097345913E-2</v>
      </c>
      <c r="Y182" s="412"/>
      <c r="Z182" s="908">
        <f t="shared" si="7"/>
        <v>101.52</v>
      </c>
      <c r="AA182" s="412" t="s">
        <v>300</v>
      </c>
      <c r="AB182" s="366" t="s">
        <v>598</v>
      </c>
      <c r="AC182" s="412" t="s">
        <v>300</v>
      </c>
      <c r="AD182" s="356" t="s">
        <v>599</v>
      </c>
      <c r="AF182" s="93"/>
      <c r="AG182" s="89"/>
      <c r="AH182" s="93"/>
    </row>
    <row r="183" spans="1:34" s="17" customFormat="1" ht="27.6" x14ac:dyDescent="0.3">
      <c r="A183" s="397"/>
      <c r="B183" s="141" t="s">
        <v>655</v>
      </c>
      <c r="C183" s="373" t="s">
        <v>546</v>
      </c>
      <c r="D183" s="62" t="s">
        <v>137</v>
      </c>
      <c r="E183" s="228"/>
      <c r="F183" s="365" t="s">
        <v>656</v>
      </c>
      <c r="G183" s="667" t="s">
        <v>173</v>
      </c>
      <c r="H183" s="664" t="s">
        <v>1688</v>
      </c>
      <c r="I183" s="667" t="s">
        <v>173</v>
      </c>
      <c r="J183" s="664">
        <v>1404.1</v>
      </c>
      <c r="K183" s="667" t="s">
        <v>173</v>
      </c>
      <c r="L183" s="712">
        <v>4</v>
      </c>
      <c r="M183" s="667" t="s">
        <v>173</v>
      </c>
      <c r="N183" s="664" t="s">
        <v>547</v>
      </c>
      <c r="O183" s="667" t="s">
        <v>173</v>
      </c>
      <c r="P183" s="665" t="s">
        <v>1005</v>
      </c>
      <c r="Q183" s="667" t="s">
        <v>173</v>
      </c>
      <c r="R183" s="665" t="s">
        <v>549</v>
      </c>
      <c r="S183" s="667" t="s">
        <v>173</v>
      </c>
      <c r="T183" s="262" t="s">
        <v>173</v>
      </c>
      <c r="U183" s="412" t="s">
        <v>300</v>
      </c>
      <c r="V183" s="662">
        <f t="shared" si="8"/>
        <v>12</v>
      </c>
      <c r="W183" s="678"/>
      <c r="X183" s="624">
        <f t="shared" si="9"/>
        <v>9.4097998718040018E-2</v>
      </c>
      <c r="Y183" s="412"/>
      <c r="Z183" s="908">
        <f t="shared" si="7"/>
        <v>132.12</v>
      </c>
      <c r="AA183" s="412" t="s">
        <v>300</v>
      </c>
      <c r="AB183" s="366" t="s">
        <v>598</v>
      </c>
      <c r="AC183" s="412" t="s">
        <v>300</v>
      </c>
      <c r="AD183" s="356" t="s">
        <v>599</v>
      </c>
      <c r="AF183" s="93"/>
      <c r="AG183" s="89"/>
      <c r="AH183" s="93"/>
    </row>
    <row r="184" spans="1:34" s="17" customFormat="1" ht="27.6" x14ac:dyDescent="0.3">
      <c r="A184" s="397"/>
      <c r="B184" s="141" t="s">
        <v>657</v>
      </c>
      <c r="C184" s="373" t="s">
        <v>546</v>
      </c>
      <c r="D184" s="62" t="s">
        <v>137</v>
      </c>
      <c r="E184" s="228"/>
      <c r="F184" s="365" t="s">
        <v>658</v>
      </c>
      <c r="G184" s="667" t="s">
        <v>173</v>
      </c>
      <c r="H184" s="664" t="s">
        <v>1688</v>
      </c>
      <c r="I184" s="667" t="s">
        <v>173</v>
      </c>
      <c r="J184" s="664">
        <v>351</v>
      </c>
      <c r="K184" s="667" t="s">
        <v>173</v>
      </c>
      <c r="L184" s="712">
        <v>1</v>
      </c>
      <c r="M184" s="667" t="s">
        <v>173</v>
      </c>
      <c r="N184" s="664" t="s">
        <v>547</v>
      </c>
      <c r="O184" s="667" t="s">
        <v>173</v>
      </c>
      <c r="P184" s="665" t="s">
        <v>1005</v>
      </c>
      <c r="Q184" s="667" t="s">
        <v>173</v>
      </c>
      <c r="R184" s="665" t="s">
        <v>549</v>
      </c>
      <c r="S184" s="667" t="s">
        <v>173</v>
      </c>
      <c r="T184" s="262" t="s">
        <v>173</v>
      </c>
      <c r="U184" s="412" t="s">
        <v>300</v>
      </c>
      <c r="V184" s="662">
        <f t="shared" si="8"/>
        <v>3</v>
      </c>
      <c r="W184" s="678"/>
      <c r="X184" s="624">
        <f t="shared" si="9"/>
        <v>9.410256410256411E-2</v>
      </c>
      <c r="Y184" s="412"/>
      <c r="Z184" s="908">
        <f t="shared" si="7"/>
        <v>33.03</v>
      </c>
      <c r="AA184" s="412" t="s">
        <v>300</v>
      </c>
      <c r="AB184" s="366" t="s">
        <v>598</v>
      </c>
      <c r="AC184" s="412" t="s">
        <v>300</v>
      </c>
      <c r="AD184" s="356" t="s">
        <v>599</v>
      </c>
      <c r="AF184" s="93"/>
      <c r="AG184" s="89"/>
      <c r="AH184" s="93"/>
    </row>
    <row r="185" spans="1:34" s="17" customFormat="1" ht="27.6" x14ac:dyDescent="0.3">
      <c r="A185" s="397"/>
      <c r="B185" s="141" t="s">
        <v>659</v>
      </c>
      <c r="C185" s="373" t="s">
        <v>546</v>
      </c>
      <c r="D185" s="62" t="s">
        <v>137</v>
      </c>
      <c r="E185" s="228"/>
      <c r="F185" s="365" t="s">
        <v>660</v>
      </c>
      <c r="G185" s="667" t="s">
        <v>173</v>
      </c>
      <c r="H185" s="664" t="s">
        <v>1688</v>
      </c>
      <c r="I185" s="667" t="s">
        <v>173</v>
      </c>
      <c r="J185" s="664">
        <v>351</v>
      </c>
      <c r="K185" s="667" t="s">
        <v>173</v>
      </c>
      <c r="L185" s="712">
        <v>1</v>
      </c>
      <c r="M185" s="667" t="s">
        <v>173</v>
      </c>
      <c r="N185" s="664" t="s">
        <v>547</v>
      </c>
      <c r="O185" s="667" t="s">
        <v>173</v>
      </c>
      <c r="P185" s="665" t="s">
        <v>1005</v>
      </c>
      <c r="Q185" s="667" t="s">
        <v>173</v>
      </c>
      <c r="R185" s="665" t="s">
        <v>549</v>
      </c>
      <c r="S185" s="667" t="s">
        <v>173</v>
      </c>
      <c r="T185" s="262" t="s">
        <v>173</v>
      </c>
      <c r="U185" s="412" t="s">
        <v>300</v>
      </c>
      <c r="V185" s="662">
        <f t="shared" si="8"/>
        <v>3</v>
      </c>
      <c r="W185" s="678"/>
      <c r="X185" s="624">
        <f t="shared" si="9"/>
        <v>9.410256410256411E-2</v>
      </c>
      <c r="Y185" s="412"/>
      <c r="Z185" s="908">
        <f t="shared" si="7"/>
        <v>33.03</v>
      </c>
      <c r="AA185" s="412" t="s">
        <v>300</v>
      </c>
      <c r="AB185" s="366" t="s">
        <v>598</v>
      </c>
      <c r="AC185" s="412" t="s">
        <v>300</v>
      </c>
      <c r="AD185" s="356" t="s">
        <v>599</v>
      </c>
      <c r="AF185" s="93"/>
      <c r="AG185" s="89"/>
      <c r="AH185" s="93"/>
    </row>
    <row r="186" spans="1:34" s="17" customFormat="1" ht="27.6" x14ac:dyDescent="0.3">
      <c r="A186" s="397"/>
      <c r="B186" s="141" t="s">
        <v>661</v>
      </c>
      <c r="C186" s="373" t="s">
        <v>546</v>
      </c>
      <c r="D186" s="62" t="s">
        <v>137</v>
      </c>
      <c r="E186" s="228"/>
      <c r="F186" s="365" t="s">
        <v>662</v>
      </c>
      <c r="G186" s="667" t="s">
        <v>173</v>
      </c>
      <c r="H186" s="664" t="s">
        <v>1688</v>
      </c>
      <c r="I186" s="667" t="s">
        <v>173</v>
      </c>
      <c r="J186" s="664">
        <v>1404</v>
      </c>
      <c r="K186" s="667" t="s">
        <v>173</v>
      </c>
      <c r="L186" s="712">
        <v>4</v>
      </c>
      <c r="M186" s="667" t="s">
        <v>173</v>
      </c>
      <c r="N186" s="664" t="s">
        <v>547</v>
      </c>
      <c r="O186" s="667" t="s">
        <v>173</v>
      </c>
      <c r="P186" s="665" t="s">
        <v>1005</v>
      </c>
      <c r="Q186" s="667" t="s">
        <v>173</v>
      </c>
      <c r="R186" s="665" t="s">
        <v>549</v>
      </c>
      <c r="S186" s="667" t="s">
        <v>173</v>
      </c>
      <c r="T186" s="262" t="s">
        <v>173</v>
      </c>
      <c r="U186" s="412" t="s">
        <v>300</v>
      </c>
      <c r="V186" s="662">
        <f t="shared" si="8"/>
        <v>12</v>
      </c>
      <c r="W186" s="678"/>
      <c r="X186" s="624">
        <f t="shared" si="9"/>
        <v>9.410256410256411E-2</v>
      </c>
      <c r="Y186" s="412"/>
      <c r="Z186" s="908">
        <f t="shared" si="7"/>
        <v>132.12</v>
      </c>
      <c r="AA186" s="412" t="s">
        <v>300</v>
      </c>
      <c r="AB186" s="366" t="s">
        <v>598</v>
      </c>
      <c r="AC186" s="412" t="s">
        <v>300</v>
      </c>
      <c r="AD186" s="356" t="s">
        <v>599</v>
      </c>
      <c r="AF186" s="93"/>
      <c r="AG186" s="89"/>
      <c r="AH186" s="93"/>
    </row>
    <row r="187" spans="1:34" s="17" customFormat="1" ht="27.6" x14ac:dyDescent="0.3">
      <c r="A187" s="397"/>
      <c r="B187" s="141" t="s">
        <v>663</v>
      </c>
      <c r="C187" s="373" t="s">
        <v>546</v>
      </c>
      <c r="D187" s="62" t="s">
        <v>137</v>
      </c>
      <c r="E187" s="228"/>
      <c r="F187" s="365" t="s">
        <v>664</v>
      </c>
      <c r="G187" s="667" t="s">
        <v>173</v>
      </c>
      <c r="H187" s="664" t="s">
        <v>1688</v>
      </c>
      <c r="I187" s="667" t="s">
        <v>173</v>
      </c>
      <c r="J187" s="664">
        <v>351</v>
      </c>
      <c r="K187" s="667" t="s">
        <v>173</v>
      </c>
      <c r="L187" s="712">
        <v>1</v>
      </c>
      <c r="M187" s="667" t="s">
        <v>173</v>
      </c>
      <c r="N187" s="664" t="s">
        <v>547</v>
      </c>
      <c r="O187" s="667" t="s">
        <v>173</v>
      </c>
      <c r="P187" s="665" t="s">
        <v>1005</v>
      </c>
      <c r="Q187" s="667" t="s">
        <v>173</v>
      </c>
      <c r="R187" s="665" t="s">
        <v>549</v>
      </c>
      <c r="S187" s="667" t="s">
        <v>173</v>
      </c>
      <c r="T187" s="262" t="s">
        <v>173</v>
      </c>
      <c r="U187" s="412" t="s">
        <v>300</v>
      </c>
      <c r="V187" s="662">
        <f t="shared" si="8"/>
        <v>3</v>
      </c>
      <c r="W187" s="678"/>
      <c r="X187" s="624">
        <f t="shared" si="9"/>
        <v>9.410256410256411E-2</v>
      </c>
      <c r="Y187" s="412"/>
      <c r="Z187" s="908">
        <f t="shared" si="7"/>
        <v>33.03</v>
      </c>
      <c r="AA187" s="412" t="s">
        <v>300</v>
      </c>
      <c r="AB187" s="366" t="s">
        <v>598</v>
      </c>
      <c r="AC187" s="412" t="s">
        <v>300</v>
      </c>
      <c r="AD187" s="356" t="s">
        <v>599</v>
      </c>
      <c r="AF187" s="93"/>
      <c r="AG187" s="89"/>
      <c r="AH187" s="93"/>
    </row>
    <row r="188" spans="1:34" s="17" customFormat="1" ht="27.6" x14ac:dyDescent="0.3">
      <c r="A188" s="397"/>
      <c r="B188" s="141" t="s">
        <v>665</v>
      </c>
      <c r="C188" s="373" t="s">
        <v>546</v>
      </c>
      <c r="D188" s="62" t="s">
        <v>137</v>
      </c>
      <c r="E188" s="228"/>
      <c r="F188" s="365" t="s">
        <v>666</v>
      </c>
      <c r="G188" s="667" t="s">
        <v>173</v>
      </c>
      <c r="H188" s="664" t="s">
        <v>1688</v>
      </c>
      <c r="I188" s="667" t="s">
        <v>173</v>
      </c>
      <c r="J188" s="664">
        <v>1404</v>
      </c>
      <c r="K188" s="667" t="s">
        <v>173</v>
      </c>
      <c r="L188" s="712">
        <v>4</v>
      </c>
      <c r="M188" s="667" t="s">
        <v>173</v>
      </c>
      <c r="N188" s="664" t="s">
        <v>547</v>
      </c>
      <c r="O188" s="667" t="s">
        <v>173</v>
      </c>
      <c r="P188" s="665" t="s">
        <v>1005</v>
      </c>
      <c r="Q188" s="667" t="s">
        <v>173</v>
      </c>
      <c r="R188" s="665" t="s">
        <v>549</v>
      </c>
      <c r="S188" s="667" t="s">
        <v>173</v>
      </c>
      <c r="T188" s="262" t="s">
        <v>173</v>
      </c>
      <c r="U188" s="412" t="s">
        <v>300</v>
      </c>
      <c r="V188" s="662">
        <f t="shared" si="8"/>
        <v>12</v>
      </c>
      <c r="W188" s="678"/>
      <c r="X188" s="624">
        <f t="shared" si="9"/>
        <v>9.410256410256411E-2</v>
      </c>
      <c r="Y188" s="412"/>
      <c r="Z188" s="908">
        <f t="shared" si="7"/>
        <v>132.12</v>
      </c>
      <c r="AA188" s="412" t="s">
        <v>300</v>
      </c>
      <c r="AB188" s="366" t="s">
        <v>598</v>
      </c>
      <c r="AC188" s="412" t="s">
        <v>300</v>
      </c>
      <c r="AD188" s="356" t="s">
        <v>599</v>
      </c>
      <c r="AF188" s="93"/>
      <c r="AG188" s="89"/>
      <c r="AH188" s="93"/>
    </row>
    <row r="189" spans="1:34" s="17" customFormat="1" ht="27.6" x14ac:dyDescent="0.3">
      <c r="A189" s="397"/>
      <c r="B189" s="309" t="s">
        <v>667</v>
      </c>
      <c r="C189" s="165" t="s">
        <v>546</v>
      </c>
      <c r="D189" s="452" t="s">
        <v>137</v>
      </c>
      <c r="E189" s="229"/>
      <c r="F189" s="232" t="s">
        <v>668</v>
      </c>
      <c r="G189" s="668" t="s">
        <v>173</v>
      </c>
      <c r="H189" s="669" t="s">
        <v>1688</v>
      </c>
      <c r="I189" s="668" t="s">
        <v>173</v>
      </c>
      <c r="J189" s="669">
        <v>351</v>
      </c>
      <c r="K189" s="668" t="s">
        <v>173</v>
      </c>
      <c r="L189" s="713">
        <v>1</v>
      </c>
      <c r="M189" s="668" t="s">
        <v>173</v>
      </c>
      <c r="N189" s="669" t="s">
        <v>547</v>
      </c>
      <c r="O189" s="668" t="s">
        <v>173</v>
      </c>
      <c r="P189" s="669" t="s">
        <v>1005</v>
      </c>
      <c r="Q189" s="668" t="s">
        <v>173</v>
      </c>
      <c r="R189" s="670" t="s">
        <v>549</v>
      </c>
      <c r="S189" s="668" t="s">
        <v>173</v>
      </c>
      <c r="T189" s="265" t="s">
        <v>173</v>
      </c>
      <c r="U189" s="410" t="s">
        <v>300</v>
      </c>
      <c r="V189" s="736">
        <f>3*L189</f>
        <v>3</v>
      </c>
      <c r="W189" s="681"/>
      <c r="X189" s="910">
        <f t="shared" si="9"/>
        <v>9.410256410256411E-2</v>
      </c>
      <c r="Y189" s="410"/>
      <c r="Z189" s="909">
        <f t="shared" si="7"/>
        <v>33.03</v>
      </c>
      <c r="AA189" s="410" t="s">
        <v>300</v>
      </c>
      <c r="AB189" s="167" t="s">
        <v>598</v>
      </c>
      <c r="AC189" s="410" t="s">
        <v>300</v>
      </c>
      <c r="AD189" s="601" t="s">
        <v>599</v>
      </c>
      <c r="AF189" s="93"/>
      <c r="AG189" s="89"/>
      <c r="AH189" s="93"/>
    </row>
    <row r="190" spans="1:34" s="17" customFormat="1" ht="13.8" x14ac:dyDescent="0.3">
      <c r="A190" s="397"/>
      <c r="B190" s="373"/>
      <c r="C190" s="373"/>
      <c r="D190" s="373"/>
      <c r="E190" s="373"/>
      <c r="F190" s="373"/>
      <c r="G190" s="373"/>
      <c r="H190" s="373"/>
      <c r="I190" s="373"/>
      <c r="J190" s="373"/>
      <c r="K190" s="373"/>
      <c r="L190" s="373"/>
      <c r="M190" s="373"/>
      <c r="N190" s="373"/>
      <c r="O190" s="373"/>
      <c r="P190" s="373"/>
      <c r="Q190" s="373"/>
      <c r="R190" s="373"/>
      <c r="S190" s="373"/>
      <c r="T190" s="373"/>
      <c r="U190" s="373"/>
      <c r="V190" s="373"/>
      <c r="W190" s="373"/>
      <c r="X190" s="373"/>
      <c r="Y190" s="373"/>
      <c r="Z190" s="373"/>
      <c r="AA190" s="373"/>
      <c r="AB190" s="373"/>
      <c r="AC190" s="373"/>
      <c r="AD190" s="373"/>
      <c r="AE190" s="373"/>
      <c r="AF190" s="373"/>
    </row>
    <row r="191" spans="1:34" x14ac:dyDescent="0.3">
      <c r="A191" s="982"/>
      <c r="B191" s="982"/>
      <c r="C191" s="982"/>
      <c r="D191" s="982"/>
      <c r="E191" s="982"/>
      <c r="F191" s="982"/>
      <c r="G191" s="982"/>
      <c r="H191" s="982"/>
      <c r="I191" s="357"/>
      <c r="J191" s="982"/>
      <c r="K191" s="982"/>
      <c r="L191" s="982"/>
      <c r="M191" s="357"/>
      <c r="N191" s="982"/>
      <c r="O191" s="127"/>
      <c r="P191" s="118"/>
      <c r="Q191" s="89"/>
      <c r="R191" s="89"/>
      <c r="S191" s="89"/>
      <c r="T191" s="89"/>
      <c r="U191" s="358"/>
      <c r="V191" s="358"/>
      <c r="W191" s="358"/>
      <c r="X191" s="358"/>
      <c r="Y191" s="982"/>
      <c r="Z191" s="982"/>
      <c r="AA191" s="982"/>
      <c r="AB191" s="982"/>
      <c r="AC191" s="982"/>
      <c r="AD191" s="982"/>
      <c r="AE191" s="982"/>
      <c r="AF191" s="982"/>
      <c r="AG191" s="982"/>
      <c r="AH191" s="982"/>
    </row>
    <row r="192" spans="1:34" x14ac:dyDescent="0.3">
      <c r="A192" s="27"/>
      <c r="B192" s="29" t="s">
        <v>669</v>
      </c>
      <c r="C192" s="982"/>
      <c r="D192" s="982"/>
      <c r="E192" s="357"/>
      <c r="F192" s="982"/>
      <c r="G192" s="357"/>
      <c r="H192" s="982"/>
      <c r="I192" s="357"/>
      <c r="J192" s="982"/>
      <c r="K192" s="357"/>
      <c r="L192" s="982"/>
      <c r="M192" s="357"/>
      <c r="N192" s="982"/>
      <c r="O192" s="127"/>
      <c r="P192" s="118"/>
      <c r="Q192" s="89"/>
      <c r="R192" s="89"/>
      <c r="S192" s="89"/>
      <c r="T192" s="89"/>
      <c r="U192" s="358"/>
      <c r="V192" s="358"/>
      <c r="W192" s="358"/>
      <c r="X192" s="358"/>
      <c r="Y192" s="982"/>
      <c r="Z192" s="982"/>
      <c r="AA192" s="982"/>
      <c r="AB192" s="982"/>
      <c r="AC192" s="982"/>
      <c r="AD192" s="982"/>
      <c r="AE192" s="982"/>
      <c r="AF192" s="982"/>
      <c r="AG192" s="982"/>
      <c r="AH192" s="982"/>
    </row>
    <row r="193" spans="1:26" ht="27.6" x14ac:dyDescent="0.3">
      <c r="A193" s="982"/>
      <c r="B193" s="115" t="s">
        <v>670</v>
      </c>
      <c r="C193" s="119"/>
      <c r="D193" s="120" t="s">
        <v>122</v>
      </c>
      <c r="E193" s="234"/>
      <c r="F193" s="116" t="s">
        <v>671</v>
      </c>
      <c r="G193" s="213"/>
      <c r="H193" s="123" t="s">
        <v>672</v>
      </c>
      <c r="I193" s="234"/>
      <c r="J193" s="116" t="s">
        <v>673</v>
      </c>
      <c r="K193" s="435"/>
      <c r="L193" s="436" t="s">
        <v>674</v>
      </c>
      <c r="M193" s="234"/>
      <c r="N193" s="116" t="s">
        <v>675</v>
      </c>
      <c r="O193" s="127"/>
      <c r="P193" s="118"/>
      <c r="Q193" s="89"/>
      <c r="R193" s="89"/>
      <c r="S193" s="89"/>
      <c r="T193" s="89"/>
      <c r="U193" s="358"/>
      <c r="V193" s="358"/>
      <c r="W193" s="358"/>
      <c r="X193" s="358"/>
      <c r="Y193" s="982"/>
      <c r="Z193" s="982"/>
    </row>
    <row r="194" spans="1:26" ht="15" thickBot="1" x14ac:dyDescent="0.35">
      <c r="A194" s="982"/>
      <c r="B194" s="215"/>
      <c r="C194" s="125"/>
      <c r="D194" s="177"/>
      <c r="E194" s="370"/>
      <c r="F194" s="351" t="s">
        <v>676</v>
      </c>
      <c r="G194" s="371"/>
      <c r="H194" s="350" t="s">
        <v>677</v>
      </c>
      <c r="I194" s="233"/>
      <c r="J194" s="351" t="s">
        <v>678</v>
      </c>
      <c r="K194" s="214"/>
      <c r="L194" s="350" t="s">
        <v>679</v>
      </c>
      <c r="M194" s="233"/>
      <c r="N194" s="351" t="s">
        <v>680</v>
      </c>
      <c r="O194" s="127"/>
      <c r="P194" s="118"/>
      <c r="Q194" s="89"/>
      <c r="R194" s="89"/>
      <c r="S194" s="89"/>
      <c r="T194" s="89"/>
      <c r="U194" s="358"/>
      <c r="V194" s="358"/>
      <c r="W194" s="358"/>
      <c r="X194" s="358"/>
      <c r="Y194" s="982"/>
      <c r="Z194" s="982"/>
    </row>
    <row r="195" spans="1:26" s="357" customFormat="1" thickTop="1" x14ac:dyDescent="0.3">
      <c r="B195" s="352">
        <v>2</v>
      </c>
      <c r="C195" s="385"/>
      <c r="D195" s="165" t="s">
        <v>137</v>
      </c>
      <c r="E195" s="444" t="s">
        <v>173</v>
      </c>
      <c r="F195" s="200">
        <v>363000</v>
      </c>
      <c r="G195" s="355" t="s">
        <v>300</v>
      </c>
      <c r="H195" s="156">
        <v>0.8</v>
      </c>
      <c r="I195" s="171" t="s">
        <v>300</v>
      </c>
      <c r="J195" s="162" t="s">
        <v>681</v>
      </c>
      <c r="K195" s="170" t="s">
        <v>300</v>
      </c>
      <c r="L195" s="167" t="s">
        <v>682</v>
      </c>
      <c r="M195" s="171" t="s">
        <v>300</v>
      </c>
      <c r="N195" s="162">
        <v>0.25</v>
      </c>
      <c r="O195" s="127"/>
      <c r="P195" s="127"/>
      <c r="Q195" s="89"/>
      <c r="R195" s="89"/>
      <c r="S195" s="89"/>
      <c r="T195" s="89"/>
      <c r="U195" s="359"/>
      <c r="V195" s="359"/>
      <c r="W195" s="359"/>
      <c r="X195" s="359"/>
    </row>
    <row r="196" spans="1:26" s="93" customFormat="1" x14ac:dyDescent="0.3">
      <c r="A196" s="89"/>
      <c r="B196" s="92"/>
      <c r="C196" s="90"/>
      <c r="E196" s="357"/>
      <c r="G196" s="25"/>
      <c r="I196" s="96"/>
      <c r="K196" s="96"/>
      <c r="M196" s="96"/>
      <c r="O196" s="96"/>
      <c r="Q196" s="89"/>
      <c r="R196" s="89"/>
      <c r="S196" s="89"/>
      <c r="T196" s="89"/>
      <c r="U196" s="358"/>
      <c r="V196" s="358"/>
      <c r="W196" s="358"/>
      <c r="X196" s="358"/>
    </row>
    <row r="197" spans="1:26" s="93" customFormat="1" x14ac:dyDescent="0.3">
      <c r="A197" s="27"/>
      <c r="B197" s="29" t="s">
        <v>683</v>
      </c>
      <c r="C197" s="90"/>
      <c r="E197" s="357"/>
      <c r="G197" s="25"/>
      <c r="I197" s="96"/>
      <c r="K197" s="96"/>
      <c r="M197" s="96"/>
      <c r="O197" s="96"/>
      <c r="Q197" s="89"/>
      <c r="R197" s="89"/>
      <c r="S197" s="89"/>
      <c r="T197" s="89"/>
      <c r="U197" s="358"/>
      <c r="V197" s="358"/>
      <c r="W197" s="358"/>
      <c r="X197" s="358"/>
    </row>
    <row r="198" spans="1:26" s="38" customFormat="1" ht="27.6" x14ac:dyDescent="0.3">
      <c r="A198" s="89"/>
      <c r="B198" s="131" t="s">
        <v>684</v>
      </c>
      <c r="C198" s="120" t="s">
        <v>685</v>
      </c>
      <c r="D198" s="120" t="s">
        <v>122</v>
      </c>
      <c r="E198" s="131"/>
      <c r="F198" s="148" t="s">
        <v>686</v>
      </c>
      <c r="G198" s="131"/>
      <c r="H198" s="148" t="s">
        <v>687</v>
      </c>
      <c r="I198" s="120"/>
      <c r="J198" s="120" t="s">
        <v>688</v>
      </c>
      <c r="K198" s="210"/>
      <c r="L198" s="120" t="s">
        <v>689</v>
      </c>
      <c r="M198" s="210"/>
      <c r="N198" s="148" t="s">
        <v>690</v>
      </c>
      <c r="O198" s="120"/>
      <c r="P198" s="120" t="s">
        <v>691</v>
      </c>
      <c r="Q198" s="131"/>
      <c r="R198" s="148" t="s">
        <v>692</v>
      </c>
      <c r="S198" s="89"/>
      <c r="T198" s="89"/>
      <c r="U198" s="89"/>
      <c r="V198" s="89"/>
      <c r="W198" s="358"/>
      <c r="X198" s="358"/>
      <c r="Y198" s="358"/>
      <c r="Z198" s="358"/>
    </row>
    <row r="199" spans="1:26" s="431" customFormat="1" ht="15" thickBot="1" x14ac:dyDescent="0.35">
      <c r="A199" s="89"/>
      <c r="B199" s="183"/>
      <c r="C199" s="176"/>
      <c r="D199" s="177"/>
      <c r="E199" s="178"/>
      <c r="F199" s="179" t="s">
        <v>693</v>
      </c>
      <c r="G199" s="178"/>
      <c r="H199" s="179" t="s">
        <v>694</v>
      </c>
      <c r="I199" s="176"/>
      <c r="J199" s="179" t="s">
        <v>695</v>
      </c>
      <c r="K199" s="178"/>
      <c r="L199" s="179" t="s">
        <v>696</v>
      </c>
      <c r="M199" s="178"/>
      <c r="N199" s="179" t="s">
        <v>697</v>
      </c>
      <c r="O199" s="176"/>
      <c r="P199" s="176" t="s">
        <v>698</v>
      </c>
      <c r="Q199" s="178"/>
      <c r="R199" s="179" t="s">
        <v>699</v>
      </c>
      <c r="S199" s="89"/>
      <c r="T199" s="89"/>
      <c r="U199" s="89"/>
      <c r="V199" s="89"/>
      <c r="W199" s="358"/>
      <c r="X199" s="358"/>
      <c r="Y199" s="358"/>
      <c r="Z199" s="358"/>
    </row>
    <row r="200" spans="1:26" s="373" customFormat="1" thickTop="1" x14ac:dyDescent="0.3">
      <c r="B200" s="309" t="s">
        <v>700</v>
      </c>
      <c r="C200" s="165" t="s">
        <v>701</v>
      </c>
      <c r="D200" s="165" t="s">
        <v>137</v>
      </c>
      <c r="E200" s="410" t="s">
        <v>300</v>
      </c>
      <c r="F200" s="165" t="s">
        <v>702</v>
      </c>
      <c r="G200" s="410" t="s">
        <v>300</v>
      </c>
      <c r="H200" s="165" t="s">
        <v>703</v>
      </c>
      <c r="I200" s="410" t="s">
        <v>300</v>
      </c>
      <c r="J200" s="165" t="s">
        <v>704</v>
      </c>
      <c r="K200" s="563" t="s">
        <v>173</v>
      </c>
      <c r="L200" s="564">
        <v>348000</v>
      </c>
      <c r="M200" s="410" t="s">
        <v>300</v>
      </c>
      <c r="N200" s="548" t="str">
        <f>ROUND(12/0.78/3.412,2)&amp;" (0.78 kW/ton) "&amp;ROUND(12/0.78,1)&amp;" EER"</f>
        <v>4.51 (0.78 kW/ton) 15.4 EER</v>
      </c>
      <c r="O200" s="410" t="s">
        <v>300</v>
      </c>
      <c r="P200" s="165">
        <v>0.5</v>
      </c>
      <c r="Q200" s="410" t="s">
        <v>300</v>
      </c>
      <c r="R200" s="250">
        <v>0.15</v>
      </c>
      <c r="S200" s="89"/>
      <c r="T200" s="89"/>
      <c r="U200" s="89"/>
      <c r="V200" s="89"/>
      <c r="W200" s="359"/>
      <c r="X200" s="359"/>
      <c r="Y200" s="359"/>
      <c r="Z200" s="359"/>
    </row>
    <row r="201" spans="1:26" s="93" customFormat="1" x14ac:dyDescent="0.3">
      <c r="A201" s="89"/>
      <c r="B201" s="92"/>
      <c r="C201" s="90"/>
      <c r="E201" s="357"/>
      <c r="G201" s="25"/>
      <c r="I201" s="96"/>
      <c r="K201" s="96"/>
      <c r="M201" s="96"/>
      <c r="O201" s="96"/>
      <c r="Q201" s="89"/>
      <c r="R201" s="89"/>
      <c r="S201" s="89"/>
      <c r="T201" s="89"/>
      <c r="U201" s="358"/>
      <c r="V201" s="358"/>
      <c r="W201" s="358"/>
      <c r="X201" s="358"/>
    </row>
    <row r="202" spans="1:26" s="93" customFormat="1" ht="13.8" x14ac:dyDescent="0.3">
      <c r="A202" s="89"/>
      <c r="B202" s="92"/>
      <c r="C202" s="90"/>
      <c r="E202" s="357"/>
      <c r="G202" s="25"/>
      <c r="I202" s="96"/>
      <c r="K202" s="96"/>
      <c r="M202" s="96"/>
      <c r="O202" s="96"/>
      <c r="Q202" s="96"/>
      <c r="S202" s="96"/>
      <c r="U202" s="96"/>
      <c r="W202" s="96"/>
    </row>
    <row r="203" spans="1:26" s="38" customFormat="1" ht="41.4" x14ac:dyDescent="0.3">
      <c r="A203" s="89"/>
      <c r="B203" s="131" t="s">
        <v>684</v>
      </c>
      <c r="C203" s="120" t="s">
        <v>685</v>
      </c>
      <c r="D203" s="120" t="s">
        <v>122</v>
      </c>
      <c r="E203" s="131"/>
      <c r="F203" s="148" t="s">
        <v>705</v>
      </c>
      <c r="G203" s="210"/>
      <c r="H203" s="148" t="s">
        <v>706</v>
      </c>
      <c r="I203" s="120"/>
      <c r="J203" s="120" t="s">
        <v>707</v>
      </c>
      <c r="K203" s="120"/>
      <c r="L203" s="173" t="s">
        <v>708</v>
      </c>
      <c r="M203" s="437"/>
      <c r="N203" s="117" t="s">
        <v>709</v>
      </c>
      <c r="Q203" s="96"/>
      <c r="R203" s="93"/>
      <c r="S203" s="96"/>
      <c r="T203" s="93"/>
      <c r="U203" s="96"/>
      <c r="V203" s="93"/>
    </row>
    <row r="204" spans="1:26" s="431" customFormat="1" thickBot="1" x14ac:dyDescent="0.35">
      <c r="A204" s="89"/>
      <c r="B204" s="183"/>
      <c r="C204" s="176"/>
      <c r="D204" s="177"/>
      <c r="E204" s="178"/>
      <c r="F204" s="179" t="s">
        <v>710</v>
      </c>
      <c r="G204" s="178"/>
      <c r="H204" s="179" t="s">
        <v>711</v>
      </c>
      <c r="I204" s="176"/>
      <c r="J204" s="176" t="s">
        <v>712</v>
      </c>
      <c r="K204" s="176"/>
      <c r="L204" s="176" t="s">
        <v>713</v>
      </c>
      <c r="M204" s="178"/>
      <c r="N204" s="179" t="s">
        <v>714</v>
      </c>
      <c r="Q204" s="96"/>
      <c r="R204" s="93"/>
      <c r="S204" s="96"/>
      <c r="T204" s="93"/>
      <c r="U204" s="96"/>
      <c r="V204" s="93"/>
    </row>
    <row r="205" spans="1:26" s="373" customFormat="1" ht="28.2" thickTop="1" x14ac:dyDescent="0.3">
      <c r="B205" s="309" t="s">
        <v>700</v>
      </c>
      <c r="C205" s="165" t="s">
        <v>701</v>
      </c>
      <c r="D205" s="165" t="s">
        <v>137</v>
      </c>
      <c r="E205" s="410" t="s">
        <v>300</v>
      </c>
      <c r="F205" s="167" t="s">
        <v>715</v>
      </c>
      <c r="G205" s="410" t="s">
        <v>300</v>
      </c>
      <c r="H205" s="167" t="s">
        <v>716</v>
      </c>
      <c r="I205" s="410" t="s">
        <v>300</v>
      </c>
      <c r="J205" s="167" t="s">
        <v>717</v>
      </c>
      <c r="K205" s="410" t="s">
        <v>300</v>
      </c>
      <c r="L205" s="165" t="s">
        <v>718</v>
      </c>
      <c r="M205" s="410" t="s">
        <v>300</v>
      </c>
      <c r="N205" s="204" t="s">
        <v>719</v>
      </c>
      <c r="Q205" s="96"/>
      <c r="R205" s="93"/>
      <c r="S205" s="96"/>
      <c r="T205" s="93"/>
      <c r="U205" s="96"/>
      <c r="V205" s="93"/>
    </row>
    <row r="206" spans="1:26" s="373" customFormat="1" ht="13.8" x14ac:dyDescent="0.3">
      <c r="Q206" s="96"/>
      <c r="R206" s="93"/>
      <c r="S206" s="96"/>
      <c r="T206" s="93"/>
      <c r="U206" s="96"/>
      <c r="V206" s="93"/>
    </row>
    <row r="207" spans="1:26" s="93" customFormat="1" ht="13.8" x14ac:dyDescent="0.3">
      <c r="A207" s="89"/>
      <c r="B207" s="92"/>
      <c r="C207" s="90"/>
      <c r="E207" s="357"/>
      <c r="G207" s="25"/>
      <c r="I207" s="96"/>
      <c r="K207" s="96"/>
      <c r="M207" s="96"/>
      <c r="O207" s="96"/>
      <c r="Q207" s="96"/>
      <c r="S207" s="96"/>
      <c r="U207" s="96"/>
      <c r="W207" s="96"/>
    </row>
    <row r="208" spans="1:26" s="93" customFormat="1" ht="13.8" x14ac:dyDescent="0.3">
      <c r="A208" s="89"/>
      <c r="B208" s="131" t="s">
        <v>1689</v>
      </c>
      <c r="C208" s="131"/>
      <c r="D208" s="131" t="s">
        <v>122</v>
      </c>
      <c r="E208" s="131"/>
      <c r="F208" s="148" t="s">
        <v>148</v>
      </c>
      <c r="G208" s="210"/>
      <c r="H208" s="148" t="s">
        <v>509</v>
      </c>
      <c r="I208" s="96"/>
      <c r="K208" s="96"/>
      <c r="M208" s="96"/>
      <c r="O208" s="96"/>
      <c r="Q208" s="96"/>
      <c r="S208" s="96"/>
      <c r="U208" s="96"/>
      <c r="W208" s="96"/>
    </row>
    <row r="209" spans="1:28" s="93" customFormat="1" thickBot="1" x14ac:dyDescent="0.35">
      <c r="A209" s="89"/>
      <c r="B209" s="178" t="s">
        <v>1690</v>
      </c>
      <c r="C209" s="183"/>
      <c r="D209" s="183"/>
      <c r="E209" s="178"/>
      <c r="F209" s="179" t="s">
        <v>1690</v>
      </c>
      <c r="G209" s="178"/>
      <c r="H209" s="179" t="s">
        <v>1691</v>
      </c>
      <c r="I209" s="96"/>
      <c r="K209" s="96"/>
      <c r="M209" s="96"/>
      <c r="O209" s="96"/>
      <c r="Q209" s="96"/>
      <c r="S209" s="96"/>
      <c r="U209" s="96"/>
      <c r="W209" s="96"/>
    </row>
    <row r="210" spans="1:28" s="93" customFormat="1" thickTop="1" x14ac:dyDescent="0.3">
      <c r="A210" s="89"/>
      <c r="B210" s="309" t="s">
        <v>1692</v>
      </c>
      <c r="C210" s="167"/>
      <c r="D210" s="165" t="s">
        <v>137</v>
      </c>
      <c r="E210" s="410" t="s">
        <v>300</v>
      </c>
      <c r="F210" s="167" t="s">
        <v>1693</v>
      </c>
      <c r="G210" s="264" t="s">
        <v>300</v>
      </c>
      <c r="H210" s="204" t="s">
        <v>514</v>
      </c>
      <c r="I210" s="96"/>
      <c r="K210" s="96"/>
      <c r="M210" s="96"/>
      <c r="O210" s="96"/>
      <c r="Q210" s="96"/>
      <c r="S210" s="96"/>
      <c r="U210" s="96"/>
      <c r="W210" s="96"/>
    </row>
    <row r="211" spans="1:28" s="93" customFormat="1" ht="13.8" x14ac:dyDescent="0.3">
      <c r="A211" s="89"/>
      <c r="B211" s="92"/>
      <c r="C211" s="90"/>
      <c r="E211" s="357"/>
      <c r="G211" s="25"/>
      <c r="I211" s="96"/>
      <c r="K211" s="96"/>
      <c r="M211" s="96"/>
      <c r="O211" s="96"/>
      <c r="Q211" s="96"/>
      <c r="S211" s="96"/>
      <c r="U211" s="96"/>
      <c r="W211" s="96"/>
    </row>
    <row r="212" spans="1:28" s="93" customFormat="1" ht="13.8" x14ac:dyDescent="0.3">
      <c r="A212" s="89"/>
      <c r="B212" s="92"/>
      <c r="C212" s="90"/>
      <c r="E212" s="357"/>
      <c r="G212" s="25"/>
      <c r="I212" s="96"/>
      <c r="K212" s="96"/>
      <c r="M212" s="96"/>
      <c r="O212" s="96"/>
      <c r="Q212" s="96"/>
      <c r="S212" s="96"/>
      <c r="U212" s="96"/>
      <c r="W212" s="96"/>
    </row>
    <row r="213" spans="1:28" s="38" customFormat="1" ht="27.6" x14ac:dyDescent="0.3">
      <c r="A213" s="89"/>
      <c r="B213" s="131" t="s">
        <v>720</v>
      </c>
      <c r="C213" s="120" t="s">
        <v>721</v>
      </c>
      <c r="D213" s="120" t="s">
        <v>122</v>
      </c>
      <c r="E213" s="131"/>
      <c r="F213" s="148" t="s">
        <v>722</v>
      </c>
      <c r="G213" s="120"/>
      <c r="H213" s="120" t="s">
        <v>723</v>
      </c>
      <c r="I213" s="210"/>
      <c r="J213" s="120" t="s">
        <v>724</v>
      </c>
      <c r="K213" s="210"/>
      <c r="L213" s="120" t="s">
        <v>725</v>
      </c>
      <c r="M213" s="210"/>
      <c r="N213" s="148" t="s">
        <v>726</v>
      </c>
      <c r="O213" s="120"/>
      <c r="P213" s="120" t="s">
        <v>727</v>
      </c>
      <c r="Q213" s="131"/>
      <c r="R213" s="148" t="s">
        <v>728</v>
      </c>
      <c r="S213" s="120"/>
      <c r="T213" s="148" t="s">
        <v>729</v>
      </c>
      <c r="U213" s="120"/>
      <c r="V213" s="148" t="s">
        <v>730</v>
      </c>
      <c r="W213" s="96"/>
      <c r="X213" s="93"/>
      <c r="Y213" s="96"/>
      <c r="Z213" s="93"/>
    </row>
    <row r="214" spans="1:28" s="431" customFormat="1" thickBot="1" x14ac:dyDescent="0.35">
      <c r="A214" s="89"/>
      <c r="B214" s="183"/>
      <c r="C214" s="176"/>
      <c r="D214" s="177"/>
      <c r="E214" s="178"/>
      <c r="F214" s="351" t="s">
        <v>731</v>
      </c>
      <c r="G214" s="176"/>
      <c r="H214" s="179" t="s">
        <v>732</v>
      </c>
      <c r="I214" s="178"/>
      <c r="J214" s="179" t="s">
        <v>733</v>
      </c>
      <c r="K214" s="178"/>
      <c r="L214" s="351" t="s">
        <v>734</v>
      </c>
      <c r="M214" s="178"/>
      <c r="N214" s="351" t="s">
        <v>735</v>
      </c>
      <c r="O214" s="176"/>
      <c r="P214" s="351" t="s">
        <v>736</v>
      </c>
      <c r="Q214" s="178"/>
      <c r="R214" s="351" t="s">
        <v>737</v>
      </c>
      <c r="S214" s="176"/>
      <c r="T214" s="351" t="s">
        <v>738</v>
      </c>
      <c r="U214" s="176"/>
      <c r="V214" s="179" t="s">
        <v>739</v>
      </c>
      <c r="W214" s="96"/>
      <c r="X214" s="93"/>
      <c r="Y214" s="96"/>
      <c r="Z214" s="93"/>
    </row>
    <row r="215" spans="1:28" s="359" customFormat="1" ht="12.75" customHeight="1" thickTop="1" x14ac:dyDescent="0.3">
      <c r="A215" s="373"/>
      <c r="B215" s="141" t="s">
        <v>740</v>
      </c>
      <c r="C215" s="366" t="s">
        <v>741</v>
      </c>
      <c r="D215" s="373" t="s">
        <v>137</v>
      </c>
      <c r="E215" s="411" t="s">
        <v>300</v>
      </c>
      <c r="F215" s="366" t="s">
        <v>742</v>
      </c>
      <c r="G215" s="411" t="s">
        <v>300</v>
      </c>
      <c r="H215" s="373" t="s">
        <v>743</v>
      </c>
      <c r="I215" s="458" t="s">
        <v>173</v>
      </c>
      <c r="J215" s="543">
        <f>ROUND(F195/500.19/40,2)</f>
        <v>18.14</v>
      </c>
      <c r="K215" s="411" t="s">
        <v>300</v>
      </c>
      <c r="L215" s="562" t="str">
        <f>ROUND(19*J215/1000,2)&amp;" (19 W/gpm)"</f>
        <v>0.34 (19 W/gpm)</v>
      </c>
      <c r="M215" s="411" t="s">
        <v>300</v>
      </c>
      <c r="N215" s="299">
        <v>0.5</v>
      </c>
      <c r="O215" s="416" t="s">
        <v>173</v>
      </c>
      <c r="P215" s="598">
        <f>ROUND(19/745.6*3960*R215*0.7,1)</f>
        <v>60.4</v>
      </c>
      <c r="Q215" s="411" t="s">
        <v>300</v>
      </c>
      <c r="R215" s="362">
        <v>0.85499999999999998</v>
      </c>
      <c r="S215" s="411"/>
      <c r="T215" s="362"/>
      <c r="U215" s="403" t="s">
        <v>173</v>
      </c>
      <c r="V215" s="404" t="s">
        <v>173</v>
      </c>
      <c r="W215" s="96"/>
      <c r="X215" s="93"/>
      <c r="Y215" s="96"/>
      <c r="Z215" s="93"/>
    </row>
    <row r="216" spans="1:28" s="359" customFormat="1" ht="12.75" customHeight="1" x14ac:dyDescent="0.3">
      <c r="A216" s="373"/>
      <c r="B216" s="141" t="s">
        <v>744</v>
      </c>
      <c r="C216" s="366" t="s">
        <v>745</v>
      </c>
      <c r="D216" s="373" t="s">
        <v>137</v>
      </c>
      <c r="E216" s="411" t="s">
        <v>300</v>
      </c>
      <c r="F216" s="366" t="s">
        <v>742</v>
      </c>
      <c r="G216" s="411" t="s">
        <v>300</v>
      </c>
      <c r="H216" s="373" t="s">
        <v>743</v>
      </c>
      <c r="I216" s="459" t="s">
        <v>173</v>
      </c>
      <c r="J216" s="549">
        <f>ROUND(F195/500.19/40,2)</f>
        <v>18.14</v>
      </c>
      <c r="K216" s="411" t="s">
        <v>300</v>
      </c>
      <c r="L216" s="562" t="str">
        <f>ROUND(19*J216/1000,2)&amp;" (19 W/gpm)"</f>
        <v>0.34 (19 W/gpm)</v>
      </c>
      <c r="M216" s="411" t="s">
        <v>300</v>
      </c>
      <c r="N216" s="299">
        <v>0.5</v>
      </c>
      <c r="O216" s="417" t="s">
        <v>173</v>
      </c>
      <c r="P216" s="598">
        <f>ROUND(19/745.6*3960*R216*0.7,1)</f>
        <v>60.4</v>
      </c>
      <c r="Q216" s="411" t="s">
        <v>300</v>
      </c>
      <c r="R216" s="362">
        <v>0.85499999999999998</v>
      </c>
      <c r="S216" s="411"/>
      <c r="T216" s="362"/>
      <c r="U216" s="403" t="s">
        <v>173</v>
      </c>
      <c r="V216" s="404" t="s">
        <v>173</v>
      </c>
      <c r="W216" s="96"/>
      <c r="X216" s="93"/>
      <c r="Y216" s="96"/>
      <c r="Z216" s="93"/>
    </row>
    <row r="217" spans="1:28" s="365" customFormat="1" ht="12.75" customHeight="1" x14ac:dyDescent="0.3">
      <c r="A217" s="373"/>
      <c r="B217" s="128" t="s">
        <v>746</v>
      </c>
      <c r="C217" s="373" t="s">
        <v>747</v>
      </c>
      <c r="D217" s="373" t="s">
        <v>137</v>
      </c>
      <c r="E217" s="409" t="s">
        <v>300</v>
      </c>
      <c r="F217" s="365" t="s">
        <v>742</v>
      </c>
      <c r="G217" s="409" t="s">
        <v>300</v>
      </c>
      <c r="H217" s="363" t="s">
        <v>743</v>
      </c>
      <c r="I217" s="459" t="s">
        <v>173</v>
      </c>
      <c r="J217" s="428">
        <f>ROUNDDOWN(J223/500.19/10,2)</f>
        <v>85</v>
      </c>
      <c r="K217" s="409" t="s">
        <v>300</v>
      </c>
      <c r="L217" s="544" t="str">
        <f>ROUNDUP(J217*P217/3960/(0.7*R217)*745.6/1000,2)&amp;" ("&amp;ROUND(VALUE(P217/3960/(0.7*R217)*745.6),1)&amp;" W/gpm)"</f>
        <v>1.19 (14 W/gpm)</v>
      </c>
      <c r="M217" s="409" t="s">
        <v>300</v>
      </c>
      <c r="N217" s="298">
        <v>1.5</v>
      </c>
      <c r="O217" s="409" t="s">
        <v>300</v>
      </c>
      <c r="P217" s="298">
        <v>45</v>
      </c>
      <c r="Q217" s="409" t="s">
        <v>300</v>
      </c>
      <c r="R217" s="361">
        <v>0.86499999999999999</v>
      </c>
      <c r="S217" s="403" t="s">
        <v>173</v>
      </c>
      <c r="T217" s="404" t="s">
        <v>173</v>
      </c>
      <c r="U217" s="403" t="s">
        <v>173</v>
      </c>
      <c r="V217" s="404" t="s">
        <v>173</v>
      </c>
      <c r="W217" s="96"/>
      <c r="X217" s="93"/>
      <c r="Y217" s="96"/>
      <c r="Z217" s="93"/>
    </row>
    <row r="218" spans="1:28" s="365" customFormat="1" ht="27.6" x14ac:dyDescent="0.3">
      <c r="A218" s="373"/>
      <c r="B218" s="278" t="s">
        <v>748</v>
      </c>
      <c r="C218" s="165" t="s">
        <v>700</v>
      </c>
      <c r="D218" s="165" t="s">
        <v>137</v>
      </c>
      <c r="E218" s="410" t="s">
        <v>300</v>
      </c>
      <c r="F218" s="232" t="s">
        <v>742</v>
      </c>
      <c r="G218" s="410" t="s">
        <v>300</v>
      </c>
      <c r="H218" s="232" t="s">
        <v>749</v>
      </c>
      <c r="I218" s="444" t="s">
        <v>173</v>
      </c>
      <c r="J218" s="550">
        <f>ROUND(L200/500.19/20,2)</f>
        <v>34.79</v>
      </c>
      <c r="K218" s="410" t="s">
        <v>300</v>
      </c>
      <c r="L218" s="546" t="str">
        <f>ROUND(J218*P218/3960/(0.7*R218)*745.6/1000,2)&amp;" ("&amp;ROUND((P218/3960/(0.7*R218)*745.6),1)&amp;" W/gpm)"</f>
        <v>0.45 (12.9 W/gpm)</v>
      </c>
      <c r="M218" s="410" t="s">
        <v>300</v>
      </c>
      <c r="N218" s="710">
        <v>0.75</v>
      </c>
      <c r="O218" s="410" t="s">
        <v>300</v>
      </c>
      <c r="P218" s="529">
        <f>40+((0.03*L200)/12000)</f>
        <v>40.869999999999997</v>
      </c>
      <c r="Q218" s="410" t="s">
        <v>300</v>
      </c>
      <c r="R218" s="396">
        <v>0.85499999999999998</v>
      </c>
      <c r="S218" s="405" t="s">
        <v>173</v>
      </c>
      <c r="T218" s="406" t="s">
        <v>173</v>
      </c>
      <c r="U218" s="410" t="s">
        <v>300</v>
      </c>
      <c r="V218" s="198" t="s">
        <v>750</v>
      </c>
      <c r="W218" s="363"/>
      <c r="Y218" s="363"/>
    </row>
    <row r="219" spans="1:28" s="93" customFormat="1" ht="13.8" x14ac:dyDescent="0.3">
      <c r="A219" s="89"/>
      <c r="B219" s="92"/>
      <c r="C219" s="90"/>
      <c r="E219" s="357"/>
      <c r="G219" s="25"/>
      <c r="I219" s="96"/>
      <c r="J219" s="652"/>
      <c r="K219" s="96"/>
      <c r="M219" s="96"/>
      <c r="O219" s="96"/>
      <c r="Q219" s="96"/>
      <c r="S219" s="96"/>
      <c r="U219" s="96"/>
      <c r="W219" s="96"/>
    </row>
    <row r="220" spans="1:28" s="93" customFormat="1" ht="13.8" x14ac:dyDescent="0.3">
      <c r="A220" s="89"/>
      <c r="B220" s="92"/>
      <c r="C220" s="90"/>
      <c r="E220" s="357"/>
      <c r="G220" s="25"/>
      <c r="I220" s="96"/>
      <c r="J220" s="652"/>
      <c r="K220" s="96"/>
      <c r="M220" s="96"/>
      <c r="O220" s="96"/>
      <c r="Q220" s="96"/>
      <c r="S220" s="96"/>
      <c r="U220" s="96"/>
      <c r="W220" s="96"/>
    </row>
    <row r="221" spans="1:28" s="38" customFormat="1" ht="27.6" x14ac:dyDescent="0.3">
      <c r="A221" s="89"/>
      <c r="B221" s="131" t="s">
        <v>751</v>
      </c>
      <c r="C221" s="120" t="s">
        <v>685</v>
      </c>
      <c r="D221" s="120" t="s">
        <v>122</v>
      </c>
      <c r="E221" s="131"/>
      <c r="F221" s="148" t="s">
        <v>752</v>
      </c>
      <c r="G221" s="120"/>
      <c r="H221" s="120" t="s">
        <v>753</v>
      </c>
      <c r="I221" s="131"/>
      <c r="J221" s="148" t="s">
        <v>754</v>
      </c>
      <c r="K221" s="210"/>
      <c r="L221" s="123" t="s">
        <v>755</v>
      </c>
      <c r="M221" s="210"/>
      <c r="N221" s="148" t="s">
        <v>756</v>
      </c>
      <c r="O221" s="120"/>
      <c r="P221" s="148" t="s">
        <v>757</v>
      </c>
      <c r="Q221" s="96"/>
      <c r="R221" s="93"/>
      <c r="S221" s="96"/>
      <c r="T221" s="93"/>
      <c r="U221" s="96"/>
      <c r="V221" s="93"/>
      <c r="W221" s="96"/>
      <c r="X221" s="93"/>
      <c r="Y221" s="96"/>
      <c r="Z221" s="93"/>
    </row>
    <row r="222" spans="1:28" s="431" customFormat="1" thickBot="1" x14ac:dyDescent="0.35">
      <c r="A222" s="89"/>
      <c r="B222" s="183"/>
      <c r="C222" s="176"/>
      <c r="D222" s="177"/>
      <c r="E222" s="178"/>
      <c r="F222" s="351" t="s">
        <v>758</v>
      </c>
      <c r="G222" s="176"/>
      <c r="H222" s="350" t="s">
        <v>759</v>
      </c>
      <c r="I222" s="178"/>
      <c r="J222" s="351" t="s">
        <v>760</v>
      </c>
      <c r="K222" s="178"/>
      <c r="L222" s="351" t="s">
        <v>761</v>
      </c>
      <c r="M222" s="178"/>
      <c r="N222" s="351" t="s">
        <v>762</v>
      </c>
      <c r="O222" s="176"/>
      <c r="P222" s="179" t="s">
        <v>739</v>
      </c>
      <c r="Q222" s="96"/>
      <c r="R222" s="93"/>
      <c r="S222" s="96"/>
      <c r="T222" s="93"/>
      <c r="U222" s="96"/>
      <c r="V222" s="93"/>
      <c r="W222" s="96"/>
      <c r="X222" s="93"/>
      <c r="Y222" s="96"/>
      <c r="Z222" s="93"/>
      <c r="AA222" s="38"/>
      <c r="AB222" s="38"/>
    </row>
    <row r="223" spans="1:28" s="365" customFormat="1" thickTop="1" x14ac:dyDescent="0.3">
      <c r="A223" s="373"/>
      <c r="B223" s="278" t="s">
        <v>747</v>
      </c>
      <c r="C223" s="165" t="s">
        <v>763</v>
      </c>
      <c r="D223" s="165" t="s">
        <v>137</v>
      </c>
      <c r="E223" s="410" t="s">
        <v>300</v>
      </c>
      <c r="F223" s="232" t="s">
        <v>764</v>
      </c>
      <c r="G223" s="410" t="s">
        <v>300</v>
      </c>
      <c r="H223" s="433" t="s">
        <v>451</v>
      </c>
      <c r="I223" s="444" t="s">
        <v>173</v>
      </c>
      <c r="J223" s="564">
        <v>425184</v>
      </c>
      <c r="K223" s="410"/>
      <c r="L223" s="865">
        <f>ROUNDDOWN(J223/498/10,2)</f>
        <v>85.37</v>
      </c>
      <c r="M223" s="410" t="s">
        <v>300</v>
      </c>
      <c r="N223" s="434" t="str">
        <f>ROUNDUP(L223/60,2)&amp;" (60 gpm/HP)"</f>
        <v>1.43 (60 gpm/HP)</v>
      </c>
      <c r="O223" s="410" t="s">
        <v>300</v>
      </c>
      <c r="P223" s="198" t="s">
        <v>765</v>
      </c>
      <c r="Q223" s="363"/>
      <c r="S223" s="363"/>
      <c r="U223" s="363"/>
      <c r="W223" s="363"/>
      <c r="Y223" s="363"/>
    </row>
    <row r="224" spans="1:28" s="93" customFormat="1" ht="13.8" x14ac:dyDescent="0.3">
      <c r="A224" s="89"/>
      <c r="B224" s="92"/>
      <c r="C224" s="90"/>
      <c r="E224" s="357"/>
      <c r="G224" s="25"/>
      <c r="I224" s="96"/>
      <c r="K224" s="96"/>
      <c r="M224" s="96"/>
      <c r="O224" s="96"/>
      <c r="Q224" s="96"/>
      <c r="S224" s="96"/>
      <c r="U224" s="363"/>
      <c r="V224" s="365"/>
      <c r="W224" s="363"/>
      <c r="X224" s="365"/>
    </row>
    <row r="225" spans="1:28" s="93" customFormat="1" ht="13.8" x14ac:dyDescent="0.3">
      <c r="A225" s="89"/>
      <c r="B225" s="92"/>
      <c r="C225" s="90"/>
      <c r="E225" s="357"/>
      <c r="G225" s="25"/>
      <c r="I225" s="96"/>
      <c r="K225" s="96"/>
      <c r="M225" s="96"/>
      <c r="O225" s="96"/>
      <c r="Q225" s="96"/>
      <c r="S225" s="96"/>
      <c r="U225" s="363"/>
      <c r="V225" s="365"/>
      <c r="W225" s="363"/>
      <c r="X225" s="365"/>
    </row>
    <row r="226" spans="1:28" s="93" customFormat="1" ht="13.8" x14ac:dyDescent="0.3">
      <c r="A226" s="286"/>
      <c r="B226" s="286" t="s">
        <v>243</v>
      </c>
      <c r="C226" s="287"/>
      <c r="D226" s="285"/>
      <c r="E226" s="287"/>
      <c r="F226" s="285"/>
      <c r="G226" s="288"/>
      <c r="H226" s="285"/>
      <c r="I226" s="287"/>
      <c r="J226" s="285"/>
      <c r="K226" s="287"/>
      <c r="L226" s="285"/>
      <c r="M226" s="285"/>
      <c r="N226" s="285"/>
      <c r="O226" s="287"/>
      <c r="P226" s="285"/>
      <c r="Q226" s="287"/>
      <c r="R226" s="287"/>
      <c r="S226" s="287"/>
      <c r="T226" s="287"/>
      <c r="U226" s="287"/>
      <c r="V226" s="287"/>
      <c r="W226" s="363"/>
      <c r="X226" s="365"/>
    </row>
    <row r="227" spans="1:28" x14ac:dyDescent="0.3">
      <c r="A227" s="23"/>
      <c r="B227" s="23" t="s">
        <v>329</v>
      </c>
      <c r="U227" s="363"/>
      <c r="V227" s="365"/>
      <c r="W227" s="363"/>
      <c r="X227" s="365"/>
      <c r="Y227" s="982"/>
      <c r="Z227" s="982"/>
      <c r="AA227" s="982"/>
      <c r="AB227" s="982"/>
    </row>
    <row r="228" spans="1:28" ht="41.4" x14ac:dyDescent="0.3">
      <c r="A228" s="89"/>
      <c r="B228" s="115" t="s">
        <v>330</v>
      </c>
      <c r="C228" s="123" t="s">
        <v>331</v>
      </c>
      <c r="D228" s="119" t="s">
        <v>122</v>
      </c>
      <c r="E228" s="131"/>
      <c r="F228" s="148" t="s">
        <v>332</v>
      </c>
      <c r="G228" s="120"/>
      <c r="H228" s="173" t="s">
        <v>148</v>
      </c>
      <c r="I228" s="120"/>
      <c r="J228" s="173" t="s">
        <v>333</v>
      </c>
      <c r="K228" s="131"/>
      <c r="L228" s="117" t="s">
        <v>334</v>
      </c>
      <c r="M228" s="131"/>
      <c r="N228" s="148" t="s">
        <v>335</v>
      </c>
      <c r="O228" s="120"/>
      <c r="P228" s="120" t="s">
        <v>336</v>
      </c>
      <c r="Q228" s="210"/>
      <c r="R228" s="148" t="s">
        <v>337</v>
      </c>
      <c r="S228" s="131"/>
      <c r="T228" s="148" t="s">
        <v>338</v>
      </c>
      <c r="U228" s="131"/>
      <c r="V228" s="148" t="s">
        <v>339</v>
      </c>
      <c r="W228" s="363"/>
      <c r="X228" s="365"/>
      <c r="Y228" s="363"/>
      <c r="Z228" s="365"/>
      <c r="AA228" s="982"/>
      <c r="AB228" s="982"/>
    </row>
    <row r="229" spans="1:28" ht="15" thickBot="1" x14ac:dyDescent="0.35">
      <c r="A229" s="89"/>
      <c r="B229" s="178" t="s">
        <v>341</v>
      </c>
      <c r="C229" s="176" t="s">
        <v>342</v>
      </c>
      <c r="D229" s="371"/>
      <c r="E229" s="183"/>
      <c r="F229" s="179"/>
      <c r="G229" s="177"/>
      <c r="H229" s="179" t="s">
        <v>343</v>
      </c>
      <c r="I229" s="177"/>
      <c r="J229" s="179" t="s">
        <v>344</v>
      </c>
      <c r="K229" s="183"/>
      <c r="L229" s="179" t="s">
        <v>345</v>
      </c>
      <c r="M229" s="211"/>
      <c r="N229" s="179" t="s">
        <v>346</v>
      </c>
      <c r="O229" s="208"/>
      <c r="P229" s="176" t="s">
        <v>347</v>
      </c>
      <c r="Q229" s="211"/>
      <c r="R229" s="179" t="s">
        <v>348</v>
      </c>
      <c r="S229" s="233"/>
      <c r="T229" s="179" t="s">
        <v>349</v>
      </c>
      <c r="U229" s="233"/>
      <c r="V229" s="179" t="s">
        <v>350</v>
      </c>
      <c r="W229" s="363"/>
      <c r="X229" s="365"/>
      <c r="Y229" s="363"/>
      <c r="Z229" s="365"/>
      <c r="AA229" s="982"/>
      <c r="AB229" s="982"/>
    </row>
    <row r="230" spans="1:28" s="359" customFormat="1" thickTop="1" x14ac:dyDescent="0.3">
      <c r="A230" s="373"/>
      <c r="B230" s="423" t="s">
        <v>352</v>
      </c>
      <c r="C230" s="373" t="s">
        <v>351</v>
      </c>
      <c r="D230" s="373" t="s">
        <v>137</v>
      </c>
      <c r="E230" s="137"/>
      <c r="F230" s="366" t="s">
        <v>352</v>
      </c>
      <c r="G230" s="411" t="s">
        <v>300</v>
      </c>
      <c r="H230" s="373" t="s">
        <v>353</v>
      </c>
      <c r="I230" s="411" t="s">
        <v>300</v>
      </c>
      <c r="J230" s="373" t="s">
        <v>353</v>
      </c>
      <c r="K230" s="411" t="s">
        <v>300</v>
      </c>
      <c r="L230" s="373" t="s">
        <v>354</v>
      </c>
      <c r="M230" s="411" t="s">
        <v>300</v>
      </c>
      <c r="N230" s="373">
        <v>55</v>
      </c>
      <c r="O230" s="411" t="s">
        <v>300</v>
      </c>
      <c r="P230" s="373">
        <v>60</v>
      </c>
      <c r="Q230" s="411" t="s">
        <v>300</v>
      </c>
      <c r="R230" s="259" t="s">
        <v>355</v>
      </c>
      <c r="S230" s="411" t="s">
        <v>300</v>
      </c>
      <c r="T230" s="209">
        <v>60</v>
      </c>
      <c r="U230" s="411" t="s">
        <v>300</v>
      </c>
      <c r="V230" s="209">
        <v>55</v>
      </c>
      <c r="W230" s="363"/>
      <c r="X230" s="365"/>
      <c r="Y230" s="363"/>
      <c r="Z230" s="365"/>
    </row>
    <row r="231" spans="1:28" s="359" customFormat="1" ht="13.8" x14ac:dyDescent="0.3">
      <c r="A231" s="373"/>
      <c r="B231" s="128" t="s">
        <v>357</v>
      </c>
      <c r="C231" s="373" t="s">
        <v>356</v>
      </c>
      <c r="D231" s="373" t="s">
        <v>137</v>
      </c>
      <c r="E231" s="137"/>
      <c r="F231" s="366" t="s">
        <v>357</v>
      </c>
      <c r="G231" s="411" t="s">
        <v>300</v>
      </c>
      <c r="H231" s="373" t="s">
        <v>353</v>
      </c>
      <c r="I231" s="411" t="s">
        <v>300</v>
      </c>
      <c r="J231" s="373" t="s">
        <v>353</v>
      </c>
      <c r="K231" s="411" t="s">
        <v>300</v>
      </c>
      <c r="L231" s="373" t="s">
        <v>354</v>
      </c>
      <c r="M231" s="411" t="s">
        <v>300</v>
      </c>
      <c r="N231" s="373">
        <v>55</v>
      </c>
      <c r="O231" s="411" t="s">
        <v>300</v>
      </c>
      <c r="P231" s="373">
        <v>60</v>
      </c>
      <c r="Q231" s="411" t="s">
        <v>300</v>
      </c>
      <c r="R231" s="202" t="s">
        <v>355</v>
      </c>
      <c r="S231" s="411" t="s">
        <v>300</v>
      </c>
      <c r="T231" s="209">
        <v>60</v>
      </c>
      <c r="U231" s="411" t="s">
        <v>300</v>
      </c>
      <c r="V231" s="209">
        <v>55</v>
      </c>
      <c r="W231" s="363"/>
      <c r="X231" s="365"/>
      <c r="Y231" s="363"/>
      <c r="Z231" s="365"/>
    </row>
    <row r="232" spans="1:28" s="359" customFormat="1" ht="13.8" x14ac:dyDescent="0.3">
      <c r="A232" s="373"/>
      <c r="B232" s="128" t="s">
        <v>359</v>
      </c>
      <c r="C232" s="373" t="s">
        <v>358</v>
      </c>
      <c r="D232" s="373" t="s">
        <v>137</v>
      </c>
      <c r="E232" s="137"/>
      <c r="F232" s="366" t="s">
        <v>359</v>
      </c>
      <c r="G232" s="411" t="s">
        <v>300</v>
      </c>
      <c r="H232" s="373" t="s">
        <v>353</v>
      </c>
      <c r="I232" s="411" t="s">
        <v>300</v>
      </c>
      <c r="J232" s="373" t="s">
        <v>353</v>
      </c>
      <c r="K232" s="411" t="s">
        <v>300</v>
      </c>
      <c r="L232" s="373" t="s">
        <v>354</v>
      </c>
      <c r="M232" s="411" t="s">
        <v>300</v>
      </c>
      <c r="N232" s="373">
        <v>55</v>
      </c>
      <c r="O232" s="411" t="s">
        <v>300</v>
      </c>
      <c r="P232" s="373">
        <v>60</v>
      </c>
      <c r="Q232" s="411" t="s">
        <v>300</v>
      </c>
      <c r="R232" s="202" t="s">
        <v>355</v>
      </c>
      <c r="S232" s="411" t="s">
        <v>300</v>
      </c>
      <c r="T232" s="209">
        <v>60</v>
      </c>
      <c r="U232" s="411" t="s">
        <v>300</v>
      </c>
      <c r="V232" s="209">
        <v>55</v>
      </c>
      <c r="W232" s="363"/>
      <c r="X232" s="365"/>
      <c r="Y232" s="363"/>
      <c r="Z232" s="365"/>
    </row>
    <row r="233" spans="1:28" s="359" customFormat="1" ht="13.8" x14ac:dyDescent="0.3">
      <c r="A233" s="373"/>
      <c r="B233" s="128" t="s">
        <v>361</v>
      </c>
      <c r="C233" s="373" t="s">
        <v>360</v>
      </c>
      <c r="D233" s="373" t="s">
        <v>137</v>
      </c>
      <c r="E233" s="137"/>
      <c r="F233" s="366" t="s">
        <v>361</v>
      </c>
      <c r="G233" s="411" t="s">
        <v>300</v>
      </c>
      <c r="H233" s="373" t="s">
        <v>353</v>
      </c>
      <c r="I233" s="411" t="s">
        <v>300</v>
      </c>
      <c r="J233" s="373" t="s">
        <v>353</v>
      </c>
      <c r="K233" s="411" t="s">
        <v>300</v>
      </c>
      <c r="L233" s="373" t="s">
        <v>354</v>
      </c>
      <c r="M233" s="411" t="s">
        <v>300</v>
      </c>
      <c r="N233" s="373">
        <v>55</v>
      </c>
      <c r="O233" s="411" t="s">
        <v>300</v>
      </c>
      <c r="P233" s="373">
        <v>60</v>
      </c>
      <c r="Q233" s="411" t="s">
        <v>300</v>
      </c>
      <c r="R233" s="202" t="s">
        <v>355</v>
      </c>
      <c r="S233" s="411" t="s">
        <v>300</v>
      </c>
      <c r="T233" s="209">
        <v>60</v>
      </c>
      <c r="U233" s="411" t="s">
        <v>300</v>
      </c>
      <c r="V233" s="209">
        <v>55</v>
      </c>
      <c r="W233" s="363"/>
      <c r="X233" s="365"/>
      <c r="Y233" s="363"/>
      <c r="Z233" s="365"/>
    </row>
    <row r="234" spans="1:28" s="357" customFormat="1" ht="13.8" x14ac:dyDescent="0.3">
      <c r="A234" s="89"/>
      <c r="B234" s="180" t="s">
        <v>1637</v>
      </c>
      <c r="C234" s="156" t="s">
        <v>1694</v>
      </c>
      <c r="D234" s="204" t="s">
        <v>137</v>
      </c>
      <c r="E234" s="184"/>
      <c r="F234" s="424" t="s">
        <v>1637</v>
      </c>
      <c r="G234" s="160" t="s">
        <v>300</v>
      </c>
      <c r="H234" s="156" t="s">
        <v>365</v>
      </c>
      <c r="I234" s="160" t="s">
        <v>300</v>
      </c>
      <c r="J234" s="156" t="s">
        <v>365</v>
      </c>
      <c r="K234" s="160" t="s">
        <v>300</v>
      </c>
      <c r="L234" s="162" t="s">
        <v>1639</v>
      </c>
      <c r="M234" s="160" t="s">
        <v>300</v>
      </c>
      <c r="N234" s="212">
        <v>55</v>
      </c>
      <c r="O234" s="160" t="s">
        <v>300</v>
      </c>
      <c r="P234" s="157">
        <v>95</v>
      </c>
      <c r="Q234" s="160" t="s">
        <v>300</v>
      </c>
      <c r="R234" s="212" t="s">
        <v>377</v>
      </c>
      <c r="S234" s="405" t="s">
        <v>173</v>
      </c>
      <c r="T234" s="406" t="s">
        <v>173</v>
      </c>
      <c r="U234" s="405" t="s">
        <v>173</v>
      </c>
      <c r="V234" s="406" t="s">
        <v>173</v>
      </c>
      <c r="W234" s="363"/>
      <c r="X234" s="365"/>
      <c r="Y234" s="363"/>
      <c r="Z234" s="365"/>
    </row>
    <row r="235" spans="1:28" x14ac:dyDescent="0.3">
      <c r="A235" s="89"/>
      <c r="B235" s="84"/>
      <c r="C235" s="82"/>
      <c r="D235" s="30"/>
      <c r="E235" s="364"/>
      <c r="F235" s="364"/>
      <c r="G235" s="364"/>
      <c r="H235" s="364"/>
      <c r="J235" s="364"/>
      <c r="L235" s="364"/>
      <c r="M235" s="91"/>
      <c r="N235" s="89"/>
      <c r="P235" s="364"/>
      <c r="R235" s="364"/>
      <c r="T235" s="364"/>
      <c r="V235" s="364"/>
      <c r="W235" s="363"/>
      <c r="X235" s="365"/>
      <c r="Y235" s="363"/>
      <c r="Z235" s="365"/>
      <c r="AA235" s="982"/>
      <c r="AB235" s="982"/>
    </row>
    <row r="236" spans="1:28" x14ac:dyDescent="0.3">
      <c r="A236" s="89"/>
      <c r="B236" s="84"/>
      <c r="C236" s="82"/>
      <c r="D236" s="30"/>
      <c r="E236" s="364"/>
      <c r="F236" s="364"/>
      <c r="G236" s="364"/>
      <c r="H236" s="364"/>
      <c r="J236" s="364"/>
      <c r="L236" s="364"/>
      <c r="M236" s="91"/>
      <c r="N236" s="89"/>
      <c r="P236" s="364"/>
      <c r="R236" s="364"/>
      <c r="T236" s="364"/>
      <c r="V236" s="364"/>
      <c r="W236" s="363"/>
      <c r="X236" s="365"/>
      <c r="Y236" s="363"/>
      <c r="Z236" s="365"/>
      <c r="AA236" s="982"/>
      <c r="AB236" s="982"/>
    </row>
    <row r="237" spans="1:28" ht="41.4" x14ac:dyDescent="0.3">
      <c r="A237" s="89"/>
      <c r="B237" s="115" t="s">
        <v>330</v>
      </c>
      <c r="C237" s="123" t="s">
        <v>368</v>
      </c>
      <c r="D237" s="119" t="s">
        <v>122</v>
      </c>
      <c r="E237" s="182"/>
      <c r="F237" s="120" t="s">
        <v>332</v>
      </c>
      <c r="G237" s="182"/>
      <c r="H237" s="123" t="s">
        <v>148</v>
      </c>
      <c r="I237" s="182"/>
      <c r="J237" s="123" t="s">
        <v>333</v>
      </c>
      <c r="K237" s="182"/>
      <c r="L237" s="116" t="s">
        <v>334</v>
      </c>
      <c r="M237" s="131"/>
      <c r="N237" s="148" t="s">
        <v>335</v>
      </c>
      <c r="O237" s="120"/>
      <c r="P237" s="120" t="s">
        <v>336</v>
      </c>
      <c r="Q237" s="210"/>
      <c r="R237" s="148" t="s">
        <v>337</v>
      </c>
      <c r="S237" s="131"/>
      <c r="T237" s="148" t="s">
        <v>338</v>
      </c>
      <c r="U237" s="131"/>
      <c r="V237" s="148" t="s">
        <v>339</v>
      </c>
      <c r="Y237" s="364"/>
      <c r="Z237" s="92"/>
      <c r="AA237" s="982"/>
      <c r="AB237" s="982"/>
    </row>
    <row r="238" spans="1:28" ht="15" thickBot="1" x14ac:dyDescent="0.35">
      <c r="A238" s="89"/>
      <c r="B238" s="178" t="s">
        <v>369</v>
      </c>
      <c r="C238" s="176"/>
      <c r="D238" s="371"/>
      <c r="E238" s="183"/>
      <c r="F238" s="371"/>
      <c r="G238" s="370"/>
      <c r="H238" s="176" t="s">
        <v>370</v>
      </c>
      <c r="I238" s="370"/>
      <c r="J238" s="176" t="s">
        <v>371</v>
      </c>
      <c r="K238" s="183"/>
      <c r="L238" s="179" t="s">
        <v>345</v>
      </c>
      <c r="M238" s="211"/>
      <c r="N238" s="179" t="s">
        <v>346</v>
      </c>
      <c r="O238" s="208"/>
      <c r="P238" s="176" t="s">
        <v>347</v>
      </c>
      <c r="Q238" s="211"/>
      <c r="R238" s="179" t="s">
        <v>372</v>
      </c>
      <c r="S238" s="233"/>
      <c r="T238" s="179" t="s">
        <v>349</v>
      </c>
      <c r="U238" s="233"/>
      <c r="V238" s="179" t="s">
        <v>350</v>
      </c>
      <c r="Y238" s="364"/>
      <c r="Z238" s="92"/>
      <c r="AA238" s="982"/>
      <c r="AB238" s="982"/>
    </row>
    <row r="239" spans="1:28" s="357" customFormat="1" thickTop="1" x14ac:dyDescent="0.3">
      <c r="A239" s="89"/>
      <c r="B239" s="455" t="s">
        <v>375</v>
      </c>
      <c r="C239" s="394" t="s">
        <v>1695</v>
      </c>
      <c r="D239" s="394" t="s">
        <v>137</v>
      </c>
      <c r="E239" s="456"/>
      <c r="F239" s="461" t="s">
        <v>375</v>
      </c>
      <c r="G239" s="355"/>
      <c r="H239" s="911" t="s">
        <v>365</v>
      </c>
      <c r="I239" s="355"/>
      <c r="J239" s="911" t="s">
        <v>781</v>
      </c>
      <c r="K239" s="355"/>
      <c r="L239" s="842" t="s">
        <v>1314</v>
      </c>
      <c r="M239" s="355" t="s">
        <v>300</v>
      </c>
      <c r="N239" s="394">
        <v>58</v>
      </c>
      <c r="O239" s="355" t="s">
        <v>300</v>
      </c>
      <c r="P239" s="394">
        <v>95</v>
      </c>
      <c r="Q239" s="355" t="s">
        <v>300</v>
      </c>
      <c r="R239" s="438" t="s">
        <v>377</v>
      </c>
      <c r="S239" s="462" t="s">
        <v>173</v>
      </c>
      <c r="T239" s="453" t="s">
        <v>173</v>
      </c>
      <c r="U239" s="462" t="s">
        <v>173</v>
      </c>
      <c r="V239" s="453" t="s">
        <v>173</v>
      </c>
      <c r="W239" s="364"/>
      <c r="X239" s="92"/>
      <c r="Y239" s="364"/>
      <c r="Z239" s="92"/>
    </row>
    <row r="240" spans="1:28" x14ac:dyDescent="0.3">
      <c r="A240" s="89"/>
      <c r="B240" s="84"/>
      <c r="C240" s="82"/>
      <c r="D240" s="30"/>
      <c r="E240" s="364"/>
      <c r="F240" s="364"/>
      <c r="G240" s="364"/>
      <c r="H240" s="364"/>
      <c r="J240" s="364"/>
      <c r="K240" s="91"/>
      <c r="L240" s="89"/>
      <c r="N240" s="364"/>
      <c r="P240" s="364"/>
      <c r="R240" s="364"/>
      <c r="T240" s="364"/>
      <c r="V240" s="364"/>
      <c r="X240" s="364"/>
      <c r="Y240" s="364"/>
      <c r="Z240" s="364"/>
      <c r="AA240" s="364"/>
      <c r="AB240" s="364"/>
    </row>
    <row r="241" spans="1:28" x14ac:dyDescent="0.3">
      <c r="A241" s="89"/>
      <c r="B241" s="84"/>
      <c r="C241" s="82"/>
      <c r="D241" s="30"/>
      <c r="E241" s="364"/>
      <c r="F241" s="364"/>
      <c r="G241" s="364"/>
      <c r="H241" s="364"/>
      <c r="J241" s="364"/>
      <c r="K241" s="91"/>
      <c r="L241" s="89"/>
      <c r="N241" s="364"/>
      <c r="P241" s="364"/>
      <c r="R241" s="364"/>
      <c r="T241" s="364"/>
      <c r="V241" s="364"/>
      <c r="X241" s="364"/>
      <c r="Y241" s="364"/>
      <c r="Z241" s="364"/>
      <c r="AA241" s="364"/>
      <c r="AB241" s="364"/>
    </row>
    <row r="242" spans="1:28" ht="41.4" x14ac:dyDescent="0.3">
      <c r="A242" s="89"/>
      <c r="B242" s="115" t="s">
        <v>331</v>
      </c>
      <c r="C242" s="123" t="s">
        <v>382</v>
      </c>
      <c r="D242" s="119" t="s">
        <v>122</v>
      </c>
      <c r="E242" s="182"/>
      <c r="F242" s="117" t="s">
        <v>148</v>
      </c>
      <c r="G242" s="175"/>
      <c r="H242" s="173" t="s">
        <v>383</v>
      </c>
      <c r="I242" s="194"/>
      <c r="J242" s="117" t="s">
        <v>385</v>
      </c>
      <c r="K242" s="187"/>
      <c r="L242" s="117" t="s">
        <v>386</v>
      </c>
      <c r="M242" s="427"/>
      <c r="N242" s="117" t="s">
        <v>387</v>
      </c>
      <c r="O242" s="426"/>
      <c r="P242" s="117" t="s">
        <v>388</v>
      </c>
      <c r="R242" s="364"/>
      <c r="T242" s="364"/>
      <c r="V242" s="364"/>
      <c r="X242" s="364"/>
      <c r="Y242" s="364"/>
      <c r="Z242" s="364"/>
      <c r="AA242" s="364"/>
      <c r="AB242" s="364"/>
    </row>
    <row r="243" spans="1:28" ht="15" thickBot="1" x14ac:dyDescent="0.35">
      <c r="A243" s="89"/>
      <c r="B243" s="178" t="s">
        <v>389</v>
      </c>
      <c r="C243" s="176" t="s">
        <v>390</v>
      </c>
      <c r="D243" s="371"/>
      <c r="E243" s="183"/>
      <c r="F243" s="179" t="s">
        <v>391</v>
      </c>
      <c r="G243" s="177"/>
      <c r="H243" s="176" t="s">
        <v>392</v>
      </c>
      <c r="I243" s="183"/>
      <c r="J243" s="179" t="s">
        <v>394</v>
      </c>
      <c r="K243" s="189"/>
      <c r="L243" s="176" t="s">
        <v>395</v>
      </c>
      <c r="M243" s="178"/>
      <c r="N243" s="179" t="s">
        <v>396</v>
      </c>
      <c r="O243" s="176"/>
      <c r="P243" s="179" t="s">
        <v>397</v>
      </c>
      <c r="R243" s="364"/>
      <c r="T243" s="364"/>
      <c r="V243" s="364"/>
      <c r="X243" s="364"/>
      <c r="Y243" s="364"/>
      <c r="Z243" s="364"/>
      <c r="AA243" s="364"/>
      <c r="AB243" s="364"/>
    </row>
    <row r="244" spans="1:28" s="359" customFormat="1" thickTop="1" x14ac:dyDescent="0.3">
      <c r="A244" s="373"/>
      <c r="B244" s="141" t="s">
        <v>351</v>
      </c>
      <c r="C244" s="373" t="s">
        <v>398</v>
      </c>
      <c r="D244" s="373" t="s">
        <v>137</v>
      </c>
      <c r="E244" s="411" t="s">
        <v>300</v>
      </c>
      <c r="F244" s="373" t="s">
        <v>399</v>
      </c>
      <c r="G244" s="345" t="s">
        <v>300</v>
      </c>
      <c r="H244" s="373">
        <v>9.8000000000000007</v>
      </c>
      <c r="I244" s="411"/>
      <c r="J244" s="76" t="s">
        <v>173</v>
      </c>
      <c r="K244" s="345" t="s">
        <v>300</v>
      </c>
      <c r="L244" s="366" t="s">
        <v>400</v>
      </c>
      <c r="M244" s="639" t="s">
        <v>300</v>
      </c>
      <c r="N244" s="366" t="s">
        <v>401</v>
      </c>
      <c r="O244" s="639" t="s">
        <v>300</v>
      </c>
      <c r="P244" s="362" t="s">
        <v>782</v>
      </c>
      <c r="Q244" s="373"/>
      <c r="R244" s="373"/>
      <c r="S244" s="373"/>
      <c r="T244" s="373"/>
      <c r="U244" s="373"/>
      <c r="V244" s="373"/>
      <c r="W244" s="373"/>
      <c r="X244" s="373"/>
      <c r="Y244" s="373"/>
      <c r="Z244" s="373"/>
      <c r="AA244" s="373"/>
      <c r="AB244" s="373"/>
    </row>
    <row r="245" spans="1:28" s="359" customFormat="1" ht="27.6" x14ac:dyDescent="0.3">
      <c r="A245" s="373"/>
      <c r="B245" s="141" t="s">
        <v>356</v>
      </c>
      <c r="C245" s="373" t="s">
        <v>403</v>
      </c>
      <c r="D245" s="373" t="s">
        <v>137</v>
      </c>
      <c r="E245" s="412" t="s">
        <v>300</v>
      </c>
      <c r="F245" s="373" t="s">
        <v>399</v>
      </c>
      <c r="G245" s="412" t="s">
        <v>300</v>
      </c>
      <c r="H245" s="912">
        <v>10.8446</v>
      </c>
      <c r="I245" s="412"/>
      <c r="J245" s="913" t="s">
        <v>173</v>
      </c>
      <c r="K245" s="142" t="s">
        <v>300</v>
      </c>
      <c r="L245" s="363" t="s">
        <v>783</v>
      </c>
      <c r="M245" s="640" t="s">
        <v>300</v>
      </c>
      <c r="N245" s="366" t="s">
        <v>405</v>
      </c>
      <c r="O245" s="640" t="s">
        <v>300</v>
      </c>
      <c r="P245" s="362" t="s">
        <v>782</v>
      </c>
      <c r="Q245" s="373"/>
      <c r="R245" s="373"/>
      <c r="S245" s="373"/>
      <c r="T245" s="373"/>
      <c r="U245" s="373"/>
      <c r="V245" s="373"/>
      <c r="W245" s="373"/>
      <c r="X245" s="373"/>
      <c r="Y245" s="373"/>
      <c r="Z245" s="373"/>
      <c r="AA245" s="373"/>
      <c r="AB245" s="373"/>
    </row>
    <row r="246" spans="1:28" s="359" customFormat="1" ht="27.6" x14ac:dyDescent="0.3">
      <c r="A246" s="373"/>
      <c r="B246" s="141" t="s">
        <v>358</v>
      </c>
      <c r="C246" s="373" t="s">
        <v>406</v>
      </c>
      <c r="D246" s="373" t="s">
        <v>137</v>
      </c>
      <c r="E246" s="412" t="s">
        <v>300</v>
      </c>
      <c r="F246" s="373" t="s">
        <v>399</v>
      </c>
      <c r="G246" s="412" t="s">
        <v>300</v>
      </c>
      <c r="H246" s="912">
        <v>10.8446</v>
      </c>
      <c r="I246" s="412"/>
      <c r="J246" s="913" t="s">
        <v>173</v>
      </c>
      <c r="K246" s="142" t="s">
        <v>300</v>
      </c>
      <c r="L246" s="363" t="s">
        <v>783</v>
      </c>
      <c r="M246" s="640" t="s">
        <v>300</v>
      </c>
      <c r="N246" s="366" t="s">
        <v>405</v>
      </c>
      <c r="O246" s="640" t="s">
        <v>300</v>
      </c>
      <c r="P246" s="362" t="s">
        <v>782</v>
      </c>
      <c r="Q246" s="373"/>
      <c r="R246" s="373"/>
      <c r="S246" s="373"/>
      <c r="T246" s="373"/>
      <c r="U246" s="373"/>
      <c r="V246" s="373"/>
      <c r="W246" s="373"/>
      <c r="X246" s="373"/>
      <c r="Y246" s="373"/>
      <c r="Z246" s="373"/>
      <c r="AA246" s="373"/>
      <c r="AB246" s="373"/>
    </row>
    <row r="247" spans="1:28" s="359" customFormat="1" ht="13.8" x14ac:dyDescent="0.3">
      <c r="A247" s="373"/>
      <c r="B247" s="141" t="s">
        <v>360</v>
      </c>
      <c r="C247" s="373" t="s">
        <v>408</v>
      </c>
      <c r="D247" s="373" t="s">
        <v>137</v>
      </c>
      <c r="E247" s="412" t="s">
        <v>300</v>
      </c>
      <c r="F247" s="373" t="s">
        <v>399</v>
      </c>
      <c r="G247" s="412" t="s">
        <v>300</v>
      </c>
      <c r="H247" s="457">
        <v>11</v>
      </c>
      <c r="I247" s="412"/>
      <c r="J247" s="913" t="s">
        <v>173</v>
      </c>
      <c r="K247" s="142" t="s">
        <v>300</v>
      </c>
      <c r="L247" s="363" t="s">
        <v>400</v>
      </c>
      <c r="M247" s="640" t="s">
        <v>300</v>
      </c>
      <c r="N247" s="366" t="s">
        <v>401</v>
      </c>
      <c r="O247" s="640" t="s">
        <v>300</v>
      </c>
      <c r="P247" s="362" t="s">
        <v>782</v>
      </c>
      <c r="Q247" s="373"/>
      <c r="R247" s="373"/>
      <c r="S247" s="373"/>
      <c r="T247" s="373"/>
      <c r="U247" s="373"/>
      <c r="V247" s="373"/>
      <c r="W247" s="373"/>
      <c r="X247" s="373"/>
      <c r="Y247" s="373"/>
      <c r="Z247" s="373"/>
      <c r="AA247" s="373"/>
      <c r="AB247" s="373"/>
    </row>
    <row r="248" spans="1:28" s="359" customFormat="1" ht="27.6" x14ac:dyDescent="0.3">
      <c r="A248" s="373"/>
      <c r="B248" s="141" t="s">
        <v>1694</v>
      </c>
      <c r="C248" s="373" t="s">
        <v>1696</v>
      </c>
      <c r="D248" s="373" t="s">
        <v>137</v>
      </c>
      <c r="E248" s="412" t="s">
        <v>300</v>
      </c>
      <c r="F248" s="373" t="s">
        <v>399</v>
      </c>
      <c r="G248" s="142" t="s">
        <v>300</v>
      </c>
      <c r="H248" s="912">
        <v>10.8446</v>
      </c>
      <c r="I248" s="412" t="s">
        <v>300</v>
      </c>
      <c r="J248" s="365">
        <v>1.1499999999999999</v>
      </c>
      <c r="K248" s="142" t="s">
        <v>300</v>
      </c>
      <c r="L248" s="363" t="s">
        <v>783</v>
      </c>
      <c r="M248" s="640" t="s">
        <v>300</v>
      </c>
      <c r="N248" s="366" t="s">
        <v>405</v>
      </c>
      <c r="O248" s="640" t="s">
        <v>300</v>
      </c>
      <c r="P248" s="362" t="s">
        <v>402</v>
      </c>
      <c r="Q248" s="373"/>
      <c r="R248" s="373"/>
      <c r="S248" s="373"/>
      <c r="T248" s="373"/>
      <c r="U248" s="373"/>
      <c r="V248" s="373"/>
      <c r="W248" s="373"/>
      <c r="X248" s="373"/>
      <c r="Y248" s="373"/>
      <c r="Z248" s="373"/>
      <c r="AA248" s="373"/>
      <c r="AB248" s="373"/>
    </row>
    <row r="249" spans="1:28" s="357" customFormat="1" ht="13.8" x14ac:dyDescent="0.3">
      <c r="A249" s="89"/>
      <c r="B249" s="877" t="s">
        <v>784</v>
      </c>
      <c r="C249" s="867" t="s">
        <v>785</v>
      </c>
      <c r="D249" s="204" t="s">
        <v>137</v>
      </c>
      <c r="E249" s="160"/>
      <c r="F249" s="867" t="s">
        <v>399</v>
      </c>
      <c r="G249" s="160" t="s">
        <v>300</v>
      </c>
      <c r="H249" s="914">
        <v>12.2</v>
      </c>
      <c r="I249" s="160" t="s">
        <v>300</v>
      </c>
      <c r="J249" s="250">
        <v>1.1499999999999999</v>
      </c>
      <c r="K249" s="405" t="s">
        <v>173</v>
      </c>
      <c r="L249" s="406" t="s">
        <v>173</v>
      </c>
      <c r="M249" s="405" t="s">
        <v>173</v>
      </c>
      <c r="N249" s="406" t="s">
        <v>173</v>
      </c>
      <c r="O249" s="405" t="s">
        <v>173</v>
      </c>
      <c r="P249" s="406" t="s">
        <v>173</v>
      </c>
      <c r="Q249" s="364"/>
      <c r="R249" s="364"/>
      <c r="S249" s="364"/>
      <c r="T249" s="364"/>
      <c r="U249" s="364"/>
      <c r="V249" s="364"/>
      <c r="W249" s="364"/>
      <c r="X249" s="364"/>
      <c r="Y249" s="364"/>
      <c r="Z249" s="364"/>
      <c r="AA249" s="364"/>
      <c r="AB249" s="364"/>
    </row>
    <row r="250" spans="1:28" x14ac:dyDescent="0.3">
      <c r="A250" s="89"/>
      <c r="B250" s="84"/>
      <c r="C250" s="82"/>
      <c r="D250" s="89"/>
      <c r="E250" s="91"/>
      <c r="F250" s="89"/>
      <c r="G250" s="91"/>
      <c r="H250" s="89"/>
      <c r="I250" s="91"/>
      <c r="J250" s="89"/>
      <c r="K250" s="30"/>
      <c r="L250" s="364"/>
      <c r="N250" s="364"/>
      <c r="P250" s="364"/>
      <c r="R250" s="364"/>
      <c r="T250" s="364"/>
      <c r="V250" s="364"/>
      <c r="X250" s="364"/>
      <c r="Y250" s="364"/>
      <c r="Z250" s="364"/>
      <c r="AA250" s="364"/>
      <c r="AB250" s="364"/>
    </row>
    <row r="251" spans="1:28" x14ac:dyDescent="0.3">
      <c r="A251" s="89"/>
      <c r="B251" s="84"/>
      <c r="C251" s="82"/>
      <c r="D251" s="89"/>
      <c r="E251" s="91"/>
      <c r="F251" s="89"/>
      <c r="G251" s="91"/>
      <c r="H251" s="89"/>
      <c r="I251" s="91"/>
      <c r="J251" s="89"/>
      <c r="K251" s="30"/>
      <c r="L251" s="364"/>
      <c r="N251" s="364"/>
      <c r="P251" s="364"/>
      <c r="R251" s="364"/>
      <c r="T251" s="364"/>
      <c r="V251" s="364"/>
      <c r="X251" s="364"/>
      <c r="Y251" s="364"/>
      <c r="Z251" s="364"/>
      <c r="AA251" s="364"/>
      <c r="AB251" s="364"/>
    </row>
    <row r="252" spans="1:28" ht="27.6" x14ac:dyDescent="0.3">
      <c r="A252" s="89"/>
      <c r="B252" s="115" t="s">
        <v>331</v>
      </c>
      <c r="C252" s="123" t="s">
        <v>413</v>
      </c>
      <c r="D252" s="119" t="s">
        <v>122</v>
      </c>
      <c r="E252" s="182"/>
      <c r="F252" s="117" t="s">
        <v>414</v>
      </c>
      <c r="G252" s="173"/>
      <c r="H252" s="173" t="s">
        <v>415</v>
      </c>
      <c r="I252" s="194"/>
      <c r="J252" s="117" t="s">
        <v>385</v>
      </c>
      <c r="K252" s="187"/>
      <c r="L252" s="117" t="s">
        <v>416</v>
      </c>
      <c r="N252" s="364"/>
      <c r="P252" s="364"/>
      <c r="R252" s="364"/>
      <c r="T252" s="364"/>
      <c r="V252" s="364"/>
      <c r="X252" s="364"/>
      <c r="Y252" s="364"/>
      <c r="Z252" s="364"/>
      <c r="AA252" s="364"/>
      <c r="AB252" s="364"/>
    </row>
    <row r="253" spans="1:28" ht="15" thickBot="1" x14ac:dyDescent="0.35">
      <c r="A253" s="89"/>
      <c r="B253" s="178" t="s">
        <v>417</v>
      </c>
      <c r="C253" s="176" t="s">
        <v>418</v>
      </c>
      <c r="D253" s="176"/>
      <c r="E253" s="183"/>
      <c r="F253" s="179" t="s">
        <v>419</v>
      </c>
      <c r="G253" s="177"/>
      <c r="H253" s="176" t="s">
        <v>420</v>
      </c>
      <c r="I253" s="183"/>
      <c r="J253" s="179"/>
      <c r="K253" s="124"/>
      <c r="L253" s="179" t="s">
        <v>421</v>
      </c>
      <c r="N253" s="364"/>
      <c r="P253" s="364"/>
      <c r="R253" s="364"/>
      <c r="T253" s="364"/>
      <c r="V253" s="364"/>
      <c r="X253" s="364"/>
      <c r="Y253" s="364"/>
      <c r="Z253" s="364"/>
      <c r="AA253" s="364"/>
      <c r="AB253" s="364"/>
    </row>
    <row r="254" spans="1:28" s="357" customFormat="1" thickTop="1" x14ac:dyDescent="0.3">
      <c r="A254" s="89"/>
      <c r="B254" s="141" t="s">
        <v>351</v>
      </c>
      <c r="C254" s="373" t="s">
        <v>422</v>
      </c>
      <c r="D254" s="373" t="s">
        <v>137</v>
      </c>
      <c r="E254" s="409" t="s">
        <v>300</v>
      </c>
      <c r="F254" s="266" t="s">
        <v>423</v>
      </c>
      <c r="G254" s="403" t="s">
        <v>173</v>
      </c>
      <c r="H254" s="404" t="s">
        <v>173</v>
      </c>
      <c r="I254" s="409" t="s">
        <v>300</v>
      </c>
      <c r="J254" s="360">
        <v>1.25</v>
      </c>
      <c r="K254" s="403" t="s">
        <v>173</v>
      </c>
      <c r="L254" s="404" t="s">
        <v>173</v>
      </c>
      <c r="M254" s="364"/>
      <c r="N254" s="364"/>
      <c r="O254" s="364"/>
      <c r="P254" s="364"/>
      <c r="Q254" s="364"/>
      <c r="R254" s="364"/>
      <c r="S254" s="364"/>
      <c r="T254" s="364"/>
      <c r="U254" s="364"/>
      <c r="V254" s="364"/>
      <c r="W254" s="364"/>
      <c r="X254" s="364"/>
      <c r="Y254" s="364"/>
      <c r="Z254" s="364"/>
      <c r="AA254" s="364"/>
      <c r="AB254" s="364"/>
    </row>
    <row r="255" spans="1:28" s="357" customFormat="1" ht="13.8" x14ac:dyDescent="0.3">
      <c r="A255" s="89"/>
      <c r="B255" s="141" t="s">
        <v>356</v>
      </c>
      <c r="C255" s="373" t="s">
        <v>424</v>
      </c>
      <c r="D255" s="373" t="s">
        <v>137</v>
      </c>
      <c r="E255" s="409" t="s">
        <v>300</v>
      </c>
      <c r="F255" s="266" t="s">
        <v>423</v>
      </c>
      <c r="G255" s="403" t="s">
        <v>173</v>
      </c>
      <c r="H255" s="404" t="s">
        <v>173</v>
      </c>
      <c r="I255" s="409" t="s">
        <v>300</v>
      </c>
      <c r="J255" s="360">
        <v>1.25</v>
      </c>
      <c r="K255" s="403" t="s">
        <v>173</v>
      </c>
      <c r="L255" s="404" t="s">
        <v>173</v>
      </c>
      <c r="M255" s="364"/>
      <c r="N255" s="364"/>
      <c r="O255" s="364"/>
      <c r="P255" s="364"/>
      <c r="Q255" s="364"/>
      <c r="R255" s="364"/>
      <c r="S255" s="364"/>
      <c r="T255" s="364"/>
      <c r="U255" s="364"/>
      <c r="V255" s="364"/>
      <c r="W255" s="364"/>
      <c r="X255" s="364"/>
      <c r="Y255" s="364"/>
      <c r="Z255" s="364"/>
      <c r="AA255" s="364"/>
      <c r="AB255" s="364"/>
    </row>
    <row r="256" spans="1:28" s="357" customFormat="1" ht="13.8" x14ac:dyDescent="0.3">
      <c r="A256" s="89"/>
      <c r="B256" s="141" t="s">
        <v>358</v>
      </c>
      <c r="C256" s="373" t="s">
        <v>425</v>
      </c>
      <c r="D256" s="373" t="s">
        <v>137</v>
      </c>
      <c r="E256" s="409" t="s">
        <v>300</v>
      </c>
      <c r="F256" s="266" t="s">
        <v>423</v>
      </c>
      <c r="G256" s="403" t="s">
        <v>173</v>
      </c>
      <c r="H256" s="404" t="s">
        <v>173</v>
      </c>
      <c r="I256" s="409" t="s">
        <v>300</v>
      </c>
      <c r="J256" s="360">
        <v>1.25</v>
      </c>
      <c r="K256" s="403" t="s">
        <v>173</v>
      </c>
      <c r="L256" s="404" t="s">
        <v>173</v>
      </c>
      <c r="M256" s="364"/>
      <c r="N256" s="364"/>
      <c r="O256" s="364"/>
      <c r="P256" s="364"/>
      <c r="Q256" s="364"/>
      <c r="R256" s="364"/>
      <c r="S256" s="364"/>
      <c r="T256" s="364"/>
      <c r="U256" s="364"/>
      <c r="V256" s="364"/>
      <c r="W256" s="364"/>
      <c r="X256" s="364"/>
      <c r="Y256" s="364"/>
      <c r="Z256" s="364"/>
      <c r="AA256" s="364"/>
      <c r="AB256" s="364"/>
    </row>
    <row r="257" spans="1:28" s="357" customFormat="1" ht="13.8" x14ac:dyDescent="0.3">
      <c r="A257" s="89"/>
      <c r="B257" s="141" t="s">
        <v>360</v>
      </c>
      <c r="C257" s="373" t="s">
        <v>426</v>
      </c>
      <c r="D257" s="373" t="s">
        <v>137</v>
      </c>
      <c r="E257" s="409" t="s">
        <v>300</v>
      </c>
      <c r="F257" s="266" t="s">
        <v>423</v>
      </c>
      <c r="G257" s="403" t="s">
        <v>173</v>
      </c>
      <c r="H257" s="404" t="s">
        <v>173</v>
      </c>
      <c r="I257" s="409" t="s">
        <v>300</v>
      </c>
      <c r="J257" s="360">
        <v>1.25</v>
      </c>
      <c r="K257" s="403" t="s">
        <v>173</v>
      </c>
      <c r="L257" s="404" t="s">
        <v>173</v>
      </c>
      <c r="M257" s="364"/>
      <c r="N257" s="364"/>
      <c r="O257" s="364"/>
      <c r="P257" s="364"/>
      <c r="Q257" s="364"/>
      <c r="R257" s="364"/>
      <c r="S257" s="364"/>
      <c r="T257" s="364"/>
      <c r="U257" s="364"/>
      <c r="V257" s="364"/>
      <c r="W257" s="364"/>
      <c r="X257" s="364"/>
      <c r="Y257" s="364"/>
      <c r="Z257" s="364"/>
      <c r="AA257" s="364"/>
      <c r="AB257" s="364"/>
    </row>
    <row r="258" spans="1:28" s="357" customFormat="1" ht="13.8" x14ac:dyDescent="0.3">
      <c r="A258" s="89"/>
      <c r="B258" s="141" t="s">
        <v>351</v>
      </c>
      <c r="C258" s="373" t="s">
        <v>786</v>
      </c>
      <c r="D258" s="373" t="s">
        <v>137</v>
      </c>
      <c r="E258" s="409" t="s">
        <v>300</v>
      </c>
      <c r="F258" s="266" t="s">
        <v>423</v>
      </c>
      <c r="G258" s="403" t="s">
        <v>173</v>
      </c>
      <c r="H258" s="404" t="s">
        <v>173</v>
      </c>
      <c r="I258" s="409" t="s">
        <v>300</v>
      </c>
      <c r="J258" s="360">
        <v>1.25</v>
      </c>
      <c r="K258" s="403" t="s">
        <v>173</v>
      </c>
      <c r="L258" s="404" t="s">
        <v>173</v>
      </c>
      <c r="M258" s="364"/>
      <c r="N258" s="364"/>
      <c r="O258" s="364"/>
      <c r="P258" s="364"/>
      <c r="Q258" s="364"/>
      <c r="R258" s="364"/>
      <c r="S258" s="364"/>
      <c r="T258" s="364"/>
      <c r="U258" s="364"/>
      <c r="V258" s="364"/>
      <c r="W258" s="364"/>
      <c r="X258" s="364"/>
      <c r="Y258" s="364"/>
      <c r="Z258" s="364"/>
      <c r="AA258" s="364"/>
      <c r="AB258" s="364"/>
    </row>
    <row r="259" spans="1:28" s="359" customFormat="1" ht="13.8" x14ac:dyDescent="0.3">
      <c r="A259" s="373"/>
      <c r="B259" s="141" t="s">
        <v>356</v>
      </c>
      <c r="C259" s="373" t="s">
        <v>786</v>
      </c>
      <c r="D259" s="373" t="s">
        <v>137</v>
      </c>
      <c r="E259" s="409" t="s">
        <v>300</v>
      </c>
      <c r="F259" s="266" t="s">
        <v>423</v>
      </c>
      <c r="G259" s="403" t="s">
        <v>173</v>
      </c>
      <c r="H259" s="404" t="s">
        <v>173</v>
      </c>
      <c r="I259" s="409" t="s">
        <v>300</v>
      </c>
      <c r="J259" s="360">
        <v>1.25</v>
      </c>
      <c r="K259" s="403" t="s">
        <v>173</v>
      </c>
      <c r="L259" s="404" t="s">
        <v>173</v>
      </c>
      <c r="M259" s="373"/>
      <c r="N259" s="373"/>
      <c r="O259" s="373"/>
      <c r="P259" s="373"/>
      <c r="Q259" s="373"/>
      <c r="R259" s="373"/>
      <c r="S259" s="373"/>
      <c r="T259" s="373"/>
      <c r="U259" s="373"/>
      <c r="V259" s="373"/>
      <c r="W259" s="373"/>
      <c r="X259" s="373"/>
      <c r="Y259" s="373"/>
      <c r="Z259" s="373"/>
      <c r="AA259" s="373"/>
      <c r="AB259" s="373"/>
    </row>
    <row r="260" spans="1:28" s="359" customFormat="1" ht="13.8" x14ac:dyDescent="0.3">
      <c r="A260" s="373"/>
      <c r="B260" s="141" t="s">
        <v>358</v>
      </c>
      <c r="C260" s="373" t="s">
        <v>786</v>
      </c>
      <c r="D260" s="373" t="s">
        <v>137</v>
      </c>
      <c r="E260" s="409" t="s">
        <v>300</v>
      </c>
      <c r="F260" s="266" t="s">
        <v>423</v>
      </c>
      <c r="G260" s="403" t="s">
        <v>173</v>
      </c>
      <c r="H260" s="404" t="s">
        <v>173</v>
      </c>
      <c r="I260" s="409" t="s">
        <v>300</v>
      </c>
      <c r="J260" s="360">
        <v>1.25</v>
      </c>
      <c r="K260" s="403" t="s">
        <v>173</v>
      </c>
      <c r="L260" s="404" t="s">
        <v>173</v>
      </c>
      <c r="M260" s="373"/>
      <c r="N260" s="373"/>
      <c r="O260" s="373"/>
      <c r="P260" s="373"/>
      <c r="Q260" s="373"/>
      <c r="R260" s="373"/>
      <c r="S260" s="373"/>
      <c r="T260" s="373"/>
      <c r="U260" s="373"/>
      <c r="V260" s="373"/>
      <c r="W260" s="373"/>
      <c r="X260" s="373"/>
      <c r="Y260" s="373"/>
      <c r="Z260" s="373"/>
      <c r="AA260" s="373"/>
      <c r="AB260" s="373"/>
    </row>
    <row r="261" spans="1:28" s="359" customFormat="1" ht="13.8" x14ac:dyDescent="0.3">
      <c r="A261" s="373"/>
      <c r="B261" s="141" t="s">
        <v>360</v>
      </c>
      <c r="C261" s="373" t="s">
        <v>786</v>
      </c>
      <c r="D261" s="373" t="s">
        <v>137</v>
      </c>
      <c r="E261" s="409" t="s">
        <v>300</v>
      </c>
      <c r="F261" s="266" t="s">
        <v>423</v>
      </c>
      <c r="G261" s="403" t="s">
        <v>173</v>
      </c>
      <c r="H261" s="404" t="s">
        <v>173</v>
      </c>
      <c r="I261" s="409" t="s">
        <v>300</v>
      </c>
      <c r="J261" s="360">
        <v>1.25</v>
      </c>
      <c r="K261" s="403" t="s">
        <v>173</v>
      </c>
      <c r="L261" s="404" t="s">
        <v>173</v>
      </c>
      <c r="M261" s="373"/>
      <c r="N261" s="373"/>
      <c r="O261" s="373"/>
      <c r="P261" s="373"/>
      <c r="Q261" s="373"/>
      <c r="R261" s="373"/>
      <c r="S261" s="373"/>
      <c r="T261" s="373"/>
      <c r="U261" s="373"/>
      <c r="V261" s="373"/>
      <c r="W261" s="373"/>
      <c r="X261" s="373"/>
      <c r="Y261" s="373"/>
      <c r="Z261" s="373"/>
      <c r="AA261" s="373"/>
      <c r="AB261" s="373"/>
    </row>
    <row r="262" spans="1:28" s="359" customFormat="1" ht="13.8" x14ac:dyDescent="0.3">
      <c r="A262" s="373"/>
      <c r="B262" s="141" t="s">
        <v>1694</v>
      </c>
      <c r="C262" s="373" t="s">
        <v>1697</v>
      </c>
      <c r="D262" s="373" t="s">
        <v>137</v>
      </c>
      <c r="E262" s="409"/>
      <c r="F262" s="890" t="s">
        <v>788</v>
      </c>
      <c r="G262" s="403" t="s">
        <v>173</v>
      </c>
      <c r="H262" s="404" t="s">
        <v>173</v>
      </c>
      <c r="I262" s="409" t="s">
        <v>300</v>
      </c>
      <c r="J262" s="360">
        <v>1.25</v>
      </c>
      <c r="K262" s="403" t="s">
        <v>173</v>
      </c>
      <c r="L262" s="404" t="s">
        <v>173</v>
      </c>
      <c r="M262" s="373"/>
      <c r="N262" s="373"/>
      <c r="O262" s="373"/>
      <c r="P262" s="373"/>
      <c r="Q262" s="373"/>
      <c r="R262" s="373"/>
      <c r="S262" s="373"/>
      <c r="T262" s="373"/>
      <c r="U262" s="373"/>
      <c r="V262" s="373"/>
      <c r="W262" s="373"/>
      <c r="X262" s="373"/>
      <c r="Y262" s="373"/>
      <c r="Z262" s="373"/>
      <c r="AA262" s="373"/>
      <c r="AB262" s="373"/>
    </row>
    <row r="263" spans="1:28" s="357" customFormat="1" ht="13.8" x14ac:dyDescent="0.3">
      <c r="A263" s="89"/>
      <c r="B263" s="877" t="s">
        <v>784</v>
      </c>
      <c r="C263" s="867" t="s">
        <v>787</v>
      </c>
      <c r="D263" s="186" t="s">
        <v>137</v>
      </c>
      <c r="E263" s="410"/>
      <c r="F263" s="198" t="s">
        <v>788</v>
      </c>
      <c r="G263" s="405" t="s">
        <v>173</v>
      </c>
      <c r="H263" s="406" t="s">
        <v>173</v>
      </c>
      <c r="I263" s="410" t="s">
        <v>300</v>
      </c>
      <c r="J263" s="198">
        <v>1.25</v>
      </c>
      <c r="K263" s="405" t="s">
        <v>173</v>
      </c>
      <c r="L263" s="406" t="s">
        <v>173</v>
      </c>
      <c r="M263" s="364"/>
      <c r="N263" s="364"/>
      <c r="O263" s="364"/>
      <c r="P263" s="364"/>
      <c r="Q263" s="364"/>
      <c r="R263" s="364"/>
      <c r="S263" s="364"/>
      <c r="T263" s="364"/>
      <c r="U263" s="364"/>
      <c r="V263" s="364"/>
      <c r="W263" s="364"/>
      <c r="X263" s="364"/>
      <c r="Y263" s="364"/>
      <c r="Z263" s="364"/>
      <c r="AA263" s="364"/>
      <c r="AB263" s="364"/>
    </row>
    <row r="264" spans="1:28" x14ac:dyDescent="0.3">
      <c r="A264" s="89"/>
      <c r="B264" s="380"/>
      <c r="C264" s="380"/>
      <c r="D264" s="982"/>
      <c r="E264" s="357"/>
      <c r="F264" s="982"/>
      <c r="G264" s="357"/>
      <c r="H264" s="982"/>
      <c r="I264" s="357"/>
      <c r="J264" s="982"/>
      <c r="K264" s="357"/>
      <c r="L264" s="982"/>
      <c r="N264" s="364"/>
      <c r="P264" s="364"/>
      <c r="R264" s="364"/>
      <c r="T264" s="364"/>
      <c r="V264" s="364"/>
      <c r="X264" s="364"/>
      <c r="Y264" s="982"/>
      <c r="Z264" s="982"/>
      <c r="AA264" s="982"/>
      <c r="AB264" s="982"/>
    </row>
    <row r="265" spans="1:28" x14ac:dyDescent="0.3">
      <c r="A265" s="89"/>
      <c r="B265" s="380"/>
      <c r="C265" s="380"/>
      <c r="D265" s="982"/>
      <c r="E265" s="357"/>
      <c r="F265" s="982"/>
      <c r="G265" s="357"/>
      <c r="H265" s="982"/>
      <c r="I265" s="357"/>
      <c r="J265" s="982"/>
      <c r="K265" s="357"/>
      <c r="L265" s="982"/>
      <c r="N265" s="364"/>
      <c r="P265" s="364"/>
      <c r="R265" s="364"/>
      <c r="T265" s="364"/>
      <c r="V265" s="364"/>
      <c r="X265" s="364"/>
      <c r="Y265" s="982"/>
      <c r="Z265" s="982"/>
      <c r="AA265" s="982"/>
      <c r="AB265" s="982"/>
    </row>
    <row r="266" spans="1:28" ht="27.6" x14ac:dyDescent="0.3">
      <c r="A266" s="89"/>
      <c r="B266" s="194" t="s">
        <v>330</v>
      </c>
      <c r="C266" s="120" t="s">
        <v>432</v>
      </c>
      <c r="D266" s="119" t="s">
        <v>122</v>
      </c>
      <c r="E266" s="131"/>
      <c r="F266" s="117" t="s">
        <v>433</v>
      </c>
      <c r="G266" s="120"/>
      <c r="H266" s="173" t="s">
        <v>434</v>
      </c>
      <c r="I266" s="131"/>
      <c r="J266" s="117" t="s">
        <v>435</v>
      </c>
      <c r="K266" s="120"/>
      <c r="L266" s="173" t="s">
        <v>436</v>
      </c>
      <c r="M266" s="194"/>
      <c r="N266" s="148" t="s">
        <v>437</v>
      </c>
      <c r="O266" s="173"/>
      <c r="P266" s="173" t="s">
        <v>438</v>
      </c>
      <c r="Q266" s="194"/>
      <c r="R266" s="117" t="s">
        <v>439</v>
      </c>
      <c r="S266" s="194"/>
      <c r="T266" s="117" t="s">
        <v>440</v>
      </c>
      <c r="U266" s="194"/>
      <c r="V266" s="117" t="s">
        <v>789</v>
      </c>
      <c r="X266" s="364"/>
      <c r="Y266" s="982"/>
      <c r="Z266" s="982"/>
      <c r="AA266" s="982"/>
      <c r="AB266" s="982"/>
    </row>
    <row r="267" spans="1:28" ht="15" thickBot="1" x14ac:dyDescent="0.35">
      <c r="A267" s="89"/>
      <c r="B267" s="178" t="s">
        <v>441</v>
      </c>
      <c r="C267" s="176" t="s">
        <v>442</v>
      </c>
      <c r="D267" s="176"/>
      <c r="E267" s="183"/>
      <c r="F267" s="179" t="s">
        <v>443</v>
      </c>
      <c r="G267" s="177"/>
      <c r="H267" s="176" t="s">
        <v>444</v>
      </c>
      <c r="I267" s="183"/>
      <c r="J267" s="179"/>
      <c r="K267" s="177"/>
      <c r="L267" s="176" t="s">
        <v>445</v>
      </c>
      <c r="M267" s="183"/>
      <c r="N267" s="179" t="s">
        <v>1671</v>
      </c>
      <c r="O267" s="177"/>
      <c r="P267" s="176" t="s">
        <v>447</v>
      </c>
      <c r="Q267" s="183"/>
      <c r="R267" s="179" t="s">
        <v>448</v>
      </c>
      <c r="S267" s="183"/>
      <c r="T267" s="179" t="s">
        <v>449</v>
      </c>
      <c r="U267" s="183"/>
      <c r="V267" s="179" t="s">
        <v>790</v>
      </c>
      <c r="X267" s="364"/>
      <c r="Y267" s="982"/>
      <c r="Z267" s="982"/>
      <c r="AA267" s="982"/>
      <c r="AB267" s="982"/>
    </row>
    <row r="268" spans="1:28" s="359" customFormat="1" ht="15" thickTop="1" x14ac:dyDescent="0.3">
      <c r="A268" s="373"/>
      <c r="B268" s="141" t="s">
        <v>352</v>
      </c>
      <c r="C268" s="373" t="s">
        <v>450</v>
      </c>
      <c r="D268" s="373" t="s">
        <v>137</v>
      </c>
      <c r="E268" s="409" t="s">
        <v>300</v>
      </c>
      <c r="F268" s="373" t="s">
        <v>451</v>
      </c>
      <c r="G268" s="409"/>
      <c r="H268" s="365" t="s">
        <v>452</v>
      </c>
      <c r="I268" s="458" t="s">
        <v>173</v>
      </c>
      <c r="J268" s="99">
        <v>7708.5</v>
      </c>
      <c r="K268" s="458" t="s">
        <v>173</v>
      </c>
      <c r="L268" s="598">
        <f>0.0013*J268</f>
        <v>10.021049999999999</v>
      </c>
      <c r="M268" s="409"/>
      <c r="N268" s="544">
        <v>0.65</v>
      </c>
      <c r="O268" s="409"/>
      <c r="P268" s="882">
        <v>5.3619700000000003</v>
      </c>
      <c r="Q268" s="409"/>
      <c r="R268" s="917">
        <v>15</v>
      </c>
      <c r="S268" s="409"/>
      <c r="T268" s="916">
        <v>0.92400000000000004</v>
      </c>
      <c r="U268" s="403" t="s">
        <v>173</v>
      </c>
      <c r="V268" s="404" t="s">
        <v>173</v>
      </c>
      <c r="W268" s="364"/>
      <c r="X268" s="364"/>
      <c r="Y268" s="982"/>
    </row>
    <row r="269" spans="1:28" s="359" customFormat="1" x14ac:dyDescent="0.3">
      <c r="A269" s="373"/>
      <c r="B269" s="141" t="s">
        <v>357</v>
      </c>
      <c r="C269" s="373" t="s">
        <v>453</v>
      </c>
      <c r="D269" s="373" t="s">
        <v>137</v>
      </c>
      <c r="E269" s="412" t="s">
        <v>300</v>
      </c>
      <c r="F269" s="373" t="s">
        <v>451</v>
      </c>
      <c r="G269" s="412"/>
      <c r="H269" s="365" t="s">
        <v>452</v>
      </c>
      <c r="I269" s="459" t="s">
        <v>173</v>
      </c>
      <c r="J269" s="99">
        <v>1302.51</v>
      </c>
      <c r="K269" s="459" t="s">
        <v>173</v>
      </c>
      <c r="L269" s="598">
        <f t="shared" ref="L269:L271" si="10">0.0013*J269</f>
        <v>1.693263</v>
      </c>
      <c r="M269" s="412"/>
      <c r="N269" s="544">
        <v>0.65</v>
      </c>
      <c r="O269" s="412"/>
      <c r="P269" s="882">
        <v>5.3619700000000003</v>
      </c>
      <c r="Q269" s="412"/>
      <c r="R269" s="882">
        <v>2</v>
      </c>
      <c r="S269" s="412" t="s">
        <v>300</v>
      </c>
      <c r="T269" s="885">
        <v>0.86499999999999999</v>
      </c>
      <c r="U269" s="403" t="s">
        <v>173</v>
      </c>
      <c r="V269" s="404" t="s">
        <v>173</v>
      </c>
      <c r="W269" s="364"/>
      <c r="X269" s="364"/>
      <c r="Y269" s="982"/>
    </row>
    <row r="270" spans="1:28" s="359" customFormat="1" x14ac:dyDescent="0.3">
      <c r="A270" s="373"/>
      <c r="B270" s="141" t="s">
        <v>359</v>
      </c>
      <c r="C270" s="373" t="s">
        <v>454</v>
      </c>
      <c r="D270" s="373" t="s">
        <v>137</v>
      </c>
      <c r="E270" s="412" t="s">
        <v>300</v>
      </c>
      <c r="F270" s="373" t="s">
        <v>451</v>
      </c>
      <c r="G270" s="412"/>
      <c r="H270" s="365" t="s">
        <v>452</v>
      </c>
      <c r="I270" s="459" t="s">
        <v>173</v>
      </c>
      <c r="J270" s="99">
        <v>1312.87</v>
      </c>
      <c r="K270" s="459" t="s">
        <v>173</v>
      </c>
      <c r="L270" s="598">
        <f t="shared" si="10"/>
        <v>1.7067309999999998</v>
      </c>
      <c r="M270" s="412"/>
      <c r="N270" s="544">
        <v>0.65</v>
      </c>
      <c r="O270" s="412"/>
      <c r="P270" s="882">
        <v>5.3619700000000003</v>
      </c>
      <c r="Q270" s="412"/>
      <c r="R270" s="882">
        <v>2</v>
      </c>
      <c r="S270" s="412" t="s">
        <v>300</v>
      </c>
      <c r="T270" s="885">
        <v>0.86499999999999999</v>
      </c>
      <c r="U270" s="403" t="s">
        <v>173</v>
      </c>
      <c r="V270" s="404" t="s">
        <v>173</v>
      </c>
      <c r="W270" s="364"/>
      <c r="X270" s="364"/>
      <c r="Y270" s="982"/>
    </row>
    <row r="271" spans="1:28" s="359" customFormat="1" x14ac:dyDescent="0.3">
      <c r="A271" s="373"/>
      <c r="B271" s="141" t="s">
        <v>361</v>
      </c>
      <c r="C271" s="373" t="s">
        <v>455</v>
      </c>
      <c r="D271" s="373" t="s">
        <v>137</v>
      </c>
      <c r="E271" s="412" t="s">
        <v>300</v>
      </c>
      <c r="F271" s="373" t="s">
        <v>451</v>
      </c>
      <c r="G271" s="412"/>
      <c r="H271" s="365" t="s">
        <v>452</v>
      </c>
      <c r="I271" s="459" t="s">
        <v>173</v>
      </c>
      <c r="J271" s="99">
        <v>1626.31</v>
      </c>
      <c r="K271" s="459" t="s">
        <v>173</v>
      </c>
      <c r="L271" s="598">
        <f t="shared" si="10"/>
        <v>2.1142029999999998</v>
      </c>
      <c r="M271" s="412"/>
      <c r="N271" s="544">
        <v>0.65</v>
      </c>
      <c r="O271" s="412"/>
      <c r="P271" s="882">
        <v>5.3619700000000003</v>
      </c>
      <c r="Q271" s="412"/>
      <c r="R271" s="882">
        <v>3</v>
      </c>
      <c r="S271" s="412"/>
      <c r="T271" s="885">
        <v>0.89500000000000002</v>
      </c>
      <c r="U271" s="403" t="s">
        <v>173</v>
      </c>
      <c r="V271" s="404" t="s">
        <v>173</v>
      </c>
      <c r="W271" s="364"/>
      <c r="X271" s="364"/>
      <c r="Y271" s="982"/>
    </row>
    <row r="272" spans="1:28" s="359" customFormat="1" x14ac:dyDescent="0.3">
      <c r="A272" s="373"/>
      <c r="B272" s="141" t="s">
        <v>1637</v>
      </c>
      <c r="C272" s="373" t="s">
        <v>1698</v>
      </c>
      <c r="D272" s="373" t="s">
        <v>137</v>
      </c>
      <c r="E272" s="412" t="s">
        <v>300</v>
      </c>
      <c r="F272" s="373" t="s">
        <v>458</v>
      </c>
      <c r="G272" s="412"/>
      <c r="H272" s="365" t="s">
        <v>452</v>
      </c>
      <c r="I272" s="464" t="s">
        <v>173</v>
      </c>
      <c r="J272" s="99">
        <v>753.20699999999999</v>
      </c>
      <c r="K272" s="459" t="s">
        <v>173</v>
      </c>
      <c r="L272" s="598">
        <f>0.00094*J272</f>
        <v>0.70801457999999995</v>
      </c>
      <c r="M272" s="412"/>
      <c r="N272" s="544">
        <v>0.65</v>
      </c>
      <c r="O272" s="412"/>
      <c r="P272" s="882">
        <v>3.8771200000000001</v>
      </c>
      <c r="Q272" s="412"/>
      <c r="R272" s="882">
        <v>0.75</v>
      </c>
      <c r="S272" s="412" t="s">
        <v>300</v>
      </c>
      <c r="T272" s="707">
        <v>0.85499999999999998</v>
      </c>
      <c r="U272" s="403" t="s">
        <v>173</v>
      </c>
      <c r="V272" s="404" t="s">
        <v>173</v>
      </c>
      <c r="W272" s="364"/>
      <c r="X272" s="364"/>
      <c r="Y272" s="982"/>
    </row>
    <row r="273" spans="1:25" s="359" customFormat="1" x14ac:dyDescent="0.3">
      <c r="A273" s="373"/>
      <c r="B273" s="141" t="s">
        <v>375</v>
      </c>
      <c r="C273" s="373" t="s">
        <v>791</v>
      </c>
      <c r="D273" s="373" t="s">
        <v>137</v>
      </c>
      <c r="E273" s="412" t="s">
        <v>300</v>
      </c>
      <c r="F273" s="373" t="s">
        <v>458</v>
      </c>
      <c r="G273" s="412"/>
      <c r="H273" s="365" t="s">
        <v>452</v>
      </c>
      <c r="I273" s="464" t="s">
        <v>173</v>
      </c>
      <c r="J273" s="463">
        <v>236.99199999999999</v>
      </c>
      <c r="K273" s="403" t="s">
        <v>173</v>
      </c>
      <c r="L273" s="404" t="s">
        <v>173</v>
      </c>
      <c r="M273" s="464" t="s">
        <v>173</v>
      </c>
      <c r="N273" s="641">
        <v>0.5</v>
      </c>
      <c r="O273" s="464" t="s">
        <v>173</v>
      </c>
      <c r="P273" s="463">
        <v>1.2734000000000001</v>
      </c>
      <c r="Q273" s="464" t="s">
        <v>173</v>
      </c>
      <c r="R273" s="709" t="s">
        <v>173</v>
      </c>
      <c r="S273" s="464" t="s">
        <v>173</v>
      </c>
      <c r="T273" s="708">
        <v>0.85499999999999998</v>
      </c>
      <c r="U273" s="412" t="s">
        <v>300</v>
      </c>
      <c r="V273" s="465">
        <f>0.1175*P273/(N273*T273)</f>
        <v>0.3499988304093567</v>
      </c>
      <c r="W273" s="364"/>
      <c r="X273" s="364"/>
      <c r="Y273" s="982"/>
    </row>
    <row r="274" spans="1:25" s="359" customFormat="1" x14ac:dyDescent="0.3">
      <c r="A274" s="373"/>
      <c r="B274" s="141" t="s">
        <v>375</v>
      </c>
      <c r="C274" s="373" t="s">
        <v>792</v>
      </c>
      <c r="D274" s="373" t="s">
        <v>137</v>
      </c>
      <c r="E274" s="412" t="s">
        <v>300</v>
      </c>
      <c r="F274" s="373" t="s">
        <v>458</v>
      </c>
      <c r="G274" s="412"/>
      <c r="H274" s="365" t="s">
        <v>452</v>
      </c>
      <c r="I274" s="464" t="s">
        <v>173</v>
      </c>
      <c r="J274" s="463">
        <v>240.05099999999999</v>
      </c>
      <c r="K274" s="403" t="s">
        <v>173</v>
      </c>
      <c r="L274" s="404" t="s">
        <v>173</v>
      </c>
      <c r="M274" s="464" t="s">
        <v>173</v>
      </c>
      <c r="N274" s="641">
        <v>0.5</v>
      </c>
      <c r="O274" s="464" t="s">
        <v>173</v>
      </c>
      <c r="P274" s="463">
        <v>1.2734000000000001</v>
      </c>
      <c r="Q274" s="464" t="s">
        <v>173</v>
      </c>
      <c r="R274" s="709" t="s">
        <v>173</v>
      </c>
      <c r="S274" s="464" t="s">
        <v>173</v>
      </c>
      <c r="T274" s="708">
        <v>0.85499999999999998</v>
      </c>
      <c r="U274" s="412" t="s">
        <v>300</v>
      </c>
      <c r="V274" s="465">
        <f>0.1175*P274/(N274*T274)</f>
        <v>0.3499988304093567</v>
      </c>
      <c r="W274" s="364"/>
      <c r="X274" s="364"/>
      <c r="Y274" s="982"/>
    </row>
    <row r="275" spans="1:25" s="359" customFormat="1" x14ac:dyDescent="0.3">
      <c r="A275" s="373"/>
      <c r="B275" s="141" t="s">
        <v>375</v>
      </c>
      <c r="C275" s="373" t="s">
        <v>793</v>
      </c>
      <c r="D275" s="373" t="s">
        <v>137</v>
      </c>
      <c r="E275" s="412" t="s">
        <v>300</v>
      </c>
      <c r="F275" s="373" t="s">
        <v>458</v>
      </c>
      <c r="G275" s="412"/>
      <c r="H275" s="365" t="s">
        <v>452</v>
      </c>
      <c r="I275" s="464" t="s">
        <v>173</v>
      </c>
      <c r="J275" s="463">
        <v>234.33500000000001</v>
      </c>
      <c r="K275" s="403" t="s">
        <v>173</v>
      </c>
      <c r="L275" s="404" t="s">
        <v>173</v>
      </c>
      <c r="M275" s="464" t="s">
        <v>173</v>
      </c>
      <c r="N275" s="641">
        <v>0.5</v>
      </c>
      <c r="O275" s="464" t="s">
        <v>173</v>
      </c>
      <c r="P275" s="463">
        <v>1.2734000000000001</v>
      </c>
      <c r="Q275" s="464" t="s">
        <v>173</v>
      </c>
      <c r="R275" s="709" t="s">
        <v>173</v>
      </c>
      <c r="S275" s="464" t="s">
        <v>173</v>
      </c>
      <c r="T275" s="708">
        <v>0.85499999999999998</v>
      </c>
      <c r="U275" s="412" t="s">
        <v>300</v>
      </c>
      <c r="V275" s="465">
        <f t="shared" ref="V275:V307" si="11">0.1175*P275/(N275*T275)</f>
        <v>0.3499988304093567</v>
      </c>
      <c r="W275" s="364"/>
      <c r="X275" s="364"/>
      <c r="Y275" s="982"/>
    </row>
    <row r="276" spans="1:25" s="359" customFormat="1" x14ac:dyDescent="0.3">
      <c r="A276" s="373"/>
      <c r="B276" s="141" t="s">
        <v>375</v>
      </c>
      <c r="C276" s="373" t="s">
        <v>794</v>
      </c>
      <c r="D276" s="373" t="s">
        <v>137</v>
      </c>
      <c r="E276" s="412" t="s">
        <v>300</v>
      </c>
      <c r="F276" s="373" t="s">
        <v>458</v>
      </c>
      <c r="G276" s="412"/>
      <c r="H276" s="365" t="s">
        <v>452</v>
      </c>
      <c r="I276" s="464" t="s">
        <v>173</v>
      </c>
      <c r="J276" s="463">
        <v>230.29900000000001</v>
      </c>
      <c r="K276" s="403" t="s">
        <v>173</v>
      </c>
      <c r="L276" s="404" t="s">
        <v>173</v>
      </c>
      <c r="M276" s="464" t="s">
        <v>173</v>
      </c>
      <c r="N276" s="641">
        <v>0.5</v>
      </c>
      <c r="O276" s="464" t="s">
        <v>173</v>
      </c>
      <c r="P276" s="463">
        <v>1.2734000000000001</v>
      </c>
      <c r="Q276" s="464" t="s">
        <v>173</v>
      </c>
      <c r="R276" s="709" t="s">
        <v>173</v>
      </c>
      <c r="S276" s="464" t="s">
        <v>173</v>
      </c>
      <c r="T276" s="708">
        <v>0.85499999999999998</v>
      </c>
      <c r="U276" s="412" t="s">
        <v>300</v>
      </c>
      <c r="V276" s="465">
        <f t="shared" si="11"/>
        <v>0.3499988304093567</v>
      </c>
      <c r="W276" s="364"/>
      <c r="X276" s="364"/>
      <c r="Y276" s="982"/>
    </row>
    <row r="277" spans="1:25" s="359" customFormat="1" x14ac:dyDescent="0.3">
      <c r="A277" s="373"/>
      <c r="B277" s="141" t="s">
        <v>375</v>
      </c>
      <c r="C277" s="373" t="s">
        <v>795</v>
      </c>
      <c r="D277" s="373" t="s">
        <v>137</v>
      </c>
      <c r="E277" s="412" t="s">
        <v>300</v>
      </c>
      <c r="F277" s="373" t="s">
        <v>458</v>
      </c>
      <c r="G277" s="412"/>
      <c r="H277" s="365" t="s">
        <v>452</v>
      </c>
      <c r="I277" s="464" t="s">
        <v>173</v>
      </c>
      <c r="J277" s="463">
        <v>230.75899999999999</v>
      </c>
      <c r="K277" s="403" t="s">
        <v>173</v>
      </c>
      <c r="L277" s="404" t="s">
        <v>173</v>
      </c>
      <c r="M277" s="464" t="s">
        <v>173</v>
      </c>
      <c r="N277" s="641">
        <v>0.5</v>
      </c>
      <c r="O277" s="464" t="s">
        <v>173</v>
      </c>
      <c r="P277" s="463">
        <v>1.2734000000000001</v>
      </c>
      <c r="Q277" s="464" t="s">
        <v>173</v>
      </c>
      <c r="R277" s="709" t="s">
        <v>173</v>
      </c>
      <c r="S277" s="464" t="s">
        <v>173</v>
      </c>
      <c r="T277" s="708">
        <v>0.85499999999999998</v>
      </c>
      <c r="U277" s="412" t="s">
        <v>300</v>
      </c>
      <c r="V277" s="465">
        <f t="shared" si="11"/>
        <v>0.3499988304093567</v>
      </c>
      <c r="W277" s="364"/>
      <c r="X277" s="364"/>
      <c r="Y277" s="982"/>
    </row>
    <row r="278" spans="1:25" s="359" customFormat="1" x14ac:dyDescent="0.3">
      <c r="A278" s="373"/>
      <c r="B278" s="141" t="s">
        <v>375</v>
      </c>
      <c r="C278" s="373" t="s">
        <v>796</v>
      </c>
      <c r="D278" s="373" t="s">
        <v>137</v>
      </c>
      <c r="E278" s="412" t="s">
        <v>300</v>
      </c>
      <c r="F278" s="373" t="s">
        <v>458</v>
      </c>
      <c r="G278" s="412"/>
      <c r="H278" s="365" t="s">
        <v>452</v>
      </c>
      <c r="I278" s="464" t="s">
        <v>173</v>
      </c>
      <c r="J278" s="463">
        <v>251.953</v>
      </c>
      <c r="K278" s="403" t="s">
        <v>173</v>
      </c>
      <c r="L278" s="404" t="s">
        <v>173</v>
      </c>
      <c r="M278" s="464" t="s">
        <v>173</v>
      </c>
      <c r="N278" s="641">
        <v>0.5</v>
      </c>
      <c r="O278" s="464" t="s">
        <v>173</v>
      </c>
      <c r="P278" s="463">
        <v>1.2734000000000001</v>
      </c>
      <c r="Q278" s="464" t="s">
        <v>173</v>
      </c>
      <c r="R278" s="709" t="s">
        <v>173</v>
      </c>
      <c r="S278" s="464" t="s">
        <v>173</v>
      </c>
      <c r="T278" s="708">
        <v>0.85499999999999998</v>
      </c>
      <c r="U278" s="412" t="s">
        <v>300</v>
      </c>
      <c r="V278" s="465">
        <f t="shared" si="11"/>
        <v>0.3499988304093567</v>
      </c>
      <c r="W278" s="364"/>
      <c r="X278" s="364"/>
      <c r="Y278" s="982"/>
    </row>
    <row r="279" spans="1:25" s="359" customFormat="1" x14ac:dyDescent="0.3">
      <c r="A279" s="373"/>
      <c r="B279" s="141" t="s">
        <v>375</v>
      </c>
      <c r="C279" s="373" t="s">
        <v>797</v>
      </c>
      <c r="D279" s="373" t="s">
        <v>137</v>
      </c>
      <c r="E279" s="412" t="s">
        <v>300</v>
      </c>
      <c r="F279" s="373" t="s">
        <v>458</v>
      </c>
      <c r="G279" s="412"/>
      <c r="H279" s="365" t="s">
        <v>452</v>
      </c>
      <c r="I279" s="464" t="s">
        <v>173</v>
      </c>
      <c r="J279" s="463">
        <v>217.25200000000001</v>
      </c>
      <c r="K279" s="403" t="s">
        <v>173</v>
      </c>
      <c r="L279" s="404" t="s">
        <v>173</v>
      </c>
      <c r="M279" s="464" t="s">
        <v>173</v>
      </c>
      <c r="N279" s="641">
        <v>0.5</v>
      </c>
      <c r="O279" s="464" t="s">
        <v>173</v>
      </c>
      <c r="P279" s="463">
        <v>1.2734000000000001</v>
      </c>
      <c r="Q279" s="464" t="s">
        <v>173</v>
      </c>
      <c r="R279" s="709" t="s">
        <v>173</v>
      </c>
      <c r="S279" s="464" t="s">
        <v>173</v>
      </c>
      <c r="T279" s="708">
        <v>0.85499999999999998</v>
      </c>
      <c r="U279" s="412" t="s">
        <v>300</v>
      </c>
      <c r="V279" s="465">
        <f t="shared" si="11"/>
        <v>0.3499988304093567</v>
      </c>
      <c r="W279" s="364"/>
      <c r="X279" s="364"/>
      <c r="Y279" s="982"/>
    </row>
    <row r="280" spans="1:25" s="359" customFormat="1" x14ac:dyDescent="0.3">
      <c r="A280" s="373"/>
      <c r="B280" s="141" t="s">
        <v>375</v>
      </c>
      <c r="C280" s="373" t="s">
        <v>798</v>
      </c>
      <c r="D280" s="373" t="s">
        <v>137</v>
      </c>
      <c r="E280" s="412" t="s">
        <v>300</v>
      </c>
      <c r="F280" s="373" t="s">
        <v>458</v>
      </c>
      <c r="G280" s="412"/>
      <c r="H280" s="365" t="s">
        <v>452</v>
      </c>
      <c r="I280" s="464" t="s">
        <v>173</v>
      </c>
      <c r="J280" s="463">
        <v>224.33099999999999</v>
      </c>
      <c r="K280" s="403" t="s">
        <v>173</v>
      </c>
      <c r="L280" s="404" t="s">
        <v>173</v>
      </c>
      <c r="M280" s="464" t="s">
        <v>173</v>
      </c>
      <c r="N280" s="641">
        <v>0.5</v>
      </c>
      <c r="O280" s="464" t="s">
        <v>173</v>
      </c>
      <c r="P280" s="463">
        <v>1.2734000000000001</v>
      </c>
      <c r="Q280" s="464" t="s">
        <v>173</v>
      </c>
      <c r="R280" s="709" t="s">
        <v>173</v>
      </c>
      <c r="S280" s="464" t="s">
        <v>173</v>
      </c>
      <c r="T280" s="708">
        <v>0.85499999999999998</v>
      </c>
      <c r="U280" s="412" t="s">
        <v>300</v>
      </c>
      <c r="V280" s="465">
        <f t="shared" si="11"/>
        <v>0.3499988304093567</v>
      </c>
      <c r="W280" s="364"/>
      <c r="X280" s="364"/>
      <c r="Y280" s="982"/>
    </row>
    <row r="281" spans="1:25" s="359" customFormat="1" x14ac:dyDescent="0.3">
      <c r="A281" s="373"/>
      <c r="B281" s="141" t="s">
        <v>375</v>
      </c>
      <c r="C281" s="373" t="s">
        <v>799</v>
      </c>
      <c r="D281" s="373" t="s">
        <v>137</v>
      </c>
      <c r="E281" s="412" t="s">
        <v>300</v>
      </c>
      <c r="F281" s="373" t="s">
        <v>458</v>
      </c>
      <c r="G281" s="412"/>
      <c r="H281" s="365" t="s">
        <v>452</v>
      </c>
      <c r="I281" s="464" t="s">
        <v>173</v>
      </c>
      <c r="J281" s="463">
        <v>204.53899999999999</v>
      </c>
      <c r="K281" s="403" t="s">
        <v>173</v>
      </c>
      <c r="L281" s="404" t="s">
        <v>173</v>
      </c>
      <c r="M281" s="464" t="s">
        <v>173</v>
      </c>
      <c r="N281" s="641">
        <v>0.5</v>
      </c>
      <c r="O281" s="464" t="s">
        <v>173</v>
      </c>
      <c r="P281" s="463">
        <v>1.2734000000000001</v>
      </c>
      <c r="Q281" s="464" t="s">
        <v>173</v>
      </c>
      <c r="R281" s="709" t="s">
        <v>173</v>
      </c>
      <c r="S281" s="464" t="s">
        <v>173</v>
      </c>
      <c r="T281" s="708">
        <v>0.85499999999999998</v>
      </c>
      <c r="U281" s="412" t="s">
        <v>300</v>
      </c>
      <c r="V281" s="465">
        <f t="shared" si="11"/>
        <v>0.3499988304093567</v>
      </c>
      <c r="W281" s="364"/>
      <c r="X281" s="364"/>
      <c r="Y281" s="982"/>
    </row>
    <row r="282" spans="1:25" s="359" customFormat="1" x14ac:dyDescent="0.3">
      <c r="A282" s="373"/>
      <c r="B282" s="141" t="s">
        <v>375</v>
      </c>
      <c r="C282" s="373" t="s">
        <v>800</v>
      </c>
      <c r="D282" s="373" t="s">
        <v>137</v>
      </c>
      <c r="E282" s="412" t="s">
        <v>300</v>
      </c>
      <c r="F282" s="373" t="s">
        <v>458</v>
      </c>
      <c r="G282" s="412"/>
      <c r="H282" s="365" t="s">
        <v>452</v>
      </c>
      <c r="I282" s="464" t="s">
        <v>173</v>
      </c>
      <c r="J282" s="463">
        <v>205.73500000000001</v>
      </c>
      <c r="K282" s="403" t="s">
        <v>173</v>
      </c>
      <c r="L282" s="404" t="s">
        <v>173</v>
      </c>
      <c r="M282" s="464" t="s">
        <v>173</v>
      </c>
      <c r="N282" s="641">
        <v>0.5</v>
      </c>
      <c r="O282" s="464" t="s">
        <v>173</v>
      </c>
      <c r="P282" s="463">
        <v>1.2734000000000001</v>
      </c>
      <c r="Q282" s="464" t="s">
        <v>173</v>
      </c>
      <c r="R282" s="709" t="s">
        <v>173</v>
      </c>
      <c r="S282" s="464" t="s">
        <v>173</v>
      </c>
      <c r="T282" s="708">
        <v>0.85499999999999998</v>
      </c>
      <c r="U282" s="412" t="s">
        <v>300</v>
      </c>
      <c r="V282" s="465">
        <f t="shared" si="11"/>
        <v>0.3499988304093567</v>
      </c>
      <c r="W282" s="364"/>
      <c r="X282" s="364"/>
      <c r="Y282" s="982"/>
    </row>
    <row r="283" spans="1:25" s="359" customFormat="1" x14ac:dyDescent="0.3">
      <c r="A283" s="373"/>
      <c r="B283" s="141" t="s">
        <v>375</v>
      </c>
      <c r="C283" s="373" t="s">
        <v>801</v>
      </c>
      <c r="D283" s="373" t="s">
        <v>137</v>
      </c>
      <c r="E283" s="412" t="s">
        <v>300</v>
      </c>
      <c r="F283" s="373" t="s">
        <v>458</v>
      </c>
      <c r="G283" s="412"/>
      <c r="H283" s="365" t="s">
        <v>452</v>
      </c>
      <c r="I283" s="464" t="s">
        <v>173</v>
      </c>
      <c r="J283" s="463">
        <v>202.768</v>
      </c>
      <c r="K283" s="403" t="s">
        <v>173</v>
      </c>
      <c r="L283" s="404" t="s">
        <v>173</v>
      </c>
      <c r="M283" s="464" t="s">
        <v>173</v>
      </c>
      <c r="N283" s="641">
        <v>0.5</v>
      </c>
      <c r="O283" s="464" t="s">
        <v>173</v>
      </c>
      <c r="P283" s="463">
        <v>1.2734000000000001</v>
      </c>
      <c r="Q283" s="464" t="s">
        <v>173</v>
      </c>
      <c r="R283" s="709" t="s">
        <v>173</v>
      </c>
      <c r="S283" s="464" t="s">
        <v>173</v>
      </c>
      <c r="T283" s="708">
        <v>0.85499999999999998</v>
      </c>
      <c r="U283" s="412" t="s">
        <v>300</v>
      </c>
      <c r="V283" s="465">
        <f t="shared" si="11"/>
        <v>0.3499988304093567</v>
      </c>
      <c r="W283" s="364"/>
      <c r="X283" s="364"/>
      <c r="Y283" s="982"/>
    </row>
    <row r="284" spans="1:25" s="359" customFormat="1" x14ac:dyDescent="0.3">
      <c r="A284" s="373"/>
      <c r="B284" s="141" t="s">
        <v>375</v>
      </c>
      <c r="C284" s="373" t="s">
        <v>802</v>
      </c>
      <c r="D284" s="373" t="s">
        <v>137</v>
      </c>
      <c r="E284" s="412" t="s">
        <v>300</v>
      </c>
      <c r="F284" s="373" t="s">
        <v>458</v>
      </c>
      <c r="G284" s="412"/>
      <c r="H284" s="365" t="s">
        <v>452</v>
      </c>
      <c r="I284" s="464" t="s">
        <v>173</v>
      </c>
      <c r="J284" s="463">
        <v>200.12899999999999</v>
      </c>
      <c r="K284" s="403" t="s">
        <v>173</v>
      </c>
      <c r="L284" s="404" t="s">
        <v>173</v>
      </c>
      <c r="M284" s="464" t="s">
        <v>173</v>
      </c>
      <c r="N284" s="641">
        <v>0.5</v>
      </c>
      <c r="O284" s="464" t="s">
        <v>173</v>
      </c>
      <c r="P284" s="463">
        <v>1.2734000000000001</v>
      </c>
      <c r="Q284" s="464" t="s">
        <v>173</v>
      </c>
      <c r="R284" s="709" t="s">
        <v>173</v>
      </c>
      <c r="S284" s="464" t="s">
        <v>173</v>
      </c>
      <c r="T284" s="708">
        <v>0.85499999999999998</v>
      </c>
      <c r="U284" s="412" t="s">
        <v>300</v>
      </c>
      <c r="V284" s="465">
        <f t="shared" si="11"/>
        <v>0.3499988304093567</v>
      </c>
      <c r="W284" s="364"/>
      <c r="X284" s="364"/>
      <c r="Y284" s="982"/>
    </row>
    <row r="285" spans="1:25" s="359" customFormat="1" x14ac:dyDescent="0.3">
      <c r="A285" s="373"/>
      <c r="B285" s="141" t="s">
        <v>375</v>
      </c>
      <c r="C285" s="373" t="s">
        <v>803</v>
      </c>
      <c r="D285" s="373" t="s">
        <v>137</v>
      </c>
      <c r="E285" s="412" t="s">
        <v>300</v>
      </c>
      <c r="F285" s="373" t="s">
        <v>458</v>
      </c>
      <c r="G285" s="412"/>
      <c r="H285" s="365" t="s">
        <v>452</v>
      </c>
      <c r="I285" s="464" t="s">
        <v>173</v>
      </c>
      <c r="J285" s="463">
        <v>202.101</v>
      </c>
      <c r="K285" s="403" t="s">
        <v>173</v>
      </c>
      <c r="L285" s="404" t="s">
        <v>173</v>
      </c>
      <c r="M285" s="464" t="s">
        <v>173</v>
      </c>
      <c r="N285" s="641">
        <v>0.5</v>
      </c>
      <c r="O285" s="464" t="s">
        <v>173</v>
      </c>
      <c r="P285" s="463">
        <v>1.2734000000000001</v>
      </c>
      <c r="Q285" s="464" t="s">
        <v>173</v>
      </c>
      <c r="R285" s="709" t="s">
        <v>173</v>
      </c>
      <c r="S285" s="464" t="s">
        <v>173</v>
      </c>
      <c r="T285" s="708">
        <v>0.85499999999999998</v>
      </c>
      <c r="U285" s="412" t="s">
        <v>300</v>
      </c>
      <c r="V285" s="465">
        <f t="shared" si="11"/>
        <v>0.3499988304093567</v>
      </c>
      <c r="W285" s="364"/>
      <c r="X285" s="364"/>
      <c r="Y285" s="982"/>
    </row>
    <row r="286" spans="1:25" s="359" customFormat="1" x14ac:dyDescent="0.3">
      <c r="A286" s="373"/>
      <c r="B286" s="141" t="s">
        <v>375</v>
      </c>
      <c r="C286" s="373" t="s">
        <v>804</v>
      </c>
      <c r="D286" s="373" t="s">
        <v>137</v>
      </c>
      <c r="E286" s="412" t="s">
        <v>300</v>
      </c>
      <c r="F286" s="373" t="s">
        <v>458</v>
      </c>
      <c r="G286" s="412"/>
      <c r="H286" s="365" t="s">
        <v>452</v>
      </c>
      <c r="I286" s="464" t="s">
        <v>173</v>
      </c>
      <c r="J286" s="463">
        <v>199.28299999999999</v>
      </c>
      <c r="K286" s="403" t="s">
        <v>173</v>
      </c>
      <c r="L286" s="404" t="s">
        <v>173</v>
      </c>
      <c r="M286" s="464" t="s">
        <v>173</v>
      </c>
      <c r="N286" s="641">
        <v>0.5</v>
      </c>
      <c r="O286" s="464" t="s">
        <v>173</v>
      </c>
      <c r="P286" s="463">
        <v>1.2734000000000001</v>
      </c>
      <c r="Q286" s="464" t="s">
        <v>173</v>
      </c>
      <c r="R286" s="709" t="s">
        <v>173</v>
      </c>
      <c r="S286" s="464" t="s">
        <v>173</v>
      </c>
      <c r="T286" s="708">
        <v>0.85499999999999998</v>
      </c>
      <c r="U286" s="412" t="s">
        <v>300</v>
      </c>
      <c r="V286" s="465">
        <f t="shared" si="11"/>
        <v>0.3499988304093567</v>
      </c>
      <c r="W286" s="364"/>
      <c r="X286" s="364"/>
      <c r="Y286" s="982"/>
    </row>
    <row r="287" spans="1:25" s="359" customFormat="1" x14ac:dyDescent="0.3">
      <c r="A287" s="373"/>
      <c r="B287" s="141" t="s">
        <v>375</v>
      </c>
      <c r="C287" s="373" t="s">
        <v>805</v>
      </c>
      <c r="D287" s="373" t="s">
        <v>137</v>
      </c>
      <c r="E287" s="412" t="s">
        <v>300</v>
      </c>
      <c r="F287" s="373" t="s">
        <v>458</v>
      </c>
      <c r="G287" s="412"/>
      <c r="H287" s="365" t="s">
        <v>452</v>
      </c>
      <c r="I287" s="464" t="s">
        <v>173</v>
      </c>
      <c r="J287" s="463">
        <v>200.93899999999999</v>
      </c>
      <c r="K287" s="403" t="s">
        <v>173</v>
      </c>
      <c r="L287" s="404" t="s">
        <v>173</v>
      </c>
      <c r="M287" s="464" t="s">
        <v>173</v>
      </c>
      <c r="N287" s="641">
        <v>0.5</v>
      </c>
      <c r="O287" s="464" t="s">
        <v>173</v>
      </c>
      <c r="P287" s="463">
        <v>1.2734000000000001</v>
      </c>
      <c r="Q287" s="464" t="s">
        <v>173</v>
      </c>
      <c r="R287" s="709" t="s">
        <v>173</v>
      </c>
      <c r="S287" s="464" t="s">
        <v>173</v>
      </c>
      <c r="T287" s="708">
        <v>0.85499999999999998</v>
      </c>
      <c r="U287" s="412" t="s">
        <v>300</v>
      </c>
      <c r="V287" s="465">
        <f t="shared" si="11"/>
        <v>0.3499988304093567</v>
      </c>
      <c r="W287" s="364"/>
      <c r="X287" s="364"/>
      <c r="Y287" s="982"/>
    </row>
    <row r="288" spans="1:25" s="359" customFormat="1" x14ac:dyDescent="0.3">
      <c r="A288" s="373"/>
      <c r="B288" s="141" t="s">
        <v>375</v>
      </c>
      <c r="C288" s="373" t="s">
        <v>806</v>
      </c>
      <c r="D288" s="373" t="s">
        <v>137</v>
      </c>
      <c r="E288" s="412" t="s">
        <v>300</v>
      </c>
      <c r="F288" s="373" t="s">
        <v>458</v>
      </c>
      <c r="G288" s="412"/>
      <c r="H288" s="365" t="s">
        <v>452</v>
      </c>
      <c r="I288" s="464" t="s">
        <v>173</v>
      </c>
      <c r="J288" s="463">
        <v>241.69499999999999</v>
      </c>
      <c r="K288" s="403" t="s">
        <v>173</v>
      </c>
      <c r="L288" s="404" t="s">
        <v>173</v>
      </c>
      <c r="M288" s="464" t="s">
        <v>173</v>
      </c>
      <c r="N288" s="641">
        <v>0.5</v>
      </c>
      <c r="O288" s="464" t="s">
        <v>173</v>
      </c>
      <c r="P288" s="463">
        <v>1.2734000000000001</v>
      </c>
      <c r="Q288" s="464" t="s">
        <v>173</v>
      </c>
      <c r="R288" s="709" t="s">
        <v>173</v>
      </c>
      <c r="S288" s="464" t="s">
        <v>173</v>
      </c>
      <c r="T288" s="708">
        <v>0.85499999999999998</v>
      </c>
      <c r="U288" s="412" t="s">
        <v>300</v>
      </c>
      <c r="V288" s="465">
        <f t="shared" si="11"/>
        <v>0.3499988304093567</v>
      </c>
      <c r="W288" s="364"/>
      <c r="X288" s="364"/>
      <c r="Y288" s="982"/>
    </row>
    <row r="289" spans="1:25" s="359" customFormat="1" x14ac:dyDescent="0.3">
      <c r="A289" s="373"/>
      <c r="B289" s="141" t="s">
        <v>375</v>
      </c>
      <c r="C289" s="373" t="s">
        <v>807</v>
      </c>
      <c r="D289" s="373" t="s">
        <v>137</v>
      </c>
      <c r="E289" s="412" t="s">
        <v>300</v>
      </c>
      <c r="F289" s="373" t="s">
        <v>458</v>
      </c>
      <c r="G289" s="412"/>
      <c r="H289" s="365" t="s">
        <v>452</v>
      </c>
      <c r="I289" s="464" t="s">
        <v>173</v>
      </c>
      <c r="J289" s="463">
        <v>209.09299999999999</v>
      </c>
      <c r="K289" s="403" t="s">
        <v>173</v>
      </c>
      <c r="L289" s="404" t="s">
        <v>173</v>
      </c>
      <c r="M289" s="464" t="s">
        <v>173</v>
      </c>
      <c r="N289" s="641">
        <v>0.5</v>
      </c>
      <c r="O289" s="464" t="s">
        <v>173</v>
      </c>
      <c r="P289" s="463">
        <v>1.2734000000000001</v>
      </c>
      <c r="Q289" s="464" t="s">
        <v>173</v>
      </c>
      <c r="R289" s="709" t="s">
        <v>173</v>
      </c>
      <c r="S289" s="464" t="s">
        <v>173</v>
      </c>
      <c r="T289" s="708">
        <v>0.85499999999999998</v>
      </c>
      <c r="U289" s="412" t="s">
        <v>300</v>
      </c>
      <c r="V289" s="465">
        <f t="shared" si="11"/>
        <v>0.3499988304093567</v>
      </c>
      <c r="W289" s="364"/>
      <c r="X289" s="364"/>
      <c r="Y289" s="982"/>
    </row>
    <row r="290" spans="1:25" s="359" customFormat="1" x14ac:dyDescent="0.3">
      <c r="A290" s="373"/>
      <c r="B290" s="141" t="s">
        <v>375</v>
      </c>
      <c r="C290" s="373" t="s">
        <v>808</v>
      </c>
      <c r="D290" s="373" t="s">
        <v>137</v>
      </c>
      <c r="E290" s="412" t="s">
        <v>300</v>
      </c>
      <c r="F290" s="373" t="s">
        <v>458</v>
      </c>
      <c r="G290" s="412"/>
      <c r="H290" s="365" t="s">
        <v>452</v>
      </c>
      <c r="I290" s="464" t="s">
        <v>173</v>
      </c>
      <c r="J290" s="463">
        <v>227.25899999999999</v>
      </c>
      <c r="K290" s="403" t="s">
        <v>173</v>
      </c>
      <c r="L290" s="404" t="s">
        <v>173</v>
      </c>
      <c r="M290" s="464" t="s">
        <v>173</v>
      </c>
      <c r="N290" s="641">
        <v>0.5</v>
      </c>
      <c r="O290" s="464" t="s">
        <v>173</v>
      </c>
      <c r="P290" s="463">
        <v>1.2734000000000001</v>
      </c>
      <c r="Q290" s="464" t="s">
        <v>173</v>
      </c>
      <c r="R290" s="709" t="s">
        <v>173</v>
      </c>
      <c r="S290" s="464" t="s">
        <v>173</v>
      </c>
      <c r="T290" s="708">
        <v>0.85499999999999998</v>
      </c>
      <c r="U290" s="412" t="s">
        <v>300</v>
      </c>
      <c r="V290" s="465">
        <f t="shared" si="11"/>
        <v>0.3499988304093567</v>
      </c>
      <c r="W290" s="364"/>
      <c r="X290" s="364"/>
      <c r="Y290" s="982"/>
    </row>
    <row r="291" spans="1:25" s="359" customFormat="1" x14ac:dyDescent="0.3">
      <c r="A291" s="373"/>
      <c r="B291" s="141" t="s">
        <v>375</v>
      </c>
      <c r="C291" s="373" t="s">
        <v>809</v>
      </c>
      <c r="D291" s="373" t="s">
        <v>137</v>
      </c>
      <c r="E291" s="412" t="s">
        <v>300</v>
      </c>
      <c r="F291" s="373" t="s">
        <v>458</v>
      </c>
      <c r="G291" s="412"/>
      <c r="H291" s="365" t="s">
        <v>452</v>
      </c>
      <c r="I291" s="464" t="s">
        <v>173</v>
      </c>
      <c r="J291" s="463">
        <v>206.95699999999999</v>
      </c>
      <c r="K291" s="403" t="s">
        <v>173</v>
      </c>
      <c r="L291" s="404" t="s">
        <v>173</v>
      </c>
      <c r="M291" s="464" t="s">
        <v>173</v>
      </c>
      <c r="N291" s="641">
        <v>0.5</v>
      </c>
      <c r="O291" s="464" t="s">
        <v>173</v>
      </c>
      <c r="P291" s="463">
        <v>1.2734000000000001</v>
      </c>
      <c r="Q291" s="464" t="s">
        <v>173</v>
      </c>
      <c r="R291" s="709" t="s">
        <v>173</v>
      </c>
      <c r="S291" s="464" t="s">
        <v>173</v>
      </c>
      <c r="T291" s="708">
        <v>0.85499999999999998</v>
      </c>
      <c r="U291" s="412" t="s">
        <v>300</v>
      </c>
      <c r="V291" s="465">
        <f t="shared" si="11"/>
        <v>0.3499988304093567</v>
      </c>
      <c r="W291" s="364"/>
      <c r="X291" s="364"/>
      <c r="Y291" s="982"/>
    </row>
    <row r="292" spans="1:25" s="359" customFormat="1" x14ac:dyDescent="0.3">
      <c r="A292" s="373"/>
      <c r="B292" s="141" t="s">
        <v>375</v>
      </c>
      <c r="C292" s="373" t="s">
        <v>810</v>
      </c>
      <c r="D292" s="373" t="s">
        <v>137</v>
      </c>
      <c r="E292" s="412" t="s">
        <v>300</v>
      </c>
      <c r="F292" s="373" t="s">
        <v>458</v>
      </c>
      <c r="G292" s="412"/>
      <c r="H292" s="365" t="s">
        <v>452</v>
      </c>
      <c r="I292" s="464" t="s">
        <v>173</v>
      </c>
      <c r="J292" s="463">
        <v>207.08</v>
      </c>
      <c r="K292" s="403" t="s">
        <v>173</v>
      </c>
      <c r="L292" s="404" t="s">
        <v>173</v>
      </c>
      <c r="M292" s="464" t="s">
        <v>173</v>
      </c>
      <c r="N292" s="641">
        <v>0.5</v>
      </c>
      <c r="O292" s="464" t="s">
        <v>173</v>
      </c>
      <c r="P292" s="463">
        <v>1.2734000000000001</v>
      </c>
      <c r="Q292" s="464" t="s">
        <v>173</v>
      </c>
      <c r="R292" s="709" t="s">
        <v>173</v>
      </c>
      <c r="S292" s="464" t="s">
        <v>173</v>
      </c>
      <c r="T292" s="708">
        <v>0.85499999999999998</v>
      </c>
      <c r="U292" s="412" t="s">
        <v>300</v>
      </c>
      <c r="V292" s="465">
        <f t="shared" si="11"/>
        <v>0.3499988304093567</v>
      </c>
      <c r="W292" s="364"/>
      <c r="X292" s="364"/>
      <c r="Y292" s="982"/>
    </row>
    <row r="293" spans="1:25" s="359" customFormat="1" x14ac:dyDescent="0.3">
      <c r="A293" s="373"/>
      <c r="B293" s="141" t="s">
        <v>375</v>
      </c>
      <c r="C293" s="373" t="s">
        <v>811</v>
      </c>
      <c r="D293" s="373" t="s">
        <v>137</v>
      </c>
      <c r="E293" s="412" t="s">
        <v>300</v>
      </c>
      <c r="F293" s="373" t="s">
        <v>458</v>
      </c>
      <c r="G293" s="412"/>
      <c r="H293" s="365" t="s">
        <v>452</v>
      </c>
      <c r="I293" s="464" t="s">
        <v>173</v>
      </c>
      <c r="J293" s="463">
        <v>204.286</v>
      </c>
      <c r="K293" s="403" t="s">
        <v>173</v>
      </c>
      <c r="L293" s="404" t="s">
        <v>173</v>
      </c>
      <c r="M293" s="464" t="s">
        <v>173</v>
      </c>
      <c r="N293" s="641">
        <v>0.5</v>
      </c>
      <c r="O293" s="464" t="s">
        <v>173</v>
      </c>
      <c r="P293" s="463">
        <v>1.2734000000000001</v>
      </c>
      <c r="Q293" s="464" t="s">
        <v>173</v>
      </c>
      <c r="R293" s="709" t="s">
        <v>173</v>
      </c>
      <c r="S293" s="464" t="s">
        <v>173</v>
      </c>
      <c r="T293" s="708">
        <v>0.85499999999999998</v>
      </c>
      <c r="U293" s="412" t="s">
        <v>300</v>
      </c>
      <c r="V293" s="465">
        <f t="shared" si="11"/>
        <v>0.3499988304093567</v>
      </c>
      <c r="W293" s="364"/>
      <c r="X293" s="364"/>
      <c r="Y293" s="982"/>
    </row>
    <row r="294" spans="1:25" s="359" customFormat="1" x14ac:dyDescent="0.3">
      <c r="A294" s="373"/>
      <c r="B294" s="141" t="s">
        <v>375</v>
      </c>
      <c r="C294" s="373" t="s">
        <v>812</v>
      </c>
      <c r="D294" s="373" t="s">
        <v>137</v>
      </c>
      <c r="E294" s="412" t="s">
        <v>300</v>
      </c>
      <c r="F294" s="373" t="s">
        <v>458</v>
      </c>
      <c r="G294" s="412"/>
      <c r="H294" s="365" t="s">
        <v>452</v>
      </c>
      <c r="I294" s="464" t="s">
        <v>173</v>
      </c>
      <c r="J294" s="463">
        <v>203.774</v>
      </c>
      <c r="K294" s="403" t="s">
        <v>173</v>
      </c>
      <c r="L294" s="404" t="s">
        <v>173</v>
      </c>
      <c r="M294" s="464" t="s">
        <v>173</v>
      </c>
      <c r="N294" s="641">
        <v>0.5</v>
      </c>
      <c r="O294" s="464" t="s">
        <v>173</v>
      </c>
      <c r="P294" s="463">
        <v>1.2734000000000001</v>
      </c>
      <c r="Q294" s="464" t="s">
        <v>173</v>
      </c>
      <c r="R294" s="709" t="s">
        <v>173</v>
      </c>
      <c r="S294" s="464" t="s">
        <v>173</v>
      </c>
      <c r="T294" s="708">
        <v>0.85499999999999998</v>
      </c>
      <c r="U294" s="412" t="s">
        <v>300</v>
      </c>
      <c r="V294" s="465">
        <f t="shared" si="11"/>
        <v>0.3499988304093567</v>
      </c>
      <c r="W294" s="364"/>
      <c r="X294" s="364"/>
      <c r="Y294" s="982"/>
    </row>
    <row r="295" spans="1:25" s="359" customFormat="1" x14ac:dyDescent="0.3">
      <c r="A295" s="373"/>
      <c r="B295" s="141" t="s">
        <v>375</v>
      </c>
      <c r="C295" s="373" t="s">
        <v>813</v>
      </c>
      <c r="D295" s="373" t="s">
        <v>137</v>
      </c>
      <c r="E295" s="412" t="s">
        <v>300</v>
      </c>
      <c r="F295" s="373" t="s">
        <v>458</v>
      </c>
      <c r="G295" s="412"/>
      <c r="H295" s="365" t="s">
        <v>452</v>
      </c>
      <c r="I295" s="464" t="s">
        <v>173</v>
      </c>
      <c r="J295" s="463">
        <v>202.227</v>
      </c>
      <c r="K295" s="403" t="s">
        <v>173</v>
      </c>
      <c r="L295" s="404" t="s">
        <v>173</v>
      </c>
      <c r="M295" s="464" t="s">
        <v>173</v>
      </c>
      <c r="N295" s="641">
        <v>0.5</v>
      </c>
      <c r="O295" s="464" t="s">
        <v>173</v>
      </c>
      <c r="P295" s="463">
        <v>1.2734000000000001</v>
      </c>
      <c r="Q295" s="464" t="s">
        <v>173</v>
      </c>
      <c r="R295" s="709" t="s">
        <v>173</v>
      </c>
      <c r="S295" s="464" t="s">
        <v>173</v>
      </c>
      <c r="T295" s="708">
        <v>0.85499999999999998</v>
      </c>
      <c r="U295" s="412" t="s">
        <v>300</v>
      </c>
      <c r="V295" s="465">
        <f t="shared" si="11"/>
        <v>0.3499988304093567</v>
      </c>
      <c r="W295" s="364"/>
      <c r="X295" s="364"/>
      <c r="Y295" s="982"/>
    </row>
    <row r="296" spans="1:25" s="359" customFormat="1" x14ac:dyDescent="0.3">
      <c r="A296" s="373"/>
      <c r="B296" s="141" t="s">
        <v>375</v>
      </c>
      <c r="C296" s="373" t="s">
        <v>814</v>
      </c>
      <c r="D296" s="373" t="s">
        <v>137</v>
      </c>
      <c r="E296" s="412" t="s">
        <v>300</v>
      </c>
      <c r="F296" s="373" t="s">
        <v>458</v>
      </c>
      <c r="G296" s="412"/>
      <c r="H296" s="365" t="s">
        <v>452</v>
      </c>
      <c r="I296" s="464" t="s">
        <v>173</v>
      </c>
      <c r="J296" s="463">
        <v>202.179</v>
      </c>
      <c r="K296" s="403" t="s">
        <v>173</v>
      </c>
      <c r="L296" s="404" t="s">
        <v>173</v>
      </c>
      <c r="M296" s="464" t="s">
        <v>173</v>
      </c>
      <c r="N296" s="641">
        <v>0.5</v>
      </c>
      <c r="O296" s="464" t="s">
        <v>173</v>
      </c>
      <c r="P296" s="463">
        <v>1.2734000000000001</v>
      </c>
      <c r="Q296" s="464" t="s">
        <v>173</v>
      </c>
      <c r="R296" s="709" t="s">
        <v>173</v>
      </c>
      <c r="S296" s="464" t="s">
        <v>173</v>
      </c>
      <c r="T296" s="708">
        <v>0.85499999999999998</v>
      </c>
      <c r="U296" s="412" t="s">
        <v>300</v>
      </c>
      <c r="V296" s="465">
        <f t="shared" si="11"/>
        <v>0.3499988304093567</v>
      </c>
      <c r="W296" s="364"/>
      <c r="X296" s="364"/>
      <c r="Y296" s="982"/>
    </row>
    <row r="297" spans="1:25" s="359" customFormat="1" x14ac:dyDescent="0.3">
      <c r="A297" s="373"/>
      <c r="B297" s="141" t="s">
        <v>375</v>
      </c>
      <c r="C297" s="373" t="s">
        <v>815</v>
      </c>
      <c r="D297" s="373" t="s">
        <v>137</v>
      </c>
      <c r="E297" s="412" t="s">
        <v>300</v>
      </c>
      <c r="F297" s="373" t="s">
        <v>458</v>
      </c>
      <c r="G297" s="412"/>
      <c r="H297" s="365" t="s">
        <v>452</v>
      </c>
      <c r="I297" s="464" t="s">
        <v>173</v>
      </c>
      <c r="J297" s="463">
        <v>200.60599999999999</v>
      </c>
      <c r="K297" s="403" t="s">
        <v>173</v>
      </c>
      <c r="L297" s="404" t="s">
        <v>173</v>
      </c>
      <c r="M297" s="464" t="s">
        <v>173</v>
      </c>
      <c r="N297" s="641">
        <v>0.5</v>
      </c>
      <c r="O297" s="464" t="s">
        <v>173</v>
      </c>
      <c r="P297" s="463">
        <v>1.2734000000000001</v>
      </c>
      <c r="Q297" s="464" t="s">
        <v>173</v>
      </c>
      <c r="R297" s="709" t="s">
        <v>173</v>
      </c>
      <c r="S297" s="464" t="s">
        <v>173</v>
      </c>
      <c r="T297" s="708">
        <v>0.85499999999999998</v>
      </c>
      <c r="U297" s="412" t="s">
        <v>300</v>
      </c>
      <c r="V297" s="465">
        <f t="shared" si="11"/>
        <v>0.3499988304093567</v>
      </c>
      <c r="W297" s="364"/>
      <c r="X297" s="364"/>
      <c r="Y297" s="982"/>
    </row>
    <row r="298" spans="1:25" s="359" customFormat="1" x14ac:dyDescent="0.3">
      <c r="A298" s="373"/>
      <c r="B298" s="141" t="s">
        <v>375</v>
      </c>
      <c r="C298" s="373" t="s">
        <v>816</v>
      </c>
      <c r="D298" s="373" t="s">
        <v>137</v>
      </c>
      <c r="E298" s="412" t="s">
        <v>300</v>
      </c>
      <c r="F298" s="373" t="s">
        <v>458</v>
      </c>
      <c r="G298" s="412"/>
      <c r="H298" s="365" t="s">
        <v>452</v>
      </c>
      <c r="I298" s="464" t="s">
        <v>173</v>
      </c>
      <c r="J298" s="463">
        <v>261.98099999999999</v>
      </c>
      <c r="K298" s="403" t="s">
        <v>173</v>
      </c>
      <c r="L298" s="404" t="s">
        <v>173</v>
      </c>
      <c r="M298" s="464" t="s">
        <v>173</v>
      </c>
      <c r="N298" s="641">
        <v>0.5</v>
      </c>
      <c r="O298" s="464" t="s">
        <v>173</v>
      </c>
      <c r="P298" s="463">
        <v>1.2734000000000001</v>
      </c>
      <c r="Q298" s="464" t="s">
        <v>173</v>
      </c>
      <c r="R298" s="709" t="s">
        <v>173</v>
      </c>
      <c r="S298" s="464" t="s">
        <v>173</v>
      </c>
      <c r="T298" s="708">
        <v>0.85499999999999998</v>
      </c>
      <c r="U298" s="412" t="s">
        <v>300</v>
      </c>
      <c r="V298" s="465">
        <f t="shared" si="11"/>
        <v>0.3499988304093567</v>
      </c>
      <c r="W298" s="364"/>
      <c r="X298" s="364"/>
      <c r="Y298" s="982"/>
    </row>
    <row r="299" spans="1:25" s="359" customFormat="1" x14ac:dyDescent="0.3">
      <c r="A299" s="373"/>
      <c r="B299" s="141" t="s">
        <v>375</v>
      </c>
      <c r="C299" s="373" t="s">
        <v>817</v>
      </c>
      <c r="D299" s="373" t="s">
        <v>137</v>
      </c>
      <c r="E299" s="412" t="s">
        <v>300</v>
      </c>
      <c r="F299" s="373" t="s">
        <v>458</v>
      </c>
      <c r="G299" s="412"/>
      <c r="H299" s="365" t="s">
        <v>452</v>
      </c>
      <c r="I299" s="464" t="s">
        <v>173</v>
      </c>
      <c r="J299" s="463">
        <v>223.166</v>
      </c>
      <c r="K299" s="403" t="s">
        <v>173</v>
      </c>
      <c r="L299" s="404" t="s">
        <v>173</v>
      </c>
      <c r="M299" s="464" t="s">
        <v>173</v>
      </c>
      <c r="N299" s="641">
        <v>0.5</v>
      </c>
      <c r="O299" s="464" t="s">
        <v>173</v>
      </c>
      <c r="P299" s="463">
        <v>1.2734000000000001</v>
      </c>
      <c r="Q299" s="464" t="s">
        <v>173</v>
      </c>
      <c r="R299" s="709" t="s">
        <v>173</v>
      </c>
      <c r="S299" s="464" t="s">
        <v>173</v>
      </c>
      <c r="T299" s="708">
        <v>0.85499999999999998</v>
      </c>
      <c r="U299" s="412" t="s">
        <v>300</v>
      </c>
      <c r="V299" s="465">
        <f t="shared" si="11"/>
        <v>0.3499988304093567</v>
      </c>
      <c r="W299" s="364"/>
      <c r="X299" s="364"/>
      <c r="Y299" s="982"/>
    </row>
    <row r="300" spans="1:25" s="359" customFormat="1" x14ac:dyDescent="0.3">
      <c r="A300" s="373"/>
      <c r="B300" s="141" t="s">
        <v>375</v>
      </c>
      <c r="C300" s="373" t="s">
        <v>818</v>
      </c>
      <c r="D300" s="373" t="s">
        <v>137</v>
      </c>
      <c r="E300" s="412" t="s">
        <v>300</v>
      </c>
      <c r="F300" s="373" t="s">
        <v>458</v>
      </c>
      <c r="G300" s="412"/>
      <c r="H300" s="365" t="s">
        <v>452</v>
      </c>
      <c r="I300" s="464" t="s">
        <v>173</v>
      </c>
      <c r="J300" s="463">
        <v>241.77600000000001</v>
      </c>
      <c r="K300" s="403" t="s">
        <v>173</v>
      </c>
      <c r="L300" s="404" t="s">
        <v>173</v>
      </c>
      <c r="M300" s="464" t="s">
        <v>173</v>
      </c>
      <c r="N300" s="641">
        <v>0.5</v>
      </c>
      <c r="O300" s="464" t="s">
        <v>173</v>
      </c>
      <c r="P300" s="463">
        <v>1.2734000000000001</v>
      </c>
      <c r="Q300" s="464" t="s">
        <v>173</v>
      </c>
      <c r="R300" s="709" t="s">
        <v>173</v>
      </c>
      <c r="S300" s="464" t="s">
        <v>173</v>
      </c>
      <c r="T300" s="708">
        <v>0.85499999999999998</v>
      </c>
      <c r="U300" s="412" t="s">
        <v>300</v>
      </c>
      <c r="V300" s="465">
        <f t="shared" si="11"/>
        <v>0.3499988304093567</v>
      </c>
      <c r="W300" s="364"/>
      <c r="X300" s="364"/>
      <c r="Y300" s="982"/>
    </row>
    <row r="301" spans="1:25" s="359" customFormat="1" x14ac:dyDescent="0.3">
      <c r="A301" s="373"/>
      <c r="B301" s="141" t="s">
        <v>375</v>
      </c>
      <c r="C301" s="373" t="s">
        <v>819</v>
      </c>
      <c r="D301" s="373" t="s">
        <v>137</v>
      </c>
      <c r="E301" s="412" t="s">
        <v>300</v>
      </c>
      <c r="F301" s="373" t="s">
        <v>458</v>
      </c>
      <c r="G301" s="412"/>
      <c r="H301" s="365" t="s">
        <v>452</v>
      </c>
      <c r="I301" s="464" t="s">
        <v>173</v>
      </c>
      <c r="J301" s="463">
        <v>222.35</v>
      </c>
      <c r="K301" s="403" t="s">
        <v>173</v>
      </c>
      <c r="L301" s="404" t="s">
        <v>173</v>
      </c>
      <c r="M301" s="464" t="s">
        <v>173</v>
      </c>
      <c r="N301" s="641">
        <v>0.5</v>
      </c>
      <c r="O301" s="464" t="s">
        <v>173</v>
      </c>
      <c r="P301" s="463">
        <v>1.2734000000000001</v>
      </c>
      <c r="Q301" s="464" t="s">
        <v>173</v>
      </c>
      <c r="R301" s="709" t="s">
        <v>173</v>
      </c>
      <c r="S301" s="464" t="s">
        <v>173</v>
      </c>
      <c r="T301" s="708">
        <v>0.85499999999999998</v>
      </c>
      <c r="U301" s="412" t="s">
        <v>300</v>
      </c>
      <c r="V301" s="465">
        <f t="shared" si="11"/>
        <v>0.3499988304093567</v>
      </c>
      <c r="W301" s="364"/>
      <c r="X301" s="364"/>
      <c r="Y301" s="982"/>
    </row>
    <row r="302" spans="1:25" s="359" customFormat="1" x14ac:dyDescent="0.3">
      <c r="A302" s="373"/>
      <c r="B302" s="141" t="s">
        <v>375</v>
      </c>
      <c r="C302" s="373" t="s">
        <v>820</v>
      </c>
      <c r="D302" s="373" t="s">
        <v>137</v>
      </c>
      <c r="E302" s="412" t="s">
        <v>300</v>
      </c>
      <c r="F302" s="373" t="s">
        <v>458</v>
      </c>
      <c r="G302" s="412"/>
      <c r="H302" s="365" t="s">
        <v>452</v>
      </c>
      <c r="I302" s="464" t="s">
        <v>173</v>
      </c>
      <c r="J302" s="463">
        <v>223.01900000000001</v>
      </c>
      <c r="K302" s="403" t="s">
        <v>173</v>
      </c>
      <c r="L302" s="404" t="s">
        <v>173</v>
      </c>
      <c r="M302" s="464" t="s">
        <v>173</v>
      </c>
      <c r="N302" s="641">
        <v>0.5</v>
      </c>
      <c r="O302" s="464" t="s">
        <v>173</v>
      </c>
      <c r="P302" s="463">
        <v>1.2734000000000001</v>
      </c>
      <c r="Q302" s="464" t="s">
        <v>173</v>
      </c>
      <c r="R302" s="709" t="s">
        <v>173</v>
      </c>
      <c r="S302" s="464" t="s">
        <v>173</v>
      </c>
      <c r="T302" s="708">
        <v>0.85499999999999998</v>
      </c>
      <c r="U302" s="412" t="s">
        <v>300</v>
      </c>
      <c r="V302" s="465">
        <f t="shared" si="11"/>
        <v>0.3499988304093567</v>
      </c>
      <c r="W302" s="364"/>
      <c r="X302" s="364"/>
      <c r="Y302" s="982"/>
    </row>
    <row r="303" spans="1:25" s="359" customFormat="1" x14ac:dyDescent="0.3">
      <c r="A303" s="373"/>
      <c r="B303" s="141" t="s">
        <v>375</v>
      </c>
      <c r="C303" s="373" t="s">
        <v>821</v>
      </c>
      <c r="D303" s="373" t="s">
        <v>137</v>
      </c>
      <c r="E303" s="412" t="s">
        <v>300</v>
      </c>
      <c r="F303" s="373" t="s">
        <v>458</v>
      </c>
      <c r="G303" s="412"/>
      <c r="H303" s="365" t="s">
        <v>452</v>
      </c>
      <c r="I303" s="464" t="s">
        <v>173</v>
      </c>
      <c r="J303" s="463">
        <v>218.304</v>
      </c>
      <c r="K303" s="403" t="s">
        <v>173</v>
      </c>
      <c r="L303" s="404" t="s">
        <v>173</v>
      </c>
      <c r="M303" s="464" t="s">
        <v>173</v>
      </c>
      <c r="N303" s="641">
        <v>0.5</v>
      </c>
      <c r="O303" s="464" t="s">
        <v>173</v>
      </c>
      <c r="P303" s="463">
        <v>1.2734000000000001</v>
      </c>
      <c r="Q303" s="464" t="s">
        <v>173</v>
      </c>
      <c r="R303" s="709" t="s">
        <v>173</v>
      </c>
      <c r="S303" s="464" t="s">
        <v>173</v>
      </c>
      <c r="T303" s="708">
        <v>0.85499999999999998</v>
      </c>
      <c r="U303" s="412" t="s">
        <v>300</v>
      </c>
      <c r="V303" s="465">
        <f t="shared" si="11"/>
        <v>0.3499988304093567</v>
      </c>
      <c r="W303" s="364"/>
      <c r="X303" s="364"/>
      <c r="Y303" s="982"/>
    </row>
    <row r="304" spans="1:25" s="359" customFormat="1" x14ac:dyDescent="0.3">
      <c r="A304" s="373"/>
      <c r="B304" s="141" t="s">
        <v>375</v>
      </c>
      <c r="C304" s="373" t="s">
        <v>822</v>
      </c>
      <c r="D304" s="373" t="s">
        <v>137</v>
      </c>
      <c r="E304" s="412" t="s">
        <v>300</v>
      </c>
      <c r="F304" s="373" t="s">
        <v>458</v>
      </c>
      <c r="G304" s="412"/>
      <c r="H304" s="365" t="s">
        <v>452</v>
      </c>
      <c r="I304" s="464" t="s">
        <v>173</v>
      </c>
      <c r="J304" s="463">
        <v>216.92400000000001</v>
      </c>
      <c r="K304" s="403" t="s">
        <v>173</v>
      </c>
      <c r="L304" s="404" t="s">
        <v>173</v>
      </c>
      <c r="M304" s="464" t="s">
        <v>173</v>
      </c>
      <c r="N304" s="641">
        <v>0.5</v>
      </c>
      <c r="O304" s="464" t="s">
        <v>173</v>
      </c>
      <c r="P304" s="463">
        <v>1.2734000000000001</v>
      </c>
      <c r="Q304" s="464" t="s">
        <v>173</v>
      </c>
      <c r="R304" s="709" t="s">
        <v>173</v>
      </c>
      <c r="S304" s="464" t="s">
        <v>173</v>
      </c>
      <c r="T304" s="708">
        <v>0.85499999999999998</v>
      </c>
      <c r="U304" s="412" t="s">
        <v>300</v>
      </c>
      <c r="V304" s="465">
        <f t="shared" si="11"/>
        <v>0.3499988304093567</v>
      </c>
      <c r="W304" s="364"/>
      <c r="X304" s="364"/>
      <c r="Y304" s="982"/>
    </row>
    <row r="305" spans="1:44" s="359" customFormat="1" x14ac:dyDescent="0.3">
      <c r="A305" s="373"/>
      <c r="B305" s="141" t="s">
        <v>375</v>
      </c>
      <c r="C305" s="373" t="s">
        <v>823</v>
      </c>
      <c r="D305" s="373" t="s">
        <v>137</v>
      </c>
      <c r="E305" s="412" t="s">
        <v>300</v>
      </c>
      <c r="F305" s="373" t="s">
        <v>458</v>
      </c>
      <c r="G305" s="412"/>
      <c r="H305" s="365" t="s">
        <v>452</v>
      </c>
      <c r="I305" s="464" t="s">
        <v>173</v>
      </c>
      <c r="J305" s="463">
        <v>216.22300000000001</v>
      </c>
      <c r="K305" s="403" t="s">
        <v>173</v>
      </c>
      <c r="L305" s="404" t="s">
        <v>173</v>
      </c>
      <c r="M305" s="464" t="s">
        <v>173</v>
      </c>
      <c r="N305" s="641">
        <v>0.5</v>
      </c>
      <c r="O305" s="464" t="s">
        <v>173</v>
      </c>
      <c r="P305" s="463">
        <v>1.2734000000000001</v>
      </c>
      <c r="Q305" s="464" t="s">
        <v>173</v>
      </c>
      <c r="R305" s="709" t="s">
        <v>173</v>
      </c>
      <c r="S305" s="464" t="s">
        <v>173</v>
      </c>
      <c r="T305" s="708">
        <v>0.85499999999999998</v>
      </c>
      <c r="U305" s="412" t="s">
        <v>300</v>
      </c>
      <c r="V305" s="465">
        <f t="shared" si="11"/>
        <v>0.3499988304093567</v>
      </c>
      <c r="W305" s="364"/>
      <c r="X305" s="364"/>
      <c r="Y305" s="982"/>
    </row>
    <row r="306" spans="1:44" s="359" customFormat="1" x14ac:dyDescent="0.3">
      <c r="A306" s="373"/>
      <c r="B306" s="141" t="s">
        <v>375</v>
      </c>
      <c r="C306" s="373" t="s">
        <v>824</v>
      </c>
      <c r="D306" s="373" t="s">
        <v>137</v>
      </c>
      <c r="E306" s="412" t="s">
        <v>300</v>
      </c>
      <c r="F306" s="373" t="s">
        <v>458</v>
      </c>
      <c r="G306" s="412"/>
      <c r="H306" s="365" t="s">
        <v>452</v>
      </c>
      <c r="I306" s="464" t="s">
        <v>173</v>
      </c>
      <c r="J306" s="463">
        <v>214.619</v>
      </c>
      <c r="K306" s="403" t="s">
        <v>173</v>
      </c>
      <c r="L306" s="404" t="s">
        <v>173</v>
      </c>
      <c r="M306" s="464" t="s">
        <v>173</v>
      </c>
      <c r="N306" s="641">
        <v>0.5</v>
      </c>
      <c r="O306" s="464" t="s">
        <v>173</v>
      </c>
      <c r="P306" s="463">
        <v>1.2734000000000001</v>
      </c>
      <c r="Q306" s="464" t="s">
        <v>173</v>
      </c>
      <c r="R306" s="709" t="s">
        <v>173</v>
      </c>
      <c r="S306" s="464" t="s">
        <v>173</v>
      </c>
      <c r="T306" s="708">
        <v>0.85499999999999998</v>
      </c>
      <c r="U306" s="412" t="s">
        <v>300</v>
      </c>
      <c r="V306" s="465">
        <f t="shared" si="11"/>
        <v>0.3499988304093567</v>
      </c>
      <c r="W306" s="364"/>
      <c r="X306" s="364"/>
      <c r="Y306" s="982"/>
    </row>
    <row r="307" spans="1:44" s="359" customFormat="1" x14ac:dyDescent="0.3">
      <c r="A307" s="373"/>
      <c r="B307" s="309" t="s">
        <v>375</v>
      </c>
      <c r="C307" s="165" t="s">
        <v>825</v>
      </c>
      <c r="D307" s="165" t="s">
        <v>137</v>
      </c>
      <c r="E307" s="410" t="s">
        <v>300</v>
      </c>
      <c r="F307" s="165" t="s">
        <v>458</v>
      </c>
      <c r="G307" s="410"/>
      <c r="H307" s="232" t="s">
        <v>452</v>
      </c>
      <c r="I307" s="444" t="s">
        <v>173</v>
      </c>
      <c r="J307" s="642">
        <v>213.9</v>
      </c>
      <c r="K307" s="405" t="s">
        <v>173</v>
      </c>
      <c r="L307" s="406" t="s">
        <v>173</v>
      </c>
      <c r="M307" s="444" t="s">
        <v>173</v>
      </c>
      <c r="N307" s="891">
        <v>0.5</v>
      </c>
      <c r="O307" s="444" t="s">
        <v>173</v>
      </c>
      <c r="P307" s="642">
        <v>1.2734000000000001</v>
      </c>
      <c r="Q307" s="444" t="s">
        <v>173</v>
      </c>
      <c r="R307" s="715" t="s">
        <v>173</v>
      </c>
      <c r="S307" s="444" t="s">
        <v>173</v>
      </c>
      <c r="T307" s="915">
        <v>0.85499999999999998</v>
      </c>
      <c r="U307" s="410" t="s">
        <v>300</v>
      </c>
      <c r="V307" s="868">
        <f t="shared" si="11"/>
        <v>0.3499988304093567</v>
      </c>
      <c r="W307" s="364"/>
      <c r="X307" s="364"/>
      <c r="Y307" s="982"/>
    </row>
    <row r="308" spans="1:44" x14ac:dyDescent="0.3">
      <c r="A308" s="89"/>
      <c r="B308" s="89"/>
      <c r="C308" s="380"/>
      <c r="D308" s="89"/>
      <c r="E308" s="89"/>
      <c r="F308" s="89"/>
      <c r="G308" s="89"/>
      <c r="H308" s="89"/>
      <c r="I308" s="89"/>
      <c r="J308" s="89"/>
      <c r="K308" s="89"/>
      <c r="L308" s="421"/>
      <c r="M308" s="89"/>
      <c r="N308" s="89"/>
      <c r="O308" s="89"/>
      <c r="P308" s="89"/>
      <c r="Q308" s="89"/>
      <c r="R308" s="89"/>
      <c r="S308" s="89"/>
      <c r="T308" s="89"/>
      <c r="U308" s="89"/>
      <c r="V308" s="89"/>
      <c r="X308" s="364"/>
      <c r="Y308" s="982"/>
      <c r="Z308" s="359"/>
      <c r="AA308" s="982"/>
      <c r="AB308" s="982"/>
      <c r="AC308" s="982"/>
      <c r="AD308" s="982"/>
      <c r="AE308" s="982"/>
      <c r="AF308" s="982"/>
      <c r="AG308" s="982"/>
      <c r="AH308" s="982"/>
      <c r="AI308" s="982"/>
      <c r="AJ308" s="982"/>
      <c r="AK308" s="982"/>
      <c r="AL308" s="982"/>
      <c r="AM308" s="982"/>
      <c r="AN308" s="982"/>
      <c r="AO308" s="982"/>
      <c r="AP308" s="982"/>
      <c r="AQ308" s="982"/>
      <c r="AR308" s="982"/>
    </row>
    <row r="309" spans="1:44" x14ac:dyDescent="0.3">
      <c r="A309" s="982"/>
      <c r="B309" s="982"/>
      <c r="C309" s="982"/>
      <c r="D309" s="982"/>
      <c r="E309" s="357"/>
      <c r="F309" s="982"/>
      <c r="G309" s="357"/>
      <c r="H309" s="982"/>
      <c r="I309" s="357"/>
      <c r="J309" s="982"/>
      <c r="K309" s="982"/>
      <c r="L309" s="982"/>
      <c r="M309" s="357"/>
      <c r="N309" s="982"/>
      <c r="O309" s="127"/>
      <c r="P309" s="118"/>
      <c r="Q309" s="89"/>
      <c r="R309" s="89"/>
      <c r="S309" s="89"/>
      <c r="T309" s="89"/>
      <c r="U309" s="89"/>
      <c r="V309" s="89"/>
      <c r="X309" s="364"/>
      <c r="Y309" s="982"/>
      <c r="Z309" s="982"/>
      <c r="AA309" s="982"/>
      <c r="AB309" s="982"/>
      <c r="AC309" s="982"/>
      <c r="AD309" s="982"/>
      <c r="AE309" s="982"/>
      <c r="AF309" s="982"/>
      <c r="AG309" s="982"/>
      <c r="AH309" s="982"/>
      <c r="AI309" s="982"/>
      <c r="AJ309" s="982"/>
      <c r="AK309" s="982"/>
      <c r="AL309" s="982"/>
      <c r="AM309" s="982"/>
      <c r="AN309" s="982"/>
      <c r="AO309" s="982"/>
      <c r="AP309" s="982"/>
      <c r="AQ309" s="982"/>
      <c r="AR309" s="982"/>
    </row>
    <row r="310" spans="1:44" x14ac:dyDescent="0.3">
      <c r="A310" s="982"/>
      <c r="B310" s="115" t="s">
        <v>331</v>
      </c>
      <c r="C310" s="120"/>
      <c r="D310" s="119" t="s">
        <v>122</v>
      </c>
      <c r="E310" s="210"/>
      <c r="F310" s="148" t="s">
        <v>508</v>
      </c>
      <c r="G310" s="131"/>
      <c r="H310" s="148" t="s">
        <v>509</v>
      </c>
      <c r="I310" s="357"/>
      <c r="J310" s="982"/>
      <c r="K310" s="982"/>
      <c r="L310" s="982"/>
      <c r="M310" s="357"/>
      <c r="N310" s="982"/>
      <c r="O310" s="127"/>
      <c r="P310" s="118"/>
      <c r="Q310" s="89"/>
      <c r="R310" s="89"/>
      <c r="S310" s="89"/>
      <c r="T310" s="89"/>
      <c r="U310" s="89"/>
      <c r="V310" s="89"/>
      <c r="X310" s="364"/>
      <c r="Y310" s="982"/>
      <c r="Z310" s="982"/>
      <c r="AA310" s="982"/>
      <c r="AB310" s="982"/>
      <c r="AC310" s="982"/>
      <c r="AD310" s="982"/>
      <c r="AE310" s="982"/>
      <c r="AF310" s="982"/>
      <c r="AG310" s="982"/>
      <c r="AH310" s="982"/>
      <c r="AI310" s="982"/>
      <c r="AJ310" s="982"/>
      <c r="AK310" s="982"/>
      <c r="AL310" s="982"/>
      <c r="AM310" s="982"/>
      <c r="AN310" s="982"/>
      <c r="AO310" s="982"/>
      <c r="AP310" s="982"/>
      <c r="AQ310" s="982"/>
      <c r="AR310" s="982"/>
    </row>
    <row r="311" spans="1:44" ht="15" thickBot="1" x14ac:dyDescent="0.35">
      <c r="A311" s="982"/>
      <c r="B311" s="178" t="s">
        <v>417</v>
      </c>
      <c r="C311" s="176"/>
      <c r="D311" s="179"/>
      <c r="E311" s="208"/>
      <c r="F311" s="179" t="s">
        <v>510</v>
      </c>
      <c r="G311" s="211"/>
      <c r="H311" s="179" t="s">
        <v>511</v>
      </c>
      <c r="I311" s="357"/>
      <c r="J311" s="982"/>
      <c r="K311" s="982"/>
      <c r="L311" s="982"/>
      <c r="M311" s="357"/>
      <c r="N311" s="982"/>
      <c r="O311" s="127"/>
      <c r="P311" s="118"/>
      <c r="Q311" s="89"/>
      <c r="R311" s="89"/>
      <c r="S311" s="89"/>
      <c r="T311" s="89"/>
      <c r="U311" s="89"/>
      <c r="V311" s="89"/>
      <c r="W311" s="89"/>
      <c r="X311" s="89"/>
      <c r="Y311" s="982"/>
      <c r="Z311" s="982"/>
      <c r="AA311" s="982"/>
      <c r="AB311" s="982"/>
      <c r="AC311" s="982"/>
      <c r="AD311" s="982"/>
      <c r="AE311" s="982"/>
      <c r="AF311" s="982"/>
      <c r="AG311" s="982"/>
      <c r="AH311" s="982"/>
      <c r="AI311" s="982"/>
      <c r="AJ311" s="982"/>
      <c r="AK311" s="982"/>
      <c r="AL311" s="982"/>
      <c r="AM311" s="982"/>
      <c r="AN311" s="982"/>
      <c r="AO311" s="982"/>
      <c r="AP311" s="982"/>
      <c r="AQ311" s="982"/>
      <c r="AR311" s="982"/>
    </row>
    <row r="312" spans="1:44" s="357" customFormat="1" ht="15" thickTop="1" x14ac:dyDescent="0.3">
      <c r="B312" s="141" t="s">
        <v>351</v>
      </c>
      <c r="C312" s="373" t="s">
        <v>512</v>
      </c>
      <c r="D312" s="373" t="s">
        <v>137</v>
      </c>
      <c r="E312" s="411" t="s">
        <v>300</v>
      </c>
      <c r="F312" s="373" t="s">
        <v>513</v>
      </c>
      <c r="G312" s="411" t="s">
        <v>300</v>
      </c>
      <c r="H312" s="259" t="s">
        <v>514</v>
      </c>
      <c r="L312" s="982"/>
      <c r="O312" s="127"/>
      <c r="P312" s="127"/>
      <c r="Q312" s="89"/>
      <c r="R312" s="89"/>
      <c r="S312" s="89"/>
      <c r="T312" s="89"/>
      <c r="U312" s="89"/>
      <c r="V312" s="89"/>
      <c r="W312" s="89"/>
      <c r="X312" s="89"/>
    </row>
    <row r="313" spans="1:44" x14ac:dyDescent="0.3">
      <c r="A313" s="982"/>
      <c r="B313" s="141" t="s">
        <v>356</v>
      </c>
      <c r="C313" s="373" t="s">
        <v>515</v>
      </c>
      <c r="D313" s="373" t="s">
        <v>137</v>
      </c>
      <c r="E313" s="411"/>
      <c r="F313" s="365" t="s">
        <v>519</v>
      </c>
      <c r="G313" s="411"/>
      <c r="H313" s="890" t="s">
        <v>311</v>
      </c>
      <c r="I313" s="357"/>
      <c r="J313" s="982"/>
      <c r="K313" s="982"/>
      <c r="L313" s="982"/>
      <c r="M313" s="357"/>
      <c r="N313" s="982"/>
      <c r="O313" s="127"/>
      <c r="P313" s="118"/>
      <c r="Q313" s="89"/>
      <c r="R313" s="89"/>
      <c r="S313" s="89"/>
      <c r="T313" s="89"/>
      <c r="U313" s="89"/>
      <c r="V313" s="89"/>
      <c r="W313" s="89"/>
      <c r="X313" s="89"/>
      <c r="Y313" s="982"/>
      <c r="Z313" s="982"/>
      <c r="AA313" s="982"/>
      <c r="AB313" s="982"/>
      <c r="AC313" s="982"/>
      <c r="AD313" s="982"/>
      <c r="AE313" s="982"/>
      <c r="AF313" s="982"/>
      <c r="AG313" s="982"/>
      <c r="AH313" s="982"/>
      <c r="AI313" s="982"/>
      <c r="AJ313" s="982"/>
      <c r="AK313" s="982"/>
      <c r="AL313" s="982"/>
      <c r="AM313" s="982"/>
      <c r="AN313" s="982"/>
      <c r="AO313" s="982"/>
      <c r="AP313" s="982"/>
      <c r="AQ313" s="982"/>
      <c r="AR313" s="982"/>
    </row>
    <row r="314" spans="1:44" s="364" customFormat="1" x14ac:dyDescent="0.3">
      <c r="A314" s="982"/>
      <c r="B314" s="141" t="s">
        <v>358</v>
      </c>
      <c r="C314" s="373" t="s">
        <v>516</v>
      </c>
      <c r="D314" s="373" t="s">
        <v>137</v>
      </c>
      <c r="E314" s="411"/>
      <c r="F314" s="365" t="s">
        <v>519</v>
      </c>
      <c r="G314" s="411"/>
      <c r="H314" s="890" t="s">
        <v>311</v>
      </c>
      <c r="I314" s="357"/>
      <c r="J314" s="982"/>
      <c r="K314" s="982"/>
      <c r="L314" s="982"/>
      <c r="M314" s="357"/>
      <c r="N314" s="982"/>
      <c r="O314" s="127"/>
      <c r="P314" s="118"/>
      <c r="Q314" s="89"/>
      <c r="R314" s="89"/>
      <c r="S314" s="89"/>
      <c r="T314" s="89"/>
      <c r="U314" s="89"/>
      <c r="V314" s="89"/>
      <c r="W314" s="89"/>
      <c r="X314" s="89"/>
    </row>
    <row r="315" spans="1:44" s="364" customFormat="1" x14ac:dyDescent="0.3">
      <c r="A315" s="982"/>
      <c r="B315" s="141" t="s">
        <v>360</v>
      </c>
      <c r="C315" s="373" t="s">
        <v>517</v>
      </c>
      <c r="D315" s="373" t="s">
        <v>137</v>
      </c>
      <c r="E315" s="411" t="s">
        <v>300</v>
      </c>
      <c r="F315" s="373" t="s">
        <v>513</v>
      </c>
      <c r="G315" s="411" t="s">
        <v>300</v>
      </c>
      <c r="H315" s="266" t="s">
        <v>514</v>
      </c>
      <c r="I315" s="357"/>
      <c r="J315" s="982"/>
      <c r="K315" s="982"/>
      <c r="L315" s="982"/>
      <c r="M315" s="357"/>
      <c r="N315" s="982"/>
      <c r="O315" s="127"/>
      <c r="P315" s="118"/>
      <c r="Q315" s="89"/>
      <c r="R315" s="89"/>
      <c r="S315" s="89"/>
      <c r="T315" s="89"/>
      <c r="U315" s="89"/>
      <c r="V315" s="89"/>
      <c r="W315" s="89"/>
      <c r="X315" s="89"/>
    </row>
    <row r="316" spans="1:44" s="364" customFormat="1" x14ac:dyDescent="0.3">
      <c r="A316" s="982"/>
      <c r="B316" s="309" t="s">
        <v>1694</v>
      </c>
      <c r="C316" s="165" t="s">
        <v>1699</v>
      </c>
      <c r="D316" s="165" t="s">
        <v>137</v>
      </c>
      <c r="E316" s="405" t="s">
        <v>173</v>
      </c>
      <c r="F316" s="406" t="s">
        <v>173</v>
      </c>
      <c r="G316" s="405" t="s">
        <v>173</v>
      </c>
      <c r="H316" s="406" t="s">
        <v>173</v>
      </c>
      <c r="I316" s="357"/>
      <c r="J316" s="982"/>
      <c r="K316" s="982"/>
      <c r="L316" s="982"/>
      <c r="M316" s="357"/>
      <c r="N316" s="982"/>
      <c r="O316" s="127"/>
      <c r="P316" s="118"/>
      <c r="Q316" s="89"/>
      <c r="R316" s="89"/>
      <c r="S316" s="89"/>
      <c r="T316" s="89"/>
      <c r="U316" s="89"/>
      <c r="V316" s="89"/>
      <c r="W316" s="89"/>
      <c r="X316" s="89"/>
    </row>
    <row r="317" spans="1:44" s="364" customFormat="1" x14ac:dyDescent="0.3">
      <c r="A317" s="982"/>
      <c r="B317" s="92"/>
      <c r="C317" s="92"/>
      <c r="D317" s="92"/>
      <c r="E317" s="92"/>
      <c r="F317" s="92"/>
      <c r="G317" s="92"/>
      <c r="H317" s="92"/>
      <c r="I317" s="92"/>
      <c r="J317" s="982"/>
      <c r="K317" s="982"/>
      <c r="L317" s="982"/>
      <c r="M317" s="357"/>
      <c r="N317" s="982"/>
      <c r="O317" s="127"/>
      <c r="P317" s="118"/>
      <c r="Q317" s="89"/>
      <c r="R317" s="89"/>
      <c r="S317" s="89"/>
      <c r="T317" s="89"/>
      <c r="U317" s="89"/>
      <c r="V317" s="89"/>
      <c r="W317" s="89"/>
      <c r="X317" s="89"/>
    </row>
    <row r="318" spans="1:44" s="364" customFormat="1" x14ac:dyDescent="0.3">
      <c r="A318" s="89"/>
      <c r="B318" s="92"/>
      <c r="C318" s="90"/>
      <c r="D318" s="982"/>
      <c r="E318" s="89"/>
      <c r="F318" s="89"/>
      <c r="G318" s="89"/>
      <c r="H318" s="89"/>
      <c r="I318" s="89"/>
      <c r="J318" s="89"/>
      <c r="K318" s="89"/>
      <c r="L318" s="89"/>
      <c r="M318" s="89"/>
      <c r="N318" s="89"/>
      <c r="O318" s="89"/>
      <c r="P318" s="89"/>
      <c r="Q318" s="89"/>
      <c r="R318" s="89"/>
      <c r="S318" s="89"/>
      <c r="T318" s="89"/>
      <c r="U318" s="89"/>
      <c r="V318" s="89"/>
      <c r="W318" s="89"/>
      <c r="X318" s="89"/>
    </row>
    <row r="319" spans="1:44" x14ac:dyDescent="0.3">
      <c r="A319" s="23"/>
      <c r="B319" s="23" t="s">
        <v>826</v>
      </c>
      <c r="C319" s="23"/>
      <c r="D319" s="982"/>
      <c r="E319" s="357"/>
      <c r="F319" s="982"/>
      <c r="G319" s="357"/>
      <c r="H319" s="982"/>
      <c r="I319" s="357"/>
      <c r="J319" s="982"/>
      <c r="K319" s="357"/>
      <c r="L319" s="982"/>
      <c r="M319" s="357"/>
      <c r="N319" s="982"/>
      <c r="O319" s="127"/>
      <c r="P319" s="118"/>
      <c r="Q319" s="89"/>
      <c r="R319" s="89"/>
      <c r="S319" s="89"/>
      <c r="T319" s="89"/>
      <c r="U319" s="358"/>
      <c r="V319" s="358"/>
      <c r="W319" s="358"/>
      <c r="X319" s="358"/>
      <c r="Y319" s="982"/>
      <c r="Z319" s="982"/>
      <c r="AA319" s="982"/>
      <c r="AB319" s="982"/>
      <c r="AC319" s="982"/>
      <c r="AD319" s="982"/>
      <c r="AE319" s="982"/>
      <c r="AF319" s="982"/>
      <c r="AG319" s="982"/>
      <c r="AH319" s="982"/>
      <c r="AI319" s="982"/>
      <c r="AJ319" s="982"/>
      <c r="AK319" s="982"/>
      <c r="AL319" s="982"/>
      <c r="AM319" s="982"/>
      <c r="AN319" s="982"/>
      <c r="AO319" s="982"/>
      <c r="AP319" s="982"/>
      <c r="AQ319" s="982"/>
      <c r="AR319" s="982"/>
    </row>
    <row r="320" spans="1:44" s="373" customFormat="1" ht="41.4" x14ac:dyDescent="0.3">
      <c r="A320" s="358"/>
      <c r="B320" s="131" t="s">
        <v>522</v>
      </c>
      <c r="C320" s="120" t="s">
        <v>523</v>
      </c>
      <c r="D320" s="120" t="s">
        <v>122</v>
      </c>
      <c r="E320" s="115"/>
      <c r="F320" s="488" t="s">
        <v>524</v>
      </c>
      <c r="G320" s="115"/>
      <c r="H320" s="488" t="s">
        <v>525</v>
      </c>
      <c r="I320" s="675"/>
      <c r="J320" s="488" t="s">
        <v>526</v>
      </c>
      <c r="K320" s="675"/>
      <c r="L320" s="488" t="s">
        <v>527</v>
      </c>
      <c r="M320" s="274"/>
      <c r="N320" s="319" t="s">
        <v>528</v>
      </c>
      <c r="O320" s="488"/>
      <c r="P320" s="319" t="s">
        <v>529</v>
      </c>
      <c r="Q320" s="274"/>
      <c r="R320" s="117" t="s">
        <v>530</v>
      </c>
      <c r="S320" s="274"/>
      <c r="T320" s="173" t="s">
        <v>531</v>
      </c>
      <c r="U320" s="602"/>
      <c r="V320" s="173" t="s">
        <v>532</v>
      </c>
      <c r="W320" s="194"/>
      <c r="X320" s="173" t="s">
        <v>586</v>
      </c>
      <c r="Y320" s="293"/>
      <c r="Z320" s="148" t="s">
        <v>533</v>
      </c>
      <c r="AA320" s="131"/>
      <c r="AB320" s="148" t="s">
        <v>534</v>
      </c>
      <c r="AC320" s="359"/>
      <c r="AD320" s="358"/>
      <c r="AF320" s="358"/>
      <c r="AG320" s="359"/>
      <c r="AH320" s="358"/>
      <c r="AI320" s="578"/>
      <c r="AJ320" s="579"/>
      <c r="AO320" s="358"/>
      <c r="AP320" s="358"/>
      <c r="AQ320" s="358"/>
      <c r="AR320" s="358"/>
    </row>
    <row r="321" spans="1:44" s="89" customFormat="1" ht="28.2" thickBot="1" x14ac:dyDescent="0.35">
      <c r="B321" s="178" t="s">
        <v>535</v>
      </c>
      <c r="C321" s="176" t="s">
        <v>536</v>
      </c>
      <c r="D321" s="582"/>
      <c r="E321" s="635"/>
      <c r="F321" s="176"/>
      <c r="G321" s="635"/>
      <c r="H321" s="176" t="s">
        <v>537</v>
      </c>
      <c r="I321" s="178"/>
      <c r="J321" s="338" t="s">
        <v>538</v>
      </c>
      <c r="K321" s="178"/>
      <c r="L321" s="338" t="s">
        <v>539</v>
      </c>
      <c r="M321" s="315"/>
      <c r="N321" s="124" t="s">
        <v>540</v>
      </c>
      <c r="O321" s="132"/>
      <c r="P321" s="124"/>
      <c r="Q321" s="315"/>
      <c r="R321" s="124" t="s">
        <v>541</v>
      </c>
      <c r="S321" s="315"/>
      <c r="T321" s="124" t="s">
        <v>542</v>
      </c>
      <c r="U321" s="603"/>
      <c r="V321" s="124"/>
      <c r="W321" s="132"/>
      <c r="X321" s="124" t="s">
        <v>542</v>
      </c>
      <c r="Y321" s="580"/>
      <c r="Z321" s="339" t="s">
        <v>543</v>
      </c>
      <c r="AA321" s="580"/>
      <c r="AB321" s="339" t="s">
        <v>544</v>
      </c>
      <c r="AC321" s="101"/>
      <c r="AD321" s="101"/>
      <c r="AE321" s="101"/>
      <c r="AF321" s="101"/>
      <c r="AI321" s="101"/>
      <c r="AJ321" s="101"/>
      <c r="AK321" s="101"/>
      <c r="AL321" s="101"/>
      <c r="AM321" s="101"/>
      <c r="AN321" s="101"/>
      <c r="AO321" s="101"/>
      <c r="AP321" s="101"/>
      <c r="AQ321" s="101"/>
      <c r="AR321" s="101"/>
    </row>
    <row r="322" spans="1:44" s="359" customFormat="1" thickTop="1" x14ac:dyDescent="0.3">
      <c r="A322" s="373"/>
      <c r="B322" s="420" t="s">
        <v>545</v>
      </c>
      <c r="C322" s="260" t="s">
        <v>546</v>
      </c>
      <c r="D322" s="583" t="s">
        <v>137</v>
      </c>
      <c r="E322" s="667" t="s">
        <v>173</v>
      </c>
      <c r="F322" s="676">
        <v>1620</v>
      </c>
      <c r="G322" s="667" t="s">
        <v>173</v>
      </c>
      <c r="H322" s="677" t="s">
        <v>547</v>
      </c>
      <c r="I322" s="667" t="s">
        <v>173</v>
      </c>
      <c r="J322" s="677" t="s">
        <v>548</v>
      </c>
      <c r="K322" s="667" t="s">
        <v>173</v>
      </c>
      <c r="L322" s="677" t="s">
        <v>549</v>
      </c>
      <c r="M322" s="413" t="s">
        <v>300</v>
      </c>
      <c r="N322" s="711">
        <v>10</v>
      </c>
      <c r="O322" s="679" t="s">
        <v>173</v>
      </c>
      <c r="P322" s="680">
        <f t="shared" ref="P322:P348" si="12">ROUND(F322/1000*N322*0.5,1)</f>
        <v>8.1</v>
      </c>
      <c r="Q322" s="413" t="s">
        <v>300</v>
      </c>
      <c r="R322" s="202">
        <v>0</v>
      </c>
      <c r="S322" s="413" t="s">
        <v>300</v>
      </c>
      <c r="T322" s="202">
        <v>0.15</v>
      </c>
      <c r="U322" s="413" t="s">
        <v>300</v>
      </c>
      <c r="V322" s="595">
        <f t="shared" ref="V322:V349" si="13">IF(LEFT(B322,9)="GuestRoom",ROUNDUP(P322,0)*30,ROUND(MAX(P322*R322,T322*F322),0))</f>
        <v>243</v>
      </c>
      <c r="W322" s="324" t="s">
        <v>173</v>
      </c>
      <c r="X322" s="262" t="s">
        <v>173</v>
      </c>
      <c r="Y322" s="413" t="s">
        <v>300</v>
      </c>
      <c r="Z322" s="260" t="s">
        <v>550</v>
      </c>
      <c r="AA322" s="413" t="s">
        <v>300</v>
      </c>
      <c r="AB322" s="259" t="s">
        <v>551</v>
      </c>
      <c r="AG322" s="373"/>
      <c r="AH322" s="373"/>
    </row>
    <row r="323" spans="1:44" s="359" customFormat="1" ht="13.8" x14ac:dyDescent="0.3">
      <c r="A323" s="373"/>
      <c r="B323" s="141" t="s">
        <v>552</v>
      </c>
      <c r="C323" s="373" t="s">
        <v>546</v>
      </c>
      <c r="D323" s="62" t="s">
        <v>137</v>
      </c>
      <c r="E323" s="667" t="s">
        <v>173</v>
      </c>
      <c r="F323" s="664">
        <v>1350</v>
      </c>
      <c r="G323" s="667" t="s">
        <v>173</v>
      </c>
      <c r="H323" s="665" t="s">
        <v>547</v>
      </c>
      <c r="I323" s="667" t="s">
        <v>173</v>
      </c>
      <c r="J323" s="665" t="s">
        <v>548</v>
      </c>
      <c r="K323" s="667" t="s">
        <v>173</v>
      </c>
      <c r="L323" s="665" t="s">
        <v>549</v>
      </c>
      <c r="M323" s="412" t="s">
        <v>300</v>
      </c>
      <c r="N323" s="457">
        <v>10</v>
      </c>
      <c r="O323" s="678" t="s">
        <v>173</v>
      </c>
      <c r="P323" s="680">
        <f t="shared" si="12"/>
        <v>6.8</v>
      </c>
      <c r="Q323" s="412" t="s">
        <v>300</v>
      </c>
      <c r="R323" s="202">
        <v>0</v>
      </c>
      <c r="S323" s="412" t="s">
        <v>300</v>
      </c>
      <c r="T323" s="202">
        <v>0.15</v>
      </c>
      <c r="U323" s="412" t="s">
        <v>300</v>
      </c>
      <c r="V323" s="595">
        <f t="shared" si="13"/>
        <v>203</v>
      </c>
      <c r="W323" s="324" t="s">
        <v>173</v>
      </c>
      <c r="X323" s="262" t="s">
        <v>173</v>
      </c>
      <c r="Y323" s="412" t="s">
        <v>300</v>
      </c>
      <c r="Z323" s="373" t="s">
        <v>550</v>
      </c>
      <c r="AA323" s="412" t="s">
        <v>300</v>
      </c>
      <c r="AB323" s="266" t="s">
        <v>551</v>
      </c>
      <c r="AG323" s="373"/>
      <c r="AH323" s="373"/>
    </row>
    <row r="324" spans="1:44" s="359" customFormat="1" ht="13.8" x14ac:dyDescent="0.3">
      <c r="A324" s="373"/>
      <c r="B324" s="141" t="s">
        <v>553</v>
      </c>
      <c r="C324" s="373" t="s">
        <v>546</v>
      </c>
      <c r="D324" s="62" t="s">
        <v>137</v>
      </c>
      <c r="E324" s="667" t="s">
        <v>173</v>
      </c>
      <c r="F324" s="664">
        <v>1350</v>
      </c>
      <c r="G324" s="667" t="s">
        <v>173</v>
      </c>
      <c r="H324" s="665" t="s">
        <v>547</v>
      </c>
      <c r="I324" s="667" t="s">
        <v>173</v>
      </c>
      <c r="J324" s="665" t="s">
        <v>548</v>
      </c>
      <c r="K324" s="667" t="s">
        <v>173</v>
      </c>
      <c r="L324" s="665" t="s">
        <v>549</v>
      </c>
      <c r="M324" s="412" t="s">
        <v>300</v>
      </c>
      <c r="N324" s="457">
        <v>10</v>
      </c>
      <c r="O324" s="678" t="s">
        <v>173</v>
      </c>
      <c r="P324" s="680">
        <f t="shared" si="12"/>
        <v>6.8</v>
      </c>
      <c r="Q324" s="412" t="s">
        <v>300</v>
      </c>
      <c r="R324" s="202">
        <v>0</v>
      </c>
      <c r="S324" s="412" t="s">
        <v>300</v>
      </c>
      <c r="T324" s="202">
        <v>0.15</v>
      </c>
      <c r="U324" s="412" t="s">
        <v>300</v>
      </c>
      <c r="V324" s="595">
        <f t="shared" si="13"/>
        <v>203</v>
      </c>
      <c r="W324" s="324" t="s">
        <v>173</v>
      </c>
      <c r="X324" s="262" t="s">
        <v>173</v>
      </c>
      <c r="Y324" s="412" t="s">
        <v>300</v>
      </c>
      <c r="Z324" s="373" t="s">
        <v>550</v>
      </c>
      <c r="AA324" s="412" t="s">
        <v>300</v>
      </c>
      <c r="AB324" s="266" t="s">
        <v>551</v>
      </c>
      <c r="AG324" s="373"/>
      <c r="AH324" s="373"/>
    </row>
    <row r="325" spans="1:44" s="359" customFormat="1" ht="13.8" x14ac:dyDescent="0.3">
      <c r="A325" s="373"/>
      <c r="B325" s="141" t="s">
        <v>554</v>
      </c>
      <c r="C325" s="373" t="s">
        <v>546</v>
      </c>
      <c r="D325" s="62" t="s">
        <v>137</v>
      </c>
      <c r="E325" s="667" t="s">
        <v>173</v>
      </c>
      <c r="F325" s="664">
        <v>1350</v>
      </c>
      <c r="G325" s="667" t="s">
        <v>173</v>
      </c>
      <c r="H325" s="665" t="s">
        <v>547</v>
      </c>
      <c r="I325" s="667" t="s">
        <v>173</v>
      </c>
      <c r="J325" s="665" t="s">
        <v>548</v>
      </c>
      <c r="K325" s="667" t="s">
        <v>173</v>
      </c>
      <c r="L325" s="665" t="s">
        <v>549</v>
      </c>
      <c r="M325" s="412" t="s">
        <v>300</v>
      </c>
      <c r="N325" s="457">
        <v>10</v>
      </c>
      <c r="O325" s="678" t="s">
        <v>173</v>
      </c>
      <c r="P325" s="680">
        <f t="shared" si="12"/>
        <v>6.8</v>
      </c>
      <c r="Q325" s="412" t="s">
        <v>300</v>
      </c>
      <c r="R325" s="202">
        <v>0</v>
      </c>
      <c r="S325" s="412" t="s">
        <v>300</v>
      </c>
      <c r="T325" s="202">
        <v>0.15</v>
      </c>
      <c r="U325" s="412" t="s">
        <v>300</v>
      </c>
      <c r="V325" s="595">
        <f t="shared" si="13"/>
        <v>203</v>
      </c>
      <c r="W325" s="324" t="s">
        <v>173</v>
      </c>
      <c r="X325" s="262" t="s">
        <v>173</v>
      </c>
      <c r="Y325" s="412" t="s">
        <v>300</v>
      </c>
      <c r="Z325" s="373" t="s">
        <v>550</v>
      </c>
      <c r="AA325" s="412" t="s">
        <v>300</v>
      </c>
      <c r="AB325" s="266" t="s">
        <v>551</v>
      </c>
      <c r="AG325" s="373"/>
      <c r="AH325" s="373"/>
    </row>
    <row r="326" spans="1:44" s="359" customFormat="1" ht="13.8" x14ac:dyDescent="0.3">
      <c r="A326" s="373"/>
      <c r="B326" s="141" t="s">
        <v>555</v>
      </c>
      <c r="C326" s="373" t="s">
        <v>546</v>
      </c>
      <c r="D326" s="62" t="s">
        <v>137</v>
      </c>
      <c r="E326" s="667" t="s">
        <v>173</v>
      </c>
      <c r="F326" s="664">
        <v>351</v>
      </c>
      <c r="G326" s="667" t="s">
        <v>173</v>
      </c>
      <c r="H326" s="665" t="s">
        <v>547</v>
      </c>
      <c r="I326" s="667" t="s">
        <v>173</v>
      </c>
      <c r="J326" s="665" t="s">
        <v>548</v>
      </c>
      <c r="K326" s="667" t="s">
        <v>173</v>
      </c>
      <c r="L326" s="665" t="s">
        <v>549</v>
      </c>
      <c r="M326" s="412" t="s">
        <v>300</v>
      </c>
      <c r="N326" s="457">
        <v>10</v>
      </c>
      <c r="O326" s="678" t="s">
        <v>173</v>
      </c>
      <c r="P326" s="680">
        <f t="shared" si="12"/>
        <v>1.8</v>
      </c>
      <c r="Q326" s="412" t="s">
        <v>300</v>
      </c>
      <c r="R326" s="202">
        <v>0</v>
      </c>
      <c r="S326" s="412" t="s">
        <v>300</v>
      </c>
      <c r="T326" s="202">
        <v>0.15</v>
      </c>
      <c r="U326" s="412" t="s">
        <v>300</v>
      </c>
      <c r="V326" s="595">
        <f t="shared" si="13"/>
        <v>53</v>
      </c>
      <c r="W326" s="324" t="s">
        <v>173</v>
      </c>
      <c r="X326" s="262" t="s">
        <v>173</v>
      </c>
      <c r="Y326" s="412" t="s">
        <v>300</v>
      </c>
      <c r="Z326" s="373" t="s">
        <v>550</v>
      </c>
      <c r="AA326" s="412" t="s">
        <v>300</v>
      </c>
      <c r="AB326" s="266" t="s">
        <v>551</v>
      </c>
      <c r="AG326" s="373"/>
      <c r="AH326" s="373"/>
    </row>
    <row r="327" spans="1:44" s="359" customFormat="1" ht="13.8" x14ac:dyDescent="0.3">
      <c r="A327" s="373"/>
      <c r="B327" s="141" t="s">
        <v>556</v>
      </c>
      <c r="C327" s="373" t="s">
        <v>546</v>
      </c>
      <c r="D327" s="62" t="s">
        <v>137</v>
      </c>
      <c r="E327" s="667" t="s">
        <v>173</v>
      </c>
      <c r="F327" s="664">
        <v>351</v>
      </c>
      <c r="G327" s="667" t="s">
        <v>173</v>
      </c>
      <c r="H327" s="665" t="s">
        <v>547</v>
      </c>
      <c r="I327" s="667" t="s">
        <v>173</v>
      </c>
      <c r="J327" s="665" t="s">
        <v>548</v>
      </c>
      <c r="K327" s="667" t="s">
        <v>173</v>
      </c>
      <c r="L327" s="665" t="s">
        <v>549</v>
      </c>
      <c r="M327" s="412" t="s">
        <v>300</v>
      </c>
      <c r="N327" s="457">
        <v>10</v>
      </c>
      <c r="O327" s="678" t="s">
        <v>173</v>
      </c>
      <c r="P327" s="680">
        <f t="shared" si="12"/>
        <v>1.8</v>
      </c>
      <c r="Q327" s="412" t="s">
        <v>300</v>
      </c>
      <c r="R327" s="202">
        <v>0</v>
      </c>
      <c r="S327" s="412" t="s">
        <v>300</v>
      </c>
      <c r="T327" s="202">
        <v>0.15</v>
      </c>
      <c r="U327" s="412" t="s">
        <v>300</v>
      </c>
      <c r="V327" s="595">
        <f t="shared" si="13"/>
        <v>53</v>
      </c>
      <c r="W327" s="324" t="s">
        <v>173</v>
      </c>
      <c r="X327" s="262" t="s">
        <v>173</v>
      </c>
      <c r="Y327" s="412" t="s">
        <v>300</v>
      </c>
      <c r="Z327" s="373" t="s">
        <v>550</v>
      </c>
      <c r="AA327" s="412" t="s">
        <v>300</v>
      </c>
      <c r="AB327" s="266" t="s">
        <v>551</v>
      </c>
      <c r="AG327" s="373"/>
      <c r="AH327" s="373"/>
    </row>
    <row r="328" spans="1:44" s="359" customFormat="1" ht="13.8" x14ac:dyDescent="0.3">
      <c r="A328" s="373"/>
      <c r="B328" s="141" t="s">
        <v>557</v>
      </c>
      <c r="C328" s="373" t="s">
        <v>546</v>
      </c>
      <c r="D328" s="62" t="s">
        <v>137</v>
      </c>
      <c r="E328" s="667" t="s">
        <v>173</v>
      </c>
      <c r="F328" s="664">
        <v>1755.1</v>
      </c>
      <c r="G328" s="667" t="s">
        <v>173</v>
      </c>
      <c r="H328" s="665" t="s">
        <v>547</v>
      </c>
      <c r="I328" s="667" t="s">
        <v>173</v>
      </c>
      <c r="J328" s="665" t="s">
        <v>548</v>
      </c>
      <c r="K328" s="667" t="s">
        <v>173</v>
      </c>
      <c r="L328" s="665" t="s">
        <v>558</v>
      </c>
      <c r="M328" s="412" t="s">
        <v>300</v>
      </c>
      <c r="N328" s="457">
        <v>142.9</v>
      </c>
      <c r="O328" s="678" t="s">
        <v>173</v>
      </c>
      <c r="P328" s="680">
        <f t="shared" si="12"/>
        <v>125.4</v>
      </c>
      <c r="Q328" s="412" t="s">
        <v>300</v>
      </c>
      <c r="R328" s="202">
        <v>15</v>
      </c>
      <c r="S328" s="412" t="s">
        <v>300</v>
      </c>
      <c r="T328" s="202">
        <v>0.15</v>
      </c>
      <c r="U328" s="412" t="s">
        <v>300</v>
      </c>
      <c r="V328" s="595">
        <f t="shared" si="13"/>
        <v>1881</v>
      </c>
      <c r="W328" s="324" t="s">
        <v>173</v>
      </c>
      <c r="X328" s="262" t="s">
        <v>173</v>
      </c>
      <c r="Y328" s="412" t="s">
        <v>300</v>
      </c>
      <c r="Z328" s="373" t="s">
        <v>550</v>
      </c>
      <c r="AA328" s="412" t="s">
        <v>300</v>
      </c>
      <c r="AB328" s="266" t="s">
        <v>551</v>
      </c>
      <c r="AG328" s="373"/>
      <c r="AH328" s="373"/>
    </row>
    <row r="329" spans="1:44" s="359" customFormat="1" ht="13.8" x14ac:dyDescent="0.3">
      <c r="A329" s="373"/>
      <c r="B329" s="141" t="s">
        <v>559</v>
      </c>
      <c r="C329" s="373" t="s">
        <v>546</v>
      </c>
      <c r="D329" s="62" t="s">
        <v>137</v>
      </c>
      <c r="E329" s="667" t="s">
        <v>173</v>
      </c>
      <c r="F329" s="664">
        <v>1404</v>
      </c>
      <c r="G329" s="667" t="s">
        <v>173</v>
      </c>
      <c r="H329" s="665" t="s">
        <v>547</v>
      </c>
      <c r="I329" s="667" t="s">
        <v>173</v>
      </c>
      <c r="J329" s="665" t="s">
        <v>548</v>
      </c>
      <c r="K329" s="667" t="s">
        <v>173</v>
      </c>
      <c r="L329" s="665" t="s">
        <v>549</v>
      </c>
      <c r="M329" s="412" t="s">
        <v>300</v>
      </c>
      <c r="N329" s="457">
        <v>10</v>
      </c>
      <c r="O329" s="678" t="s">
        <v>173</v>
      </c>
      <c r="P329" s="680">
        <f t="shared" si="12"/>
        <v>7</v>
      </c>
      <c r="Q329" s="412" t="s">
        <v>300</v>
      </c>
      <c r="R329" s="202">
        <v>0</v>
      </c>
      <c r="S329" s="412" t="s">
        <v>300</v>
      </c>
      <c r="T329" s="202">
        <v>0.15</v>
      </c>
      <c r="U329" s="412" t="s">
        <v>300</v>
      </c>
      <c r="V329" s="595">
        <f t="shared" si="13"/>
        <v>211</v>
      </c>
      <c r="W329" s="324" t="s">
        <v>173</v>
      </c>
      <c r="X329" s="262" t="s">
        <v>173</v>
      </c>
      <c r="Y329" s="412" t="s">
        <v>300</v>
      </c>
      <c r="Z329" s="373" t="s">
        <v>550</v>
      </c>
      <c r="AA329" s="412" t="s">
        <v>300</v>
      </c>
      <c r="AB329" s="266" t="s">
        <v>551</v>
      </c>
      <c r="AG329" s="373"/>
      <c r="AH329" s="373"/>
    </row>
    <row r="330" spans="1:44" s="359" customFormat="1" ht="13.8" x14ac:dyDescent="0.3">
      <c r="A330" s="373"/>
      <c r="B330" s="141" t="s">
        <v>560</v>
      </c>
      <c r="C330" s="373" t="s">
        <v>546</v>
      </c>
      <c r="D330" s="62" t="s">
        <v>137</v>
      </c>
      <c r="E330" s="667" t="s">
        <v>173</v>
      </c>
      <c r="F330" s="664">
        <v>1053</v>
      </c>
      <c r="G330" s="667" t="s">
        <v>173</v>
      </c>
      <c r="H330" s="665" t="s">
        <v>547</v>
      </c>
      <c r="I330" s="667" t="s">
        <v>173</v>
      </c>
      <c r="J330" s="665" t="s">
        <v>548</v>
      </c>
      <c r="K330" s="667" t="s">
        <v>173</v>
      </c>
      <c r="L330" s="665" t="s">
        <v>549</v>
      </c>
      <c r="M330" s="412" t="s">
        <v>300</v>
      </c>
      <c r="N330" s="457">
        <v>10</v>
      </c>
      <c r="O330" s="678" t="s">
        <v>173</v>
      </c>
      <c r="P330" s="680">
        <f t="shared" si="12"/>
        <v>5.3</v>
      </c>
      <c r="Q330" s="412" t="s">
        <v>300</v>
      </c>
      <c r="R330" s="202">
        <v>0</v>
      </c>
      <c r="S330" s="412" t="s">
        <v>300</v>
      </c>
      <c r="T330" s="202">
        <v>0.15</v>
      </c>
      <c r="U330" s="412" t="s">
        <v>300</v>
      </c>
      <c r="V330" s="595">
        <f t="shared" si="13"/>
        <v>158</v>
      </c>
      <c r="W330" s="324" t="s">
        <v>173</v>
      </c>
      <c r="X330" s="262" t="s">
        <v>173</v>
      </c>
      <c r="Y330" s="412" t="s">
        <v>300</v>
      </c>
      <c r="Z330" s="373" t="s">
        <v>550</v>
      </c>
      <c r="AA330" s="412" t="s">
        <v>300</v>
      </c>
      <c r="AB330" s="266" t="s">
        <v>551</v>
      </c>
      <c r="AG330" s="373"/>
      <c r="AH330" s="373"/>
    </row>
    <row r="331" spans="1:44" s="359" customFormat="1" ht="13.8" x14ac:dyDescent="0.3">
      <c r="A331" s="373"/>
      <c r="B331" s="141" t="s">
        <v>561</v>
      </c>
      <c r="C331" s="373" t="s">
        <v>546</v>
      </c>
      <c r="D331" s="62" t="s">
        <v>137</v>
      </c>
      <c r="E331" s="667" t="s">
        <v>173</v>
      </c>
      <c r="F331" s="664">
        <v>351</v>
      </c>
      <c r="G331" s="667" t="s">
        <v>173</v>
      </c>
      <c r="H331" s="665" t="s">
        <v>547</v>
      </c>
      <c r="I331" s="667" t="s">
        <v>173</v>
      </c>
      <c r="J331" s="665" t="s">
        <v>548</v>
      </c>
      <c r="K331" s="667" t="s">
        <v>173</v>
      </c>
      <c r="L331" s="665" t="s">
        <v>549</v>
      </c>
      <c r="M331" s="412" t="s">
        <v>300</v>
      </c>
      <c r="N331" s="457">
        <v>3</v>
      </c>
      <c r="O331" s="678" t="s">
        <v>173</v>
      </c>
      <c r="P331" s="680">
        <f t="shared" si="12"/>
        <v>0.5</v>
      </c>
      <c r="Q331" s="412" t="s">
        <v>300</v>
      </c>
      <c r="R331" s="202">
        <v>0</v>
      </c>
      <c r="S331" s="412" t="s">
        <v>300</v>
      </c>
      <c r="T331" s="202">
        <v>0.15</v>
      </c>
      <c r="U331" s="412" t="s">
        <v>300</v>
      </c>
      <c r="V331" s="595">
        <f t="shared" si="13"/>
        <v>53</v>
      </c>
      <c r="W331" s="324" t="s">
        <v>173</v>
      </c>
      <c r="X331" s="262" t="s">
        <v>173</v>
      </c>
      <c r="Y331" s="412" t="s">
        <v>300</v>
      </c>
      <c r="Z331" s="373" t="s">
        <v>550</v>
      </c>
      <c r="AA331" s="412" t="s">
        <v>300</v>
      </c>
      <c r="AB331" s="266" t="s">
        <v>551</v>
      </c>
      <c r="AG331" s="373"/>
      <c r="AH331" s="373"/>
    </row>
    <row r="332" spans="1:44" s="359" customFormat="1" ht="13.8" x14ac:dyDescent="0.3">
      <c r="A332" s="373"/>
      <c r="B332" s="141" t="s">
        <v>1685</v>
      </c>
      <c r="C332" s="373" t="s">
        <v>546</v>
      </c>
      <c r="D332" s="62" t="s">
        <v>137</v>
      </c>
      <c r="E332" s="667" t="s">
        <v>173</v>
      </c>
      <c r="F332" s="664">
        <v>864.1</v>
      </c>
      <c r="G332" s="667" t="s">
        <v>173</v>
      </c>
      <c r="H332" s="665" t="s">
        <v>547</v>
      </c>
      <c r="I332" s="667" t="s">
        <v>173</v>
      </c>
      <c r="J332" s="665" t="s">
        <v>548</v>
      </c>
      <c r="K332" s="667" t="s">
        <v>173</v>
      </c>
      <c r="L332" s="665" t="s">
        <v>549</v>
      </c>
      <c r="M332" s="412" t="s">
        <v>300</v>
      </c>
      <c r="N332" s="457">
        <v>5</v>
      </c>
      <c r="O332" s="678" t="s">
        <v>173</v>
      </c>
      <c r="P332" s="680">
        <f t="shared" si="12"/>
        <v>2.2000000000000002</v>
      </c>
      <c r="Q332" s="412" t="s">
        <v>300</v>
      </c>
      <c r="R332" s="202">
        <v>0</v>
      </c>
      <c r="S332" s="412" t="s">
        <v>300</v>
      </c>
      <c r="T332" s="202">
        <v>0.15</v>
      </c>
      <c r="U332" s="412" t="s">
        <v>300</v>
      </c>
      <c r="V332" s="595">
        <f t="shared" si="13"/>
        <v>130</v>
      </c>
      <c r="W332" s="142" t="s">
        <v>300</v>
      </c>
      <c r="X332" s="592">
        <v>1050</v>
      </c>
      <c r="Y332" s="412" t="s">
        <v>300</v>
      </c>
      <c r="Z332" s="365" t="s">
        <v>1686</v>
      </c>
      <c r="AA332" s="412" t="s">
        <v>300</v>
      </c>
      <c r="AB332" s="365" t="s">
        <v>1687</v>
      </c>
      <c r="AE332" s="89"/>
      <c r="AG332" s="373"/>
      <c r="AH332" s="373"/>
    </row>
    <row r="333" spans="1:44" s="359" customFormat="1" ht="13.8" x14ac:dyDescent="0.3">
      <c r="A333" s="373"/>
      <c r="B333" s="141" t="s">
        <v>563</v>
      </c>
      <c r="C333" s="373" t="s">
        <v>546</v>
      </c>
      <c r="D333" s="62" t="s">
        <v>137</v>
      </c>
      <c r="E333" s="667" t="s">
        <v>173</v>
      </c>
      <c r="F333" s="664">
        <v>216</v>
      </c>
      <c r="G333" s="667" t="s">
        <v>173</v>
      </c>
      <c r="H333" s="665" t="s">
        <v>547</v>
      </c>
      <c r="I333" s="667" t="s">
        <v>173</v>
      </c>
      <c r="J333" s="665" t="s">
        <v>548</v>
      </c>
      <c r="K333" s="667" t="s">
        <v>173</v>
      </c>
      <c r="L333" s="665" t="s">
        <v>549</v>
      </c>
      <c r="M333" s="412" t="s">
        <v>300</v>
      </c>
      <c r="N333" s="457">
        <v>10</v>
      </c>
      <c r="O333" s="678" t="s">
        <v>173</v>
      </c>
      <c r="P333" s="680">
        <f t="shared" si="12"/>
        <v>1.1000000000000001</v>
      </c>
      <c r="Q333" s="412" t="s">
        <v>300</v>
      </c>
      <c r="R333" s="202">
        <v>0</v>
      </c>
      <c r="S333" s="412" t="s">
        <v>300</v>
      </c>
      <c r="T333" s="202">
        <v>0.15</v>
      </c>
      <c r="U333" s="412" t="s">
        <v>300</v>
      </c>
      <c r="V333" s="595">
        <f t="shared" si="13"/>
        <v>32</v>
      </c>
      <c r="W333" s="324" t="s">
        <v>173</v>
      </c>
      <c r="X333" s="262" t="s">
        <v>173</v>
      </c>
      <c r="Y333" s="412" t="s">
        <v>300</v>
      </c>
      <c r="Z333" s="373" t="s">
        <v>550</v>
      </c>
      <c r="AA333" s="412" t="s">
        <v>300</v>
      </c>
      <c r="AB333" s="266" t="s">
        <v>551</v>
      </c>
      <c r="AE333" s="674"/>
      <c r="AG333" s="373"/>
      <c r="AH333" s="373"/>
    </row>
    <row r="334" spans="1:44" s="359" customFormat="1" ht="13.8" x14ac:dyDescent="0.3">
      <c r="A334" s="373"/>
      <c r="B334" s="141" t="s">
        <v>564</v>
      </c>
      <c r="C334" s="373" t="s">
        <v>546</v>
      </c>
      <c r="D334" s="62" t="s">
        <v>137</v>
      </c>
      <c r="E334" s="667" t="s">
        <v>173</v>
      </c>
      <c r="F334" s="664">
        <v>216</v>
      </c>
      <c r="G334" s="667" t="s">
        <v>173</v>
      </c>
      <c r="H334" s="665" t="s">
        <v>547</v>
      </c>
      <c r="I334" s="667" t="s">
        <v>173</v>
      </c>
      <c r="J334" s="665" t="s">
        <v>548</v>
      </c>
      <c r="K334" s="667" t="s">
        <v>173</v>
      </c>
      <c r="L334" s="665" t="s">
        <v>549</v>
      </c>
      <c r="M334" s="412" t="s">
        <v>300</v>
      </c>
      <c r="N334" s="457">
        <v>10</v>
      </c>
      <c r="O334" s="678" t="s">
        <v>173</v>
      </c>
      <c r="P334" s="680">
        <f t="shared" si="12"/>
        <v>1.1000000000000001</v>
      </c>
      <c r="Q334" s="412" t="s">
        <v>300</v>
      </c>
      <c r="R334" s="202">
        <v>0</v>
      </c>
      <c r="S334" s="412" t="s">
        <v>300</v>
      </c>
      <c r="T334" s="202">
        <v>0.15</v>
      </c>
      <c r="U334" s="412" t="s">
        <v>300</v>
      </c>
      <c r="V334" s="595">
        <f t="shared" si="13"/>
        <v>32</v>
      </c>
      <c r="W334" s="324" t="s">
        <v>173</v>
      </c>
      <c r="X334" s="262" t="s">
        <v>173</v>
      </c>
      <c r="Y334" s="412" t="s">
        <v>300</v>
      </c>
      <c r="Z334" s="373" t="s">
        <v>550</v>
      </c>
      <c r="AA334" s="412" t="s">
        <v>300</v>
      </c>
      <c r="AB334" s="266" t="s">
        <v>551</v>
      </c>
      <c r="AG334" s="373"/>
      <c r="AH334" s="373"/>
    </row>
    <row r="335" spans="1:44" s="359" customFormat="1" ht="13.8" x14ac:dyDescent="0.3">
      <c r="A335" s="373"/>
      <c r="B335" s="141" t="s">
        <v>565</v>
      </c>
      <c r="C335" s="373" t="s">
        <v>546</v>
      </c>
      <c r="D335" s="62" t="s">
        <v>137</v>
      </c>
      <c r="E335" s="667" t="s">
        <v>173</v>
      </c>
      <c r="F335" s="664">
        <v>216</v>
      </c>
      <c r="G335" s="667" t="s">
        <v>173</v>
      </c>
      <c r="H335" s="665" t="s">
        <v>547</v>
      </c>
      <c r="I335" s="667" t="s">
        <v>173</v>
      </c>
      <c r="J335" s="665" t="s">
        <v>548</v>
      </c>
      <c r="K335" s="667" t="s">
        <v>173</v>
      </c>
      <c r="L335" s="665" t="s">
        <v>549</v>
      </c>
      <c r="M335" s="412" t="s">
        <v>300</v>
      </c>
      <c r="N335" s="457">
        <v>10</v>
      </c>
      <c r="O335" s="678" t="s">
        <v>173</v>
      </c>
      <c r="P335" s="680">
        <f t="shared" si="12"/>
        <v>1.1000000000000001</v>
      </c>
      <c r="Q335" s="412" t="s">
        <v>300</v>
      </c>
      <c r="R335" s="202">
        <v>0</v>
      </c>
      <c r="S335" s="412" t="s">
        <v>300</v>
      </c>
      <c r="T335" s="202">
        <v>0.15</v>
      </c>
      <c r="U335" s="412" t="s">
        <v>300</v>
      </c>
      <c r="V335" s="595">
        <f t="shared" si="13"/>
        <v>32</v>
      </c>
      <c r="W335" s="324" t="s">
        <v>173</v>
      </c>
      <c r="X335" s="262" t="s">
        <v>173</v>
      </c>
      <c r="Y335" s="412" t="s">
        <v>300</v>
      </c>
      <c r="Z335" s="373" t="s">
        <v>550</v>
      </c>
      <c r="AA335" s="412" t="s">
        <v>300</v>
      </c>
      <c r="AB335" s="266" t="s">
        <v>551</v>
      </c>
      <c r="AG335" s="373"/>
      <c r="AH335" s="373"/>
    </row>
    <row r="336" spans="1:44" s="359" customFormat="1" ht="13.8" x14ac:dyDescent="0.3">
      <c r="A336" s="373"/>
      <c r="B336" s="141" t="s">
        <v>566</v>
      </c>
      <c r="C336" s="373" t="s">
        <v>546</v>
      </c>
      <c r="D336" s="62" t="s">
        <v>137</v>
      </c>
      <c r="E336" s="667" t="s">
        <v>173</v>
      </c>
      <c r="F336" s="664">
        <v>216</v>
      </c>
      <c r="G336" s="667" t="s">
        <v>173</v>
      </c>
      <c r="H336" s="665" t="s">
        <v>547</v>
      </c>
      <c r="I336" s="667" t="s">
        <v>173</v>
      </c>
      <c r="J336" s="665" t="s">
        <v>548</v>
      </c>
      <c r="K336" s="667" t="s">
        <v>173</v>
      </c>
      <c r="L336" s="665" t="s">
        <v>549</v>
      </c>
      <c r="M336" s="412" t="s">
        <v>300</v>
      </c>
      <c r="N336" s="457">
        <v>10</v>
      </c>
      <c r="O336" s="678" t="s">
        <v>173</v>
      </c>
      <c r="P336" s="680">
        <f t="shared" si="12"/>
        <v>1.1000000000000001</v>
      </c>
      <c r="Q336" s="412" t="s">
        <v>300</v>
      </c>
      <c r="R336" s="202">
        <v>0</v>
      </c>
      <c r="S336" s="412" t="s">
        <v>300</v>
      </c>
      <c r="T336" s="202">
        <v>0.15</v>
      </c>
      <c r="U336" s="412" t="s">
        <v>300</v>
      </c>
      <c r="V336" s="595">
        <f t="shared" si="13"/>
        <v>32</v>
      </c>
      <c r="W336" s="324" t="s">
        <v>173</v>
      </c>
      <c r="X336" s="262" t="s">
        <v>173</v>
      </c>
      <c r="Y336" s="412" t="s">
        <v>300</v>
      </c>
      <c r="Z336" s="373" t="s">
        <v>550</v>
      </c>
      <c r="AA336" s="412" t="s">
        <v>300</v>
      </c>
      <c r="AB336" s="266" t="s">
        <v>551</v>
      </c>
      <c r="AG336" s="373"/>
      <c r="AH336" s="373"/>
    </row>
    <row r="337" spans="1:52" s="359" customFormat="1" ht="13.8" x14ac:dyDescent="0.3">
      <c r="A337" s="373"/>
      <c r="B337" s="141" t="s">
        <v>567</v>
      </c>
      <c r="C337" s="373" t="s">
        <v>546</v>
      </c>
      <c r="D337" s="62" t="s">
        <v>137</v>
      </c>
      <c r="E337" s="667" t="s">
        <v>173</v>
      </c>
      <c r="F337" s="664">
        <v>135</v>
      </c>
      <c r="G337" s="667" t="s">
        <v>173</v>
      </c>
      <c r="H337" s="665" t="s">
        <v>547</v>
      </c>
      <c r="I337" s="667" t="s">
        <v>173</v>
      </c>
      <c r="J337" s="665" t="s">
        <v>548</v>
      </c>
      <c r="K337" s="667" t="s">
        <v>173</v>
      </c>
      <c r="L337" s="665" t="s">
        <v>549</v>
      </c>
      <c r="M337" s="412" t="s">
        <v>300</v>
      </c>
      <c r="N337" s="457">
        <v>10</v>
      </c>
      <c r="O337" s="678" t="s">
        <v>173</v>
      </c>
      <c r="P337" s="680">
        <f t="shared" si="12"/>
        <v>0.7</v>
      </c>
      <c r="Q337" s="412" t="s">
        <v>300</v>
      </c>
      <c r="R337" s="202">
        <v>0</v>
      </c>
      <c r="S337" s="412" t="s">
        <v>300</v>
      </c>
      <c r="T337" s="202">
        <v>0.15</v>
      </c>
      <c r="U337" s="412" t="s">
        <v>300</v>
      </c>
      <c r="V337" s="595">
        <f t="shared" si="13"/>
        <v>20</v>
      </c>
      <c r="W337" s="324" t="s">
        <v>173</v>
      </c>
      <c r="X337" s="262" t="s">
        <v>173</v>
      </c>
      <c r="Y337" s="412" t="s">
        <v>300</v>
      </c>
      <c r="Z337" s="373" t="s">
        <v>550</v>
      </c>
      <c r="AA337" s="412" t="s">
        <v>300</v>
      </c>
      <c r="AB337" s="266" t="s">
        <v>551</v>
      </c>
      <c r="AG337" s="373"/>
      <c r="AH337" s="373"/>
    </row>
    <row r="338" spans="1:52" s="359" customFormat="1" x14ac:dyDescent="0.3">
      <c r="A338" s="373"/>
      <c r="B338" s="141" t="s">
        <v>568</v>
      </c>
      <c r="C338" s="373" t="s">
        <v>546</v>
      </c>
      <c r="D338" s="62" t="s">
        <v>137</v>
      </c>
      <c r="E338" s="667" t="s">
        <v>173</v>
      </c>
      <c r="F338" s="664">
        <v>135</v>
      </c>
      <c r="G338" s="667" t="s">
        <v>173</v>
      </c>
      <c r="H338" s="665" t="s">
        <v>547</v>
      </c>
      <c r="I338" s="667" t="s">
        <v>173</v>
      </c>
      <c r="J338" s="665" t="s">
        <v>548</v>
      </c>
      <c r="K338" s="667" t="s">
        <v>173</v>
      </c>
      <c r="L338" s="665" t="s">
        <v>549</v>
      </c>
      <c r="M338" s="412" t="s">
        <v>300</v>
      </c>
      <c r="N338" s="457">
        <v>10</v>
      </c>
      <c r="O338" s="678" t="s">
        <v>173</v>
      </c>
      <c r="P338" s="680">
        <f t="shared" si="12"/>
        <v>0.7</v>
      </c>
      <c r="Q338" s="412" t="s">
        <v>300</v>
      </c>
      <c r="R338" s="202">
        <v>0</v>
      </c>
      <c r="S338" s="412" t="s">
        <v>300</v>
      </c>
      <c r="T338" s="202">
        <v>0.15</v>
      </c>
      <c r="U338" s="412" t="s">
        <v>300</v>
      </c>
      <c r="V338" s="595">
        <f t="shared" si="13"/>
        <v>20</v>
      </c>
      <c r="W338" s="324" t="s">
        <v>173</v>
      </c>
      <c r="X338" s="262" t="s">
        <v>173</v>
      </c>
      <c r="Y338" s="412" t="s">
        <v>300</v>
      </c>
      <c r="Z338" s="373" t="s">
        <v>550</v>
      </c>
      <c r="AA338" s="412" t="s">
        <v>300</v>
      </c>
      <c r="AB338" s="266" t="s">
        <v>551</v>
      </c>
      <c r="AG338" s="93"/>
      <c r="AH338" s="93"/>
      <c r="AI338" s="93"/>
      <c r="AJ338" s="101"/>
      <c r="AK338" s="101"/>
    </row>
    <row r="339" spans="1:52" s="359" customFormat="1" x14ac:dyDescent="0.3">
      <c r="A339" s="373"/>
      <c r="B339" s="141" t="s">
        <v>569</v>
      </c>
      <c r="C339" s="373" t="s">
        <v>546</v>
      </c>
      <c r="D339" s="62" t="s">
        <v>137</v>
      </c>
      <c r="E339" s="667" t="s">
        <v>173</v>
      </c>
      <c r="F339" s="664">
        <v>135</v>
      </c>
      <c r="G339" s="667" t="s">
        <v>173</v>
      </c>
      <c r="H339" s="665" t="s">
        <v>547</v>
      </c>
      <c r="I339" s="667" t="s">
        <v>173</v>
      </c>
      <c r="J339" s="665" t="s">
        <v>548</v>
      </c>
      <c r="K339" s="667" t="s">
        <v>173</v>
      </c>
      <c r="L339" s="665" t="s">
        <v>549</v>
      </c>
      <c r="M339" s="412" t="s">
        <v>300</v>
      </c>
      <c r="N339" s="457">
        <v>10</v>
      </c>
      <c r="O339" s="678" t="s">
        <v>173</v>
      </c>
      <c r="P339" s="680">
        <f t="shared" si="12"/>
        <v>0.7</v>
      </c>
      <c r="Q339" s="412" t="s">
        <v>300</v>
      </c>
      <c r="R339" s="202">
        <v>0</v>
      </c>
      <c r="S339" s="412" t="s">
        <v>300</v>
      </c>
      <c r="T339" s="202">
        <v>0.15</v>
      </c>
      <c r="U339" s="412" t="s">
        <v>300</v>
      </c>
      <c r="V339" s="595">
        <f t="shared" si="13"/>
        <v>20</v>
      </c>
      <c r="W339" s="324" t="s">
        <v>173</v>
      </c>
      <c r="X339" s="262" t="s">
        <v>173</v>
      </c>
      <c r="Y339" s="412" t="s">
        <v>300</v>
      </c>
      <c r="Z339" s="373" t="s">
        <v>550</v>
      </c>
      <c r="AA339" s="412" t="s">
        <v>300</v>
      </c>
      <c r="AB339" s="266" t="s">
        <v>551</v>
      </c>
      <c r="AG339" s="93"/>
      <c r="AH339" s="93"/>
      <c r="AI339" s="93"/>
      <c r="AJ339" s="101"/>
      <c r="AK339" s="101"/>
    </row>
    <row r="340" spans="1:52" s="359" customFormat="1" x14ac:dyDescent="0.3">
      <c r="A340" s="373"/>
      <c r="B340" s="141" t="s">
        <v>570</v>
      </c>
      <c r="C340" s="373" t="s">
        <v>546</v>
      </c>
      <c r="D340" s="62" t="s">
        <v>137</v>
      </c>
      <c r="E340" s="667" t="s">
        <v>173</v>
      </c>
      <c r="F340" s="664">
        <v>135</v>
      </c>
      <c r="G340" s="667" t="s">
        <v>173</v>
      </c>
      <c r="H340" s="665" t="s">
        <v>547</v>
      </c>
      <c r="I340" s="667" t="s">
        <v>173</v>
      </c>
      <c r="J340" s="665" t="s">
        <v>548</v>
      </c>
      <c r="K340" s="667" t="s">
        <v>173</v>
      </c>
      <c r="L340" s="665" t="s">
        <v>549</v>
      </c>
      <c r="M340" s="412" t="s">
        <v>300</v>
      </c>
      <c r="N340" s="457">
        <v>10</v>
      </c>
      <c r="O340" s="678" t="s">
        <v>173</v>
      </c>
      <c r="P340" s="680">
        <f t="shared" si="12"/>
        <v>0.7</v>
      </c>
      <c r="Q340" s="412" t="s">
        <v>300</v>
      </c>
      <c r="R340" s="202">
        <v>0</v>
      </c>
      <c r="S340" s="412" t="s">
        <v>300</v>
      </c>
      <c r="T340" s="202">
        <v>0.15</v>
      </c>
      <c r="U340" s="412" t="s">
        <v>300</v>
      </c>
      <c r="V340" s="595">
        <f t="shared" si="13"/>
        <v>20</v>
      </c>
      <c r="W340" s="324" t="s">
        <v>173</v>
      </c>
      <c r="X340" s="262" t="s">
        <v>173</v>
      </c>
      <c r="Y340" s="412" t="s">
        <v>300</v>
      </c>
      <c r="Z340" s="373" t="s">
        <v>550</v>
      </c>
      <c r="AA340" s="412" t="s">
        <v>300</v>
      </c>
      <c r="AB340" s="266" t="s">
        <v>551</v>
      </c>
      <c r="AG340" s="672"/>
      <c r="AH340" s="93"/>
      <c r="AI340" s="93"/>
      <c r="AJ340" s="101"/>
      <c r="AK340" s="101"/>
    </row>
    <row r="341" spans="1:52" s="359" customFormat="1" x14ac:dyDescent="0.3">
      <c r="A341" s="373"/>
      <c r="B341" s="141" t="s">
        <v>571</v>
      </c>
      <c r="C341" s="373" t="s">
        <v>546</v>
      </c>
      <c r="D341" s="62" t="s">
        <v>137</v>
      </c>
      <c r="E341" s="667" t="s">
        <v>173</v>
      </c>
      <c r="F341" s="664">
        <v>216.1</v>
      </c>
      <c r="G341" s="667" t="s">
        <v>173</v>
      </c>
      <c r="H341" s="665" t="s">
        <v>547</v>
      </c>
      <c r="I341" s="667" t="s">
        <v>173</v>
      </c>
      <c r="J341" s="665" t="s">
        <v>548</v>
      </c>
      <c r="K341" s="667" t="s">
        <v>173</v>
      </c>
      <c r="L341" s="665" t="s">
        <v>549</v>
      </c>
      <c r="M341" s="412" t="s">
        <v>300</v>
      </c>
      <c r="N341" s="457">
        <v>10</v>
      </c>
      <c r="O341" s="678" t="s">
        <v>173</v>
      </c>
      <c r="P341" s="680">
        <f t="shared" si="12"/>
        <v>1.1000000000000001</v>
      </c>
      <c r="Q341" s="412" t="s">
        <v>300</v>
      </c>
      <c r="R341" s="202">
        <v>0</v>
      </c>
      <c r="S341" s="412" t="s">
        <v>300</v>
      </c>
      <c r="T341" s="202">
        <v>0.15</v>
      </c>
      <c r="U341" s="412" t="s">
        <v>300</v>
      </c>
      <c r="V341" s="595">
        <f t="shared" si="13"/>
        <v>32</v>
      </c>
      <c r="W341" s="324" t="s">
        <v>173</v>
      </c>
      <c r="X341" s="262" t="s">
        <v>173</v>
      </c>
      <c r="Y341" s="412" t="s">
        <v>300</v>
      </c>
      <c r="Z341" s="373" t="s">
        <v>550</v>
      </c>
      <c r="AA341" s="412" t="s">
        <v>300</v>
      </c>
      <c r="AB341" s="266" t="s">
        <v>551</v>
      </c>
      <c r="AG341" s="93"/>
      <c r="AH341" s="93"/>
      <c r="AI341" s="93"/>
      <c r="AJ341" s="101"/>
      <c r="AK341" s="101"/>
    </row>
    <row r="342" spans="1:52" s="359" customFormat="1" x14ac:dyDescent="0.3">
      <c r="A342" s="373"/>
      <c r="B342" s="141" t="s">
        <v>572</v>
      </c>
      <c r="C342" s="373" t="s">
        <v>546</v>
      </c>
      <c r="D342" s="62" t="s">
        <v>137</v>
      </c>
      <c r="E342" s="667" t="s">
        <v>173</v>
      </c>
      <c r="F342" s="664">
        <v>216.1</v>
      </c>
      <c r="G342" s="667" t="s">
        <v>173</v>
      </c>
      <c r="H342" s="665" t="s">
        <v>547</v>
      </c>
      <c r="I342" s="667" t="s">
        <v>173</v>
      </c>
      <c r="J342" s="665" t="s">
        <v>548</v>
      </c>
      <c r="K342" s="667" t="s">
        <v>173</v>
      </c>
      <c r="L342" s="665" t="s">
        <v>549</v>
      </c>
      <c r="M342" s="412" t="s">
        <v>300</v>
      </c>
      <c r="N342" s="457">
        <v>10</v>
      </c>
      <c r="O342" s="678" t="s">
        <v>173</v>
      </c>
      <c r="P342" s="680">
        <f t="shared" si="12"/>
        <v>1.1000000000000001</v>
      </c>
      <c r="Q342" s="412" t="s">
        <v>300</v>
      </c>
      <c r="R342" s="202">
        <v>0</v>
      </c>
      <c r="S342" s="412" t="s">
        <v>300</v>
      </c>
      <c r="T342" s="202">
        <v>0.15</v>
      </c>
      <c r="U342" s="412" t="s">
        <v>300</v>
      </c>
      <c r="V342" s="595">
        <f t="shared" si="13"/>
        <v>32</v>
      </c>
      <c r="W342" s="324" t="s">
        <v>173</v>
      </c>
      <c r="X342" s="262" t="s">
        <v>173</v>
      </c>
      <c r="Y342" s="412" t="s">
        <v>300</v>
      </c>
      <c r="Z342" s="373" t="s">
        <v>550</v>
      </c>
      <c r="AA342" s="412" t="s">
        <v>300</v>
      </c>
      <c r="AB342" s="266" t="s">
        <v>551</v>
      </c>
      <c r="AG342" s="93"/>
      <c r="AH342" s="93"/>
      <c r="AI342" s="93"/>
      <c r="AJ342" s="101"/>
      <c r="AK342" s="101"/>
    </row>
    <row r="343" spans="1:52" s="359" customFormat="1" x14ac:dyDescent="0.3">
      <c r="A343" s="373"/>
      <c r="B343" s="141" t="s">
        <v>573</v>
      </c>
      <c r="C343" s="373" t="s">
        <v>546</v>
      </c>
      <c r="D343" s="62" t="s">
        <v>137</v>
      </c>
      <c r="E343" s="667" t="s">
        <v>173</v>
      </c>
      <c r="F343" s="664">
        <v>216.1</v>
      </c>
      <c r="G343" s="667" t="s">
        <v>173</v>
      </c>
      <c r="H343" s="665" t="s">
        <v>547</v>
      </c>
      <c r="I343" s="667" t="s">
        <v>173</v>
      </c>
      <c r="J343" s="665" t="s">
        <v>548</v>
      </c>
      <c r="K343" s="667" t="s">
        <v>173</v>
      </c>
      <c r="L343" s="665" t="s">
        <v>549</v>
      </c>
      <c r="M343" s="412" t="s">
        <v>300</v>
      </c>
      <c r="N343" s="457">
        <v>10</v>
      </c>
      <c r="O343" s="678" t="s">
        <v>173</v>
      </c>
      <c r="P343" s="680">
        <f t="shared" si="12"/>
        <v>1.1000000000000001</v>
      </c>
      <c r="Q343" s="412" t="s">
        <v>300</v>
      </c>
      <c r="R343" s="202">
        <v>0</v>
      </c>
      <c r="S343" s="412" t="s">
        <v>300</v>
      </c>
      <c r="T343" s="202">
        <v>0.15</v>
      </c>
      <c r="U343" s="412" t="s">
        <v>300</v>
      </c>
      <c r="V343" s="595">
        <f t="shared" si="13"/>
        <v>32</v>
      </c>
      <c r="W343" s="324" t="s">
        <v>173</v>
      </c>
      <c r="X343" s="262" t="s">
        <v>173</v>
      </c>
      <c r="Y343" s="412" t="s">
        <v>300</v>
      </c>
      <c r="Z343" s="373" t="s">
        <v>550</v>
      </c>
      <c r="AA343" s="412" t="s">
        <v>300</v>
      </c>
      <c r="AB343" s="266" t="s">
        <v>551</v>
      </c>
      <c r="AG343" s="93"/>
      <c r="AH343" s="93"/>
      <c r="AI343" s="93"/>
      <c r="AJ343" s="101"/>
      <c r="AK343" s="101"/>
    </row>
    <row r="344" spans="1:52" s="359" customFormat="1" x14ac:dyDescent="0.3">
      <c r="A344" s="373"/>
      <c r="B344" s="141" t="s">
        <v>574</v>
      </c>
      <c r="C344" s="373" t="s">
        <v>546</v>
      </c>
      <c r="D344" s="62" t="s">
        <v>137</v>
      </c>
      <c r="E344" s="667" t="s">
        <v>173</v>
      </c>
      <c r="F344" s="664">
        <v>216.1</v>
      </c>
      <c r="G344" s="667" t="s">
        <v>173</v>
      </c>
      <c r="H344" s="665" t="s">
        <v>547</v>
      </c>
      <c r="I344" s="667" t="s">
        <v>173</v>
      </c>
      <c r="J344" s="665" t="s">
        <v>548</v>
      </c>
      <c r="K344" s="667" t="s">
        <v>173</v>
      </c>
      <c r="L344" s="665" t="s">
        <v>549</v>
      </c>
      <c r="M344" s="412" t="s">
        <v>300</v>
      </c>
      <c r="N344" s="457">
        <v>10</v>
      </c>
      <c r="O344" s="678" t="s">
        <v>173</v>
      </c>
      <c r="P344" s="680">
        <f t="shared" si="12"/>
        <v>1.1000000000000001</v>
      </c>
      <c r="Q344" s="412" t="s">
        <v>300</v>
      </c>
      <c r="R344" s="202">
        <v>0</v>
      </c>
      <c r="S344" s="412" t="s">
        <v>300</v>
      </c>
      <c r="T344" s="202">
        <v>0.15</v>
      </c>
      <c r="U344" s="412" t="s">
        <v>300</v>
      </c>
      <c r="V344" s="595">
        <f t="shared" si="13"/>
        <v>32</v>
      </c>
      <c r="W344" s="324" t="s">
        <v>173</v>
      </c>
      <c r="X344" s="262" t="s">
        <v>173</v>
      </c>
      <c r="Y344" s="412" t="s">
        <v>300</v>
      </c>
      <c r="Z344" s="373" t="s">
        <v>550</v>
      </c>
      <c r="AA344" s="412" t="s">
        <v>300</v>
      </c>
      <c r="AB344" s="266" t="s">
        <v>551</v>
      </c>
      <c r="AH344" s="93"/>
      <c r="AI344" s="93"/>
      <c r="AJ344" s="101"/>
      <c r="AK344" s="101"/>
    </row>
    <row r="345" spans="1:52" s="359" customFormat="1" x14ac:dyDescent="0.3">
      <c r="A345" s="373"/>
      <c r="B345" s="141" t="s">
        <v>575</v>
      </c>
      <c r="C345" s="373" t="s">
        <v>546</v>
      </c>
      <c r="D345" s="62" t="s">
        <v>137</v>
      </c>
      <c r="E345" s="667" t="s">
        <v>173</v>
      </c>
      <c r="F345" s="664">
        <v>216.1</v>
      </c>
      <c r="G345" s="667" t="s">
        <v>173</v>
      </c>
      <c r="H345" s="665" t="s">
        <v>547</v>
      </c>
      <c r="I345" s="667" t="s">
        <v>173</v>
      </c>
      <c r="J345" s="665" t="s">
        <v>548</v>
      </c>
      <c r="K345" s="667" t="s">
        <v>173</v>
      </c>
      <c r="L345" s="665" t="s">
        <v>549</v>
      </c>
      <c r="M345" s="412" t="s">
        <v>300</v>
      </c>
      <c r="N345" s="457">
        <v>10</v>
      </c>
      <c r="O345" s="678" t="s">
        <v>173</v>
      </c>
      <c r="P345" s="680">
        <f t="shared" si="12"/>
        <v>1.1000000000000001</v>
      </c>
      <c r="Q345" s="412" t="s">
        <v>300</v>
      </c>
      <c r="R345" s="202">
        <v>0</v>
      </c>
      <c r="S345" s="412" t="s">
        <v>300</v>
      </c>
      <c r="T345" s="202">
        <v>0.15</v>
      </c>
      <c r="U345" s="412" t="s">
        <v>300</v>
      </c>
      <c r="V345" s="595">
        <f t="shared" si="13"/>
        <v>32</v>
      </c>
      <c r="W345" s="324" t="s">
        <v>173</v>
      </c>
      <c r="X345" s="262" t="s">
        <v>173</v>
      </c>
      <c r="Y345" s="412" t="s">
        <v>300</v>
      </c>
      <c r="Z345" s="373" t="s">
        <v>550</v>
      </c>
      <c r="AA345" s="412" t="s">
        <v>300</v>
      </c>
      <c r="AB345" s="266" t="s">
        <v>551</v>
      </c>
      <c r="AG345" s="93"/>
      <c r="AH345" s="93"/>
      <c r="AI345" s="89"/>
      <c r="AJ345" s="673"/>
      <c r="AK345" s="101"/>
    </row>
    <row r="346" spans="1:52" s="359" customFormat="1" x14ac:dyDescent="0.3">
      <c r="A346" s="373"/>
      <c r="B346" s="141" t="s">
        <v>576</v>
      </c>
      <c r="C346" s="373" t="s">
        <v>546</v>
      </c>
      <c r="D346" s="62" t="s">
        <v>137</v>
      </c>
      <c r="E346" s="667" t="s">
        <v>173</v>
      </c>
      <c r="F346" s="664">
        <v>216.1</v>
      </c>
      <c r="G346" s="667" t="s">
        <v>173</v>
      </c>
      <c r="H346" s="665" t="s">
        <v>547</v>
      </c>
      <c r="I346" s="667" t="s">
        <v>173</v>
      </c>
      <c r="J346" s="665" t="s">
        <v>548</v>
      </c>
      <c r="K346" s="667" t="s">
        <v>173</v>
      </c>
      <c r="L346" s="665" t="s">
        <v>549</v>
      </c>
      <c r="M346" s="412" t="s">
        <v>300</v>
      </c>
      <c r="N346" s="457">
        <v>10</v>
      </c>
      <c r="O346" s="678" t="s">
        <v>173</v>
      </c>
      <c r="P346" s="680">
        <f t="shared" si="12"/>
        <v>1.1000000000000001</v>
      </c>
      <c r="Q346" s="412" t="s">
        <v>300</v>
      </c>
      <c r="R346" s="202">
        <v>0</v>
      </c>
      <c r="S346" s="412" t="s">
        <v>300</v>
      </c>
      <c r="T346" s="202">
        <v>0.15</v>
      </c>
      <c r="U346" s="412" t="s">
        <v>300</v>
      </c>
      <c r="V346" s="595">
        <f t="shared" si="13"/>
        <v>32</v>
      </c>
      <c r="W346" s="324" t="s">
        <v>173</v>
      </c>
      <c r="X346" s="262" t="s">
        <v>173</v>
      </c>
      <c r="Y346" s="412" t="s">
        <v>300</v>
      </c>
      <c r="Z346" s="373" t="s">
        <v>550</v>
      </c>
      <c r="AA346" s="412" t="s">
        <v>300</v>
      </c>
      <c r="AB346" s="266" t="s">
        <v>551</v>
      </c>
      <c r="AG346" s="93"/>
      <c r="AH346" s="93"/>
      <c r="AJ346" s="101"/>
      <c r="AK346" s="101"/>
    </row>
    <row r="347" spans="1:52" s="359" customFormat="1" x14ac:dyDescent="0.3">
      <c r="A347" s="373"/>
      <c r="B347" s="141" t="s">
        <v>577</v>
      </c>
      <c r="C347" s="373" t="s">
        <v>546</v>
      </c>
      <c r="D347" s="62" t="s">
        <v>137</v>
      </c>
      <c r="E347" s="667" t="s">
        <v>173</v>
      </c>
      <c r="F347" s="664">
        <v>216.1</v>
      </c>
      <c r="G347" s="667" t="s">
        <v>173</v>
      </c>
      <c r="H347" s="665" t="s">
        <v>547</v>
      </c>
      <c r="I347" s="667" t="s">
        <v>173</v>
      </c>
      <c r="J347" s="665" t="s">
        <v>548</v>
      </c>
      <c r="K347" s="667" t="s">
        <v>173</v>
      </c>
      <c r="L347" s="665" t="s">
        <v>549</v>
      </c>
      <c r="M347" s="412" t="s">
        <v>300</v>
      </c>
      <c r="N347" s="457">
        <v>10</v>
      </c>
      <c r="O347" s="678" t="s">
        <v>173</v>
      </c>
      <c r="P347" s="680">
        <f t="shared" si="12"/>
        <v>1.1000000000000001</v>
      </c>
      <c r="Q347" s="412" t="s">
        <v>300</v>
      </c>
      <c r="R347" s="202">
        <v>0</v>
      </c>
      <c r="S347" s="412" t="s">
        <v>300</v>
      </c>
      <c r="T347" s="202">
        <v>0.15</v>
      </c>
      <c r="U347" s="412" t="s">
        <v>300</v>
      </c>
      <c r="V347" s="595">
        <f t="shared" si="13"/>
        <v>32</v>
      </c>
      <c r="W347" s="324" t="s">
        <v>173</v>
      </c>
      <c r="X347" s="262" t="s">
        <v>173</v>
      </c>
      <c r="Y347" s="412" t="s">
        <v>300</v>
      </c>
      <c r="Z347" s="373" t="s">
        <v>550</v>
      </c>
      <c r="AA347" s="412" t="s">
        <v>300</v>
      </c>
      <c r="AB347" s="266" t="s">
        <v>551</v>
      </c>
      <c r="AG347" s="93"/>
      <c r="AH347" s="93"/>
      <c r="AI347" s="93"/>
      <c r="AJ347" s="101"/>
      <c r="AK347" s="101"/>
    </row>
    <row r="348" spans="1:52" s="359" customFormat="1" x14ac:dyDescent="0.3">
      <c r="A348" s="373"/>
      <c r="B348" s="141" t="s">
        <v>578</v>
      </c>
      <c r="C348" s="373" t="s">
        <v>546</v>
      </c>
      <c r="D348" s="62" t="s">
        <v>137</v>
      </c>
      <c r="E348" s="667" t="s">
        <v>173</v>
      </c>
      <c r="F348" s="664">
        <v>216.1</v>
      </c>
      <c r="G348" s="667" t="s">
        <v>173</v>
      </c>
      <c r="H348" s="665" t="s">
        <v>547</v>
      </c>
      <c r="I348" s="667" t="s">
        <v>173</v>
      </c>
      <c r="J348" s="665" t="s">
        <v>548</v>
      </c>
      <c r="K348" s="667" t="s">
        <v>173</v>
      </c>
      <c r="L348" s="665" t="s">
        <v>549</v>
      </c>
      <c r="M348" s="412" t="s">
        <v>300</v>
      </c>
      <c r="N348" s="457">
        <v>10</v>
      </c>
      <c r="O348" s="678" t="s">
        <v>173</v>
      </c>
      <c r="P348" s="680">
        <f t="shared" si="12"/>
        <v>1.1000000000000001</v>
      </c>
      <c r="Q348" s="412" t="s">
        <v>300</v>
      </c>
      <c r="R348" s="202">
        <v>0</v>
      </c>
      <c r="S348" s="412" t="s">
        <v>300</v>
      </c>
      <c r="T348" s="202">
        <v>0.15</v>
      </c>
      <c r="U348" s="412" t="s">
        <v>300</v>
      </c>
      <c r="V348" s="595">
        <f t="shared" si="13"/>
        <v>32</v>
      </c>
      <c r="W348" s="324" t="s">
        <v>173</v>
      </c>
      <c r="X348" s="262" t="s">
        <v>173</v>
      </c>
      <c r="Y348" s="412" t="s">
        <v>300</v>
      </c>
      <c r="Z348" s="373" t="s">
        <v>550</v>
      </c>
      <c r="AA348" s="412" t="s">
        <v>300</v>
      </c>
      <c r="AB348" s="266" t="s">
        <v>551</v>
      </c>
      <c r="AG348" s="93"/>
      <c r="AH348" s="93"/>
      <c r="AI348" s="93"/>
      <c r="AJ348" s="101"/>
      <c r="AK348" s="101"/>
    </row>
    <row r="349" spans="1:52" s="359" customFormat="1" x14ac:dyDescent="0.3">
      <c r="A349" s="373"/>
      <c r="B349" s="309" t="s">
        <v>579</v>
      </c>
      <c r="C349" s="165" t="s">
        <v>546</v>
      </c>
      <c r="D349" s="452" t="s">
        <v>137</v>
      </c>
      <c r="E349" s="668" t="s">
        <v>173</v>
      </c>
      <c r="F349" s="669">
        <v>351</v>
      </c>
      <c r="G349" s="668" t="s">
        <v>173</v>
      </c>
      <c r="H349" s="670" t="s">
        <v>547</v>
      </c>
      <c r="I349" s="681" t="s">
        <v>173</v>
      </c>
      <c r="J349" s="670" t="s">
        <v>548</v>
      </c>
      <c r="K349" s="681" t="s">
        <v>173</v>
      </c>
      <c r="L349" s="670" t="s">
        <v>549</v>
      </c>
      <c r="M349" s="410" t="s">
        <v>300</v>
      </c>
      <c r="N349" s="429">
        <v>10</v>
      </c>
      <c r="O349" s="681" t="s">
        <v>173</v>
      </c>
      <c r="P349" s="682">
        <f>ROUND(F349/1000*N349*0.5,1)</f>
        <v>1.8</v>
      </c>
      <c r="Q349" s="410" t="s">
        <v>300</v>
      </c>
      <c r="R349" s="204">
        <v>0</v>
      </c>
      <c r="S349" s="410" t="s">
        <v>300</v>
      </c>
      <c r="T349" s="204">
        <v>0.15</v>
      </c>
      <c r="U349" s="410" t="s">
        <v>300</v>
      </c>
      <c r="V349" s="653">
        <f t="shared" si="13"/>
        <v>53</v>
      </c>
      <c r="W349" s="325" t="s">
        <v>173</v>
      </c>
      <c r="X349" s="265" t="s">
        <v>173</v>
      </c>
      <c r="Y349" s="410" t="s">
        <v>300</v>
      </c>
      <c r="Z349" s="165" t="s">
        <v>550</v>
      </c>
      <c r="AA349" s="410" t="s">
        <v>300</v>
      </c>
      <c r="AB349" s="250" t="s">
        <v>551</v>
      </c>
      <c r="AG349" s="93"/>
      <c r="AH349" s="93"/>
      <c r="AI349" s="93"/>
      <c r="AJ349" s="101"/>
      <c r="AK349" s="101"/>
    </row>
    <row r="350" spans="1:52" s="93" customFormat="1" x14ac:dyDescent="0.3">
      <c r="A350" s="89"/>
      <c r="B350" s="92"/>
      <c r="C350" s="90"/>
      <c r="E350" s="357"/>
      <c r="G350" s="25"/>
      <c r="I350" s="96"/>
      <c r="K350" s="96"/>
      <c r="M350" s="96"/>
      <c r="O350" s="96"/>
      <c r="Q350" s="89"/>
      <c r="R350" s="89"/>
      <c r="S350" s="89"/>
      <c r="T350" s="89"/>
      <c r="U350" s="358"/>
      <c r="V350" s="358"/>
      <c r="W350" s="358"/>
      <c r="X350" s="358"/>
      <c r="AJ350" s="101"/>
      <c r="AK350" s="101"/>
    </row>
    <row r="351" spans="1:52" s="17" customFormat="1" x14ac:dyDescent="0.3">
      <c r="A351" s="397"/>
      <c r="B351" s="401"/>
      <c r="C351" s="74"/>
      <c r="E351" s="533"/>
      <c r="G351" s="570"/>
      <c r="I351" s="570"/>
      <c r="K351" s="570"/>
      <c r="M351" s="570"/>
      <c r="O351" s="570"/>
      <c r="Q351" s="397"/>
      <c r="R351" s="397"/>
      <c r="S351" s="397"/>
      <c r="T351" s="397"/>
      <c r="U351" s="534"/>
      <c r="V351" s="534"/>
      <c r="W351" s="534"/>
      <c r="X351" s="534"/>
      <c r="AF351" s="545"/>
      <c r="AG351" s="93"/>
      <c r="AH351" s="93"/>
      <c r="AI351" s="93"/>
      <c r="AJ351" s="101"/>
      <c r="AK351" s="101"/>
    </row>
    <row r="352" spans="1:52" s="373" customFormat="1" ht="41.4" x14ac:dyDescent="0.3">
      <c r="A352" s="358"/>
      <c r="B352" s="115" t="s">
        <v>580</v>
      </c>
      <c r="C352" s="120" t="s">
        <v>523</v>
      </c>
      <c r="D352" s="120" t="s">
        <v>122</v>
      </c>
      <c r="E352" s="115"/>
      <c r="F352" s="488" t="s">
        <v>522</v>
      </c>
      <c r="G352" s="675"/>
      <c r="H352" s="123" t="s">
        <v>52</v>
      </c>
      <c r="I352" s="675"/>
      <c r="J352" s="319" t="s">
        <v>524</v>
      </c>
      <c r="K352" s="675"/>
      <c r="L352" s="488" t="s">
        <v>581</v>
      </c>
      <c r="M352" s="675"/>
      <c r="N352" s="319" t="s">
        <v>525</v>
      </c>
      <c r="O352" s="675"/>
      <c r="P352" s="488" t="s">
        <v>526</v>
      </c>
      <c r="Q352" s="675"/>
      <c r="R352" s="488" t="s">
        <v>527</v>
      </c>
      <c r="S352" s="274"/>
      <c r="T352" s="319" t="s">
        <v>528</v>
      </c>
      <c r="U352" s="488"/>
      <c r="V352" s="488" t="s">
        <v>529</v>
      </c>
      <c r="W352" s="274"/>
      <c r="X352" s="173" t="s">
        <v>583</v>
      </c>
      <c r="Y352" s="602"/>
      <c r="Z352" s="173" t="s">
        <v>827</v>
      </c>
      <c r="AA352" s="602"/>
      <c r="AB352" s="117" t="s">
        <v>585</v>
      </c>
      <c r="AC352" s="194"/>
      <c r="AD352" s="173" t="s">
        <v>586</v>
      </c>
      <c r="AE352" s="293"/>
      <c r="AF352" s="148" t="s">
        <v>533</v>
      </c>
      <c r="AG352" s="131"/>
      <c r="AH352" s="148" t="s">
        <v>534</v>
      </c>
      <c r="AI352" s="17"/>
      <c r="AJ352" s="93"/>
      <c r="AK352" s="93"/>
      <c r="AL352" s="93"/>
      <c r="AN352" s="358"/>
      <c r="AO352" s="359"/>
      <c r="AP352" s="358"/>
      <c r="AQ352" s="578"/>
      <c r="AR352" s="579"/>
      <c r="AW352" s="358"/>
      <c r="AX352" s="358"/>
      <c r="AY352" s="358"/>
      <c r="AZ352" s="358"/>
    </row>
    <row r="353" spans="2:52" s="89" customFormat="1" ht="28.2" thickBot="1" x14ac:dyDescent="0.35">
      <c r="B353" s="315" t="s">
        <v>587</v>
      </c>
      <c r="C353" s="176" t="s">
        <v>536</v>
      </c>
      <c r="D353" s="582"/>
      <c r="E353" s="635"/>
      <c r="F353" s="176" t="s">
        <v>589</v>
      </c>
      <c r="G353" s="178"/>
      <c r="H353" s="218" t="s">
        <v>588</v>
      </c>
      <c r="I353" s="178"/>
      <c r="J353" s="176"/>
      <c r="K353" s="178"/>
      <c r="L353" s="176" t="s">
        <v>590</v>
      </c>
      <c r="M353" s="178"/>
      <c r="N353" s="176" t="s">
        <v>537</v>
      </c>
      <c r="O353" s="178"/>
      <c r="P353" s="338" t="s">
        <v>538</v>
      </c>
      <c r="Q353" s="178"/>
      <c r="R353" s="338" t="s">
        <v>539</v>
      </c>
      <c r="S353" s="315"/>
      <c r="T353" s="124" t="s">
        <v>540</v>
      </c>
      <c r="U353" s="132"/>
      <c r="V353" s="124"/>
      <c r="W353" s="315"/>
      <c r="X353" s="124" t="s">
        <v>592</v>
      </c>
      <c r="Y353" s="603"/>
      <c r="Z353" s="124" t="s">
        <v>593</v>
      </c>
      <c r="AA353" s="603"/>
      <c r="AB353" s="149" t="s">
        <v>594</v>
      </c>
      <c r="AC353" s="132"/>
      <c r="AD353" s="124" t="s">
        <v>1682</v>
      </c>
      <c r="AE353" s="580"/>
      <c r="AF353" s="339" t="s">
        <v>543</v>
      </c>
      <c r="AG353" s="580"/>
      <c r="AH353" s="339" t="s">
        <v>544</v>
      </c>
      <c r="AI353" s="17"/>
      <c r="AJ353" s="93"/>
      <c r="AK353" s="93"/>
      <c r="AL353" s="93"/>
      <c r="AM353" s="101"/>
      <c r="AN353" s="101"/>
      <c r="AQ353" s="101"/>
      <c r="AR353" s="101"/>
      <c r="AS353" s="101"/>
      <c r="AT353" s="101"/>
      <c r="AU353" s="101"/>
      <c r="AV353" s="101"/>
      <c r="AW353" s="101"/>
      <c r="AX353" s="101"/>
      <c r="AY353" s="101"/>
      <c r="AZ353" s="101"/>
    </row>
    <row r="354" spans="2:52" s="89" customFormat="1" ht="28.2" thickTop="1" x14ac:dyDescent="0.3">
      <c r="B354" s="128" t="s">
        <v>595</v>
      </c>
      <c r="C354" s="373" t="s">
        <v>546</v>
      </c>
      <c r="D354" s="62" t="s">
        <v>137</v>
      </c>
      <c r="E354" s="228"/>
      <c r="F354" s="373" t="s">
        <v>597</v>
      </c>
      <c r="G354" s="663" t="s">
        <v>173</v>
      </c>
      <c r="H354" s="664" t="s">
        <v>596</v>
      </c>
      <c r="I354" s="663" t="s">
        <v>173</v>
      </c>
      <c r="J354" s="664">
        <v>351</v>
      </c>
      <c r="K354" s="663" t="s">
        <v>173</v>
      </c>
      <c r="L354" s="712">
        <v>1</v>
      </c>
      <c r="M354" s="663" t="s">
        <v>173</v>
      </c>
      <c r="N354" s="664" t="s">
        <v>1700</v>
      </c>
      <c r="O354" s="769" t="s">
        <v>173</v>
      </c>
      <c r="P354" s="796" t="s">
        <v>173</v>
      </c>
      <c r="Q354" s="663" t="s">
        <v>173</v>
      </c>
      <c r="R354" s="796" t="s">
        <v>173</v>
      </c>
      <c r="S354" s="663" t="s">
        <v>173</v>
      </c>
      <c r="T354" s="666">
        <v>5</v>
      </c>
      <c r="U354" s="412" t="s">
        <v>300</v>
      </c>
      <c r="V354" s="662">
        <f t="shared" ref="V354:V378" si="14">ROUND(J354/1000*T354*0.5,2)</f>
        <v>0.88</v>
      </c>
      <c r="W354" s="412"/>
      <c r="X354" s="365" t="s">
        <v>630</v>
      </c>
      <c r="Y354" s="412"/>
      <c r="Z354" s="790">
        <v>53</v>
      </c>
      <c r="AA354" s="412"/>
      <c r="AB354" s="361" t="s">
        <v>366</v>
      </c>
      <c r="AC354" s="324" t="s">
        <v>173</v>
      </c>
      <c r="AD354" s="262" t="s">
        <v>173</v>
      </c>
      <c r="AE354" s="412" t="s">
        <v>300</v>
      </c>
      <c r="AF354" s="362" t="s">
        <v>598</v>
      </c>
      <c r="AG354" s="412" t="s">
        <v>300</v>
      </c>
      <c r="AH354" s="362" t="s">
        <v>599</v>
      </c>
      <c r="AI354" s="17"/>
      <c r="AJ354" s="855"/>
      <c r="AK354" s="855"/>
      <c r="AL354" s="855"/>
      <c r="AM354" s="855"/>
      <c r="AN354" s="855"/>
      <c r="AO354" s="855"/>
      <c r="AP354" s="855"/>
      <c r="AQ354" s="855"/>
      <c r="AR354" s="855"/>
      <c r="AS354" s="855"/>
      <c r="AT354" s="855"/>
      <c r="AU354" s="855"/>
      <c r="AV354" s="855"/>
      <c r="AW354" s="855"/>
      <c r="AX354" s="855"/>
      <c r="AY354" s="101"/>
      <c r="AZ354" s="101"/>
    </row>
    <row r="355" spans="2:52" s="89" customFormat="1" ht="27.6" x14ac:dyDescent="0.3">
      <c r="B355" s="128" t="s">
        <v>600</v>
      </c>
      <c r="C355" s="373" t="s">
        <v>546</v>
      </c>
      <c r="D355" s="62" t="s">
        <v>137</v>
      </c>
      <c r="E355" s="228"/>
      <c r="F355" s="373" t="s">
        <v>601</v>
      </c>
      <c r="G355" s="667" t="s">
        <v>173</v>
      </c>
      <c r="H355" s="664" t="s">
        <v>596</v>
      </c>
      <c r="I355" s="667" t="s">
        <v>173</v>
      </c>
      <c r="J355" s="664">
        <v>351</v>
      </c>
      <c r="K355" s="667" t="s">
        <v>173</v>
      </c>
      <c r="L355" s="712">
        <v>1</v>
      </c>
      <c r="M355" s="667" t="s">
        <v>173</v>
      </c>
      <c r="N355" s="664" t="s">
        <v>1700</v>
      </c>
      <c r="O355" s="667" t="s">
        <v>173</v>
      </c>
      <c r="P355" s="664" t="s">
        <v>173</v>
      </c>
      <c r="Q355" s="667" t="s">
        <v>173</v>
      </c>
      <c r="R355" s="664" t="s">
        <v>173</v>
      </c>
      <c r="S355" s="667" t="s">
        <v>173</v>
      </c>
      <c r="T355" s="666">
        <v>5</v>
      </c>
      <c r="U355" s="412" t="s">
        <v>300</v>
      </c>
      <c r="V355" s="662">
        <f t="shared" si="14"/>
        <v>0.88</v>
      </c>
      <c r="W355" s="412"/>
      <c r="X355" s="365" t="s">
        <v>630</v>
      </c>
      <c r="Y355" s="412"/>
      <c r="Z355" s="790">
        <v>53</v>
      </c>
      <c r="AA355" s="412"/>
      <c r="AB355" s="361" t="s">
        <v>366</v>
      </c>
      <c r="AC355" s="324" t="s">
        <v>173</v>
      </c>
      <c r="AD355" s="262" t="s">
        <v>173</v>
      </c>
      <c r="AE355" s="412" t="s">
        <v>300</v>
      </c>
      <c r="AF355" s="362" t="s">
        <v>598</v>
      </c>
      <c r="AG355" s="412" t="s">
        <v>300</v>
      </c>
      <c r="AH355" s="362" t="s">
        <v>599</v>
      </c>
      <c r="AI355" s="17"/>
      <c r="AJ355" s="622"/>
      <c r="AQ355" s="101"/>
      <c r="AR355" s="101"/>
      <c r="AS355" s="101"/>
      <c r="AT355" s="101"/>
      <c r="AU355" s="101"/>
      <c r="AV355" s="101"/>
      <c r="AW355" s="101"/>
      <c r="AX355" s="101"/>
      <c r="AY355" s="101"/>
      <c r="AZ355" s="101"/>
    </row>
    <row r="356" spans="2:52" s="89" customFormat="1" ht="27.6" x14ac:dyDescent="0.3">
      <c r="B356" s="128" t="s">
        <v>602</v>
      </c>
      <c r="C356" s="373" t="s">
        <v>546</v>
      </c>
      <c r="D356" s="62" t="s">
        <v>137</v>
      </c>
      <c r="E356" s="228"/>
      <c r="F356" s="373" t="s">
        <v>603</v>
      </c>
      <c r="G356" s="667" t="s">
        <v>173</v>
      </c>
      <c r="H356" s="664" t="s">
        <v>596</v>
      </c>
      <c r="I356" s="667" t="s">
        <v>173</v>
      </c>
      <c r="J356" s="664">
        <v>351</v>
      </c>
      <c r="K356" s="667" t="s">
        <v>173</v>
      </c>
      <c r="L356" s="712">
        <v>1</v>
      </c>
      <c r="M356" s="667" t="s">
        <v>173</v>
      </c>
      <c r="N356" s="664" t="s">
        <v>1700</v>
      </c>
      <c r="O356" s="667" t="s">
        <v>173</v>
      </c>
      <c r="P356" s="664" t="s">
        <v>173</v>
      </c>
      <c r="Q356" s="667" t="s">
        <v>173</v>
      </c>
      <c r="R356" s="664" t="s">
        <v>173</v>
      </c>
      <c r="S356" s="667" t="s">
        <v>173</v>
      </c>
      <c r="T356" s="666">
        <v>5</v>
      </c>
      <c r="U356" s="412" t="s">
        <v>300</v>
      </c>
      <c r="V356" s="662">
        <f t="shared" si="14"/>
        <v>0.88</v>
      </c>
      <c r="W356" s="412"/>
      <c r="X356" s="365" t="s">
        <v>630</v>
      </c>
      <c r="Y356" s="412"/>
      <c r="Z356" s="790">
        <v>53</v>
      </c>
      <c r="AA356" s="412"/>
      <c r="AB356" s="361" t="s">
        <v>366</v>
      </c>
      <c r="AC356" s="324" t="s">
        <v>173</v>
      </c>
      <c r="AD356" s="262" t="s">
        <v>173</v>
      </c>
      <c r="AE356" s="412" t="s">
        <v>300</v>
      </c>
      <c r="AF356" s="362" t="s">
        <v>598</v>
      </c>
      <c r="AG356" s="412" t="s">
        <v>300</v>
      </c>
      <c r="AH356" s="362" t="s">
        <v>599</v>
      </c>
      <c r="AI356" s="17"/>
      <c r="AJ356" s="622"/>
      <c r="AQ356" s="101"/>
      <c r="AR356" s="101"/>
      <c r="AS356" s="101"/>
      <c r="AT356" s="101"/>
      <c r="AU356" s="101"/>
      <c r="AV356" s="101"/>
      <c r="AW356" s="101"/>
      <c r="AX356" s="101"/>
      <c r="AY356" s="101"/>
      <c r="AZ356" s="101"/>
    </row>
    <row r="357" spans="2:52" s="89" customFormat="1" ht="27.6" x14ac:dyDescent="0.3">
      <c r="B357" s="128" t="s">
        <v>604</v>
      </c>
      <c r="C357" s="373" t="s">
        <v>546</v>
      </c>
      <c r="D357" s="62" t="s">
        <v>137</v>
      </c>
      <c r="E357" s="228"/>
      <c r="F357" s="373" t="s">
        <v>605</v>
      </c>
      <c r="G357" s="667" t="s">
        <v>173</v>
      </c>
      <c r="H357" s="664" t="s">
        <v>596</v>
      </c>
      <c r="I357" s="667" t="s">
        <v>173</v>
      </c>
      <c r="J357" s="664">
        <v>351</v>
      </c>
      <c r="K357" s="667" t="s">
        <v>173</v>
      </c>
      <c r="L357" s="712">
        <v>1</v>
      </c>
      <c r="M357" s="667" t="s">
        <v>173</v>
      </c>
      <c r="N357" s="664" t="s">
        <v>1700</v>
      </c>
      <c r="O357" s="667" t="s">
        <v>173</v>
      </c>
      <c r="P357" s="664" t="s">
        <v>173</v>
      </c>
      <c r="Q357" s="667" t="s">
        <v>173</v>
      </c>
      <c r="R357" s="664" t="s">
        <v>173</v>
      </c>
      <c r="S357" s="667" t="s">
        <v>173</v>
      </c>
      <c r="T357" s="666">
        <v>5</v>
      </c>
      <c r="U357" s="412" t="s">
        <v>300</v>
      </c>
      <c r="V357" s="662">
        <f t="shared" si="14"/>
        <v>0.88</v>
      </c>
      <c r="W357" s="412"/>
      <c r="X357" s="365" t="s">
        <v>630</v>
      </c>
      <c r="Y357" s="412"/>
      <c r="Z357" s="790">
        <v>53</v>
      </c>
      <c r="AA357" s="412"/>
      <c r="AB357" s="361" t="s">
        <v>366</v>
      </c>
      <c r="AC357" s="324" t="s">
        <v>173</v>
      </c>
      <c r="AD357" s="262" t="s">
        <v>173</v>
      </c>
      <c r="AE357" s="412" t="s">
        <v>300</v>
      </c>
      <c r="AF357" s="362" t="s">
        <v>598</v>
      </c>
      <c r="AG357" s="412" t="s">
        <v>300</v>
      </c>
      <c r="AH357" s="362" t="s">
        <v>599</v>
      </c>
      <c r="AI357" s="17"/>
      <c r="AJ357" s="622"/>
      <c r="AQ357" s="101"/>
      <c r="AR357" s="101"/>
      <c r="AS357" s="101"/>
      <c r="AT357" s="101"/>
      <c r="AU357" s="101"/>
      <c r="AV357" s="101"/>
      <c r="AW357" s="101"/>
      <c r="AX357" s="101"/>
      <c r="AY357" s="101"/>
      <c r="AZ357" s="101"/>
    </row>
    <row r="358" spans="2:52" s="89" customFormat="1" ht="27.6" x14ac:dyDescent="0.3">
      <c r="B358" s="128" t="s">
        <v>606</v>
      </c>
      <c r="C358" s="373" t="s">
        <v>546</v>
      </c>
      <c r="D358" s="62" t="s">
        <v>137</v>
      </c>
      <c r="E358" s="228"/>
      <c r="F358" s="373" t="s">
        <v>607</v>
      </c>
      <c r="G358" s="667" t="s">
        <v>173</v>
      </c>
      <c r="H358" s="664" t="s">
        <v>596</v>
      </c>
      <c r="I358" s="667" t="s">
        <v>173</v>
      </c>
      <c r="J358" s="664">
        <v>351</v>
      </c>
      <c r="K358" s="667" t="s">
        <v>173</v>
      </c>
      <c r="L358" s="712">
        <v>1</v>
      </c>
      <c r="M358" s="667" t="s">
        <v>173</v>
      </c>
      <c r="N358" s="664" t="s">
        <v>1700</v>
      </c>
      <c r="O358" s="667" t="s">
        <v>173</v>
      </c>
      <c r="P358" s="664" t="s">
        <v>173</v>
      </c>
      <c r="Q358" s="667" t="s">
        <v>173</v>
      </c>
      <c r="R358" s="664" t="s">
        <v>173</v>
      </c>
      <c r="S358" s="667" t="s">
        <v>173</v>
      </c>
      <c r="T358" s="666">
        <v>5</v>
      </c>
      <c r="U358" s="412" t="s">
        <v>300</v>
      </c>
      <c r="V358" s="662">
        <f t="shared" si="14"/>
        <v>0.88</v>
      </c>
      <c r="W358" s="412"/>
      <c r="X358" s="365" t="s">
        <v>630</v>
      </c>
      <c r="Y358" s="412"/>
      <c r="Z358" s="790">
        <v>53</v>
      </c>
      <c r="AA358" s="412"/>
      <c r="AB358" s="361" t="s">
        <v>366</v>
      </c>
      <c r="AC358" s="324" t="s">
        <v>173</v>
      </c>
      <c r="AD358" s="262" t="s">
        <v>173</v>
      </c>
      <c r="AE358" s="412" t="s">
        <v>300</v>
      </c>
      <c r="AF358" s="362" t="s">
        <v>598</v>
      </c>
      <c r="AG358" s="412" t="s">
        <v>300</v>
      </c>
      <c r="AH358" s="362" t="s">
        <v>599</v>
      </c>
      <c r="AI358" s="17"/>
      <c r="AJ358" s="622"/>
      <c r="AQ358" s="101"/>
      <c r="AR358" s="101"/>
      <c r="AS358" s="101"/>
      <c r="AT358" s="101"/>
      <c r="AU358" s="101"/>
      <c r="AV358" s="101"/>
      <c r="AW358" s="101"/>
      <c r="AX358" s="101"/>
      <c r="AY358" s="101"/>
      <c r="AZ358" s="101"/>
    </row>
    <row r="359" spans="2:52" s="89" customFormat="1" ht="27.6" x14ac:dyDescent="0.3">
      <c r="B359" s="128" t="s">
        <v>608</v>
      </c>
      <c r="C359" s="373" t="s">
        <v>546</v>
      </c>
      <c r="D359" s="62" t="s">
        <v>137</v>
      </c>
      <c r="E359" s="228"/>
      <c r="F359" s="373" t="s">
        <v>609</v>
      </c>
      <c r="G359" s="667" t="s">
        <v>173</v>
      </c>
      <c r="H359" s="664" t="s">
        <v>596</v>
      </c>
      <c r="I359" s="667" t="s">
        <v>173</v>
      </c>
      <c r="J359" s="664">
        <v>351</v>
      </c>
      <c r="K359" s="667" t="s">
        <v>173</v>
      </c>
      <c r="L359" s="712">
        <v>1</v>
      </c>
      <c r="M359" s="667" t="s">
        <v>173</v>
      </c>
      <c r="N359" s="664" t="s">
        <v>1700</v>
      </c>
      <c r="O359" s="667" t="s">
        <v>173</v>
      </c>
      <c r="P359" s="664" t="s">
        <v>173</v>
      </c>
      <c r="Q359" s="667" t="s">
        <v>173</v>
      </c>
      <c r="R359" s="664" t="s">
        <v>173</v>
      </c>
      <c r="S359" s="667" t="s">
        <v>173</v>
      </c>
      <c r="T359" s="666">
        <v>5</v>
      </c>
      <c r="U359" s="412" t="s">
        <v>300</v>
      </c>
      <c r="V359" s="662">
        <f t="shared" si="14"/>
        <v>0.88</v>
      </c>
      <c r="W359" s="412"/>
      <c r="X359" s="365" t="s">
        <v>630</v>
      </c>
      <c r="Y359" s="412"/>
      <c r="Z359" s="790">
        <v>53</v>
      </c>
      <c r="AA359" s="412"/>
      <c r="AB359" s="361" t="s">
        <v>366</v>
      </c>
      <c r="AC359" s="324" t="s">
        <v>173</v>
      </c>
      <c r="AD359" s="262" t="s">
        <v>173</v>
      </c>
      <c r="AE359" s="412" t="s">
        <v>300</v>
      </c>
      <c r="AF359" s="362" t="s">
        <v>598</v>
      </c>
      <c r="AG359" s="412" t="s">
        <v>300</v>
      </c>
      <c r="AH359" s="362" t="s">
        <v>599</v>
      </c>
      <c r="AI359" s="17"/>
      <c r="AJ359" s="622"/>
      <c r="AQ359" s="101"/>
      <c r="AR359" s="101"/>
      <c r="AS359" s="101"/>
      <c r="AT359" s="101"/>
      <c r="AU359" s="101"/>
      <c r="AV359" s="101"/>
      <c r="AW359" s="101"/>
      <c r="AX359" s="101"/>
      <c r="AY359" s="101"/>
      <c r="AZ359" s="101"/>
    </row>
    <row r="360" spans="2:52" s="89" customFormat="1" ht="27.6" x14ac:dyDescent="0.3">
      <c r="B360" s="128" t="s">
        <v>610</v>
      </c>
      <c r="C360" s="373" t="s">
        <v>546</v>
      </c>
      <c r="D360" s="62" t="s">
        <v>137</v>
      </c>
      <c r="E360" s="228"/>
      <c r="F360" s="373" t="s">
        <v>362</v>
      </c>
      <c r="G360" s="667" t="s">
        <v>173</v>
      </c>
      <c r="H360" s="664" t="s">
        <v>596</v>
      </c>
      <c r="I360" s="667" t="s">
        <v>173</v>
      </c>
      <c r="J360" s="664">
        <v>1404.1</v>
      </c>
      <c r="K360" s="667" t="s">
        <v>173</v>
      </c>
      <c r="L360" s="712">
        <v>4</v>
      </c>
      <c r="M360" s="667" t="s">
        <v>173</v>
      </c>
      <c r="N360" s="664" t="s">
        <v>1700</v>
      </c>
      <c r="O360" s="667" t="s">
        <v>173</v>
      </c>
      <c r="P360" s="664" t="s">
        <v>173</v>
      </c>
      <c r="Q360" s="667" t="s">
        <v>173</v>
      </c>
      <c r="R360" s="664" t="s">
        <v>173</v>
      </c>
      <c r="S360" s="667" t="s">
        <v>173</v>
      </c>
      <c r="T360" s="666">
        <v>5</v>
      </c>
      <c r="U360" s="412" t="s">
        <v>300</v>
      </c>
      <c r="V360" s="662">
        <f t="shared" si="14"/>
        <v>3.51</v>
      </c>
      <c r="W360" s="412"/>
      <c r="X360" s="365" t="s">
        <v>630</v>
      </c>
      <c r="Y360" s="412"/>
      <c r="Z360" s="790">
        <v>211</v>
      </c>
      <c r="AA360" s="412"/>
      <c r="AB360" s="361" t="s">
        <v>366</v>
      </c>
      <c r="AC360" s="324" t="s">
        <v>173</v>
      </c>
      <c r="AD360" s="262" t="s">
        <v>173</v>
      </c>
      <c r="AE360" s="412" t="s">
        <v>300</v>
      </c>
      <c r="AF360" s="362" t="s">
        <v>598</v>
      </c>
      <c r="AG360" s="412" t="s">
        <v>300</v>
      </c>
      <c r="AH360" s="362" t="s">
        <v>599</v>
      </c>
      <c r="AI360" s="17"/>
      <c r="AJ360" s="622"/>
      <c r="AQ360" s="101"/>
      <c r="AR360" s="101"/>
      <c r="AS360" s="101"/>
      <c r="AT360" s="101"/>
      <c r="AU360" s="101"/>
      <c r="AV360" s="101"/>
      <c r="AW360" s="101"/>
      <c r="AX360" s="101"/>
      <c r="AY360" s="101"/>
      <c r="AZ360" s="101"/>
    </row>
    <row r="361" spans="2:52" s="89" customFormat="1" ht="27.6" x14ac:dyDescent="0.3">
      <c r="B361" s="128" t="s">
        <v>611</v>
      </c>
      <c r="C361" s="373" t="s">
        <v>546</v>
      </c>
      <c r="D361" s="62" t="s">
        <v>137</v>
      </c>
      <c r="E361" s="228"/>
      <c r="F361" s="373" t="s">
        <v>612</v>
      </c>
      <c r="G361" s="667" t="s">
        <v>173</v>
      </c>
      <c r="H361" s="664" t="s">
        <v>596</v>
      </c>
      <c r="I361" s="667" t="s">
        <v>173</v>
      </c>
      <c r="J361" s="664">
        <v>1134.0999999999999</v>
      </c>
      <c r="K361" s="667" t="s">
        <v>173</v>
      </c>
      <c r="L361" s="712">
        <v>3</v>
      </c>
      <c r="M361" s="667" t="s">
        <v>173</v>
      </c>
      <c r="N361" s="664" t="s">
        <v>1700</v>
      </c>
      <c r="O361" s="667" t="s">
        <v>173</v>
      </c>
      <c r="P361" s="664" t="s">
        <v>173</v>
      </c>
      <c r="Q361" s="667" t="s">
        <v>173</v>
      </c>
      <c r="R361" s="664" t="s">
        <v>173</v>
      </c>
      <c r="S361" s="667" t="s">
        <v>173</v>
      </c>
      <c r="T361" s="666">
        <v>5</v>
      </c>
      <c r="U361" s="412" t="s">
        <v>300</v>
      </c>
      <c r="V361" s="662">
        <f t="shared" si="14"/>
        <v>2.84</v>
      </c>
      <c r="W361" s="412"/>
      <c r="X361" s="365" t="s">
        <v>630</v>
      </c>
      <c r="Y361" s="412"/>
      <c r="Z361" s="790">
        <v>170</v>
      </c>
      <c r="AA361" s="412"/>
      <c r="AB361" s="361" t="s">
        <v>366</v>
      </c>
      <c r="AC361" s="324" t="s">
        <v>173</v>
      </c>
      <c r="AD361" s="262" t="s">
        <v>173</v>
      </c>
      <c r="AE361" s="412" t="s">
        <v>300</v>
      </c>
      <c r="AF361" s="362" t="s">
        <v>598</v>
      </c>
      <c r="AG361" s="412" t="s">
        <v>300</v>
      </c>
      <c r="AH361" s="362" t="s">
        <v>599</v>
      </c>
      <c r="AI361" s="17"/>
      <c r="AJ361" s="622"/>
      <c r="AQ361" s="101"/>
      <c r="AR361" s="101"/>
      <c r="AS361" s="101"/>
      <c r="AT361" s="101"/>
      <c r="AU361" s="101"/>
      <c r="AV361" s="101"/>
      <c r="AW361" s="101"/>
      <c r="AX361" s="101"/>
      <c r="AY361" s="101"/>
      <c r="AZ361" s="101"/>
    </row>
    <row r="362" spans="2:52" s="89" customFormat="1" ht="27.6" x14ac:dyDescent="0.3">
      <c r="B362" s="128" t="s">
        <v>613</v>
      </c>
      <c r="C362" s="373" t="s">
        <v>546</v>
      </c>
      <c r="D362" s="62" t="s">
        <v>137</v>
      </c>
      <c r="E362" s="228"/>
      <c r="F362" s="373" t="s">
        <v>614</v>
      </c>
      <c r="G362" s="667" t="s">
        <v>173</v>
      </c>
      <c r="H362" s="664" t="s">
        <v>596</v>
      </c>
      <c r="I362" s="667" t="s">
        <v>173</v>
      </c>
      <c r="J362" s="664">
        <v>1404.1</v>
      </c>
      <c r="K362" s="667" t="s">
        <v>173</v>
      </c>
      <c r="L362" s="712">
        <v>4</v>
      </c>
      <c r="M362" s="667" t="s">
        <v>173</v>
      </c>
      <c r="N362" s="664" t="s">
        <v>1700</v>
      </c>
      <c r="O362" s="667" t="s">
        <v>173</v>
      </c>
      <c r="P362" s="664" t="s">
        <v>173</v>
      </c>
      <c r="Q362" s="667" t="s">
        <v>173</v>
      </c>
      <c r="R362" s="664" t="s">
        <v>173</v>
      </c>
      <c r="S362" s="667" t="s">
        <v>173</v>
      </c>
      <c r="T362" s="666">
        <v>5</v>
      </c>
      <c r="U362" s="412" t="s">
        <v>300</v>
      </c>
      <c r="V362" s="662">
        <f t="shared" si="14"/>
        <v>3.51</v>
      </c>
      <c r="W362" s="412"/>
      <c r="X362" s="365" t="s">
        <v>630</v>
      </c>
      <c r="Y362" s="412"/>
      <c r="Z362" s="790">
        <v>211</v>
      </c>
      <c r="AA362" s="412"/>
      <c r="AB362" s="361" t="s">
        <v>366</v>
      </c>
      <c r="AC362" s="324" t="s">
        <v>173</v>
      </c>
      <c r="AD362" s="262" t="s">
        <v>173</v>
      </c>
      <c r="AE362" s="412" t="s">
        <v>300</v>
      </c>
      <c r="AF362" s="362" t="s">
        <v>598</v>
      </c>
      <c r="AG362" s="412" t="s">
        <v>300</v>
      </c>
      <c r="AH362" s="362" t="s">
        <v>599</v>
      </c>
      <c r="AI362" s="17"/>
      <c r="AJ362" s="622"/>
      <c r="AQ362" s="101"/>
      <c r="AR362" s="101"/>
      <c r="AS362" s="101"/>
      <c r="AT362" s="101"/>
      <c r="AU362" s="101"/>
      <c r="AV362" s="101"/>
      <c r="AW362" s="101"/>
      <c r="AX362" s="101"/>
      <c r="AY362" s="101"/>
      <c r="AZ362" s="101"/>
    </row>
    <row r="363" spans="2:52" s="89" customFormat="1" ht="27.6" x14ac:dyDescent="0.3">
      <c r="B363" s="128" t="s">
        <v>615</v>
      </c>
      <c r="C363" s="373" t="s">
        <v>546</v>
      </c>
      <c r="D363" s="62" t="s">
        <v>137</v>
      </c>
      <c r="E363" s="228"/>
      <c r="F363" s="373" t="s">
        <v>616</v>
      </c>
      <c r="G363" s="667" t="s">
        <v>173</v>
      </c>
      <c r="H363" s="664" t="s">
        <v>596</v>
      </c>
      <c r="I363" s="667" t="s">
        <v>173</v>
      </c>
      <c r="J363" s="664">
        <v>351</v>
      </c>
      <c r="K363" s="667" t="s">
        <v>173</v>
      </c>
      <c r="L363" s="712">
        <v>1</v>
      </c>
      <c r="M363" s="667" t="s">
        <v>173</v>
      </c>
      <c r="N363" s="664" t="s">
        <v>1700</v>
      </c>
      <c r="O363" s="667" t="s">
        <v>173</v>
      </c>
      <c r="P363" s="664" t="s">
        <v>173</v>
      </c>
      <c r="Q363" s="667" t="s">
        <v>173</v>
      </c>
      <c r="R363" s="664" t="s">
        <v>173</v>
      </c>
      <c r="S363" s="667" t="s">
        <v>173</v>
      </c>
      <c r="T363" s="666">
        <v>5</v>
      </c>
      <c r="U363" s="412" t="s">
        <v>300</v>
      </c>
      <c r="V363" s="662">
        <f t="shared" si="14"/>
        <v>0.88</v>
      </c>
      <c r="W363" s="412"/>
      <c r="X363" s="365" t="s">
        <v>630</v>
      </c>
      <c r="Y363" s="412"/>
      <c r="Z363" s="790">
        <v>53</v>
      </c>
      <c r="AA363" s="412"/>
      <c r="AB363" s="361" t="s">
        <v>366</v>
      </c>
      <c r="AC363" s="324" t="s">
        <v>173</v>
      </c>
      <c r="AD363" s="262" t="s">
        <v>173</v>
      </c>
      <c r="AE363" s="412" t="s">
        <v>300</v>
      </c>
      <c r="AF363" s="362" t="s">
        <v>598</v>
      </c>
      <c r="AG363" s="412" t="s">
        <v>300</v>
      </c>
      <c r="AH363" s="362" t="s">
        <v>599</v>
      </c>
      <c r="AI363" s="17"/>
      <c r="AJ363" s="622"/>
      <c r="AQ363" s="101"/>
      <c r="AR363" s="101"/>
      <c r="AS363" s="101"/>
      <c r="AT363" s="101"/>
      <c r="AU363" s="101"/>
      <c r="AV363" s="101"/>
      <c r="AW363" s="101"/>
      <c r="AX363" s="101"/>
      <c r="AY363" s="101"/>
      <c r="AZ363" s="101"/>
    </row>
    <row r="364" spans="2:52" s="89" customFormat="1" ht="27.6" x14ac:dyDescent="0.3">
      <c r="B364" s="128" t="s">
        <v>617</v>
      </c>
      <c r="C364" s="373" t="s">
        <v>546</v>
      </c>
      <c r="D364" s="62" t="s">
        <v>137</v>
      </c>
      <c r="E364" s="228"/>
      <c r="F364" s="373" t="s">
        <v>618</v>
      </c>
      <c r="G364" s="667" t="s">
        <v>173</v>
      </c>
      <c r="H364" s="664" t="s">
        <v>596</v>
      </c>
      <c r="I364" s="667" t="s">
        <v>173</v>
      </c>
      <c r="J364" s="664">
        <v>351</v>
      </c>
      <c r="K364" s="667" t="s">
        <v>173</v>
      </c>
      <c r="L364" s="712">
        <v>1</v>
      </c>
      <c r="M364" s="667" t="s">
        <v>173</v>
      </c>
      <c r="N364" s="664" t="s">
        <v>1700</v>
      </c>
      <c r="O364" s="667" t="s">
        <v>173</v>
      </c>
      <c r="P364" s="664" t="s">
        <v>173</v>
      </c>
      <c r="Q364" s="667" t="s">
        <v>173</v>
      </c>
      <c r="R364" s="664" t="s">
        <v>173</v>
      </c>
      <c r="S364" s="667" t="s">
        <v>173</v>
      </c>
      <c r="T364" s="666">
        <v>5</v>
      </c>
      <c r="U364" s="412" t="s">
        <v>300</v>
      </c>
      <c r="V364" s="662">
        <f t="shared" si="14"/>
        <v>0.88</v>
      </c>
      <c r="W364" s="412"/>
      <c r="X364" s="365" t="s">
        <v>630</v>
      </c>
      <c r="Y364" s="412"/>
      <c r="Z364" s="790">
        <v>53</v>
      </c>
      <c r="AA364" s="412"/>
      <c r="AB364" s="361" t="s">
        <v>366</v>
      </c>
      <c r="AC364" s="324" t="s">
        <v>173</v>
      </c>
      <c r="AD364" s="262" t="s">
        <v>173</v>
      </c>
      <c r="AE364" s="412" t="s">
        <v>300</v>
      </c>
      <c r="AF364" s="362" t="s">
        <v>598</v>
      </c>
      <c r="AG364" s="412" t="s">
        <v>300</v>
      </c>
      <c r="AH364" s="362" t="s">
        <v>599</v>
      </c>
      <c r="AI364" s="17"/>
      <c r="AJ364" s="622"/>
      <c r="AQ364" s="101"/>
      <c r="AR364" s="101"/>
      <c r="AS364" s="101"/>
      <c r="AT364" s="101"/>
      <c r="AU364" s="101"/>
      <c r="AV364" s="101"/>
      <c r="AW364" s="101"/>
      <c r="AX364" s="101"/>
      <c r="AY364" s="101"/>
      <c r="AZ364" s="101"/>
    </row>
    <row r="365" spans="2:52" s="89" customFormat="1" ht="27.6" x14ac:dyDescent="0.3">
      <c r="B365" s="128" t="s">
        <v>619</v>
      </c>
      <c r="C365" s="373" t="s">
        <v>546</v>
      </c>
      <c r="D365" s="62" t="s">
        <v>137</v>
      </c>
      <c r="E365" s="228"/>
      <c r="F365" s="373" t="s">
        <v>620</v>
      </c>
      <c r="G365" s="667" t="s">
        <v>173</v>
      </c>
      <c r="H365" s="664" t="s">
        <v>596</v>
      </c>
      <c r="I365" s="667" t="s">
        <v>173</v>
      </c>
      <c r="J365" s="664">
        <v>1404</v>
      </c>
      <c r="K365" s="667" t="s">
        <v>173</v>
      </c>
      <c r="L365" s="712">
        <v>4</v>
      </c>
      <c r="M365" s="667" t="s">
        <v>173</v>
      </c>
      <c r="N365" s="664" t="s">
        <v>1700</v>
      </c>
      <c r="O365" s="667" t="s">
        <v>173</v>
      </c>
      <c r="P365" s="664" t="s">
        <v>173</v>
      </c>
      <c r="Q365" s="667" t="s">
        <v>173</v>
      </c>
      <c r="R365" s="664" t="s">
        <v>173</v>
      </c>
      <c r="S365" s="667" t="s">
        <v>173</v>
      </c>
      <c r="T365" s="666">
        <v>5</v>
      </c>
      <c r="U365" s="412" t="s">
        <v>300</v>
      </c>
      <c r="V365" s="662">
        <f t="shared" si="14"/>
        <v>3.51</v>
      </c>
      <c r="W365" s="412"/>
      <c r="X365" s="365" t="s">
        <v>630</v>
      </c>
      <c r="Y365" s="412"/>
      <c r="Z365" s="790">
        <v>211</v>
      </c>
      <c r="AA365" s="412"/>
      <c r="AB365" s="361" t="s">
        <v>366</v>
      </c>
      <c r="AC365" s="324" t="s">
        <v>173</v>
      </c>
      <c r="AD365" s="262" t="s">
        <v>173</v>
      </c>
      <c r="AE365" s="412" t="s">
        <v>300</v>
      </c>
      <c r="AF365" s="362" t="s">
        <v>598</v>
      </c>
      <c r="AG365" s="412" t="s">
        <v>300</v>
      </c>
      <c r="AH365" s="362" t="s">
        <v>599</v>
      </c>
      <c r="AI365" s="17"/>
      <c r="AJ365" s="622"/>
      <c r="AQ365" s="101"/>
      <c r="AR365" s="101"/>
      <c r="AS365" s="101"/>
      <c r="AT365" s="101"/>
      <c r="AU365" s="101"/>
      <c r="AV365" s="101"/>
      <c r="AW365" s="101"/>
      <c r="AX365" s="101"/>
      <c r="AY365" s="101"/>
      <c r="AZ365" s="101"/>
    </row>
    <row r="366" spans="2:52" s="89" customFormat="1" ht="27.6" x14ac:dyDescent="0.3">
      <c r="B366" s="128" t="s">
        <v>621</v>
      </c>
      <c r="C366" s="373" t="s">
        <v>546</v>
      </c>
      <c r="D366" s="62" t="s">
        <v>137</v>
      </c>
      <c r="E366" s="228"/>
      <c r="F366" s="373" t="s">
        <v>622</v>
      </c>
      <c r="G366" s="667" t="s">
        <v>173</v>
      </c>
      <c r="H366" s="664" t="s">
        <v>596</v>
      </c>
      <c r="I366" s="667" t="s">
        <v>173</v>
      </c>
      <c r="J366" s="664">
        <v>351</v>
      </c>
      <c r="K366" s="667" t="s">
        <v>173</v>
      </c>
      <c r="L366" s="712">
        <v>1</v>
      </c>
      <c r="M366" s="667" t="s">
        <v>173</v>
      </c>
      <c r="N366" s="664" t="s">
        <v>1700</v>
      </c>
      <c r="O366" s="667" t="s">
        <v>173</v>
      </c>
      <c r="P366" s="664" t="s">
        <v>173</v>
      </c>
      <c r="Q366" s="667" t="s">
        <v>173</v>
      </c>
      <c r="R366" s="664" t="s">
        <v>173</v>
      </c>
      <c r="S366" s="667" t="s">
        <v>173</v>
      </c>
      <c r="T366" s="666">
        <v>5</v>
      </c>
      <c r="U366" s="412" t="s">
        <v>300</v>
      </c>
      <c r="V366" s="662">
        <f t="shared" si="14"/>
        <v>0.88</v>
      </c>
      <c r="W366" s="412"/>
      <c r="X366" s="365" t="s">
        <v>630</v>
      </c>
      <c r="Y366" s="412"/>
      <c r="Z366" s="790">
        <v>53</v>
      </c>
      <c r="AA366" s="412"/>
      <c r="AB366" s="361" t="s">
        <v>366</v>
      </c>
      <c r="AC366" s="324" t="s">
        <v>173</v>
      </c>
      <c r="AD366" s="262" t="s">
        <v>173</v>
      </c>
      <c r="AE366" s="412" t="s">
        <v>300</v>
      </c>
      <c r="AF366" s="362" t="s">
        <v>598</v>
      </c>
      <c r="AG366" s="412" t="s">
        <v>300</v>
      </c>
      <c r="AH366" s="362" t="s">
        <v>599</v>
      </c>
      <c r="AI366" s="17"/>
      <c r="AJ366" s="622"/>
      <c r="AQ366" s="101"/>
      <c r="AR366" s="101"/>
      <c r="AS366" s="101"/>
      <c r="AT366" s="101"/>
      <c r="AU366" s="101"/>
      <c r="AV366" s="101"/>
      <c r="AW366" s="101"/>
      <c r="AX366" s="101"/>
      <c r="AY366" s="101"/>
      <c r="AZ366" s="101"/>
    </row>
    <row r="367" spans="2:52" s="89" customFormat="1" ht="27.6" x14ac:dyDescent="0.3">
      <c r="B367" s="128" t="s">
        <v>623</v>
      </c>
      <c r="C367" s="373" t="s">
        <v>546</v>
      </c>
      <c r="D367" s="62" t="s">
        <v>137</v>
      </c>
      <c r="E367" s="228"/>
      <c r="F367" s="373" t="s">
        <v>624</v>
      </c>
      <c r="G367" s="667" t="s">
        <v>173</v>
      </c>
      <c r="H367" s="664" t="s">
        <v>596</v>
      </c>
      <c r="I367" s="667" t="s">
        <v>173</v>
      </c>
      <c r="J367" s="664">
        <v>1404</v>
      </c>
      <c r="K367" s="667" t="s">
        <v>173</v>
      </c>
      <c r="L367" s="712">
        <v>4</v>
      </c>
      <c r="M367" s="667" t="s">
        <v>173</v>
      </c>
      <c r="N367" s="664" t="s">
        <v>1700</v>
      </c>
      <c r="O367" s="667" t="s">
        <v>173</v>
      </c>
      <c r="P367" s="664" t="s">
        <v>173</v>
      </c>
      <c r="Q367" s="667" t="s">
        <v>173</v>
      </c>
      <c r="R367" s="664" t="s">
        <v>173</v>
      </c>
      <c r="S367" s="667" t="s">
        <v>173</v>
      </c>
      <c r="T367" s="666">
        <v>5</v>
      </c>
      <c r="U367" s="412" t="s">
        <v>300</v>
      </c>
      <c r="V367" s="662">
        <f t="shared" si="14"/>
        <v>3.51</v>
      </c>
      <c r="W367" s="412"/>
      <c r="X367" s="365" t="s">
        <v>630</v>
      </c>
      <c r="Y367" s="412"/>
      <c r="Z367" s="790">
        <v>211</v>
      </c>
      <c r="AA367" s="412"/>
      <c r="AB367" s="361" t="s">
        <v>366</v>
      </c>
      <c r="AC367" s="324" t="s">
        <v>173</v>
      </c>
      <c r="AD367" s="262" t="s">
        <v>173</v>
      </c>
      <c r="AE367" s="412" t="s">
        <v>300</v>
      </c>
      <c r="AF367" s="362" t="s">
        <v>598</v>
      </c>
      <c r="AG367" s="412" t="s">
        <v>300</v>
      </c>
      <c r="AH367" s="362" t="s">
        <v>599</v>
      </c>
      <c r="AI367" s="17"/>
      <c r="AJ367" s="622"/>
      <c r="AQ367" s="101"/>
      <c r="AR367" s="101"/>
      <c r="AS367" s="101"/>
      <c r="AT367" s="101"/>
      <c r="AU367" s="101"/>
      <c r="AV367" s="101"/>
      <c r="AW367" s="101"/>
      <c r="AX367" s="101"/>
      <c r="AY367" s="101"/>
      <c r="AZ367" s="101"/>
    </row>
    <row r="368" spans="2:52" s="89" customFormat="1" ht="27.6" x14ac:dyDescent="0.3">
      <c r="B368" s="128" t="s">
        <v>625</v>
      </c>
      <c r="C368" s="373" t="s">
        <v>546</v>
      </c>
      <c r="D368" s="62" t="s">
        <v>137</v>
      </c>
      <c r="E368" s="228"/>
      <c r="F368" s="373" t="s">
        <v>626</v>
      </c>
      <c r="G368" s="667" t="s">
        <v>173</v>
      </c>
      <c r="H368" s="664" t="s">
        <v>596</v>
      </c>
      <c r="I368" s="667" t="s">
        <v>173</v>
      </c>
      <c r="J368" s="664">
        <v>351</v>
      </c>
      <c r="K368" s="667" t="s">
        <v>173</v>
      </c>
      <c r="L368" s="712">
        <v>1</v>
      </c>
      <c r="M368" s="667" t="s">
        <v>173</v>
      </c>
      <c r="N368" s="664" t="s">
        <v>1700</v>
      </c>
      <c r="O368" s="667" t="s">
        <v>173</v>
      </c>
      <c r="P368" s="664" t="s">
        <v>173</v>
      </c>
      <c r="Q368" s="667" t="s">
        <v>173</v>
      </c>
      <c r="R368" s="664" t="s">
        <v>173</v>
      </c>
      <c r="S368" s="667" t="s">
        <v>173</v>
      </c>
      <c r="T368" s="666">
        <v>5</v>
      </c>
      <c r="U368" s="412" t="s">
        <v>300</v>
      </c>
      <c r="V368" s="662">
        <f t="shared" si="14"/>
        <v>0.88</v>
      </c>
      <c r="W368" s="412"/>
      <c r="X368" s="365" t="s">
        <v>630</v>
      </c>
      <c r="Y368" s="412"/>
      <c r="Z368" s="790">
        <v>53</v>
      </c>
      <c r="AA368" s="412"/>
      <c r="AB368" s="361" t="s">
        <v>366</v>
      </c>
      <c r="AC368" s="324" t="s">
        <v>173</v>
      </c>
      <c r="AD368" s="262" t="s">
        <v>173</v>
      </c>
      <c r="AE368" s="412" t="s">
        <v>300</v>
      </c>
      <c r="AF368" s="362" t="s">
        <v>598</v>
      </c>
      <c r="AG368" s="412" t="s">
        <v>300</v>
      </c>
      <c r="AH368" s="362" t="s">
        <v>599</v>
      </c>
      <c r="AI368" s="17"/>
      <c r="AJ368" s="622"/>
      <c r="AQ368" s="101"/>
      <c r="AR368" s="101"/>
      <c r="AS368" s="101"/>
      <c r="AT368" s="101"/>
      <c r="AU368" s="101"/>
      <c r="AV368" s="101"/>
      <c r="AW368" s="101"/>
      <c r="AX368" s="101"/>
      <c r="AY368" s="101"/>
      <c r="AZ368" s="101"/>
    </row>
    <row r="369" spans="1:38" s="17" customFormat="1" ht="27.6" x14ac:dyDescent="0.3">
      <c r="A369" s="397"/>
      <c r="B369" s="141" t="s">
        <v>627</v>
      </c>
      <c r="C369" s="373" t="s">
        <v>546</v>
      </c>
      <c r="D369" s="62" t="s">
        <v>137</v>
      </c>
      <c r="E369" s="228"/>
      <c r="F369" s="365" t="s">
        <v>628</v>
      </c>
      <c r="G369" s="667" t="s">
        <v>173</v>
      </c>
      <c r="H369" s="664" t="s">
        <v>596</v>
      </c>
      <c r="I369" s="667" t="s">
        <v>173</v>
      </c>
      <c r="J369" s="664">
        <v>351</v>
      </c>
      <c r="K369" s="667" t="s">
        <v>173</v>
      </c>
      <c r="L369" s="712">
        <v>1</v>
      </c>
      <c r="M369" s="667" t="s">
        <v>173</v>
      </c>
      <c r="N369" s="664" t="s">
        <v>629</v>
      </c>
      <c r="O369" s="667" t="s">
        <v>173</v>
      </c>
      <c r="P369" s="664" t="s">
        <v>173</v>
      </c>
      <c r="Q369" s="667" t="s">
        <v>173</v>
      </c>
      <c r="R369" s="664" t="s">
        <v>173</v>
      </c>
      <c r="S369" s="667" t="s">
        <v>173</v>
      </c>
      <c r="T369" s="666">
        <v>5</v>
      </c>
      <c r="U369" s="412" t="s">
        <v>300</v>
      </c>
      <c r="V369" s="662">
        <f t="shared" si="14"/>
        <v>0.88</v>
      </c>
      <c r="W369" s="412"/>
      <c r="X369" s="365" t="s">
        <v>630</v>
      </c>
      <c r="Y369" s="412"/>
      <c r="Z369" s="790">
        <v>53</v>
      </c>
      <c r="AA369" s="412"/>
      <c r="AB369" s="361" t="s">
        <v>366</v>
      </c>
      <c r="AC369" s="324" t="s">
        <v>173</v>
      </c>
      <c r="AD369" s="262" t="s">
        <v>173</v>
      </c>
      <c r="AE369" s="412" t="s">
        <v>300</v>
      </c>
      <c r="AF369" s="362" t="s">
        <v>598</v>
      </c>
      <c r="AG369" s="412" t="s">
        <v>300</v>
      </c>
      <c r="AH369" s="362" t="s">
        <v>599</v>
      </c>
      <c r="AJ369" s="622"/>
      <c r="AK369" s="89"/>
      <c r="AL369" s="93"/>
    </row>
    <row r="370" spans="1:38" s="17" customFormat="1" ht="27.6" x14ac:dyDescent="0.3">
      <c r="A370" s="397"/>
      <c r="B370" s="141" t="s">
        <v>631</v>
      </c>
      <c r="C370" s="373" t="s">
        <v>546</v>
      </c>
      <c r="D370" s="62" t="s">
        <v>137</v>
      </c>
      <c r="E370" s="228"/>
      <c r="F370" s="365" t="s">
        <v>632</v>
      </c>
      <c r="G370" s="667" t="s">
        <v>173</v>
      </c>
      <c r="H370" s="664" t="s">
        <v>596</v>
      </c>
      <c r="I370" s="667" t="s">
        <v>173</v>
      </c>
      <c r="J370" s="664">
        <v>1404.1</v>
      </c>
      <c r="K370" s="667" t="s">
        <v>173</v>
      </c>
      <c r="L370" s="712">
        <v>4</v>
      </c>
      <c r="M370" s="667" t="s">
        <v>173</v>
      </c>
      <c r="N370" s="664" t="s">
        <v>629</v>
      </c>
      <c r="O370" s="667" t="s">
        <v>173</v>
      </c>
      <c r="P370" s="664" t="s">
        <v>173</v>
      </c>
      <c r="Q370" s="667" t="s">
        <v>173</v>
      </c>
      <c r="R370" s="664" t="s">
        <v>173</v>
      </c>
      <c r="S370" s="667" t="s">
        <v>173</v>
      </c>
      <c r="T370" s="666">
        <v>5</v>
      </c>
      <c r="U370" s="412" t="s">
        <v>300</v>
      </c>
      <c r="V370" s="662">
        <f t="shared" si="14"/>
        <v>3.51</v>
      </c>
      <c r="W370" s="412"/>
      <c r="X370" s="365" t="s">
        <v>630</v>
      </c>
      <c r="Y370" s="412"/>
      <c r="Z370" s="790">
        <v>211</v>
      </c>
      <c r="AA370" s="412"/>
      <c r="AB370" s="361" t="s">
        <v>366</v>
      </c>
      <c r="AC370" s="324" t="s">
        <v>173</v>
      </c>
      <c r="AD370" s="262" t="s">
        <v>173</v>
      </c>
      <c r="AE370" s="412" t="s">
        <v>300</v>
      </c>
      <c r="AF370" s="366" t="s">
        <v>598</v>
      </c>
      <c r="AG370" s="412" t="s">
        <v>300</v>
      </c>
      <c r="AH370" s="356" t="s">
        <v>599</v>
      </c>
      <c r="AJ370" s="622"/>
      <c r="AK370" s="89"/>
      <c r="AL370" s="93"/>
    </row>
    <row r="371" spans="1:38" s="17" customFormat="1" ht="27.6" x14ac:dyDescent="0.3">
      <c r="A371" s="397"/>
      <c r="B371" s="141" t="s">
        <v>633</v>
      </c>
      <c r="C371" s="373" t="s">
        <v>546</v>
      </c>
      <c r="D371" s="62" t="s">
        <v>137</v>
      </c>
      <c r="E371" s="228"/>
      <c r="F371" s="365" t="s">
        <v>634</v>
      </c>
      <c r="G371" s="667" t="s">
        <v>173</v>
      </c>
      <c r="H371" s="664" t="s">
        <v>596</v>
      </c>
      <c r="I371" s="667" t="s">
        <v>173</v>
      </c>
      <c r="J371" s="664">
        <v>1134.0999999999999</v>
      </c>
      <c r="K371" s="667" t="s">
        <v>173</v>
      </c>
      <c r="L371" s="712">
        <v>3</v>
      </c>
      <c r="M371" s="667" t="s">
        <v>173</v>
      </c>
      <c r="N371" s="664" t="s">
        <v>629</v>
      </c>
      <c r="O371" s="667" t="s">
        <v>173</v>
      </c>
      <c r="P371" s="664" t="s">
        <v>173</v>
      </c>
      <c r="Q371" s="667" t="s">
        <v>173</v>
      </c>
      <c r="R371" s="664" t="s">
        <v>173</v>
      </c>
      <c r="S371" s="667" t="s">
        <v>173</v>
      </c>
      <c r="T371" s="666">
        <v>5</v>
      </c>
      <c r="U371" s="412" t="s">
        <v>300</v>
      </c>
      <c r="V371" s="662">
        <f t="shared" si="14"/>
        <v>2.84</v>
      </c>
      <c r="W371" s="412"/>
      <c r="X371" s="365" t="s">
        <v>630</v>
      </c>
      <c r="Y371" s="412"/>
      <c r="Z371" s="790">
        <v>170</v>
      </c>
      <c r="AA371" s="412"/>
      <c r="AB371" s="361" t="s">
        <v>366</v>
      </c>
      <c r="AC371" s="324" t="s">
        <v>173</v>
      </c>
      <c r="AD371" s="262" t="s">
        <v>173</v>
      </c>
      <c r="AE371" s="412" t="s">
        <v>300</v>
      </c>
      <c r="AF371" s="366" t="s">
        <v>598</v>
      </c>
      <c r="AG371" s="412" t="s">
        <v>300</v>
      </c>
      <c r="AH371" s="356" t="s">
        <v>599</v>
      </c>
      <c r="AJ371" s="622"/>
      <c r="AK371" s="89"/>
      <c r="AL371" s="93"/>
    </row>
    <row r="372" spans="1:38" s="17" customFormat="1" ht="27.6" x14ac:dyDescent="0.3">
      <c r="A372" s="397"/>
      <c r="B372" s="141" t="s">
        <v>635</v>
      </c>
      <c r="C372" s="373" t="s">
        <v>546</v>
      </c>
      <c r="D372" s="62" t="s">
        <v>137</v>
      </c>
      <c r="E372" s="228"/>
      <c r="F372" s="365" t="s">
        <v>636</v>
      </c>
      <c r="G372" s="667" t="s">
        <v>173</v>
      </c>
      <c r="H372" s="664" t="s">
        <v>596</v>
      </c>
      <c r="I372" s="667" t="s">
        <v>173</v>
      </c>
      <c r="J372" s="664">
        <v>1404.1</v>
      </c>
      <c r="K372" s="667" t="s">
        <v>173</v>
      </c>
      <c r="L372" s="712">
        <v>4</v>
      </c>
      <c r="M372" s="667" t="s">
        <v>173</v>
      </c>
      <c r="N372" s="664" t="s">
        <v>629</v>
      </c>
      <c r="O372" s="667" t="s">
        <v>173</v>
      </c>
      <c r="P372" s="664" t="s">
        <v>173</v>
      </c>
      <c r="Q372" s="667" t="s">
        <v>173</v>
      </c>
      <c r="R372" s="664" t="s">
        <v>173</v>
      </c>
      <c r="S372" s="667" t="s">
        <v>173</v>
      </c>
      <c r="T372" s="666">
        <v>5</v>
      </c>
      <c r="U372" s="412" t="s">
        <v>300</v>
      </c>
      <c r="V372" s="662">
        <f t="shared" si="14"/>
        <v>3.51</v>
      </c>
      <c r="W372" s="412"/>
      <c r="X372" s="365" t="s">
        <v>630</v>
      </c>
      <c r="Y372" s="412"/>
      <c r="Z372" s="790">
        <v>211</v>
      </c>
      <c r="AA372" s="412"/>
      <c r="AB372" s="361" t="s">
        <v>366</v>
      </c>
      <c r="AC372" s="324" t="s">
        <v>173</v>
      </c>
      <c r="AD372" s="262" t="s">
        <v>173</v>
      </c>
      <c r="AE372" s="412" t="s">
        <v>300</v>
      </c>
      <c r="AF372" s="366" t="s">
        <v>598</v>
      </c>
      <c r="AG372" s="412" t="s">
        <v>300</v>
      </c>
      <c r="AH372" s="356" t="s">
        <v>599</v>
      </c>
      <c r="AJ372" s="622"/>
      <c r="AK372" s="89"/>
      <c r="AL372" s="93"/>
    </row>
    <row r="373" spans="1:38" s="17" customFormat="1" ht="27.6" x14ac:dyDescent="0.3">
      <c r="A373" s="397"/>
      <c r="B373" s="141" t="s">
        <v>637</v>
      </c>
      <c r="C373" s="373" t="s">
        <v>546</v>
      </c>
      <c r="D373" s="62" t="s">
        <v>137</v>
      </c>
      <c r="E373" s="228"/>
      <c r="F373" s="365" t="s">
        <v>638</v>
      </c>
      <c r="G373" s="667" t="s">
        <v>173</v>
      </c>
      <c r="H373" s="664" t="s">
        <v>596</v>
      </c>
      <c r="I373" s="667" t="s">
        <v>173</v>
      </c>
      <c r="J373" s="664">
        <v>351</v>
      </c>
      <c r="K373" s="667" t="s">
        <v>173</v>
      </c>
      <c r="L373" s="712">
        <v>1</v>
      </c>
      <c r="M373" s="667" t="s">
        <v>173</v>
      </c>
      <c r="N373" s="664" t="s">
        <v>629</v>
      </c>
      <c r="O373" s="667" t="s">
        <v>173</v>
      </c>
      <c r="P373" s="664" t="s">
        <v>173</v>
      </c>
      <c r="Q373" s="667" t="s">
        <v>173</v>
      </c>
      <c r="R373" s="664" t="s">
        <v>173</v>
      </c>
      <c r="S373" s="667" t="s">
        <v>173</v>
      </c>
      <c r="T373" s="666">
        <v>5</v>
      </c>
      <c r="U373" s="412" t="s">
        <v>300</v>
      </c>
      <c r="V373" s="662">
        <f t="shared" si="14"/>
        <v>0.88</v>
      </c>
      <c r="W373" s="412"/>
      <c r="X373" s="365" t="s">
        <v>630</v>
      </c>
      <c r="Y373" s="412"/>
      <c r="Z373" s="790">
        <v>53</v>
      </c>
      <c r="AA373" s="412"/>
      <c r="AB373" s="361" t="s">
        <v>366</v>
      </c>
      <c r="AC373" s="324" t="s">
        <v>173</v>
      </c>
      <c r="AD373" s="262" t="s">
        <v>173</v>
      </c>
      <c r="AE373" s="412" t="s">
        <v>300</v>
      </c>
      <c r="AF373" s="366" t="s">
        <v>598</v>
      </c>
      <c r="AG373" s="412" t="s">
        <v>300</v>
      </c>
      <c r="AH373" s="356" t="s">
        <v>599</v>
      </c>
      <c r="AJ373" s="622"/>
      <c r="AK373" s="89"/>
      <c r="AL373" s="93"/>
    </row>
    <row r="374" spans="1:38" s="17" customFormat="1" ht="27.6" x14ac:dyDescent="0.3">
      <c r="A374" s="397"/>
      <c r="B374" s="141" t="s">
        <v>639</v>
      </c>
      <c r="C374" s="373" t="s">
        <v>546</v>
      </c>
      <c r="D374" s="62" t="s">
        <v>137</v>
      </c>
      <c r="E374" s="228"/>
      <c r="F374" s="365" t="s">
        <v>640</v>
      </c>
      <c r="G374" s="667" t="s">
        <v>173</v>
      </c>
      <c r="H374" s="664" t="s">
        <v>596</v>
      </c>
      <c r="I374" s="667" t="s">
        <v>173</v>
      </c>
      <c r="J374" s="664">
        <v>351</v>
      </c>
      <c r="K374" s="667" t="s">
        <v>173</v>
      </c>
      <c r="L374" s="712">
        <v>1</v>
      </c>
      <c r="M374" s="667" t="s">
        <v>173</v>
      </c>
      <c r="N374" s="664" t="s">
        <v>629</v>
      </c>
      <c r="O374" s="667" t="s">
        <v>173</v>
      </c>
      <c r="P374" s="664" t="s">
        <v>173</v>
      </c>
      <c r="Q374" s="667" t="s">
        <v>173</v>
      </c>
      <c r="R374" s="664" t="s">
        <v>173</v>
      </c>
      <c r="S374" s="667" t="s">
        <v>173</v>
      </c>
      <c r="T374" s="666">
        <v>5</v>
      </c>
      <c r="U374" s="412" t="s">
        <v>300</v>
      </c>
      <c r="V374" s="662">
        <f t="shared" si="14"/>
        <v>0.88</v>
      </c>
      <c r="W374" s="412"/>
      <c r="X374" s="365" t="s">
        <v>630</v>
      </c>
      <c r="Y374" s="412"/>
      <c r="Z374" s="790">
        <v>53</v>
      </c>
      <c r="AA374" s="412"/>
      <c r="AB374" s="361" t="s">
        <v>366</v>
      </c>
      <c r="AC374" s="324" t="s">
        <v>173</v>
      </c>
      <c r="AD374" s="262" t="s">
        <v>173</v>
      </c>
      <c r="AE374" s="412" t="s">
        <v>300</v>
      </c>
      <c r="AF374" s="366" t="s">
        <v>598</v>
      </c>
      <c r="AG374" s="412" t="s">
        <v>300</v>
      </c>
      <c r="AH374" s="356" t="s">
        <v>599</v>
      </c>
      <c r="AJ374" s="622"/>
      <c r="AK374" s="89"/>
      <c r="AL374" s="93"/>
    </row>
    <row r="375" spans="1:38" s="17" customFormat="1" ht="27.6" x14ac:dyDescent="0.3">
      <c r="A375" s="397"/>
      <c r="B375" s="141" t="s">
        <v>641</v>
      </c>
      <c r="C375" s="373" t="s">
        <v>546</v>
      </c>
      <c r="D375" s="62" t="s">
        <v>137</v>
      </c>
      <c r="E375" s="228"/>
      <c r="F375" s="365" t="s">
        <v>642</v>
      </c>
      <c r="G375" s="667" t="s">
        <v>173</v>
      </c>
      <c r="H375" s="664" t="s">
        <v>596</v>
      </c>
      <c r="I375" s="667" t="s">
        <v>173</v>
      </c>
      <c r="J375" s="664">
        <v>1404</v>
      </c>
      <c r="K375" s="667" t="s">
        <v>173</v>
      </c>
      <c r="L375" s="712">
        <v>4</v>
      </c>
      <c r="M375" s="667" t="s">
        <v>173</v>
      </c>
      <c r="N375" s="664" t="s">
        <v>629</v>
      </c>
      <c r="O375" s="667" t="s">
        <v>173</v>
      </c>
      <c r="P375" s="664" t="s">
        <v>173</v>
      </c>
      <c r="Q375" s="667" t="s">
        <v>173</v>
      </c>
      <c r="R375" s="664" t="s">
        <v>173</v>
      </c>
      <c r="S375" s="667" t="s">
        <v>173</v>
      </c>
      <c r="T375" s="666">
        <v>5</v>
      </c>
      <c r="U375" s="412" t="s">
        <v>300</v>
      </c>
      <c r="V375" s="662">
        <f t="shared" si="14"/>
        <v>3.51</v>
      </c>
      <c r="W375" s="412"/>
      <c r="X375" s="365" t="s">
        <v>630</v>
      </c>
      <c r="Y375" s="412"/>
      <c r="Z375" s="790">
        <v>211</v>
      </c>
      <c r="AA375" s="412"/>
      <c r="AB375" s="361" t="s">
        <v>366</v>
      </c>
      <c r="AC375" s="324" t="s">
        <v>173</v>
      </c>
      <c r="AD375" s="262" t="s">
        <v>173</v>
      </c>
      <c r="AE375" s="412" t="s">
        <v>300</v>
      </c>
      <c r="AF375" s="366" t="s">
        <v>598</v>
      </c>
      <c r="AG375" s="412" t="s">
        <v>300</v>
      </c>
      <c r="AH375" s="356" t="s">
        <v>599</v>
      </c>
      <c r="AJ375" s="622"/>
      <c r="AK375" s="89"/>
      <c r="AL375" s="93"/>
    </row>
    <row r="376" spans="1:38" s="17" customFormat="1" ht="27.6" x14ac:dyDescent="0.3">
      <c r="A376" s="397"/>
      <c r="B376" s="141" t="s">
        <v>643</v>
      </c>
      <c r="C376" s="373" t="s">
        <v>546</v>
      </c>
      <c r="D376" s="62" t="s">
        <v>137</v>
      </c>
      <c r="E376" s="228"/>
      <c r="F376" s="365" t="s">
        <v>644</v>
      </c>
      <c r="G376" s="667" t="s">
        <v>173</v>
      </c>
      <c r="H376" s="664" t="s">
        <v>596</v>
      </c>
      <c r="I376" s="667" t="s">
        <v>173</v>
      </c>
      <c r="J376" s="664">
        <v>351</v>
      </c>
      <c r="K376" s="667" t="s">
        <v>173</v>
      </c>
      <c r="L376" s="712">
        <v>1</v>
      </c>
      <c r="M376" s="667" t="s">
        <v>173</v>
      </c>
      <c r="N376" s="664" t="s">
        <v>629</v>
      </c>
      <c r="O376" s="667" t="s">
        <v>173</v>
      </c>
      <c r="P376" s="664" t="s">
        <v>173</v>
      </c>
      <c r="Q376" s="667" t="s">
        <v>173</v>
      </c>
      <c r="R376" s="664" t="s">
        <v>173</v>
      </c>
      <c r="S376" s="667" t="s">
        <v>173</v>
      </c>
      <c r="T376" s="666">
        <v>5</v>
      </c>
      <c r="U376" s="412" t="s">
        <v>300</v>
      </c>
      <c r="V376" s="662">
        <f t="shared" si="14"/>
        <v>0.88</v>
      </c>
      <c r="W376" s="412"/>
      <c r="X376" s="365" t="s">
        <v>630</v>
      </c>
      <c r="Y376" s="412"/>
      <c r="Z376" s="790">
        <v>53</v>
      </c>
      <c r="AA376" s="412"/>
      <c r="AB376" s="361" t="s">
        <v>366</v>
      </c>
      <c r="AC376" s="324" t="s">
        <v>173</v>
      </c>
      <c r="AD376" s="262" t="s">
        <v>173</v>
      </c>
      <c r="AE376" s="412" t="s">
        <v>300</v>
      </c>
      <c r="AF376" s="366" t="s">
        <v>598</v>
      </c>
      <c r="AG376" s="412" t="s">
        <v>300</v>
      </c>
      <c r="AH376" s="356" t="s">
        <v>599</v>
      </c>
      <c r="AJ376" s="622"/>
      <c r="AK376" s="89"/>
      <c r="AL376" s="93"/>
    </row>
    <row r="377" spans="1:38" s="17" customFormat="1" ht="27.6" x14ac:dyDescent="0.3">
      <c r="A377" s="397"/>
      <c r="B377" s="141" t="s">
        <v>645</v>
      </c>
      <c r="C377" s="373" t="s">
        <v>546</v>
      </c>
      <c r="D377" s="62" t="s">
        <v>137</v>
      </c>
      <c r="E377" s="228"/>
      <c r="F377" s="365" t="s">
        <v>646</v>
      </c>
      <c r="G377" s="667" t="s">
        <v>173</v>
      </c>
      <c r="H377" s="664" t="s">
        <v>596</v>
      </c>
      <c r="I377" s="667" t="s">
        <v>173</v>
      </c>
      <c r="J377" s="664">
        <v>1404</v>
      </c>
      <c r="K377" s="667" t="s">
        <v>173</v>
      </c>
      <c r="L377" s="712">
        <v>4</v>
      </c>
      <c r="M377" s="667" t="s">
        <v>173</v>
      </c>
      <c r="N377" s="664" t="s">
        <v>629</v>
      </c>
      <c r="O377" s="667" t="s">
        <v>173</v>
      </c>
      <c r="P377" s="664" t="s">
        <v>173</v>
      </c>
      <c r="Q377" s="667" t="s">
        <v>173</v>
      </c>
      <c r="R377" s="664" t="s">
        <v>173</v>
      </c>
      <c r="S377" s="667" t="s">
        <v>173</v>
      </c>
      <c r="T377" s="666">
        <v>5</v>
      </c>
      <c r="U377" s="412" t="s">
        <v>300</v>
      </c>
      <c r="V377" s="662">
        <f t="shared" si="14"/>
        <v>3.51</v>
      </c>
      <c r="W377" s="412"/>
      <c r="X377" s="365" t="s">
        <v>630</v>
      </c>
      <c r="Y377" s="412"/>
      <c r="Z377" s="790">
        <v>211</v>
      </c>
      <c r="AA377" s="412"/>
      <c r="AB377" s="361" t="s">
        <v>366</v>
      </c>
      <c r="AC377" s="324" t="s">
        <v>173</v>
      </c>
      <c r="AD377" s="262" t="s">
        <v>173</v>
      </c>
      <c r="AE377" s="412" t="s">
        <v>300</v>
      </c>
      <c r="AF377" s="366" t="s">
        <v>598</v>
      </c>
      <c r="AG377" s="412" t="s">
        <v>300</v>
      </c>
      <c r="AH377" s="356" t="s">
        <v>599</v>
      </c>
      <c r="AJ377" s="622"/>
      <c r="AK377" s="89"/>
      <c r="AL377" s="93"/>
    </row>
    <row r="378" spans="1:38" s="17" customFormat="1" ht="27.6" x14ac:dyDescent="0.3">
      <c r="A378" s="397"/>
      <c r="B378" s="141" t="s">
        <v>647</v>
      </c>
      <c r="C378" s="373" t="s">
        <v>546</v>
      </c>
      <c r="D378" s="62" t="s">
        <v>137</v>
      </c>
      <c r="E378" s="228"/>
      <c r="F378" s="365" t="s">
        <v>648</v>
      </c>
      <c r="G378" s="667" t="s">
        <v>173</v>
      </c>
      <c r="H378" s="664" t="s">
        <v>596</v>
      </c>
      <c r="I378" s="667" t="s">
        <v>173</v>
      </c>
      <c r="J378" s="664">
        <v>351</v>
      </c>
      <c r="K378" s="667" t="s">
        <v>173</v>
      </c>
      <c r="L378" s="712">
        <v>1</v>
      </c>
      <c r="M378" s="667" t="s">
        <v>173</v>
      </c>
      <c r="N378" s="664" t="s">
        <v>629</v>
      </c>
      <c r="O378" s="667" t="s">
        <v>173</v>
      </c>
      <c r="P378" s="665" t="s">
        <v>173</v>
      </c>
      <c r="Q378" s="667" t="s">
        <v>173</v>
      </c>
      <c r="R378" s="665" t="s">
        <v>173</v>
      </c>
      <c r="S378" s="671" t="s">
        <v>173</v>
      </c>
      <c r="T378" s="666">
        <v>5</v>
      </c>
      <c r="U378" s="412" t="s">
        <v>300</v>
      </c>
      <c r="V378" s="662">
        <f t="shared" si="14"/>
        <v>0.88</v>
      </c>
      <c r="W378" s="412"/>
      <c r="X378" s="365" t="s">
        <v>630</v>
      </c>
      <c r="Y378" s="412"/>
      <c r="Z378" s="790">
        <v>53</v>
      </c>
      <c r="AA378" s="412"/>
      <c r="AB378" s="361" t="s">
        <v>366</v>
      </c>
      <c r="AC378" s="324" t="s">
        <v>173</v>
      </c>
      <c r="AD378" s="262" t="s">
        <v>173</v>
      </c>
      <c r="AE378" s="412" t="s">
        <v>300</v>
      </c>
      <c r="AF378" s="366" t="s">
        <v>598</v>
      </c>
      <c r="AG378" s="412" t="s">
        <v>300</v>
      </c>
      <c r="AH378" s="356" t="s">
        <v>599</v>
      </c>
      <c r="AJ378" s="622"/>
      <c r="AK378" s="89"/>
      <c r="AL378" s="93"/>
    </row>
    <row r="379" spans="1:38" s="17" customFormat="1" ht="27.6" x14ac:dyDescent="0.3">
      <c r="A379" s="397"/>
      <c r="B379" s="141" t="s">
        <v>649</v>
      </c>
      <c r="C379" s="373" t="s">
        <v>546</v>
      </c>
      <c r="D379" s="62" t="s">
        <v>137</v>
      </c>
      <c r="E379" s="228"/>
      <c r="F379" s="365" t="s">
        <v>650</v>
      </c>
      <c r="G379" s="667" t="s">
        <v>173</v>
      </c>
      <c r="H379" s="664" t="s">
        <v>1688</v>
      </c>
      <c r="I379" s="667" t="s">
        <v>173</v>
      </c>
      <c r="J379" s="664">
        <v>351</v>
      </c>
      <c r="K379" s="667" t="s">
        <v>173</v>
      </c>
      <c r="L379" s="712">
        <v>1</v>
      </c>
      <c r="M379" s="667" t="s">
        <v>173</v>
      </c>
      <c r="N379" s="664" t="s">
        <v>1700</v>
      </c>
      <c r="O379" s="667" t="s">
        <v>173</v>
      </c>
      <c r="P379" s="665" t="s">
        <v>173</v>
      </c>
      <c r="Q379" s="667" t="s">
        <v>173</v>
      </c>
      <c r="R379" s="665" t="s">
        <v>173</v>
      </c>
      <c r="S379" s="324" t="s">
        <v>173</v>
      </c>
      <c r="T379" s="262" t="s">
        <v>173</v>
      </c>
      <c r="U379" s="412" t="s">
        <v>300</v>
      </c>
      <c r="V379" s="662">
        <v>1</v>
      </c>
      <c r="W379" s="412"/>
      <c r="X379" s="365" t="s">
        <v>630</v>
      </c>
      <c r="Y379" s="412"/>
      <c r="Z379" s="790">
        <v>33</v>
      </c>
      <c r="AA379" s="412"/>
      <c r="AB379" s="361" t="s">
        <v>366</v>
      </c>
      <c r="AC379" s="324" t="s">
        <v>173</v>
      </c>
      <c r="AD379" s="262" t="s">
        <v>173</v>
      </c>
      <c r="AE379" s="412" t="s">
        <v>300</v>
      </c>
      <c r="AF379" s="366" t="s">
        <v>598</v>
      </c>
      <c r="AG379" s="412" t="s">
        <v>300</v>
      </c>
      <c r="AH379" s="356" t="s">
        <v>599</v>
      </c>
      <c r="AJ379" s="622"/>
      <c r="AK379" s="89"/>
      <c r="AL379" s="93"/>
    </row>
    <row r="380" spans="1:38" s="17" customFormat="1" ht="27.6" x14ac:dyDescent="0.3">
      <c r="A380" s="397"/>
      <c r="B380" s="141" t="s">
        <v>651</v>
      </c>
      <c r="C380" s="373" t="s">
        <v>546</v>
      </c>
      <c r="D380" s="62" t="s">
        <v>137</v>
      </c>
      <c r="E380" s="228"/>
      <c r="F380" s="365" t="s">
        <v>652</v>
      </c>
      <c r="G380" s="667" t="s">
        <v>173</v>
      </c>
      <c r="H380" s="664" t="s">
        <v>1688</v>
      </c>
      <c r="I380" s="667" t="s">
        <v>173</v>
      </c>
      <c r="J380" s="664">
        <v>1404.1</v>
      </c>
      <c r="K380" s="667" t="s">
        <v>173</v>
      </c>
      <c r="L380" s="712">
        <v>4</v>
      </c>
      <c r="M380" s="667" t="s">
        <v>173</v>
      </c>
      <c r="N380" s="664" t="s">
        <v>1700</v>
      </c>
      <c r="O380" s="667" t="s">
        <v>173</v>
      </c>
      <c r="P380" s="665" t="s">
        <v>173</v>
      </c>
      <c r="Q380" s="667" t="s">
        <v>173</v>
      </c>
      <c r="R380" s="665" t="s">
        <v>173</v>
      </c>
      <c r="S380" s="324" t="s">
        <v>173</v>
      </c>
      <c r="T380" s="262" t="s">
        <v>173</v>
      </c>
      <c r="U380" s="412" t="s">
        <v>300</v>
      </c>
      <c r="V380" s="662">
        <f t="shared" ref="V380:V387" si="15">3*L380</f>
        <v>12</v>
      </c>
      <c r="W380" s="412"/>
      <c r="X380" s="365" t="s">
        <v>630</v>
      </c>
      <c r="Y380" s="412"/>
      <c r="Z380" s="790">
        <v>132</v>
      </c>
      <c r="AA380" s="412"/>
      <c r="AB380" s="361" t="s">
        <v>366</v>
      </c>
      <c r="AC380" s="324" t="s">
        <v>173</v>
      </c>
      <c r="AD380" s="262" t="s">
        <v>173</v>
      </c>
      <c r="AE380" s="412" t="s">
        <v>300</v>
      </c>
      <c r="AF380" s="366" t="s">
        <v>598</v>
      </c>
      <c r="AG380" s="412" t="s">
        <v>300</v>
      </c>
      <c r="AH380" s="356" t="s">
        <v>599</v>
      </c>
      <c r="AJ380" s="622"/>
      <c r="AK380" s="89"/>
      <c r="AL380" s="93"/>
    </row>
    <row r="381" spans="1:38" s="17" customFormat="1" ht="27.6" x14ac:dyDescent="0.3">
      <c r="A381" s="397"/>
      <c r="B381" s="141" t="s">
        <v>653</v>
      </c>
      <c r="C381" s="373" t="s">
        <v>546</v>
      </c>
      <c r="D381" s="62" t="s">
        <v>137</v>
      </c>
      <c r="E381" s="228"/>
      <c r="F381" s="365" t="s">
        <v>654</v>
      </c>
      <c r="G381" s="667" t="s">
        <v>173</v>
      </c>
      <c r="H381" s="664" t="s">
        <v>1688</v>
      </c>
      <c r="I381" s="667" t="s">
        <v>173</v>
      </c>
      <c r="J381" s="664">
        <v>1134.0999999999999</v>
      </c>
      <c r="K381" s="667" t="s">
        <v>173</v>
      </c>
      <c r="L381" s="712">
        <v>3</v>
      </c>
      <c r="M381" s="667" t="s">
        <v>173</v>
      </c>
      <c r="N381" s="664" t="s">
        <v>1700</v>
      </c>
      <c r="O381" s="667" t="s">
        <v>173</v>
      </c>
      <c r="P381" s="665" t="s">
        <v>173</v>
      </c>
      <c r="Q381" s="667" t="s">
        <v>173</v>
      </c>
      <c r="R381" s="665" t="s">
        <v>173</v>
      </c>
      <c r="S381" s="324" t="s">
        <v>173</v>
      </c>
      <c r="T381" s="262" t="s">
        <v>173</v>
      </c>
      <c r="U381" s="412" t="s">
        <v>300</v>
      </c>
      <c r="V381" s="662">
        <f t="shared" si="15"/>
        <v>9</v>
      </c>
      <c r="W381" s="412"/>
      <c r="X381" s="365" t="s">
        <v>630</v>
      </c>
      <c r="Y381" s="412"/>
      <c r="Z381" s="790">
        <v>102</v>
      </c>
      <c r="AA381" s="412"/>
      <c r="AB381" s="361" t="s">
        <v>366</v>
      </c>
      <c r="AC381" s="324" t="s">
        <v>173</v>
      </c>
      <c r="AD381" s="262" t="s">
        <v>173</v>
      </c>
      <c r="AE381" s="412" t="s">
        <v>300</v>
      </c>
      <c r="AF381" s="366" t="s">
        <v>598</v>
      </c>
      <c r="AG381" s="412" t="s">
        <v>300</v>
      </c>
      <c r="AH381" s="356" t="s">
        <v>599</v>
      </c>
      <c r="AJ381" s="622"/>
      <c r="AK381" s="89"/>
      <c r="AL381" s="93"/>
    </row>
    <row r="382" spans="1:38" s="17" customFormat="1" ht="27.6" x14ac:dyDescent="0.3">
      <c r="A382" s="397"/>
      <c r="B382" s="141" t="s">
        <v>655</v>
      </c>
      <c r="C382" s="373" t="s">
        <v>546</v>
      </c>
      <c r="D382" s="62" t="s">
        <v>137</v>
      </c>
      <c r="E382" s="228"/>
      <c r="F382" s="365" t="s">
        <v>656</v>
      </c>
      <c r="G382" s="667" t="s">
        <v>173</v>
      </c>
      <c r="H382" s="664" t="s">
        <v>1688</v>
      </c>
      <c r="I382" s="667" t="s">
        <v>173</v>
      </c>
      <c r="J382" s="664">
        <v>1404.1</v>
      </c>
      <c r="K382" s="667" t="s">
        <v>173</v>
      </c>
      <c r="L382" s="712">
        <v>4</v>
      </c>
      <c r="M382" s="667" t="s">
        <v>173</v>
      </c>
      <c r="N382" s="664" t="s">
        <v>1700</v>
      </c>
      <c r="O382" s="667" t="s">
        <v>173</v>
      </c>
      <c r="P382" s="665" t="s">
        <v>173</v>
      </c>
      <c r="Q382" s="667" t="s">
        <v>173</v>
      </c>
      <c r="R382" s="665" t="s">
        <v>173</v>
      </c>
      <c r="S382" s="324" t="s">
        <v>173</v>
      </c>
      <c r="T382" s="262" t="s">
        <v>173</v>
      </c>
      <c r="U382" s="412" t="s">
        <v>300</v>
      </c>
      <c r="V382" s="662">
        <f t="shared" si="15"/>
        <v>12</v>
      </c>
      <c r="W382" s="412"/>
      <c r="X382" s="365" t="s">
        <v>630</v>
      </c>
      <c r="Y382" s="412"/>
      <c r="Z382" s="790">
        <v>132</v>
      </c>
      <c r="AA382" s="412"/>
      <c r="AB382" s="361" t="s">
        <v>366</v>
      </c>
      <c r="AC382" s="324" t="s">
        <v>173</v>
      </c>
      <c r="AD382" s="262" t="s">
        <v>173</v>
      </c>
      <c r="AE382" s="412" t="s">
        <v>300</v>
      </c>
      <c r="AF382" s="366" t="s">
        <v>598</v>
      </c>
      <c r="AG382" s="412" t="s">
        <v>300</v>
      </c>
      <c r="AH382" s="356" t="s">
        <v>599</v>
      </c>
      <c r="AJ382" s="622"/>
      <c r="AK382" s="89"/>
      <c r="AL382" s="93"/>
    </row>
    <row r="383" spans="1:38" s="17" customFormat="1" ht="27.6" x14ac:dyDescent="0.3">
      <c r="A383" s="397"/>
      <c r="B383" s="141" t="s">
        <v>657</v>
      </c>
      <c r="C383" s="373" t="s">
        <v>546</v>
      </c>
      <c r="D383" s="62" t="s">
        <v>137</v>
      </c>
      <c r="E383" s="228"/>
      <c r="F383" s="365" t="s">
        <v>658</v>
      </c>
      <c r="G383" s="667" t="s">
        <v>173</v>
      </c>
      <c r="H383" s="664" t="s">
        <v>1688</v>
      </c>
      <c r="I383" s="667" t="s">
        <v>173</v>
      </c>
      <c r="J383" s="664">
        <v>351</v>
      </c>
      <c r="K383" s="667" t="s">
        <v>173</v>
      </c>
      <c r="L383" s="712">
        <v>1</v>
      </c>
      <c r="M383" s="667" t="s">
        <v>173</v>
      </c>
      <c r="N383" s="664" t="s">
        <v>1700</v>
      </c>
      <c r="O383" s="667" t="s">
        <v>173</v>
      </c>
      <c r="P383" s="665" t="s">
        <v>173</v>
      </c>
      <c r="Q383" s="667" t="s">
        <v>173</v>
      </c>
      <c r="R383" s="665" t="s">
        <v>173</v>
      </c>
      <c r="S383" s="324" t="s">
        <v>173</v>
      </c>
      <c r="T383" s="262" t="s">
        <v>173</v>
      </c>
      <c r="U383" s="412" t="s">
        <v>300</v>
      </c>
      <c r="V383" s="662">
        <f t="shared" si="15"/>
        <v>3</v>
      </c>
      <c r="W383" s="412"/>
      <c r="X383" s="365" t="s">
        <v>630</v>
      </c>
      <c r="Y383" s="412"/>
      <c r="Z383" s="790">
        <v>33</v>
      </c>
      <c r="AA383" s="412"/>
      <c r="AB383" s="361" t="s">
        <v>366</v>
      </c>
      <c r="AC383" s="324" t="s">
        <v>173</v>
      </c>
      <c r="AD383" s="262" t="s">
        <v>173</v>
      </c>
      <c r="AE383" s="412" t="s">
        <v>300</v>
      </c>
      <c r="AF383" s="366" t="s">
        <v>598</v>
      </c>
      <c r="AG383" s="412" t="s">
        <v>300</v>
      </c>
      <c r="AH383" s="356" t="s">
        <v>599</v>
      </c>
      <c r="AJ383" s="622"/>
      <c r="AK383" s="89"/>
      <c r="AL383" s="93"/>
    </row>
    <row r="384" spans="1:38" s="17" customFormat="1" ht="27.6" x14ac:dyDescent="0.3">
      <c r="A384" s="397"/>
      <c r="B384" s="141" t="s">
        <v>659</v>
      </c>
      <c r="C384" s="373" t="s">
        <v>546</v>
      </c>
      <c r="D384" s="62" t="s">
        <v>137</v>
      </c>
      <c r="E384" s="228"/>
      <c r="F384" s="365" t="s">
        <v>660</v>
      </c>
      <c r="G384" s="667" t="s">
        <v>173</v>
      </c>
      <c r="H384" s="664" t="s">
        <v>1688</v>
      </c>
      <c r="I384" s="667" t="s">
        <v>173</v>
      </c>
      <c r="J384" s="664">
        <v>351</v>
      </c>
      <c r="K384" s="667" t="s">
        <v>173</v>
      </c>
      <c r="L384" s="712">
        <v>1</v>
      </c>
      <c r="M384" s="667" t="s">
        <v>173</v>
      </c>
      <c r="N384" s="664" t="s">
        <v>1700</v>
      </c>
      <c r="O384" s="667" t="s">
        <v>173</v>
      </c>
      <c r="P384" s="665" t="s">
        <v>173</v>
      </c>
      <c r="Q384" s="667" t="s">
        <v>173</v>
      </c>
      <c r="R384" s="665" t="s">
        <v>173</v>
      </c>
      <c r="S384" s="324" t="s">
        <v>173</v>
      </c>
      <c r="T384" s="262" t="s">
        <v>173</v>
      </c>
      <c r="U384" s="412" t="s">
        <v>300</v>
      </c>
      <c r="V384" s="662">
        <f t="shared" si="15"/>
        <v>3</v>
      </c>
      <c r="W384" s="412"/>
      <c r="X384" s="365" t="s">
        <v>630</v>
      </c>
      <c r="Y384" s="412"/>
      <c r="Z384" s="790">
        <v>33</v>
      </c>
      <c r="AA384" s="412"/>
      <c r="AB384" s="361" t="s">
        <v>366</v>
      </c>
      <c r="AC384" s="324" t="s">
        <v>173</v>
      </c>
      <c r="AD384" s="262" t="s">
        <v>173</v>
      </c>
      <c r="AE384" s="412" t="s">
        <v>300</v>
      </c>
      <c r="AF384" s="366" t="s">
        <v>598</v>
      </c>
      <c r="AG384" s="412" t="s">
        <v>300</v>
      </c>
      <c r="AH384" s="356" t="s">
        <v>599</v>
      </c>
      <c r="AJ384" s="622"/>
      <c r="AK384" s="89"/>
      <c r="AL384" s="93"/>
    </row>
    <row r="385" spans="1:38" s="17" customFormat="1" ht="27.6" x14ac:dyDescent="0.3">
      <c r="A385" s="397"/>
      <c r="B385" s="141" t="s">
        <v>661</v>
      </c>
      <c r="C385" s="373" t="s">
        <v>546</v>
      </c>
      <c r="D385" s="62" t="s">
        <v>137</v>
      </c>
      <c r="E385" s="228"/>
      <c r="F385" s="365" t="s">
        <v>662</v>
      </c>
      <c r="G385" s="667" t="s">
        <v>173</v>
      </c>
      <c r="H385" s="664" t="s">
        <v>1688</v>
      </c>
      <c r="I385" s="667" t="s">
        <v>173</v>
      </c>
      <c r="J385" s="664">
        <v>1404</v>
      </c>
      <c r="K385" s="667" t="s">
        <v>173</v>
      </c>
      <c r="L385" s="712">
        <v>4</v>
      </c>
      <c r="M385" s="667" t="s">
        <v>173</v>
      </c>
      <c r="N385" s="664" t="s">
        <v>1700</v>
      </c>
      <c r="O385" s="667" t="s">
        <v>173</v>
      </c>
      <c r="P385" s="665" t="s">
        <v>173</v>
      </c>
      <c r="Q385" s="667" t="s">
        <v>173</v>
      </c>
      <c r="R385" s="665" t="s">
        <v>173</v>
      </c>
      <c r="S385" s="324" t="s">
        <v>173</v>
      </c>
      <c r="T385" s="262" t="s">
        <v>173</v>
      </c>
      <c r="U385" s="412" t="s">
        <v>300</v>
      </c>
      <c r="V385" s="662">
        <f t="shared" si="15"/>
        <v>12</v>
      </c>
      <c r="W385" s="412"/>
      <c r="X385" s="365" t="s">
        <v>630</v>
      </c>
      <c r="Y385" s="412"/>
      <c r="Z385" s="790">
        <v>132</v>
      </c>
      <c r="AA385" s="412"/>
      <c r="AB385" s="361" t="s">
        <v>366</v>
      </c>
      <c r="AC385" s="324" t="s">
        <v>173</v>
      </c>
      <c r="AD385" s="262" t="s">
        <v>173</v>
      </c>
      <c r="AE385" s="412" t="s">
        <v>300</v>
      </c>
      <c r="AF385" s="366" t="s">
        <v>598</v>
      </c>
      <c r="AG385" s="412" t="s">
        <v>300</v>
      </c>
      <c r="AH385" s="356" t="s">
        <v>599</v>
      </c>
      <c r="AJ385" s="622"/>
      <c r="AK385" s="89"/>
      <c r="AL385" s="93"/>
    </row>
    <row r="386" spans="1:38" s="17" customFormat="1" ht="27.6" x14ac:dyDescent="0.3">
      <c r="A386" s="397"/>
      <c r="B386" s="141" t="s">
        <v>663</v>
      </c>
      <c r="C386" s="373" t="s">
        <v>546</v>
      </c>
      <c r="D386" s="62" t="s">
        <v>137</v>
      </c>
      <c r="E386" s="228"/>
      <c r="F386" s="365" t="s">
        <v>664</v>
      </c>
      <c r="G386" s="667" t="s">
        <v>173</v>
      </c>
      <c r="H386" s="664" t="s">
        <v>1688</v>
      </c>
      <c r="I386" s="667" t="s">
        <v>173</v>
      </c>
      <c r="J386" s="664">
        <v>351</v>
      </c>
      <c r="K386" s="667" t="s">
        <v>173</v>
      </c>
      <c r="L386" s="712">
        <v>1</v>
      </c>
      <c r="M386" s="667" t="s">
        <v>173</v>
      </c>
      <c r="N386" s="664" t="s">
        <v>1700</v>
      </c>
      <c r="O386" s="667" t="s">
        <v>173</v>
      </c>
      <c r="P386" s="665" t="s">
        <v>173</v>
      </c>
      <c r="Q386" s="667" t="s">
        <v>173</v>
      </c>
      <c r="R386" s="665" t="s">
        <v>173</v>
      </c>
      <c r="S386" s="324" t="s">
        <v>173</v>
      </c>
      <c r="T386" s="262" t="s">
        <v>173</v>
      </c>
      <c r="U386" s="412" t="s">
        <v>300</v>
      </c>
      <c r="V386" s="662">
        <f t="shared" si="15"/>
        <v>3</v>
      </c>
      <c r="W386" s="412"/>
      <c r="X386" s="365" t="s">
        <v>630</v>
      </c>
      <c r="Y386" s="412"/>
      <c r="Z386" s="790">
        <v>33</v>
      </c>
      <c r="AA386" s="412"/>
      <c r="AB386" s="361" t="s">
        <v>366</v>
      </c>
      <c r="AC386" s="324" t="s">
        <v>173</v>
      </c>
      <c r="AD386" s="262" t="s">
        <v>173</v>
      </c>
      <c r="AE386" s="412" t="s">
        <v>300</v>
      </c>
      <c r="AF386" s="366" t="s">
        <v>598</v>
      </c>
      <c r="AG386" s="412" t="s">
        <v>300</v>
      </c>
      <c r="AH386" s="356" t="s">
        <v>599</v>
      </c>
      <c r="AJ386" s="622"/>
      <c r="AK386" s="89"/>
      <c r="AL386" s="93"/>
    </row>
    <row r="387" spans="1:38" s="17" customFormat="1" ht="27.6" x14ac:dyDescent="0.3">
      <c r="A387" s="397"/>
      <c r="B387" s="141" t="s">
        <v>665</v>
      </c>
      <c r="C387" s="373" t="s">
        <v>546</v>
      </c>
      <c r="D387" s="62" t="s">
        <v>137</v>
      </c>
      <c r="E387" s="228"/>
      <c r="F387" s="365" t="s">
        <v>666</v>
      </c>
      <c r="G387" s="667" t="s">
        <v>173</v>
      </c>
      <c r="H387" s="664" t="s">
        <v>1688</v>
      </c>
      <c r="I387" s="667" t="s">
        <v>173</v>
      </c>
      <c r="J387" s="664">
        <v>1404</v>
      </c>
      <c r="K387" s="667" t="s">
        <v>173</v>
      </c>
      <c r="L387" s="712">
        <v>4</v>
      </c>
      <c r="M387" s="667" t="s">
        <v>173</v>
      </c>
      <c r="N387" s="664" t="s">
        <v>1700</v>
      </c>
      <c r="O387" s="667" t="s">
        <v>173</v>
      </c>
      <c r="P387" s="665" t="s">
        <v>173</v>
      </c>
      <c r="Q387" s="667" t="s">
        <v>173</v>
      </c>
      <c r="R387" s="665" t="s">
        <v>173</v>
      </c>
      <c r="S387" s="324" t="s">
        <v>173</v>
      </c>
      <c r="T387" s="262" t="s">
        <v>173</v>
      </c>
      <c r="U387" s="412" t="s">
        <v>300</v>
      </c>
      <c r="V387" s="662">
        <f t="shared" si="15"/>
        <v>12</v>
      </c>
      <c r="W387" s="412"/>
      <c r="X387" s="365" t="s">
        <v>630</v>
      </c>
      <c r="Y387" s="412"/>
      <c r="Z387" s="790">
        <v>132</v>
      </c>
      <c r="AA387" s="412"/>
      <c r="AB387" s="361" t="s">
        <v>366</v>
      </c>
      <c r="AC387" s="324" t="s">
        <v>173</v>
      </c>
      <c r="AD387" s="262" t="s">
        <v>173</v>
      </c>
      <c r="AE387" s="412" t="s">
        <v>300</v>
      </c>
      <c r="AF387" s="366" t="s">
        <v>598</v>
      </c>
      <c r="AG387" s="412" t="s">
        <v>300</v>
      </c>
      <c r="AH387" s="356" t="s">
        <v>599</v>
      </c>
      <c r="AJ387" s="622"/>
      <c r="AK387" s="89"/>
      <c r="AL387" s="93"/>
    </row>
    <row r="388" spans="1:38" s="17" customFormat="1" ht="27.6" x14ac:dyDescent="0.3">
      <c r="A388" s="397"/>
      <c r="B388" s="309" t="s">
        <v>667</v>
      </c>
      <c r="C388" s="165" t="s">
        <v>546</v>
      </c>
      <c r="D388" s="452" t="s">
        <v>137</v>
      </c>
      <c r="E388" s="229"/>
      <c r="F388" s="232" t="s">
        <v>668</v>
      </c>
      <c r="G388" s="668" t="s">
        <v>173</v>
      </c>
      <c r="H388" s="669" t="s">
        <v>1688</v>
      </c>
      <c r="I388" s="668" t="s">
        <v>173</v>
      </c>
      <c r="J388" s="669">
        <v>351</v>
      </c>
      <c r="K388" s="668" t="s">
        <v>173</v>
      </c>
      <c r="L388" s="713">
        <v>1</v>
      </c>
      <c r="M388" s="668" t="s">
        <v>173</v>
      </c>
      <c r="N388" s="670" t="s">
        <v>1700</v>
      </c>
      <c r="O388" s="668" t="s">
        <v>173</v>
      </c>
      <c r="P388" s="670" t="s">
        <v>173</v>
      </c>
      <c r="Q388" s="668" t="s">
        <v>173</v>
      </c>
      <c r="R388" s="670" t="s">
        <v>173</v>
      </c>
      <c r="S388" s="325" t="s">
        <v>173</v>
      </c>
      <c r="T388" s="265" t="s">
        <v>173</v>
      </c>
      <c r="U388" s="410" t="s">
        <v>300</v>
      </c>
      <c r="V388" s="736">
        <f>3*L388</f>
        <v>3</v>
      </c>
      <c r="W388" s="410"/>
      <c r="X388" s="232" t="s">
        <v>630</v>
      </c>
      <c r="Y388" s="410"/>
      <c r="Z388" s="918">
        <v>33</v>
      </c>
      <c r="AA388" s="410"/>
      <c r="AB388" s="396" t="s">
        <v>366</v>
      </c>
      <c r="AC388" s="325" t="s">
        <v>173</v>
      </c>
      <c r="AD388" s="265" t="s">
        <v>173</v>
      </c>
      <c r="AE388" s="410" t="s">
        <v>300</v>
      </c>
      <c r="AF388" s="167" t="s">
        <v>598</v>
      </c>
      <c r="AG388" s="410" t="s">
        <v>300</v>
      </c>
      <c r="AH388" s="601" t="s">
        <v>599</v>
      </c>
      <c r="AJ388" s="622"/>
      <c r="AK388" s="89"/>
      <c r="AL388" s="93"/>
    </row>
    <row r="389" spans="1:38" x14ac:dyDescent="0.3">
      <c r="A389" s="982"/>
      <c r="B389" s="982"/>
      <c r="C389" s="982"/>
      <c r="D389" s="982"/>
      <c r="E389" s="357"/>
      <c r="F389" s="982"/>
      <c r="G389" s="357"/>
      <c r="H389" s="982"/>
      <c r="I389" s="357"/>
      <c r="J389" s="982"/>
      <c r="K389" s="982"/>
      <c r="L389" s="982"/>
      <c r="M389" s="357"/>
      <c r="N389" s="982"/>
      <c r="O389" s="127"/>
      <c r="P389" s="118"/>
      <c r="Q389" s="89"/>
      <c r="R389" s="89"/>
      <c r="S389" s="89"/>
      <c r="T389" s="89"/>
      <c r="U389" s="89"/>
      <c r="V389" s="89"/>
      <c r="X389" s="364"/>
      <c r="Y389" s="982"/>
      <c r="Z389" s="982"/>
      <c r="AA389" s="982"/>
      <c r="AB389" s="982"/>
      <c r="AC389" s="982"/>
      <c r="AD389" s="982"/>
      <c r="AE389" s="982"/>
      <c r="AF389" s="982"/>
      <c r="AG389" s="982"/>
      <c r="AH389" s="982"/>
      <c r="AI389" s="982"/>
      <c r="AJ389" s="982"/>
      <c r="AK389" s="982"/>
      <c r="AL389" s="982"/>
    </row>
    <row r="390" spans="1:38" x14ac:dyDescent="0.3">
      <c r="A390" s="982"/>
      <c r="B390" s="982"/>
      <c r="C390" s="982"/>
      <c r="D390" s="982"/>
      <c r="E390" s="357"/>
      <c r="F390" s="982"/>
      <c r="G390" s="357"/>
      <c r="H390" s="982"/>
      <c r="I390" s="357"/>
      <c r="J390" s="982"/>
      <c r="K390" s="982"/>
      <c r="L390" s="982"/>
      <c r="M390" s="357"/>
      <c r="N390" s="982"/>
      <c r="O390" s="127"/>
      <c r="P390" s="118"/>
      <c r="Q390" s="89"/>
      <c r="R390" s="89"/>
      <c r="S390" s="89"/>
      <c r="T390" s="89"/>
      <c r="U390" s="89"/>
      <c r="V390" s="89"/>
      <c r="X390" s="364"/>
      <c r="Y390" s="982"/>
      <c r="Z390" s="982"/>
      <c r="AA390" s="982"/>
      <c r="AB390" s="982"/>
      <c r="AC390" s="982"/>
      <c r="AD390" s="982"/>
      <c r="AE390" s="982"/>
      <c r="AF390" s="982"/>
      <c r="AG390" s="982"/>
      <c r="AH390" s="982"/>
      <c r="AI390" s="982"/>
      <c r="AJ390" s="982"/>
      <c r="AK390" s="982"/>
      <c r="AL390" s="982"/>
    </row>
    <row r="391" spans="1:38" x14ac:dyDescent="0.3">
      <c r="A391" s="23"/>
      <c r="B391" s="23" t="s">
        <v>669</v>
      </c>
      <c r="C391" s="982"/>
      <c r="D391" s="982"/>
      <c r="E391" s="357"/>
      <c r="F391" s="982"/>
      <c r="G391" s="357"/>
      <c r="H391" s="982"/>
      <c r="I391" s="357"/>
      <c r="J391" s="982"/>
      <c r="K391" s="357"/>
      <c r="L391" s="982"/>
      <c r="M391" s="357"/>
      <c r="N391" s="982"/>
      <c r="O391" s="127"/>
      <c r="P391" s="118"/>
      <c r="Q391" s="89"/>
      <c r="R391" s="89"/>
      <c r="S391" s="89"/>
      <c r="T391" s="89"/>
      <c r="U391" s="358"/>
      <c r="V391" s="358"/>
      <c r="W391" s="358"/>
      <c r="X391" s="358"/>
      <c r="Y391" s="982"/>
      <c r="Z391" s="982"/>
      <c r="AA391" s="982"/>
      <c r="AB391" s="982"/>
      <c r="AC391" s="982"/>
      <c r="AD391" s="982"/>
      <c r="AE391" s="982"/>
      <c r="AF391" s="982"/>
      <c r="AG391" s="982"/>
      <c r="AH391" s="982"/>
      <c r="AI391" s="982"/>
      <c r="AJ391" s="982"/>
      <c r="AK391" s="982"/>
      <c r="AL391" s="982"/>
    </row>
    <row r="392" spans="1:38" ht="27.6" x14ac:dyDescent="0.3">
      <c r="A392" s="982"/>
      <c r="B392" s="115" t="s">
        <v>670</v>
      </c>
      <c r="C392" s="119"/>
      <c r="D392" s="120" t="s">
        <v>122</v>
      </c>
      <c r="E392" s="234"/>
      <c r="F392" s="116" t="s">
        <v>671</v>
      </c>
      <c r="G392" s="213"/>
      <c r="H392" s="123" t="s">
        <v>672</v>
      </c>
      <c r="I392" s="234"/>
      <c r="J392" s="116" t="s">
        <v>673</v>
      </c>
      <c r="K392" s="435"/>
      <c r="L392" s="436" t="s">
        <v>674</v>
      </c>
      <c r="M392" s="234"/>
      <c r="N392" s="116" t="s">
        <v>675</v>
      </c>
      <c r="O392" s="127"/>
      <c r="P392" s="118"/>
      <c r="Q392" s="89"/>
      <c r="R392" s="89"/>
      <c r="S392" s="89"/>
      <c r="T392" s="89"/>
      <c r="U392" s="358"/>
      <c r="V392" s="358"/>
      <c r="W392" s="358"/>
      <c r="X392" s="358"/>
      <c r="Y392" s="982"/>
      <c r="Z392" s="982"/>
      <c r="AA392" s="982"/>
      <c r="AB392" s="982"/>
      <c r="AC392" s="982"/>
      <c r="AD392" s="982"/>
      <c r="AE392" s="982"/>
      <c r="AF392" s="982"/>
      <c r="AG392" s="982"/>
      <c r="AH392" s="982"/>
      <c r="AI392" s="982"/>
      <c r="AJ392" s="982"/>
      <c r="AK392" s="982"/>
      <c r="AL392" s="982"/>
    </row>
    <row r="393" spans="1:38" ht="15" thickBot="1" x14ac:dyDescent="0.35">
      <c r="A393" s="982"/>
      <c r="B393" s="215"/>
      <c r="C393" s="125"/>
      <c r="D393" s="371"/>
      <c r="E393" s="370"/>
      <c r="F393" s="351" t="s">
        <v>676</v>
      </c>
      <c r="G393" s="371"/>
      <c r="H393" s="350" t="s">
        <v>677</v>
      </c>
      <c r="I393" s="233"/>
      <c r="J393" s="351" t="s">
        <v>678</v>
      </c>
      <c r="K393" s="214"/>
      <c r="L393" s="350" t="s">
        <v>679</v>
      </c>
      <c r="M393" s="233"/>
      <c r="N393" s="351" t="s">
        <v>680</v>
      </c>
      <c r="O393" s="127"/>
      <c r="P393" s="118"/>
      <c r="Q393" s="89"/>
      <c r="R393" s="89"/>
      <c r="S393" s="89"/>
      <c r="T393" s="89"/>
      <c r="U393" s="358"/>
      <c r="V393" s="358"/>
      <c r="W393" s="358"/>
      <c r="X393" s="358"/>
      <c r="Y393" s="982"/>
      <c r="Z393" s="982"/>
      <c r="AA393" s="982"/>
      <c r="AB393" s="982"/>
      <c r="AC393" s="982"/>
      <c r="AD393" s="982"/>
      <c r="AE393" s="982"/>
      <c r="AF393" s="982"/>
      <c r="AG393" s="982"/>
      <c r="AH393" s="982"/>
      <c r="AI393" s="982"/>
      <c r="AJ393" s="982"/>
      <c r="AK393" s="982"/>
      <c r="AL393" s="982"/>
    </row>
    <row r="394" spans="1:38" s="357" customFormat="1" thickTop="1" x14ac:dyDescent="0.3">
      <c r="B394" s="352">
        <v>2</v>
      </c>
      <c r="C394" s="385"/>
      <c r="D394" s="438" t="s">
        <v>137</v>
      </c>
      <c r="E394" s="444" t="s">
        <v>173</v>
      </c>
      <c r="F394" s="627">
        <v>139958</v>
      </c>
      <c r="G394" s="355" t="s">
        <v>300</v>
      </c>
      <c r="H394" s="168">
        <v>0.82250000000000001</v>
      </c>
      <c r="I394" s="171" t="s">
        <v>300</v>
      </c>
      <c r="J394" s="162" t="s">
        <v>681</v>
      </c>
      <c r="K394" s="170" t="s">
        <v>300</v>
      </c>
      <c r="L394" s="167" t="s">
        <v>682</v>
      </c>
      <c r="M394" s="171" t="s">
        <v>300</v>
      </c>
      <c r="N394" s="162">
        <v>0.25</v>
      </c>
      <c r="O394" s="127"/>
      <c r="P394" s="127"/>
      <c r="Q394" s="89"/>
      <c r="R394" s="89"/>
      <c r="S394" s="89"/>
      <c r="T394" s="89"/>
      <c r="U394" s="359"/>
      <c r="V394" s="359"/>
      <c r="W394" s="359"/>
      <c r="X394" s="359"/>
    </row>
    <row r="395" spans="1:38" s="93" customFormat="1" x14ac:dyDescent="0.3">
      <c r="A395" s="89"/>
      <c r="B395" s="92"/>
      <c r="C395" s="90"/>
      <c r="E395" s="357"/>
      <c r="G395" s="25"/>
      <c r="I395" s="96"/>
      <c r="K395" s="96"/>
      <c r="M395" s="96"/>
      <c r="O395" s="96"/>
      <c r="Q395" s="96"/>
      <c r="S395" s="96"/>
      <c r="U395" s="358"/>
      <c r="V395" s="358"/>
      <c r="W395" s="358"/>
      <c r="X395" s="358"/>
    </row>
    <row r="396" spans="1:38" s="93" customFormat="1" x14ac:dyDescent="0.3">
      <c r="A396" s="23"/>
      <c r="B396" s="23" t="s">
        <v>683</v>
      </c>
      <c r="C396" s="90"/>
      <c r="E396" s="357"/>
      <c r="G396" s="25"/>
      <c r="I396" s="96"/>
      <c r="K396" s="96"/>
      <c r="M396" s="96"/>
      <c r="O396" s="96"/>
      <c r="Q396" s="96"/>
      <c r="S396" s="96"/>
      <c r="U396" s="358"/>
      <c r="V396" s="358"/>
      <c r="W396" s="358"/>
      <c r="X396" s="358"/>
    </row>
    <row r="397" spans="1:38" s="91" customFormat="1" ht="27.6" x14ac:dyDescent="0.3">
      <c r="B397" s="131" t="s">
        <v>720</v>
      </c>
      <c r="C397" s="120" t="s">
        <v>721</v>
      </c>
      <c r="D397" s="120" t="s">
        <v>122</v>
      </c>
      <c r="E397" s="131"/>
      <c r="F397" s="148" t="s">
        <v>722</v>
      </c>
      <c r="G397" s="120"/>
      <c r="H397" s="120" t="s">
        <v>723</v>
      </c>
      <c r="I397" s="131"/>
      <c r="J397" s="120" t="s">
        <v>724</v>
      </c>
      <c r="K397" s="210"/>
      <c r="L397" s="120" t="s">
        <v>725</v>
      </c>
      <c r="M397" s="210"/>
      <c r="N397" s="148" t="s">
        <v>726</v>
      </c>
      <c r="O397" s="120"/>
      <c r="P397" s="120" t="s">
        <v>727</v>
      </c>
      <c r="Q397" s="120"/>
      <c r="R397" s="116" t="s">
        <v>728</v>
      </c>
      <c r="S397" s="120"/>
      <c r="T397" s="148" t="s">
        <v>729</v>
      </c>
      <c r="U397" s="120"/>
      <c r="V397" s="148" t="s">
        <v>730</v>
      </c>
      <c r="W397" s="358"/>
      <c r="X397" s="358"/>
      <c r="Y397" s="358"/>
      <c r="Z397" s="358"/>
    </row>
    <row r="398" spans="1:38" ht="15" thickBot="1" x14ac:dyDescent="0.35">
      <c r="B398" s="183"/>
      <c r="C398" s="176"/>
      <c r="D398" s="177"/>
      <c r="E398" s="178"/>
      <c r="F398" s="351" t="s">
        <v>731</v>
      </c>
      <c r="G398" s="176"/>
      <c r="H398" s="176" t="s">
        <v>732</v>
      </c>
      <c r="I398" s="178"/>
      <c r="J398" s="179" t="s">
        <v>733</v>
      </c>
      <c r="K398" s="178"/>
      <c r="L398" s="351" t="s">
        <v>734</v>
      </c>
      <c r="M398" s="178"/>
      <c r="N398" s="351" t="s">
        <v>735</v>
      </c>
      <c r="O398" s="176"/>
      <c r="P398" s="176" t="s">
        <v>736</v>
      </c>
      <c r="Q398" s="176"/>
      <c r="R398" s="179" t="s">
        <v>737</v>
      </c>
      <c r="S398" s="176"/>
      <c r="T398" s="351" t="s">
        <v>738</v>
      </c>
      <c r="U398" s="176"/>
      <c r="V398" s="179" t="s">
        <v>739</v>
      </c>
      <c r="W398" s="358"/>
      <c r="X398" s="358"/>
      <c r="Y398" s="358"/>
      <c r="Z398" s="358"/>
      <c r="AA398" s="982"/>
      <c r="AB398" s="982"/>
      <c r="AC398" s="982"/>
      <c r="AD398" s="982"/>
      <c r="AE398" s="982"/>
      <c r="AF398" s="982"/>
      <c r="AG398" s="982"/>
      <c r="AH398" s="982"/>
      <c r="AI398" s="982"/>
      <c r="AJ398" s="982"/>
      <c r="AK398" s="982"/>
      <c r="AL398" s="982"/>
    </row>
    <row r="399" spans="1:38" s="359" customFormat="1" thickTop="1" x14ac:dyDescent="0.3">
      <c r="A399" s="373"/>
      <c r="B399" s="141" t="s">
        <v>740</v>
      </c>
      <c r="C399" s="366" t="s">
        <v>741</v>
      </c>
      <c r="D399" s="373" t="s">
        <v>137</v>
      </c>
      <c r="E399" s="411" t="s">
        <v>300</v>
      </c>
      <c r="F399" s="366" t="s">
        <v>742</v>
      </c>
      <c r="G399" s="411"/>
      <c r="H399" s="365" t="s">
        <v>749</v>
      </c>
      <c r="I399" s="458" t="s">
        <v>173</v>
      </c>
      <c r="J399" s="628">
        <f>ROUND(F394/500.19/40,2)</f>
        <v>7</v>
      </c>
      <c r="K399" s="458" t="s">
        <v>173</v>
      </c>
      <c r="L399" s="547" t="str">
        <f>ROUND(19*J399/1000,2)&amp;" (19 W/gpm)"</f>
        <v>0.13 (19 W/gpm)</v>
      </c>
      <c r="M399" s="458" t="s">
        <v>173</v>
      </c>
      <c r="N399" s="553">
        <v>0.5</v>
      </c>
      <c r="O399" s="458" t="s">
        <v>173</v>
      </c>
      <c r="P399" s="628">
        <f>ROUND(19/745.6*3960*R399*0.7,1)</f>
        <v>60.4</v>
      </c>
      <c r="Q399" s="413"/>
      <c r="R399" s="362">
        <v>0.85499999999999998</v>
      </c>
      <c r="S399" s="413"/>
      <c r="T399" s="362">
        <v>0.7</v>
      </c>
      <c r="U399" s="403" t="s">
        <v>173</v>
      </c>
      <c r="V399" s="404" t="s">
        <v>173</v>
      </c>
      <c r="W399" s="373"/>
      <c r="X399" s="366"/>
      <c r="Y399" s="373"/>
      <c r="Z399" s="366"/>
    </row>
    <row r="400" spans="1:38" s="365" customFormat="1" ht="13.8" x14ac:dyDescent="0.3">
      <c r="A400" s="373"/>
      <c r="B400" s="278" t="s">
        <v>744</v>
      </c>
      <c r="C400" s="165" t="s">
        <v>745</v>
      </c>
      <c r="D400" s="165" t="s">
        <v>137</v>
      </c>
      <c r="E400" s="410" t="s">
        <v>300</v>
      </c>
      <c r="F400" s="232" t="s">
        <v>742</v>
      </c>
      <c r="G400" s="410"/>
      <c r="H400" s="232" t="s">
        <v>749</v>
      </c>
      <c r="I400" s="334" t="s">
        <v>173</v>
      </c>
      <c r="J400" s="629">
        <f>ROUND(F394/500.19/40,2)</f>
        <v>7</v>
      </c>
      <c r="K400" s="334" t="s">
        <v>173</v>
      </c>
      <c r="L400" s="552" t="str">
        <f>ROUND(19*J400/1000,2)&amp;" (19 W/gpm)"</f>
        <v>0.13 (19 W/gpm)</v>
      </c>
      <c r="M400" s="334" t="s">
        <v>173</v>
      </c>
      <c r="N400" s="554">
        <v>0.5</v>
      </c>
      <c r="O400" s="334" t="s">
        <v>173</v>
      </c>
      <c r="P400" s="630">
        <f>ROUND(19/745.6*3960*R400*0.7,1)</f>
        <v>60.4</v>
      </c>
      <c r="Q400" s="410"/>
      <c r="R400" s="172">
        <v>0.85499999999999998</v>
      </c>
      <c r="S400" s="410"/>
      <c r="T400" s="172">
        <v>0.7</v>
      </c>
      <c r="U400" s="405" t="s">
        <v>173</v>
      </c>
      <c r="V400" s="406" t="s">
        <v>173</v>
      </c>
      <c r="W400" s="363"/>
      <c r="Y400" s="363"/>
    </row>
    <row r="401" spans="1:23" s="93" customFormat="1" ht="13.8" x14ac:dyDescent="0.3">
      <c r="A401" s="89"/>
      <c r="B401" s="92"/>
      <c r="C401" s="90"/>
      <c r="E401" s="357"/>
      <c r="G401" s="25"/>
      <c r="I401" s="96"/>
      <c r="J401" s="652"/>
      <c r="K401" s="96"/>
      <c r="M401" s="96"/>
      <c r="O401" s="96"/>
      <c r="Q401" s="96"/>
      <c r="S401" s="96"/>
      <c r="U401" s="96"/>
      <c r="W401" s="96"/>
    </row>
    <row r="402" spans="1:23" s="93" customFormat="1" ht="13.8" x14ac:dyDescent="0.3">
      <c r="A402" s="89"/>
      <c r="B402" s="92"/>
      <c r="C402" s="90"/>
      <c r="E402" s="357"/>
      <c r="G402" s="25"/>
      <c r="I402" s="96"/>
      <c r="J402" s="652"/>
      <c r="K402" s="96"/>
      <c r="M402" s="96"/>
      <c r="O402" s="96"/>
      <c r="Q402" s="96"/>
      <c r="S402" s="96"/>
      <c r="U402" s="96"/>
      <c r="W402" s="96"/>
    </row>
  </sheetData>
  <mergeCells count="2">
    <mergeCell ref="X23:X26"/>
    <mergeCell ref="AH133:AT133"/>
  </mergeCells>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A236"/>
  <sheetViews>
    <sheetView topLeftCell="A166" zoomScale="55" zoomScaleNormal="55" workbookViewId="0">
      <selection activeCell="L196" sqref="L196"/>
    </sheetView>
  </sheetViews>
  <sheetFormatPr defaultColWidth="9.109375" defaultRowHeight="14.4" x14ac:dyDescent="0.3"/>
  <cols>
    <col min="1" max="1" width="3.6640625" style="364" customWidth="1"/>
    <col min="2" max="2" width="27" style="364" bestFit="1" customWidth="1"/>
    <col min="3" max="3" width="30.6640625" style="92" customWidth="1"/>
    <col min="4" max="4" width="11.6640625" style="364" bestFit="1" customWidth="1"/>
    <col min="5" max="5" width="2.6640625" style="83" customWidth="1"/>
    <col min="6" max="6" width="30.6640625" style="366" customWidth="1"/>
    <col min="7" max="7" width="2.6640625" style="83" customWidth="1"/>
    <col min="8" max="8" width="27.88671875" style="30" bestFit="1" customWidth="1"/>
    <col min="9" max="9" width="2.6640625" style="364" customWidth="1"/>
    <col min="10" max="10" width="24.44140625" style="92" customWidth="1"/>
    <col min="11" max="11" width="2.6640625" style="364" customWidth="1"/>
    <col min="12" max="12" width="28.109375" style="92" customWidth="1"/>
    <col min="13" max="13" width="2.6640625" style="364" customWidth="1"/>
    <col min="14" max="14" width="26" style="92" customWidth="1"/>
    <col min="15" max="15" width="2.6640625" style="364" customWidth="1"/>
    <col min="16" max="16" width="27.6640625" style="92" customWidth="1"/>
    <col min="17" max="17" width="2.6640625" style="364" customWidth="1"/>
    <col min="18" max="18" width="22" style="92" customWidth="1"/>
    <col min="19" max="19" width="2.6640625" style="364" customWidth="1"/>
    <col min="20" max="20" width="19" style="92" customWidth="1"/>
    <col min="21" max="21" width="2.44140625" style="391" customWidth="1"/>
    <col min="22" max="22" width="18" style="391" customWidth="1"/>
    <col min="23" max="23" width="9.109375" style="391"/>
    <col min="24" max="24" width="11.33203125" style="391" customWidth="1"/>
    <col min="25" max="16384" width="9.109375" style="391"/>
  </cols>
  <sheetData>
    <row r="1" spans="1:22" ht="12.75" customHeight="1" x14ac:dyDescent="0.3">
      <c r="U1" s="982"/>
      <c r="V1" s="982"/>
    </row>
    <row r="2" spans="1:22" x14ac:dyDescent="0.3">
      <c r="B2" s="513" t="s">
        <v>0</v>
      </c>
      <c r="C2" s="516"/>
      <c r="D2" s="513"/>
      <c r="E2" s="520"/>
      <c r="F2" s="516" t="s">
        <v>1</v>
      </c>
      <c r="G2" s="364"/>
      <c r="K2" s="513"/>
      <c r="L2" s="516" t="s">
        <v>109</v>
      </c>
      <c r="U2" s="982"/>
      <c r="V2" s="982"/>
    </row>
    <row r="3" spans="1:22" ht="12.75" customHeight="1" x14ac:dyDescent="0.3">
      <c r="B3" s="364" t="s">
        <v>2</v>
      </c>
      <c r="C3" s="71" t="s">
        <v>84</v>
      </c>
      <c r="E3" s="364"/>
      <c r="F3" s="92" t="s">
        <v>3</v>
      </c>
      <c r="G3" s="364"/>
      <c r="H3" s="71" t="str">
        <f>'Documentation Main Sheet'!I2</f>
        <v>r6055</v>
      </c>
      <c r="K3" s="142"/>
      <c r="L3" s="364" t="s">
        <v>318</v>
      </c>
      <c r="U3" s="982"/>
      <c r="V3" s="982"/>
    </row>
    <row r="4" spans="1:22" ht="12.75" customHeight="1" x14ac:dyDescent="0.3">
      <c r="B4" s="364" t="s">
        <v>6</v>
      </c>
      <c r="C4" s="92" t="str">
        <f>C3&amp;".cibd19"</f>
        <v>030006-OffMed-Run23.cibd19</v>
      </c>
      <c r="F4" s="92" t="s">
        <v>7</v>
      </c>
      <c r="G4" s="364"/>
      <c r="H4" s="366" t="str">
        <f>'Documentation Main Sheet'!I3</f>
        <v>Release package</v>
      </c>
      <c r="K4" s="521"/>
      <c r="L4" s="364" t="s">
        <v>110</v>
      </c>
      <c r="U4" s="982"/>
      <c r="V4" s="982"/>
    </row>
    <row r="5" spans="1:22" ht="12.75" customHeight="1" x14ac:dyDescent="0.3">
      <c r="B5" s="364" t="s">
        <v>9</v>
      </c>
      <c r="C5" s="92" t="s">
        <v>112</v>
      </c>
      <c r="F5" s="92" t="s">
        <v>10</v>
      </c>
      <c r="H5" s="366" t="str">
        <f>'Documentation Main Sheet'!I4</f>
        <v>CBECC-Com 2019.1.2 Release</v>
      </c>
      <c r="I5" s="68"/>
      <c r="K5" s="523">
        <v>1</v>
      </c>
      <c r="L5" s="373" t="s">
        <v>111</v>
      </c>
      <c r="P5" s="8"/>
      <c r="R5" s="8"/>
      <c r="T5" s="8"/>
      <c r="U5" s="982"/>
      <c r="V5" s="982"/>
    </row>
    <row r="6" spans="1:22" ht="12.75" customHeight="1" x14ac:dyDescent="0.3">
      <c r="B6" s="364" t="s">
        <v>17</v>
      </c>
      <c r="C6" s="92" t="s">
        <v>35</v>
      </c>
      <c r="F6" s="92" t="s">
        <v>12</v>
      </c>
      <c r="H6" s="387">
        <f>'Documentation Main Sheet'!I5</f>
        <v>43754</v>
      </c>
      <c r="K6" s="526">
        <v>1</v>
      </c>
      <c r="L6" s="376" t="s">
        <v>113</v>
      </c>
      <c r="U6" s="982"/>
      <c r="V6" s="982"/>
    </row>
    <row r="7" spans="1:22" ht="27.6" x14ac:dyDescent="0.3">
      <c r="B7" s="364" t="s">
        <v>20</v>
      </c>
      <c r="C7" s="92" t="s">
        <v>33</v>
      </c>
      <c r="F7" s="92" t="s">
        <v>13</v>
      </c>
      <c r="H7" s="366" t="s">
        <v>1701</v>
      </c>
      <c r="K7" s="527">
        <v>1</v>
      </c>
      <c r="L7" s="373" t="s">
        <v>114</v>
      </c>
      <c r="U7" s="982"/>
      <c r="V7" s="982"/>
    </row>
    <row r="8" spans="1:22" ht="12.75" customHeight="1" x14ac:dyDescent="0.3">
      <c r="B8" s="364" t="s">
        <v>19</v>
      </c>
      <c r="C8" s="92" t="s">
        <v>1702</v>
      </c>
      <c r="F8" s="364"/>
      <c r="G8" s="364"/>
      <c r="H8" s="364"/>
      <c r="K8" s="702">
        <v>1</v>
      </c>
      <c r="L8" s="364" t="s">
        <v>115</v>
      </c>
      <c r="U8" s="982"/>
      <c r="V8" s="982"/>
    </row>
    <row r="9" spans="1:22" x14ac:dyDescent="0.3">
      <c r="B9" s="92"/>
      <c r="C9" s="90"/>
      <c r="E9" s="364"/>
      <c r="F9" s="92"/>
      <c r="H9" s="92"/>
      <c r="U9" s="982"/>
      <c r="V9" s="982"/>
    </row>
    <row r="10" spans="1:22" x14ac:dyDescent="0.3">
      <c r="A10" s="281"/>
      <c r="B10" s="282" t="s">
        <v>134</v>
      </c>
      <c r="C10" s="283"/>
      <c r="D10" s="281"/>
      <c r="E10" s="281"/>
      <c r="F10" s="284"/>
      <c r="G10" s="281"/>
      <c r="H10" s="283"/>
      <c r="I10" s="281"/>
      <c r="J10" s="283"/>
      <c r="K10" s="281"/>
      <c r="L10" s="283"/>
      <c r="M10" s="281"/>
      <c r="N10" s="283"/>
      <c r="O10" s="281"/>
      <c r="P10" s="283"/>
      <c r="Q10" s="281"/>
      <c r="R10" s="283"/>
      <c r="S10" s="281"/>
      <c r="T10" s="283"/>
      <c r="U10" s="283"/>
      <c r="V10" s="283"/>
    </row>
    <row r="11" spans="1:22" x14ac:dyDescent="0.3">
      <c r="A11" s="27"/>
      <c r="B11" s="29" t="s">
        <v>145</v>
      </c>
      <c r="D11" s="90"/>
      <c r="E11" s="91"/>
      <c r="F11" s="92"/>
      <c r="G11" s="91"/>
      <c r="I11" s="91"/>
      <c r="K11" s="91"/>
      <c r="M11" s="91"/>
      <c r="O11" s="91"/>
      <c r="P11" s="84"/>
      <c r="Q11" s="91"/>
      <c r="R11" s="84"/>
      <c r="S11" s="91"/>
      <c r="T11" s="84"/>
      <c r="U11" s="982"/>
      <c r="V11" s="982"/>
    </row>
    <row r="12" spans="1:22" x14ac:dyDescent="0.3">
      <c r="A12" s="93"/>
      <c r="B12" s="91" t="s">
        <v>146</v>
      </c>
      <c r="C12" s="96"/>
      <c r="D12" s="93"/>
      <c r="E12" s="93"/>
      <c r="G12" s="93"/>
      <c r="H12" s="96"/>
      <c r="I12" s="93"/>
      <c r="J12" s="96"/>
      <c r="K12" s="91"/>
      <c r="L12" s="96"/>
      <c r="M12" s="91"/>
      <c r="N12" s="96"/>
      <c r="O12" s="91"/>
      <c r="P12" s="84"/>
      <c r="Q12" s="91"/>
      <c r="R12" s="84"/>
      <c r="S12" s="91"/>
      <c r="T12" s="84"/>
      <c r="U12" s="982"/>
      <c r="V12" s="982"/>
    </row>
    <row r="13" spans="1:22" ht="55.2" x14ac:dyDescent="0.3">
      <c r="A13" s="91"/>
      <c r="B13" s="138" t="s">
        <v>148</v>
      </c>
      <c r="C13" s="120" t="s">
        <v>149</v>
      </c>
      <c r="D13" s="119" t="s">
        <v>122</v>
      </c>
      <c r="E13" s="138"/>
      <c r="F13" s="120" t="s">
        <v>128</v>
      </c>
      <c r="G13" s="138"/>
      <c r="H13" s="120" t="s">
        <v>150</v>
      </c>
      <c r="I13" s="138"/>
      <c r="J13" s="148" t="s">
        <v>151</v>
      </c>
      <c r="K13" s="144"/>
      <c r="L13" s="148" t="s">
        <v>152</v>
      </c>
      <c r="M13" s="122"/>
      <c r="N13" s="120" t="s">
        <v>153</v>
      </c>
      <c r="O13" s="144"/>
      <c r="P13" s="116" t="s">
        <v>154</v>
      </c>
      <c r="Q13" s="122"/>
      <c r="R13" s="116" t="s">
        <v>155</v>
      </c>
      <c r="S13" s="91"/>
      <c r="T13" s="84"/>
      <c r="U13" s="982"/>
      <c r="V13" s="982"/>
    </row>
    <row r="14" spans="1:22" ht="15" thickBot="1" x14ac:dyDescent="0.35">
      <c r="A14" s="83"/>
      <c r="B14" s="132"/>
      <c r="C14" s="124" t="s">
        <v>159</v>
      </c>
      <c r="D14" s="125"/>
      <c r="E14" s="139"/>
      <c r="F14" s="124" t="s">
        <v>160</v>
      </c>
      <c r="G14" s="139"/>
      <c r="H14" s="124" t="s">
        <v>161</v>
      </c>
      <c r="I14" s="145"/>
      <c r="J14" s="149" t="s">
        <v>162</v>
      </c>
      <c r="K14" s="145"/>
      <c r="L14" s="149" t="s">
        <v>163</v>
      </c>
      <c r="M14" s="125"/>
      <c r="N14" s="124" t="s">
        <v>164</v>
      </c>
      <c r="O14" s="145"/>
      <c r="P14" s="149" t="s">
        <v>165</v>
      </c>
      <c r="Q14" s="124"/>
      <c r="R14" s="149" t="s">
        <v>166</v>
      </c>
      <c r="S14" s="91"/>
      <c r="T14" s="30"/>
      <c r="U14" s="982"/>
      <c r="V14" s="982"/>
    </row>
    <row r="15" spans="1:22" ht="15" thickTop="1" x14ac:dyDescent="0.3">
      <c r="B15" s="129" t="s">
        <v>132</v>
      </c>
      <c r="C15" s="92" t="s">
        <v>143</v>
      </c>
      <c r="D15" s="373" t="s">
        <v>1703</v>
      </c>
      <c r="E15" s="140" t="s">
        <v>300</v>
      </c>
      <c r="F15" s="92" t="s">
        <v>319</v>
      </c>
      <c r="G15" s="140" t="s">
        <v>300</v>
      </c>
      <c r="H15" s="92" t="s">
        <v>144</v>
      </c>
      <c r="I15" s="140" t="s">
        <v>300</v>
      </c>
      <c r="J15" s="150">
        <v>6.5000000000000002E-2</v>
      </c>
      <c r="K15" s="140" t="s">
        <v>300</v>
      </c>
      <c r="L15" s="153">
        <v>0.8</v>
      </c>
      <c r="M15" s="147" t="s">
        <v>300</v>
      </c>
      <c r="N15" s="69">
        <v>0.8</v>
      </c>
      <c r="O15" s="140" t="s">
        <v>300</v>
      </c>
      <c r="P15" s="153">
        <v>0.1</v>
      </c>
      <c r="Q15" s="147" t="s">
        <v>300</v>
      </c>
      <c r="R15" s="153">
        <v>0.9</v>
      </c>
      <c r="S15" s="91"/>
      <c r="T15" s="30"/>
      <c r="U15" s="982"/>
      <c r="V15" s="982"/>
    </row>
    <row r="16" spans="1:22" x14ac:dyDescent="0.3">
      <c r="B16" s="129" t="s">
        <v>147</v>
      </c>
      <c r="C16" s="92" t="s">
        <v>1704</v>
      </c>
      <c r="D16" s="364" t="s">
        <v>1703</v>
      </c>
      <c r="E16" s="403" t="s">
        <v>173</v>
      </c>
      <c r="F16" s="449" t="s">
        <v>173</v>
      </c>
      <c r="G16" s="142" t="s">
        <v>300</v>
      </c>
      <c r="H16" s="92" t="s">
        <v>248</v>
      </c>
      <c r="I16" s="142" t="s">
        <v>300</v>
      </c>
      <c r="J16" s="152">
        <v>6.8000000000000005E-2</v>
      </c>
      <c r="K16" s="403" t="s">
        <v>173</v>
      </c>
      <c r="L16" s="404" t="s">
        <v>173</v>
      </c>
      <c r="M16" s="415" t="s">
        <v>173</v>
      </c>
      <c r="N16" s="415" t="s">
        <v>173</v>
      </c>
      <c r="O16" s="403" t="s">
        <v>173</v>
      </c>
      <c r="P16" s="404" t="s">
        <v>173</v>
      </c>
      <c r="Q16" s="415" t="s">
        <v>173</v>
      </c>
      <c r="R16" s="404" t="s">
        <v>173</v>
      </c>
      <c r="S16" s="91"/>
      <c r="T16" s="30"/>
      <c r="U16" s="982"/>
      <c r="V16" s="982"/>
    </row>
    <row r="17" spans="1:24" x14ac:dyDescent="0.3">
      <c r="B17" s="155" t="s">
        <v>147</v>
      </c>
      <c r="C17" s="156" t="s">
        <v>275</v>
      </c>
      <c r="D17" s="157" t="s">
        <v>1705</v>
      </c>
      <c r="E17" s="405" t="s">
        <v>173</v>
      </c>
      <c r="F17" s="450" t="s">
        <v>173</v>
      </c>
      <c r="G17" s="160" t="s">
        <v>300</v>
      </c>
      <c r="H17" s="156" t="s">
        <v>248</v>
      </c>
      <c r="I17" s="160" t="s">
        <v>300</v>
      </c>
      <c r="J17" s="162">
        <v>6.8000000000000005E-2</v>
      </c>
      <c r="K17" s="405" t="s">
        <v>173</v>
      </c>
      <c r="L17" s="406" t="s">
        <v>173</v>
      </c>
      <c r="M17" s="419" t="s">
        <v>173</v>
      </c>
      <c r="N17" s="419" t="s">
        <v>173</v>
      </c>
      <c r="O17" s="405" t="s">
        <v>173</v>
      </c>
      <c r="P17" s="406" t="s">
        <v>173</v>
      </c>
      <c r="Q17" s="419" t="s">
        <v>173</v>
      </c>
      <c r="R17" s="406" t="s">
        <v>173</v>
      </c>
      <c r="S17" s="91"/>
      <c r="T17" s="30"/>
      <c r="U17" s="982"/>
      <c r="V17" s="982"/>
      <c r="W17" s="982"/>
      <c r="X17" s="982"/>
    </row>
    <row r="18" spans="1:24" x14ac:dyDescent="0.3">
      <c r="B18" s="366"/>
      <c r="E18" s="364"/>
      <c r="F18" s="92"/>
      <c r="G18" s="364"/>
      <c r="H18" s="366"/>
      <c r="J18" s="34"/>
      <c r="K18" s="6"/>
      <c r="L18" s="34"/>
      <c r="M18" s="6"/>
      <c r="N18" s="34"/>
      <c r="O18" s="6"/>
      <c r="P18" s="31"/>
      <c r="Q18" s="6"/>
      <c r="R18" s="31"/>
      <c r="S18" s="91"/>
      <c r="T18" s="30"/>
      <c r="U18" s="982"/>
      <c r="V18" s="982"/>
      <c r="W18" s="982"/>
      <c r="X18" s="982"/>
    </row>
    <row r="19" spans="1:24" x14ac:dyDescent="0.3">
      <c r="B19" s="91" t="s">
        <v>184</v>
      </c>
      <c r="E19" s="364"/>
      <c r="F19" s="92"/>
      <c r="G19" s="364"/>
      <c r="H19" s="366"/>
      <c r="J19" s="34"/>
      <c r="K19" s="6"/>
      <c r="L19" s="34"/>
      <c r="M19" s="6"/>
      <c r="N19" s="34"/>
      <c r="O19" s="6"/>
      <c r="P19" s="31"/>
      <c r="Q19" s="6"/>
      <c r="R19" s="31"/>
      <c r="S19" s="91"/>
      <c r="T19" s="30"/>
      <c r="U19" s="982"/>
      <c r="V19" s="982"/>
      <c r="W19" s="982"/>
      <c r="X19" s="982"/>
    </row>
    <row r="20" spans="1:24" ht="27.6" x14ac:dyDescent="0.3">
      <c r="A20" s="91"/>
      <c r="B20" s="138" t="s">
        <v>148</v>
      </c>
      <c r="C20" s="120" t="s">
        <v>149</v>
      </c>
      <c r="D20" s="119" t="s">
        <v>122</v>
      </c>
      <c r="E20" s="119"/>
      <c r="F20" s="120" t="s">
        <v>332</v>
      </c>
      <c r="G20" s="138"/>
      <c r="H20" s="148" t="s">
        <v>150</v>
      </c>
      <c r="I20" s="119"/>
      <c r="J20" s="120" t="s">
        <v>151</v>
      </c>
      <c r="K20" s="138"/>
      <c r="L20" s="148" t="s">
        <v>185</v>
      </c>
      <c r="M20" s="138"/>
      <c r="N20" s="148" t="s">
        <v>186</v>
      </c>
      <c r="O20" s="91"/>
      <c r="P20" s="38"/>
      <c r="Q20" s="91"/>
      <c r="R20" s="38"/>
      <c r="S20" s="91"/>
      <c r="T20" s="38"/>
      <c r="U20" s="982"/>
      <c r="V20" s="982"/>
      <c r="W20" s="982"/>
      <c r="X20" s="982"/>
    </row>
    <row r="21" spans="1:24" ht="15" thickBot="1" x14ac:dyDescent="0.35">
      <c r="A21" s="83"/>
      <c r="B21" s="132"/>
      <c r="C21" s="124" t="s">
        <v>188</v>
      </c>
      <c r="D21" s="125"/>
      <c r="E21" s="126"/>
      <c r="F21" s="124"/>
      <c r="G21" s="139"/>
      <c r="H21" s="149" t="s">
        <v>189</v>
      </c>
      <c r="I21" s="126"/>
      <c r="J21" s="124" t="s">
        <v>190</v>
      </c>
      <c r="K21" s="145"/>
      <c r="L21" s="149" t="s">
        <v>191</v>
      </c>
      <c r="M21" s="145"/>
      <c r="N21" s="149" t="s">
        <v>192</v>
      </c>
      <c r="O21" s="83"/>
      <c r="P21" s="30"/>
      <c r="Q21" s="30"/>
      <c r="R21" s="30"/>
      <c r="S21" s="30"/>
      <c r="T21" s="30"/>
      <c r="U21" s="982"/>
      <c r="V21" s="982"/>
      <c r="W21" s="982"/>
      <c r="X21" s="357"/>
    </row>
    <row r="22" spans="1:24" s="357" customFormat="1" ht="15" thickTop="1" x14ac:dyDescent="0.3">
      <c r="A22" s="364"/>
      <c r="B22" s="129" t="s">
        <v>187</v>
      </c>
      <c r="C22" s="364" t="s">
        <v>1706</v>
      </c>
      <c r="D22" s="364" t="s">
        <v>137</v>
      </c>
      <c r="E22" s="373"/>
      <c r="F22" s="366" t="s">
        <v>1707</v>
      </c>
      <c r="G22" s="142" t="s">
        <v>300</v>
      </c>
      <c r="H22" s="362" t="s">
        <v>199</v>
      </c>
      <c r="I22" s="181" t="s">
        <v>300</v>
      </c>
      <c r="J22" s="32">
        <v>0.4</v>
      </c>
      <c r="K22" s="142" t="s">
        <v>300</v>
      </c>
      <c r="L22" s="153">
        <v>0.33</v>
      </c>
      <c r="M22" s="142" t="s">
        <v>300</v>
      </c>
      <c r="N22" s="153">
        <v>0.5</v>
      </c>
      <c r="O22" s="373"/>
      <c r="P22" s="364"/>
      <c r="Q22" s="92"/>
      <c r="R22" s="373"/>
      <c r="S22" s="92"/>
      <c r="T22" s="373"/>
      <c r="X22" s="982"/>
    </row>
    <row r="23" spans="1:24" x14ac:dyDescent="0.3">
      <c r="B23" s="155" t="s">
        <v>187</v>
      </c>
      <c r="C23" s="157" t="s">
        <v>1708</v>
      </c>
      <c r="D23" s="165" t="s">
        <v>1705</v>
      </c>
      <c r="E23" s="166"/>
      <c r="F23" s="167" t="s">
        <v>1709</v>
      </c>
      <c r="G23" s="171" t="s">
        <v>300</v>
      </c>
      <c r="H23" s="172" t="s">
        <v>199</v>
      </c>
      <c r="I23" s="170" t="s">
        <v>300</v>
      </c>
      <c r="J23" s="156">
        <v>0.55000000000000004</v>
      </c>
      <c r="K23" s="171" t="s">
        <v>300</v>
      </c>
      <c r="L23" s="169">
        <v>0.56000000000000005</v>
      </c>
      <c r="M23" s="171" t="s">
        <v>300</v>
      </c>
      <c r="N23" s="169">
        <v>0.6</v>
      </c>
      <c r="U23" s="982"/>
      <c r="V23" s="982"/>
      <c r="W23" s="982"/>
      <c r="X23" s="982"/>
    </row>
    <row r="24" spans="1:24" x14ac:dyDescent="0.3">
      <c r="C24" s="366"/>
      <c r="D24" s="373"/>
      <c r="E24" s="364"/>
      <c r="G24" s="364"/>
      <c r="H24" s="92"/>
      <c r="U24" s="982"/>
      <c r="V24" s="982"/>
      <c r="W24" s="982"/>
      <c r="X24" s="90"/>
    </row>
    <row r="25" spans="1:24" s="90" customFormat="1" ht="27.6" x14ac:dyDescent="0.3">
      <c r="D25" s="219" t="s">
        <v>148</v>
      </c>
      <c r="E25" s="195"/>
      <c r="F25" s="116" t="s">
        <v>840</v>
      </c>
      <c r="G25" s="188"/>
      <c r="H25" s="123" t="s">
        <v>841</v>
      </c>
      <c r="I25" s="195"/>
      <c r="J25" s="116" t="s">
        <v>842</v>
      </c>
      <c r="K25" s="188"/>
      <c r="L25" s="123" t="s">
        <v>843</v>
      </c>
      <c r="M25" s="195"/>
      <c r="N25" s="116" t="s">
        <v>844</v>
      </c>
      <c r="O25" s="40"/>
      <c r="P25" s="14"/>
      <c r="Q25" s="14"/>
      <c r="R25" s="14"/>
      <c r="S25" s="14"/>
      <c r="T25" s="14"/>
      <c r="X25" s="364"/>
    </row>
    <row r="26" spans="1:24" s="364" customFormat="1" thickBot="1" x14ac:dyDescent="0.35">
      <c r="D26" s="239"/>
      <c r="E26" s="240"/>
      <c r="F26" s="241" t="s">
        <v>850</v>
      </c>
      <c r="G26" s="227"/>
      <c r="H26" s="125" t="s">
        <v>851</v>
      </c>
      <c r="I26" s="240"/>
      <c r="J26" s="108" t="s">
        <v>852</v>
      </c>
      <c r="K26" s="227"/>
      <c r="L26" s="218" t="s">
        <v>853</v>
      </c>
      <c r="M26" s="240"/>
      <c r="N26" s="108" t="s">
        <v>854</v>
      </c>
      <c r="O26" s="69"/>
      <c r="P26" s="69"/>
      <c r="Q26" s="69"/>
      <c r="R26" s="69"/>
      <c r="S26" s="69"/>
      <c r="T26" s="69"/>
      <c r="X26" s="373"/>
    </row>
    <row r="27" spans="1:24" s="373" customFormat="1" ht="15" thickTop="1" x14ac:dyDescent="0.3">
      <c r="C27" s="91"/>
      <c r="D27" s="236" t="s">
        <v>187</v>
      </c>
      <c r="E27" s="171" t="s">
        <v>300</v>
      </c>
      <c r="F27" s="238">
        <v>0.30809999999999998</v>
      </c>
      <c r="G27" s="170" t="s">
        <v>300</v>
      </c>
      <c r="H27" s="237">
        <v>0.33</v>
      </c>
      <c r="I27" s="171" t="s">
        <v>300</v>
      </c>
      <c r="J27" s="237">
        <v>0.33</v>
      </c>
      <c r="K27" s="355" t="s">
        <v>300</v>
      </c>
      <c r="L27" s="237">
        <v>0.33</v>
      </c>
      <c r="M27" s="171" t="s">
        <v>300</v>
      </c>
      <c r="N27" s="238">
        <v>0.22</v>
      </c>
      <c r="O27" s="365"/>
      <c r="P27" s="365"/>
      <c r="Q27" s="365"/>
      <c r="R27" s="365"/>
      <c r="S27" s="365"/>
      <c r="T27" s="365"/>
      <c r="X27" s="982"/>
    </row>
    <row r="28" spans="1:24" x14ac:dyDescent="0.3">
      <c r="C28" s="366"/>
      <c r="D28" s="373"/>
      <c r="E28" s="364"/>
      <c r="G28" s="364"/>
      <c r="H28" s="92"/>
      <c r="U28" s="982"/>
      <c r="V28" s="982"/>
      <c r="W28" s="982"/>
      <c r="X28" s="982"/>
    </row>
    <row r="29" spans="1:24" x14ac:dyDescent="0.3">
      <c r="A29" s="27"/>
      <c r="B29" s="29" t="s">
        <v>204</v>
      </c>
      <c r="D29" s="90"/>
      <c r="E29" s="41"/>
      <c r="F29" s="39"/>
      <c r="G29" s="41"/>
      <c r="H29" s="39"/>
      <c r="I29" s="41"/>
      <c r="J29" s="39"/>
      <c r="K29" s="41"/>
      <c r="L29" s="39"/>
      <c r="M29" s="41"/>
      <c r="N29" s="39"/>
      <c r="O29" s="41"/>
      <c r="P29" s="39"/>
      <c r="R29" s="39"/>
      <c r="T29" s="39"/>
      <c r="U29" s="982"/>
      <c r="V29" s="982"/>
      <c r="W29" s="982"/>
      <c r="X29" s="982"/>
    </row>
    <row r="30" spans="1:24" x14ac:dyDescent="0.3">
      <c r="B30" s="91" t="s">
        <v>146</v>
      </c>
      <c r="U30" s="982"/>
      <c r="V30" s="982"/>
      <c r="W30" s="982"/>
      <c r="X30" s="982"/>
    </row>
    <row r="31" spans="1:24" x14ac:dyDescent="0.3">
      <c r="A31" s="91"/>
      <c r="B31" s="138" t="s">
        <v>148</v>
      </c>
      <c r="C31" s="120" t="s">
        <v>149</v>
      </c>
      <c r="D31" s="119" t="s">
        <v>122</v>
      </c>
      <c r="E31" s="138"/>
      <c r="F31" s="117" t="s">
        <v>214</v>
      </c>
      <c r="G31" s="119"/>
      <c r="H31" s="173" t="s">
        <v>215</v>
      </c>
      <c r="I31" s="138"/>
      <c r="J31" s="117" t="s">
        <v>216</v>
      </c>
      <c r="K31" s="119"/>
      <c r="L31" s="173" t="s">
        <v>217</v>
      </c>
      <c r="M31" s="138"/>
      <c r="N31" s="117" t="s">
        <v>218</v>
      </c>
      <c r="O31" s="119"/>
      <c r="P31" s="117" t="s">
        <v>219</v>
      </c>
      <c r="Q31" s="91"/>
      <c r="R31" s="85"/>
      <c r="S31" s="91"/>
      <c r="T31" s="85"/>
      <c r="U31" s="982"/>
      <c r="V31" s="982"/>
      <c r="W31" s="982"/>
      <c r="X31" s="982"/>
    </row>
    <row r="32" spans="1:24" ht="15" thickBot="1" x14ac:dyDescent="0.35">
      <c r="A32" s="83"/>
      <c r="B32" s="132"/>
      <c r="C32" s="124" t="s">
        <v>159</v>
      </c>
      <c r="D32" s="125"/>
      <c r="E32" s="139"/>
      <c r="F32" s="473" t="s">
        <v>226</v>
      </c>
      <c r="G32" s="126"/>
      <c r="H32" s="473" t="s">
        <v>226</v>
      </c>
      <c r="I32" s="145"/>
      <c r="J32" s="473" t="s">
        <v>226</v>
      </c>
      <c r="K32" s="125"/>
      <c r="L32" s="473" t="s">
        <v>226</v>
      </c>
      <c r="M32" s="145"/>
      <c r="N32" s="473" t="s">
        <v>226</v>
      </c>
      <c r="O32" s="125"/>
      <c r="P32" s="473" t="s">
        <v>226</v>
      </c>
      <c r="Q32" s="30"/>
      <c r="R32" s="30"/>
      <c r="S32" s="30"/>
      <c r="T32" s="30"/>
      <c r="U32" s="982"/>
      <c r="V32" s="982"/>
      <c r="W32" s="982"/>
      <c r="X32" s="357"/>
    </row>
    <row r="33" spans="1:24" s="357" customFormat="1" ht="28.2" thickTop="1" x14ac:dyDescent="0.3">
      <c r="A33" s="65"/>
      <c r="B33" s="129" t="s">
        <v>147</v>
      </c>
      <c r="C33" s="92" t="s">
        <v>275</v>
      </c>
      <c r="D33" s="364" t="s">
        <v>1710</v>
      </c>
      <c r="E33" s="140" t="s">
        <v>300</v>
      </c>
      <c r="F33" s="362" t="s">
        <v>222</v>
      </c>
      <c r="G33" s="147" t="s">
        <v>300</v>
      </c>
      <c r="H33" s="366" t="s">
        <v>223</v>
      </c>
      <c r="I33" s="140" t="s">
        <v>300</v>
      </c>
      <c r="J33" s="362" t="s">
        <v>294</v>
      </c>
      <c r="K33" s="147" t="s">
        <v>300</v>
      </c>
      <c r="L33" s="366" t="s">
        <v>259</v>
      </c>
      <c r="M33" s="140" t="s">
        <v>300</v>
      </c>
      <c r="N33" s="362" t="s">
        <v>225</v>
      </c>
      <c r="O33" s="415" t="s">
        <v>173</v>
      </c>
      <c r="P33" s="404" t="s">
        <v>173</v>
      </c>
      <c r="Q33" s="364"/>
      <c r="R33" s="72"/>
      <c r="S33" s="364"/>
      <c r="T33" s="72"/>
    </row>
    <row r="34" spans="1:24" s="357" customFormat="1" ht="27.6" x14ac:dyDescent="0.3">
      <c r="A34" s="65"/>
      <c r="B34" s="155" t="s">
        <v>132</v>
      </c>
      <c r="C34" s="156" t="s">
        <v>143</v>
      </c>
      <c r="D34" s="156" t="s">
        <v>1703</v>
      </c>
      <c r="E34" s="160" t="s">
        <v>300</v>
      </c>
      <c r="F34" s="172" t="s">
        <v>261</v>
      </c>
      <c r="G34" s="174" t="s">
        <v>300</v>
      </c>
      <c r="H34" s="167" t="s">
        <v>1711</v>
      </c>
      <c r="I34" s="405" t="s">
        <v>173</v>
      </c>
      <c r="J34" s="406" t="s">
        <v>173</v>
      </c>
      <c r="K34" s="419" t="s">
        <v>173</v>
      </c>
      <c r="L34" s="419" t="s">
        <v>173</v>
      </c>
      <c r="M34" s="405" t="s">
        <v>173</v>
      </c>
      <c r="N34" s="406" t="s">
        <v>173</v>
      </c>
      <c r="O34" s="419" t="s">
        <v>173</v>
      </c>
      <c r="P34" s="406" t="s">
        <v>173</v>
      </c>
      <c r="Q34" s="364"/>
      <c r="R34" s="72"/>
      <c r="S34" s="364"/>
      <c r="T34" s="72"/>
      <c r="X34" s="982"/>
    </row>
    <row r="36" spans="1:24" x14ac:dyDescent="0.3">
      <c r="B36" s="92"/>
      <c r="C36" s="90"/>
      <c r="D36" s="357"/>
      <c r="E36" s="364"/>
      <c r="F36" s="364"/>
      <c r="G36" s="364"/>
      <c r="H36" s="364"/>
      <c r="J36" s="364"/>
      <c r="L36" s="72"/>
      <c r="N36" s="72"/>
      <c r="P36" s="72"/>
      <c r="R36" s="72"/>
      <c r="T36" s="72"/>
      <c r="U36" s="982"/>
      <c r="V36" s="982"/>
      <c r="W36" s="982"/>
      <c r="X36" s="982"/>
    </row>
    <row r="37" spans="1:24" x14ac:dyDescent="0.3">
      <c r="A37" s="27"/>
      <c r="B37" s="29" t="s">
        <v>329</v>
      </c>
      <c r="C37" s="90"/>
      <c r="D37" s="357"/>
      <c r="E37" s="364"/>
      <c r="F37" s="364"/>
      <c r="G37" s="364"/>
      <c r="H37" s="364"/>
      <c r="J37" s="364"/>
      <c r="L37" s="72"/>
      <c r="N37" s="72"/>
      <c r="P37" s="72"/>
      <c r="R37" s="72"/>
      <c r="T37" s="72"/>
      <c r="U37" s="982"/>
      <c r="V37" s="982"/>
      <c r="W37" s="982"/>
      <c r="X37" s="982"/>
    </row>
    <row r="38" spans="1:24" ht="41.4" x14ac:dyDescent="0.3">
      <c r="A38" s="89"/>
      <c r="B38" s="115" t="s">
        <v>330</v>
      </c>
      <c r="C38" s="123" t="s">
        <v>331</v>
      </c>
      <c r="D38" s="119" t="s">
        <v>122</v>
      </c>
      <c r="E38" s="182"/>
      <c r="F38" s="148" t="s">
        <v>332</v>
      </c>
      <c r="G38" s="182"/>
      <c r="H38" s="116" t="s">
        <v>148</v>
      </c>
      <c r="I38" s="182"/>
      <c r="J38" s="116" t="s">
        <v>333</v>
      </c>
      <c r="K38" s="175"/>
      <c r="L38" s="116" t="s">
        <v>334</v>
      </c>
      <c r="M38" s="131"/>
      <c r="N38" s="148" t="s">
        <v>335</v>
      </c>
      <c r="O38" s="120"/>
      <c r="P38" s="120" t="s">
        <v>336</v>
      </c>
      <c r="Q38" s="210"/>
      <c r="R38" s="148" t="s">
        <v>337</v>
      </c>
      <c r="S38" s="131"/>
      <c r="T38" s="148" t="s">
        <v>338</v>
      </c>
      <c r="U38" s="131"/>
      <c r="V38" s="148" t="s">
        <v>339</v>
      </c>
      <c r="W38" s="982"/>
      <c r="X38" s="982"/>
    </row>
    <row r="39" spans="1:24" ht="15" thickBot="1" x14ac:dyDescent="0.35">
      <c r="A39" s="89"/>
      <c r="B39" s="178" t="s">
        <v>341</v>
      </c>
      <c r="C39" s="176" t="s">
        <v>342</v>
      </c>
      <c r="D39" s="214"/>
      <c r="E39" s="183"/>
      <c r="F39" s="372"/>
      <c r="G39" s="370"/>
      <c r="H39" s="179" t="s">
        <v>343</v>
      </c>
      <c r="I39" s="370"/>
      <c r="J39" s="179" t="s">
        <v>344</v>
      </c>
      <c r="K39" s="177"/>
      <c r="L39" s="179" t="s">
        <v>345</v>
      </c>
      <c r="M39" s="211"/>
      <c r="N39" s="179" t="s">
        <v>346</v>
      </c>
      <c r="O39" s="208"/>
      <c r="P39" s="176" t="s">
        <v>347</v>
      </c>
      <c r="Q39" s="211"/>
      <c r="R39" s="179" t="s">
        <v>348</v>
      </c>
      <c r="S39" s="233"/>
      <c r="T39" s="179" t="s">
        <v>349</v>
      </c>
      <c r="U39" s="233"/>
      <c r="V39" s="179" t="s">
        <v>350</v>
      </c>
      <c r="W39" s="982"/>
      <c r="X39" s="982"/>
    </row>
    <row r="40" spans="1:24" ht="15" thickTop="1" x14ac:dyDescent="0.3">
      <c r="A40" s="89"/>
      <c r="B40" s="130" t="s">
        <v>1712</v>
      </c>
      <c r="C40" s="92" t="s">
        <v>1430</v>
      </c>
      <c r="D40" s="376" t="s">
        <v>1705</v>
      </c>
      <c r="E40" s="403" t="s">
        <v>173</v>
      </c>
      <c r="F40" s="404" t="s">
        <v>173</v>
      </c>
      <c r="G40" s="142" t="s">
        <v>300</v>
      </c>
      <c r="H40" s="152" t="s">
        <v>353</v>
      </c>
      <c r="I40" s="142" t="s">
        <v>300</v>
      </c>
      <c r="J40" s="152" t="s">
        <v>353</v>
      </c>
      <c r="K40" s="147" t="s">
        <v>300</v>
      </c>
      <c r="L40" s="152" t="s">
        <v>354</v>
      </c>
      <c r="M40" s="140" t="s">
        <v>300</v>
      </c>
      <c r="N40" s="209">
        <v>55</v>
      </c>
      <c r="O40" s="147" t="s">
        <v>300</v>
      </c>
      <c r="P40" s="364">
        <v>60</v>
      </c>
      <c r="Q40" s="142" t="s">
        <v>300</v>
      </c>
      <c r="R40" s="209" t="s">
        <v>355</v>
      </c>
      <c r="S40" s="142" t="s">
        <v>300</v>
      </c>
      <c r="T40" s="209">
        <v>60</v>
      </c>
      <c r="U40" s="142" t="s">
        <v>300</v>
      </c>
      <c r="V40" s="209">
        <v>55</v>
      </c>
      <c r="W40" s="982"/>
      <c r="X40" s="982"/>
    </row>
    <row r="41" spans="1:24" ht="15" customHeight="1" x14ac:dyDescent="0.3">
      <c r="A41" s="89"/>
      <c r="B41" s="130" t="s">
        <v>1713</v>
      </c>
      <c r="C41" s="92" t="s">
        <v>1611</v>
      </c>
      <c r="D41" s="376" t="s">
        <v>1705</v>
      </c>
      <c r="E41" s="403" t="s">
        <v>173</v>
      </c>
      <c r="F41" s="404" t="s">
        <v>173</v>
      </c>
      <c r="G41" s="142" t="s">
        <v>300</v>
      </c>
      <c r="H41" s="152" t="s">
        <v>353</v>
      </c>
      <c r="I41" s="142" t="s">
        <v>300</v>
      </c>
      <c r="J41" s="152" t="s">
        <v>353</v>
      </c>
      <c r="K41" s="147" t="s">
        <v>300</v>
      </c>
      <c r="L41" s="152" t="s">
        <v>354</v>
      </c>
      <c r="M41" s="140" t="s">
        <v>300</v>
      </c>
      <c r="N41" s="209">
        <v>55</v>
      </c>
      <c r="O41" s="147" t="s">
        <v>300</v>
      </c>
      <c r="P41" s="364">
        <v>60</v>
      </c>
      <c r="Q41" s="142" t="s">
        <v>300</v>
      </c>
      <c r="R41" s="209" t="s">
        <v>355</v>
      </c>
      <c r="S41" s="142" t="s">
        <v>300</v>
      </c>
      <c r="T41" s="209">
        <v>60</v>
      </c>
      <c r="U41" s="142" t="s">
        <v>300</v>
      </c>
      <c r="V41" s="209">
        <v>55</v>
      </c>
      <c r="W41" s="982"/>
      <c r="X41" s="982"/>
    </row>
    <row r="42" spans="1:24" x14ac:dyDescent="0.3">
      <c r="A42" s="89"/>
      <c r="B42" s="130" t="s">
        <v>1714</v>
      </c>
      <c r="C42" s="92" t="s">
        <v>1715</v>
      </c>
      <c r="D42" s="376" t="s">
        <v>137</v>
      </c>
      <c r="E42" s="403" t="s">
        <v>173</v>
      </c>
      <c r="F42" s="404" t="s">
        <v>1716</v>
      </c>
      <c r="G42" s="142" t="s">
        <v>300</v>
      </c>
      <c r="H42" s="152" t="s">
        <v>365</v>
      </c>
      <c r="I42" s="142" t="s">
        <v>300</v>
      </c>
      <c r="J42" s="152" t="s">
        <v>365</v>
      </c>
      <c r="K42" s="147" t="s">
        <v>300</v>
      </c>
      <c r="L42" s="152" t="s">
        <v>354</v>
      </c>
      <c r="M42" s="140" t="s">
        <v>300</v>
      </c>
      <c r="N42" s="209">
        <v>55</v>
      </c>
      <c r="O42" s="147" t="s">
        <v>300</v>
      </c>
      <c r="P42" s="364">
        <v>95</v>
      </c>
      <c r="Q42" s="142" t="s">
        <v>300</v>
      </c>
      <c r="R42" s="209" t="s">
        <v>377</v>
      </c>
      <c r="S42" s="415" t="s">
        <v>173</v>
      </c>
      <c r="T42" s="404" t="s">
        <v>173</v>
      </c>
      <c r="U42" s="415" t="s">
        <v>173</v>
      </c>
      <c r="V42" s="404" t="s">
        <v>173</v>
      </c>
      <c r="W42" s="982"/>
      <c r="X42" s="982"/>
    </row>
    <row r="43" spans="1:24" s="857" customFormat="1" x14ac:dyDescent="0.3">
      <c r="A43" s="89"/>
      <c r="B43" s="130" t="s">
        <v>1717</v>
      </c>
      <c r="C43" s="92" t="s">
        <v>1718</v>
      </c>
      <c r="D43" s="376" t="s">
        <v>137</v>
      </c>
      <c r="E43" s="403" t="s">
        <v>173</v>
      </c>
      <c r="F43" s="404" t="s">
        <v>1719</v>
      </c>
      <c r="G43" s="243"/>
      <c r="H43" s="152" t="s">
        <v>365</v>
      </c>
      <c r="I43" s="243"/>
      <c r="J43" s="152" t="s">
        <v>365</v>
      </c>
      <c r="K43" s="753" t="s">
        <v>300</v>
      </c>
      <c r="L43" s="152" t="s">
        <v>354</v>
      </c>
      <c r="M43" s="905"/>
      <c r="N43" s="209">
        <v>55</v>
      </c>
      <c r="O43" s="753"/>
      <c r="P43" s="364">
        <v>95</v>
      </c>
      <c r="Q43" s="243"/>
      <c r="R43" s="209" t="s">
        <v>377</v>
      </c>
      <c r="S43" s="415" t="s">
        <v>173</v>
      </c>
      <c r="T43" s="404" t="s">
        <v>173</v>
      </c>
      <c r="U43" s="415" t="s">
        <v>173</v>
      </c>
      <c r="V43" s="404" t="s">
        <v>173</v>
      </c>
      <c r="W43" s="982"/>
      <c r="X43" s="982"/>
    </row>
    <row r="44" spans="1:24" x14ac:dyDescent="0.3">
      <c r="A44" s="89"/>
      <c r="B44" s="877" t="s">
        <v>1720</v>
      </c>
      <c r="C44" s="867" t="s">
        <v>1721</v>
      </c>
      <c r="D44" s="186" t="s">
        <v>137</v>
      </c>
      <c r="E44" s="405" t="s">
        <v>173</v>
      </c>
      <c r="F44" s="406" t="s">
        <v>1722</v>
      </c>
      <c r="G44" s="160"/>
      <c r="H44" s="919" t="s">
        <v>1580</v>
      </c>
      <c r="I44" s="160"/>
      <c r="J44" s="919" t="s">
        <v>1580</v>
      </c>
      <c r="K44" s="170" t="s">
        <v>300</v>
      </c>
      <c r="L44" s="162" t="s">
        <v>354</v>
      </c>
      <c r="M44" s="171"/>
      <c r="N44" s="212">
        <v>55</v>
      </c>
      <c r="O44" s="170"/>
      <c r="P44" s="157">
        <v>95</v>
      </c>
      <c r="Q44" s="160"/>
      <c r="R44" s="212" t="s">
        <v>377</v>
      </c>
      <c r="S44" s="405" t="s">
        <v>173</v>
      </c>
      <c r="T44" s="406" t="s">
        <v>173</v>
      </c>
      <c r="U44" s="419" t="s">
        <v>173</v>
      </c>
      <c r="V44" s="406" t="s">
        <v>173</v>
      </c>
      <c r="W44" s="982"/>
      <c r="X44" s="982"/>
    </row>
    <row r="45" spans="1:24" x14ac:dyDescent="0.3">
      <c r="A45" s="89"/>
      <c r="B45" s="84"/>
      <c r="C45" s="82"/>
      <c r="D45" s="30"/>
      <c r="E45" s="364"/>
      <c r="F45" s="364"/>
      <c r="G45" s="364"/>
      <c r="H45" s="364"/>
      <c r="J45" s="364"/>
      <c r="K45" s="91"/>
      <c r="L45" s="89"/>
      <c r="N45" s="364"/>
      <c r="P45" s="364"/>
      <c r="R45" s="364"/>
      <c r="T45" s="364"/>
      <c r="U45" s="982"/>
      <c r="V45" s="982"/>
      <c r="W45" s="982"/>
      <c r="X45" s="982"/>
    </row>
    <row r="46" spans="1:24" x14ac:dyDescent="0.3">
      <c r="A46" s="89"/>
      <c r="B46" s="84"/>
      <c r="C46" s="91"/>
      <c r="D46" s="89"/>
      <c r="E46" s="91"/>
      <c r="F46" s="89"/>
      <c r="G46" s="91"/>
      <c r="H46" s="89"/>
      <c r="I46" s="91"/>
      <c r="J46" s="89"/>
      <c r="M46" s="90"/>
      <c r="P46" s="364"/>
      <c r="R46" s="364"/>
      <c r="T46" s="364"/>
      <c r="U46" s="982"/>
      <c r="V46" s="982"/>
      <c r="W46" s="982"/>
      <c r="X46" s="982"/>
    </row>
    <row r="47" spans="1:24" ht="41.4" x14ac:dyDescent="0.3">
      <c r="A47" s="89"/>
      <c r="B47" s="115" t="s">
        <v>331</v>
      </c>
      <c r="C47" s="123" t="s">
        <v>382</v>
      </c>
      <c r="D47" s="119" t="s">
        <v>122</v>
      </c>
      <c r="E47" s="182"/>
      <c r="F47" s="117" t="s">
        <v>148</v>
      </c>
      <c r="G47" s="175"/>
      <c r="H47" s="173" t="s">
        <v>383</v>
      </c>
      <c r="I47" s="175"/>
      <c r="J47" s="173" t="s">
        <v>384</v>
      </c>
      <c r="K47" s="194"/>
      <c r="L47" s="117" t="s">
        <v>385</v>
      </c>
      <c r="M47" s="187"/>
      <c r="N47" s="117" t="s">
        <v>386</v>
      </c>
      <c r="O47" s="427"/>
      <c r="P47" s="117" t="s">
        <v>387</v>
      </c>
      <c r="Q47" s="426"/>
      <c r="R47" s="117" t="s">
        <v>388</v>
      </c>
      <c r="T47" s="364"/>
      <c r="U47" s="364"/>
      <c r="V47" s="364"/>
      <c r="W47" s="982"/>
      <c r="X47" s="982"/>
    </row>
    <row r="48" spans="1:24" ht="15" thickBot="1" x14ac:dyDescent="0.35">
      <c r="A48" s="89"/>
      <c r="B48" s="178" t="s">
        <v>389</v>
      </c>
      <c r="C48" s="176" t="s">
        <v>390</v>
      </c>
      <c r="D48" s="214"/>
      <c r="E48" s="183"/>
      <c r="F48" s="179" t="s">
        <v>391</v>
      </c>
      <c r="G48" s="177"/>
      <c r="H48" s="176" t="s">
        <v>392</v>
      </c>
      <c r="I48" s="177"/>
      <c r="J48" s="176" t="s">
        <v>393</v>
      </c>
      <c r="K48" s="183"/>
      <c r="L48" s="179" t="s">
        <v>394</v>
      </c>
      <c r="M48" s="189"/>
      <c r="N48" s="176" t="s">
        <v>395</v>
      </c>
      <c r="O48" s="178"/>
      <c r="P48" s="179" t="s">
        <v>396</v>
      </c>
      <c r="Q48" s="176"/>
      <c r="R48" s="179" t="s">
        <v>397</v>
      </c>
      <c r="T48" s="364"/>
      <c r="U48" s="364"/>
      <c r="V48" s="364"/>
      <c r="W48" s="982"/>
      <c r="X48" s="982"/>
    </row>
    <row r="49" spans="1:22" ht="28.2" thickTop="1" x14ac:dyDescent="0.3">
      <c r="A49" s="89"/>
      <c r="B49" s="130" t="s">
        <v>1430</v>
      </c>
      <c r="C49" s="92" t="s">
        <v>1467</v>
      </c>
      <c r="D49" s="376" t="s">
        <v>1705</v>
      </c>
      <c r="E49" s="142" t="s">
        <v>300</v>
      </c>
      <c r="F49" s="192" t="s">
        <v>399</v>
      </c>
      <c r="G49" s="142" t="s">
        <v>300</v>
      </c>
      <c r="H49" s="363">
        <v>9.8000000000000007</v>
      </c>
      <c r="I49" s="142" t="s">
        <v>300</v>
      </c>
      <c r="J49" s="363">
        <v>11.4</v>
      </c>
      <c r="K49" s="403" t="s">
        <v>173</v>
      </c>
      <c r="L49" s="404" t="s">
        <v>173</v>
      </c>
      <c r="M49" s="142" t="s">
        <v>300</v>
      </c>
      <c r="N49" s="92" t="s">
        <v>400</v>
      </c>
      <c r="O49" s="142" t="s">
        <v>300</v>
      </c>
      <c r="P49" s="152" t="s">
        <v>401</v>
      </c>
      <c r="Q49" s="142" t="s">
        <v>300</v>
      </c>
      <c r="R49" s="152" t="s">
        <v>402</v>
      </c>
      <c r="T49" s="364"/>
      <c r="U49" s="364"/>
      <c r="V49" s="364"/>
    </row>
    <row r="50" spans="1:22" ht="27.6" x14ac:dyDescent="0.3">
      <c r="A50" s="89"/>
      <c r="B50" s="130" t="s">
        <v>1611</v>
      </c>
      <c r="C50" s="92" t="s">
        <v>1723</v>
      </c>
      <c r="D50" s="376" t="s">
        <v>1705</v>
      </c>
      <c r="E50" s="142" t="s">
        <v>300</v>
      </c>
      <c r="F50" s="192" t="s">
        <v>399</v>
      </c>
      <c r="G50" s="142" t="s">
        <v>300</v>
      </c>
      <c r="H50" s="363">
        <v>9.8000000000000007</v>
      </c>
      <c r="I50" s="142" t="s">
        <v>300</v>
      </c>
      <c r="J50" s="363">
        <v>11.4</v>
      </c>
      <c r="K50" s="403" t="s">
        <v>173</v>
      </c>
      <c r="L50" s="404" t="s">
        <v>173</v>
      </c>
      <c r="M50" s="142" t="s">
        <v>300</v>
      </c>
      <c r="N50" s="92" t="s">
        <v>400</v>
      </c>
      <c r="O50" s="142" t="s">
        <v>300</v>
      </c>
      <c r="P50" s="152" t="s">
        <v>401</v>
      </c>
      <c r="Q50" s="142" t="s">
        <v>300</v>
      </c>
      <c r="R50" s="152" t="s">
        <v>402</v>
      </c>
      <c r="T50" s="364"/>
      <c r="U50" s="364"/>
      <c r="V50" s="364"/>
    </row>
    <row r="51" spans="1:22" ht="27.6" x14ac:dyDescent="0.3">
      <c r="A51" s="89"/>
      <c r="B51" s="130" t="s">
        <v>1715</v>
      </c>
      <c r="C51" s="92" t="s">
        <v>1724</v>
      </c>
      <c r="D51" s="376" t="s">
        <v>137</v>
      </c>
      <c r="E51" s="762" t="s">
        <v>300</v>
      </c>
      <c r="F51" s="192" t="s">
        <v>399</v>
      </c>
      <c r="G51" s="762" t="s">
        <v>300</v>
      </c>
      <c r="H51" s="442">
        <v>13</v>
      </c>
      <c r="I51" s="403" t="s">
        <v>173</v>
      </c>
      <c r="J51" s="404" t="s">
        <v>173</v>
      </c>
      <c r="K51" s="403" t="s">
        <v>173</v>
      </c>
      <c r="L51" s="404" t="s">
        <v>173</v>
      </c>
      <c r="M51" s="762" t="s">
        <v>300</v>
      </c>
      <c r="N51" s="92" t="s">
        <v>404</v>
      </c>
      <c r="O51" s="762" t="s">
        <v>300</v>
      </c>
      <c r="P51" s="152" t="s">
        <v>405</v>
      </c>
      <c r="Q51" s="762" t="s">
        <v>300</v>
      </c>
      <c r="R51" s="152" t="s">
        <v>402</v>
      </c>
      <c r="T51" s="364"/>
      <c r="U51" s="364"/>
      <c r="V51" s="364"/>
    </row>
    <row r="52" spans="1:22" ht="27.6" x14ac:dyDescent="0.3">
      <c r="A52" s="89"/>
      <c r="B52" s="876" t="s">
        <v>1361</v>
      </c>
      <c r="C52" s="43" t="s">
        <v>1367</v>
      </c>
      <c r="D52" s="376" t="s">
        <v>137</v>
      </c>
      <c r="E52" s="762"/>
      <c r="F52" s="192" t="s">
        <v>399</v>
      </c>
      <c r="G52" s="762"/>
      <c r="H52" s="442">
        <v>11</v>
      </c>
      <c r="I52" s="403" t="s">
        <v>173</v>
      </c>
      <c r="J52" s="404" t="s">
        <v>173</v>
      </c>
      <c r="K52" s="403" t="s">
        <v>173</v>
      </c>
      <c r="L52" s="404" t="s">
        <v>173</v>
      </c>
      <c r="M52" s="762"/>
      <c r="N52" s="92" t="s">
        <v>400</v>
      </c>
      <c r="O52" s="762"/>
      <c r="P52" s="152" t="s">
        <v>401</v>
      </c>
      <c r="Q52" s="762"/>
      <c r="R52" s="152" t="s">
        <v>782</v>
      </c>
      <c r="T52" s="364"/>
      <c r="U52" s="364"/>
      <c r="V52" s="364"/>
    </row>
    <row r="53" spans="1:22" ht="27.6" x14ac:dyDescent="0.3">
      <c r="A53" s="89"/>
      <c r="B53" s="876" t="s">
        <v>1362</v>
      </c>
      <c r="C53" s="43" t="s">
        <v>1368</v>
      </c>
      <c r="D53" s="376" t="s">
        <v>137</v>
      </c>
      <c r="E53" s="762"/>
      <c r="F53" s="192" t="s">
        <v>399</v>
      </c>
      <c r="G53" s="762"/>
      <c r="H53" s="442">
        <v>10.8446</v>
      </c>
      <c r="I53" s="403" t="s">
        <v>173</v>
      </c>
      <c r="J53" s="404" t="s">
        <v>173</v>
      </c>
      <c r="K53" s="403" t="s">
        <v>173</v>
      </c>
      <c r="L53" s="404" t="s">
        <v>173</v>
      </c>
      <c r="M53" s="762"/>
      <c r="N53" s="92" t="s">
        <v>783</v>
      </c>
      <c r="O53" s="762"/>
      <c r="P53" s="152" t="s">
        <v>405</v>
      </c>
      <c r="Q53" s="762"/>
      <c r="R53" s="152" t="s">
        <v>402</v>
      </c>
      <c r="T53" s="364"/>
      <c r="U53" s="364"/>
      <c r="V53" s="364"/>
    </row>
    <row r="54" spans="1:22" ht="27.6" x14ac:dyDescent="0.3">
      <c r="A54" s="89"/>
      <c r="B54" s="876" t="s">
        <v>1363</v>
      </c>
      <c r="C54" s="43" t="s">
        <v>1369</v>
      </c>
      <c r="D54" s="376" t="s">
        <v>137</v>
      </c>
      <c r="E54" s="762"/>
      <c r="F54" s="192" t="s">
        <v>399</v>
      </c>
      <c r="G54" s="762"/>
      <c r="H54" s="442">
        <v>10.8446</v>
      </c>
      <c r="I54" s="403" t="s">
        <v>173</v>
      </c>
      <c r="J54" s="404" t="s">
        <v>173</v>
      </c>
      <c r="K54" s="403" t="s">
        <v>173</v>
      </c>
      <c r="L54" s="404" t="s">
        <v>173</v>
      </c>
      <c r="M54" s="762"/>
      <c r="N54" s="92" t="s">
        <v>783</v>
      </c>
      <c r="O54" s="762"/>
      <c r="P54" s="152" t="s">
        <v>405</v>
      </c>
      <c r="Q54" s="762"/>
      <c r="R54" s="152" t="s">
        <v>402</v>
      </c>
      <c r="T54" s="364"/>
      <c r="U54" s="364"/>
      <c r="V54" s="364"/>
    </row>
    <row r="55" spans="1:22" ht="27.6" x14ac:dyDescent="0.3">
      <c r="A55" s="89"/>
      <c r="B55" s="876" t="s">
        <v>1364</v>
      </c>
      <c r="C55" s="43" t="s">
        <v>1370</v>
      </c>
      <c r="D55" s="376" t="s">
        <v>137</v>
      </c>
      <c r="E55" s="762"/>
      <c r="F55" s="192" t="s">
        <v>399</v>
      </c>
      <c r="G55" s="762"/>
      <c r="H55" s="442">
        <v>10.8446</v>
      </c>
      <c r="I55" s="403" t="s">
        <v>173</v>
      </c>
      <c r="J55" s="404" t="s">
        <v>173</v>
      </c>
      <c r="K55" s="403" t="s">
        <v>173</v>
      </c>
      <c r="L55" s="404" t="s">
        <v>173</v>
      </c>
      <c r="M55" s="762"/>
      <c r="N55" s="92" t="s">
        <v>783</v>
      </c>
      <c r="O55" s="762"/>
      <c r="P55" s="152" t="s">
        <v>405</v>
      </c>
      <c r="Q55" s="762"/>
      <c r="R55" s="152" t="s">
        <v>402</v>
      </c>
      <c r="T55" s="364"/>
      <c r="U55" s="364"/>
      <c r="V55" s="364"/>
    </row>
    <row r="56" spans="1:22" ht="27.6" x14ac:dyDescent="0.3">
      <c r="A56" s="89"/>
      <c r="B56" s="877" t="s">
        <v>1366</v>
      </c>
      <c r="C56" s="867" t="s">
        <v>1371</v>
      </c>
      <c r="D56" s="186" t="s">
        <v>137</v>
      </c>
      <c r="E56" s="835"/>
      <c r="F56" s="193" t="s">
        <v>399</v>
      </c>
      <c r="G56" s="835"/>
      <c r="H56" s="443">
        <v>10.8</v>
      </c>
      <c r="I56" s="405" t="s">
        <v>173</v>
      </c>
      <c r="J56" s="406" t="s">
        <v>173</v>
      </c>
      <c r="K56" s="405" t="s">
        <v>173</v>
      </c>
      <c r="L56" s="406" t="s">
        <v>173</v>
      </c>
      <c r="M56" s="835"/>
      <c r="N56" s="156" t="s">
        <v>400</v>
      </c>
      <c r="O56" s="835"/>
      <c r="P56" s="162" t="s">
        <v>401</v>
      </c>
      <c r="Q56" s="835"/>
      <c r="R56" s="162" t="s">
        <v>782</v>
      </c>
      <c r="T56" s="364"/>
      <c r="U56" s="364"/>
      <c r="V56" s="364"/>
    </row>
    <row r="57" spans="1:22" x14ac:dyDescent="0.3">
      <c r="A57" s="89"/>
      <c r="B57" s="84"/>
      <c r="C57" s="82"/>
      <c r="D57" s="89"/>
      <c r="E57" s="91"/>
      <c r="F57" s="89"/>
      <c r="G57" s="91"/>
      <c r="H57" s="89"/>
      <c r="I57" s="91"/>
      <c r="J57" s="89"/>
      <c r="K57" s="30"/>
      <c r="L57" s="364"/>
      <c r="N57" s="364"/>
      <c r="P57" s="364"/>
      <c r="R57" s="364"/>
      <c r="T57" s="364"/>
      <c r="U57" s="982"/>
      <c r="V57" s="982"/>
    </row>
    <row r="59" spans="1:22" ht="27.6" x14ac:dyDescent="0.3">
      <c r="A59" s="89"/>
      <c r="B59" s="115" t="s">
        <v>331</v>
      </c>
      <c r="C59" s="123" t="s">
        <v>413</v>
      </c>
      <c r="D59" s="119" t="s">
        <v>122</v>
      </c>
      <c r="E59" s="182"/>
      <c r="F59" s="117" t="s">
        <v>414</v>
      </c>
      <c r="G59" s="175"/>
      <c r="H59" s="173" t="s">
        <v>1564</v>
      </c>
      <c r="I59" s="194"/>
      <c r="J59" s="117" t="s">
        <v>385</v>
      </c>
      <c r="K59" s="196"/>
      <c r="L59" s="117" t="s">
        <v>416</v>
      </c>
      <c r="N59" s="364"/>
      <c r="P59" s="364"/>
      <c r="R59" s="364"/>
      <c r="T59" s="364"/>
      <c r="U59" s="982"/>
      <c r="V59" s="982"/>
    </row>
    <row r="60" spans="1:22" ht="15" thickBot="1" x14ac:dyDescent="0.35">
      <c r="A60" s="89"/>
      <c r="B60" s="178" t="s">
        <v>417</v>
      </c>
      <c r="C60" s="176" t="s">
        <v>418</v>
      </c>
      <c r="D60" s="176"/>
      <c r="E60" s="183"/>
      <c r="F60" s="179" t="s">
        <v>419</v>
      </c>
      <c r="G60" s="177"/>
      <c r="H60" s="176" t="s">
        <v>420</v>
      </c>
      <c r="I60" s="183"/>
      <c r="J60" s="179"/>
      <c r="K60" s="124"/>
      <c r="L60" s="179" t="s">
        <v>421</v>
      </c>
      <c r="N60" s="364"/>
      <c r="P60" s="364"/>
      <c r="R60" s="364"/>
      <c r="T60" s="364"/>
      <c r="U60" s="982"/>
      <c r="V60" s="982"/>
    </row>
    <row r="61" spans="1:22" ht="15" thickTop="1" x14ac:dyDescent="0.3">
      <c r="A61" s="89"/>
      <c r="B61" s="130" t="s">
        <v>1430</v>
      </c>
      <c r="C61" s="92" t="s">
        <v>1493</v>
      </c>
      <c r="D61" s="367" t="s">
        <v>1705</v>
      </c>
      <c r="E61" s="140" t="s">
        <v>300</v>
      </c>
      <c r="F61" s="197" t="s">
        <v>681</v>
      </c>
      <c r="G61" s="415" t="s">
        <v>173</v>
      </c>
      <c r="H61" s="415" t="s">
        <v>173</v>
      </c>
      <c r="I61" s="403" t="s">
        <v>173</v>
      </c>
      <c r="J61" s="404" t="s">
        <v>173</v>
      </c>
      <c r="K61" s="415" t="s">
        <v>173</v>
      </c>
      <c r="L61" s="404" t="s">
        <v>173</v>
      </c>
      <c r="N61" s="364"/>
      <c r="P61" s="364"/>
      <c r="R61" s="364"/>
      <c r="T61" s="364"/>
      <c r="U61" s="982"/>
      <c r="V61" s="982"/>
    </row>
    <row r="62" spans="1:22" x14ac:dyDescent="0.3">
      <c r="A62" s="89"/>
      <c r="B62" s="130" t="s">
        <v>1430</v>
      </c>
      <c r="C62" s="92" t="s">
        <v>1725</v>
      </c>
      <c r="D62" s="367" t="s">
        <v>1705</v>
      </c>
      <c r="E62" s="140" t="s">
        <v>300</v>
      </c>
      <c r="F62" s="197" t="s">
        <v>681</v>
      </c>
      <c r="G62" s="415" t="s">
        <v>173</v>
      </c>
      <c r="H62" s="415" t="s">
        <v>173</v>
      </c>
      <c r="I62" s="403" t="s">
        <v>173</v>
      </c>
      <c r="J62" s="404" t="s">
        <v>173</v>
      </c>
      <c r="K62" s="415" t="s">
        <v>173</v>
      </c>
      <c r="L62" s="404" t="s">
        <v>173</v>
      </c>
      <c r="N62" s="364"/>
      <c r="P62" s="364"/>
      <c r="R62" s="364"/>
      <c r="T62" s="364"/>
      <c r="U62" s="982"/>
      <c r="V62" s="982"/>
    </row>
    <row r="63" spans="1:22" x14ac:dyDescent="0.3">
      <c r="A63" s="89"/>
      <c r="B63" s="130" t="s">
        <v>1430</v>
      </c>
      <c r="C63" s="92" t="s">
        <v>1501</v>
      </c>
      <c r="D63" s="367" t="s">
        <v>1705</v>
      </c>
      <c r="E63" s="140" t="s">
        <v>300</v>
      </c>
      <c r="F63" s="197" t="s">
        <v>681</v>
      </c>
      <c r="G63" s="415" t="s">
        <v>173</v>
      </c>
      <c r="H63" s="415" t="s">
        <v>173</v>
      </c>
      <c r="I63" s="403" t="s">
        <v>173</v>
      </c>
      <c r="J63" s="404" t="s">
        <v>173</v>
      </c>
      <c r="K63" s="415" t="s">
        <v>173</v>
      </c>
      <c r="L63" s="404" t="s">
        <v>173</v>
      </c>
      <c r="N63" s="364"/>
      <c r="P63" s="364"/>
      <c r="R63" s="364"/>
      <c r="T63" s="364"/>
      <c r="U63" s="982"/>
      <c r="V63" s="982"/>
    </row>
    <row r="64" spans="1:22" x14ac:dyDescent="0.3">
      <c r="A64" s="89"/>
      <c r="B64" s="130" t="s">
        <v>1430</v>
      </c>
      <c r="C64" s="92" t="s">
        <v>1502</v>
      </c>
      <c r="D64" s="367" t="s">
        <v>1705</v>
      </c>
      <c r="E64" s="140" t="s">
        <v>300</v>
      </c>
      <c r="F64" s="197" t="s">
        <v>681</v>
      </c>
      <c r="G64" s="415" t="s">
        <v>173</v>
      </c>
      <c r="H64" s="415" t="s">
        <v>173</v>
      </c>
      <c r="I64" s="403" t="s">
        <v>173</v>
      </c>
      <c r="J64" s="404" t="s">
        <v>173</v>
      </c>
      <c r="K64" s="415" t="s">
        <v>173</v>
      </c>
      <c r="L64" s="404" t="s">
        <v>173</v>
      </c>
      <c r="N64" s="364"/>
      <c r="P64" s="364"/>
      <c r="R64" s="364"/>
      <c r="T64" s="364"/>
      <c r="U64" s="982"/>
      <c r="V64" s="982"/>
    </row>
    <row r="65" spans="1:22" x14ac:dyDescent="0.3">
      <c r="A65" s="89"/>
      <c r="B65" s="130" t="s">
        <v>1430</v>
      </c>
      <c r="C65" s="92" t="s">
        <v>1726</v>
      </c>
      <c r="D65" s="367" t="s">
        <v>1705</v>
      </c>
      <c r="E65" s="140" t="s">
        <v>300</v>
      </c>
      <c r="F65" s="197" t="s">
        <v>681</v>
      </c>
      <c r="G65" s="415" t="s">
        <v>173</v>
      </c>
      <c r="H65" s="415" t="s">
        <v>173</v>
      </c>
      <c r="I65" s="403" t="s">
        <v>173</v>
      </c>
      <c r="J65" s="404" t="s">
        <v>173</v>
      </c>
      <c r="K65" s="415" t="s">
        <v>173</v>
      </c>
      <c r="L65" s="404" t="s">
        <v>173</v>
      </c>
      <c r="N65" s="364"/>
      <c r="P65" s="364"/>
      <c r="R65" s="364"/>
      <c r="T65" s="364"/>
      <c r="U65" s="982"/>
      <c r="V65" s="982"/>
    </row>
    <row r="66" spans="1:22" x14ac:dyDescent="0.3">
      <c r="A66" s="89"/>
      <c r="B66" s="130" t="s">
        <v>1430</v>
      </c>
      <c r="C66" s="92" t="s">
        <v>1506</v>
      </c>
      <c r="D66" s="367" t="s">
        <v>1705</v>
      </c>
      <c r="E66" s="140" t="s">
        <v>300</v>
      </c>
      <c r="F66" s="197" t="s">
        <v>681</v>
      </c>
      <c r="G66" s="415" t="s">
        <v>173</v>
      </c>
      <c r="H66" s="415" t="s">
        <v>173</v>
      </c>
      <c r="I66" s="403" t="s">
        <v>173</v>
      </c>
      <c r="J66" s="404" t="s">
        <v>173</v>
      </c>
      <c r="K66" s="415" t="s">
        <v>173</v>
      </c>
      <c r="L66" s="404" t="s">
        <v>173</v>
      </c>
      <c r="N66" s="364"/>
      <c r="P66" s="364"/>
      <c r="R66" s="364"/>
      <c r="T66" s="364"/>
      <c r="U66" s="982"/>
      <c r="V66" s="982"/>
    </row>
    <row r="67" spans="1:22" x14ac:dyDescent="0.3">
      <c r="A67" s="89"/>
      <c r="B67" s="130" t="s">
        <v>1611</v>
      </c>
      <c r="C67" s="92" t="s">
        <v>1612</v>
      </c>
      <c r="D67" s="367" t="s">
        <v>1705</v>
      </c>
      <c r="E67" s="140" t="s">
        <v>300</v>
      </c>
      <c r="F67" s="197" t="s">
        <v>681</v>
      </c>
      <c r="G67" s="415" t="s">
        <v>173</v>
      </c>
      <c r="H67" s="415" t="s">
        <v>173</v>
      </c>
      <c r="I67" s="403" t="s">
        <v>173</v>
      </c>
      <c r="J67" s="404" t="s">
        <v>173</v>
      </c>
      <c r="K67" s="415" t="s">
        <v>173</v>
      </c>
      <c r="L67" s="404" t="s">
        <v>173</v>
      </c>
      <c r="N67" s="364"/>
      <c r="P67" s="364"/>
      <c r="R67" s="364"/>
      <c r="T67" s="364"/>
      <c r="U67" s="982"/>
      <c r="V67" s="982"/>
    </row>
    <row r="68" spans="1:22" x14ac:dyDescent="0.3">
      <c r="A68" s="89"/>
      <c r="B68" s="130" t="s">
        <v>1611</v>
      </c>
      <c r="C68" s="92" t="s">
        <v>1727</v>
      </c>
      <c r="D68" s="367" t="s">
        <v>1705</v>
      </c>
      <c r="E68" s="140" t="s">
        <v>300</v>
      </c>
      <c r="F68" s="197" t="s">
        <v>681</v>
      </c>
      <c r="G68" s="415" t="s">
        <v>173</v>
      </c>
      <c r="H68" s="415" t="s">
        <v>173</v>
      </c>
      <c r="I68" s="403" t="s">
        <v>173</v>
      </c>
      <c r="J68" s="404" t="s">
        <v>173</v>
      </c>
      <c r="K68" s="415" t="s">
        <v>173</v>
      </c>
      <c r="L68" s="404" t="s">
        <v>173</v>
      </c>
      <c r="N68" s="364"/>
      <c r="P68" s="364"/>
      <c r="R68" s="364"/>
      <c r="T68" s="364"/>
      <c r="U68" s="982"/>
      <c r="V68" s="982"/>
    </row>
    <row r="69" spans="1:22" x14ac:dyDescent="0.3">
      <c r="A69" s="89"/>
      <c r="B69" s="130" t="s">
        <v>1611</v>
      </c>
      <c r="C69" s="92" t="s">
        <v>1728</v>
      </c>
      <c r="D69" s="367" t="s">
        <v>1705</v>
      </c>
      <c r="E69" s="140" t="s">
        <v>300</v>
      </c>
      <c r="F69" s="197" t="s">
        <v>681</v>
      </c>
      <c r="G69" s="415" t="s">
        <v>173</v>
      </c>
      <c r="H69" s="415" t="s">
        <v>173</v>
      </c>
      <c r="I69" s="403" t="s">
        <v>173</v>
      </c>
      <c r="J69" s="404" t="s">
        <v>173</v>
      </c>
      <c r="K69" s="415" t="s">
        <v>173</v>
      </c>
      <c r="L69" s="404" t="s">
        <v>173</v>
      </c>
      <c r="N69" s="364"/>
      <c r="P69" s="364"/>
      <c r="R69" s="364"/>
      <c r="T69" s="364"/>
      <c r="U69" s="982"/>
      <c r="V69" s="982"/>
    </row>
    <row r="70" spans="1:22" x14ac:dyDescent="0.3">
      <c r="A70" s="89"/>
      <c r="B70" s="130" t="s">
        <v>1611</v>
      </c>
      <c r="C70" s="92" t="s">
        <v>1729</v>
      </c>
      <c r="D70" s="367" t="s">
        <v>1705</v>
      </c>
      <c r="E70" s="140" t="s">
        <v>300</v>
      </c>
      <c r="F70" s="197" t="s">
        <v>681</v>
      </c>
      <c r="G70" s="415" t="s">
        <v>173</v>
      </c>
      <c r="H70" s="415" t="s">
        <v>173</v>
      </c>
      <c r="I70" s="403" t="s">
        <v>173</v>
      </c>
      <c r="J70" s="404" t="s">
        <v>173</v>
      </c>
      <c r="K70" s="415" t="s">
        <v>173</v>
      </c>
      <c r="L70" s="404" t="s">
        <v>173</v>
      </c>
      <c r="N70" s="364"/>
      <c r="P70" s="364"/>
      <c r="R70" s="364"/>
      <c r="T70" s="364"/>
      <c r="U70" s="982"/>
      <c r="V70" s="982"/>
    </row>
    <row r="71" spans="1:22" x14ac:dyDescent="0.3">
      <c r="A71" s="89"/>
      <c r="B71" s="130" t="s">
        <v>1611</v>
      </c>
      <c r="C71" s="92" t="s">
        <v>1730</v>
      </c>
      <c r="D71" s="367" t="s">
        <v>1705</v>
      </c>
      <c r="E71" s="140" t="s">
        <v>300</v>
      </c>
      <c r="F71" s="197" t="s">
        <v>681</v>
      </c>
      <c r="G71" s="415" t="s">
        <v>173</v>
      </c>
      <c r="H71" s="415" t="s">
        <v>173</v>
      </c>
      <c r="I71" s="403" t="s">
        <v>173</v>
      </c>
      <c r="J71" s="404" t="s">
        <v>173</v>
      </c>
      <c r="K71" s="415" t="s">
        <v>173</v>
      </c>
      <c r="L71" s="404" t="s">
        <v>173</v>
      </c>
      <c r="N71" s="364"/>
      <c r="P71" s="364"/>
      <c r="R71" s="364"/>
      <c r="T71" s="364"/>
      <c r="U71" s="982"/>
      <c r="V71" s="982"/>
    </row>
    <row r="72" spans="1:22" x14ac:dyDescent="0.3">
      <c r="A72" s="89"/>
      <c r="B72" s="130" t="s">
        <v>1715</v>
      </c>
      <c r="C72" s="92" t="s">
        <v>1731</v>
      </c>
      <c r="D72" s="367" t="s">
        <v>137</v>
      </c>
      <c r="E72" s="140" t="s">
        <v>300</v>
      </c>
      <c r="F72" s="197" t="s">
        <v>430</v>
      </c>
      <c r="G72" s="140" t="s">
        <v>1262</v>
      </c>
      <c r="H72" s="920">
        <f>0.0051427*(81)+0.3989</f>
        <v>0.81545869999999998</v>
      </c>
      <c r="I72" s="403" t="s">
        <v>173</v>
      </c>
      <c r="J72" s="404" t="s">
        <v>173</v>
      </c>
      <c r="K72" s="745" t="s">
        <v>300</v>
      </c>
      <c r="L72" s="752" t="s">
        <v>431</v>
      </c>
      <c r="N72" s="364"/>
      <c r="P72" s="364"/>
      <c r="R72" s="364"/>
      <c r="T72" s="364"/>
      <c r="U72" s="982"/>
      <c r="V72" s="982"/>
    </row>
    <row r="73" spans="1:22" x14ac:dyDescent="0.3">
      <c r="A73" s="89"/>
      <c r="B73" s="876" t="s">
        <v>1361</v>
      </c>
      <c r="C73" s="43" t="s">
        <v>1372</v>
      </c>
      <c r="D73" s="367" t="s">
        <v>137</v>
      </c>
      <c r="E73" s="140"/>
      <c r="F73" s="197" t="s">
        <v>430</v>
      </c>
      <c r="G73" s="140"/>
      <c r="H73" s="920">
        <f t="shared" ref="H73:H77" si="0">0.0051427*(78)+0.3989</f>
        <v>0.80003059999999993</v>
      </c>
      <c r="I73" s="403"/>
      <c r="J73" s="404"/>
      <c r="K73" s="745" t="s">
        <v>1262</v>
      </c>
      <c r="L73" s="752" t="s">
        <v>431</v>
      </c>
      <c r="N73" s="364"/>
      <c r="P73" s="364"/>
      <c r="R73" s="364"/>
      <c r="T73" s="364"/>
      <c r="U73" s="982"/>
      <c r="V73" s="982"/>
    </row>
    <row r="74" spans="1:22" x14ac:dyDescent="0.3">
      <c r="A74" s="89"/>
      <c r="B74" s="876" t="s">
        <v>1362</v>
      </c>
      <c r="C74" s="43" t="s">
        <v>1373</v>
      </c>
      <c r="D74" s="367" t="s">
        <v>137</v>
      </c>
      <c r="E74" s="140"/>
      <c r="F74" s="197" t="s">
        <v>430</v>
      </c>
      <c r="G74" s="140"/>
      <c r="H74" s="920">
        <f t="shared" si="0"/>
        <v>0.80003059999999993</v>
      </c>
      <c r="I74" s="403"/>
      <c r="J74" s="404"/>
      <c r="K74" s="745" t="s">
        <v>1262</v>
      </c>
      <c r="L74" s="752" t="s">
        <v>431</v>
      </c>
      <c r="N74" s="364"/>
      <c r="P74" s="364"/>
      <c r="R74" s="364"/>
      <c r="T74" s="364"/>
      <c r="U74" s="982"/>
      <c r="V74" s="982"/>
    </row>
    <row r="75" spans="1:22" x14ac:dyDescent="0.3">
      <c r="A75" s="89"/>
      <c r="B75" s="876" t="s">
        <v>1363</v>
      </c>
      <c r="C75" s="43" t="s">
        <v>1374</v>
      </c>
      <c r="D75" s="367" t="s">
        <v>137</v>
      </c>
      <c r="E75" s="140"/>
      <c r="F75" s="197" t="s">
        <v>430</v>
      </c>
      <c r="G75" s="140"/>
      <c r="H75" s="920">
        <f t="shared" si="0"/>
        <v>0.80003059999999993</v>
      </c>
      <c r="I75" s="403"/>
      <c r="J75" s="404"/>
      <c r="K75" s="745" t="s">
        <v>1262</v>
      </c>
      <c r="L75" s="752" t="s">
        <v>431</v>
      </c>
      <c r="N75" s="364"/>
      <c r="P75" s="364"/>
      <c r="R75" s="364"/>
      <c r="T75" s="364"/>
      <c r="U75" s="982"/>
      <c r="V75" s="982"/>
    </row>
    <row r="76" spans="1:22" x14ac:dyDescent="0.3">
      <c r="A76" s="89"/>
      <c r="B76" s="876" t="s">
        <v>1364</v>
      </c>
      <c r="C76" s="43" t="s">
        <v>1375</v>
      </c>
      <c r="D76" s="367" t="s">
        <v>137</v>
      </c>
      <c r="E76" s="140"/>
      <c r="F76" s="197" t="s">
        <v>430</v>
      </c>
      <c r="G76" s="140"/>
      <c r="H76" s="920">
        <f t="shared" si="0"/>
        <v>0.80003059999999993</v>
      </c>
      <c r="I76" s="403"/>
      <c r="J76" s="404"/>
      <c r="K76" s="745" t="s">
        <v>1262</v>
      </c>
      <c r="L76" s="752" t="s">
        <v>431</v>
      </c>
      <c r="N76" s="364"/>
      <c r="P76" s="364"/>
      <c r="R76" s="364"/>
      <c r="T76" s="364"/>
      <c r="U76" s="982"/>
      <c r="V76" s="982"/>
    </row>
    <row r="77" spans="1:22" x14ac:dyDescent="0.3">
      <c r="A77" s="89"/>
      <c r="B77" s="877" t="s">
        <v>1366</v>
      </c>
      <c r="C77" s="867" t="s">
        <v>1376</v>
      </c>
      <c r="D77" s="230" t="s">
        <v>137</v>
      </c>
      <c r="E77" s="171"/>
      <c r="F77" s="822" t="s">
        <v>430</v>
      </c>
      <c r="G77" s="171"/>
      <c r="H77" s="921">
        <f t="shared" si="0"/>
        <v>0.80003059999999993</v>
      </c>
      <c r="I77" s="405"/>
      <c r="J77" s="406"/>
      <c r="K77" s="759" t="s">
        <v>1262</v>
      </c>
      <c r="L77" s="424" t="s">
        <v>431</v>
      </c>
      <c r="N77" s="364"/>
      <c r="P77" s="364"/>
      <c r="R77" s="364"/>
      <c r="T77" s="364"/>
      <c r="U77" s="982"/>
      <c r="V77" s="982"/>
    </row>
    <row r="78" spans="1:22" s="441" customFormat="1" x14ac:dyDescent="0.3">
      <c r="A78" s="93"/>
      <c r="B78" s="43"/>
      <c r="C78" s="43"/>
      <c r="D78" s="776"/>
      <c r="E78" s="777"/>
      <c r="F78" s="363"/>
      <c r="G78" s="777"/>
      <c r="H78" s="446"/>
      <c r="I78" s="37"/>
      <c r="J78" s="37"/>
      <c r="K78" s="777"/>
      <c r="L78" s="43"/>
      <c r="M78" s="69"/>
      <c r="N78" s="69"/>
      <c r="O78" s="69"/>
      <c r="P78" s="69"/>
      <c r="Q78" s="69"/>
      <c r="R78" s="69"/>
      <c r="S78" s="69"/>
      <c r="T78" s="69"/>
    </row>
    <row r="79" spans="1:22" x14ac:dyDescent="0.3">
      <c r="A79" s="89"/>
      <c r="B79" s="90"/>
      <c r="C79" s="93"/>
      <c r="D79" s="89"/>
      <c r="E79" s="91"/>
      <c r="F79" s="89"/>
      <c r="G79" s="91"/>
      <c r="H79" s="89"/>
      <c r="I79" s="91"/>
      <c r="J79" s="89"/>
      <c r="K79" s="91"/>
      <c r="L79" s="89"/>
      <c r="M79" s="91"/>
      <c r="N79" s="89"/>
      <c r="O79" s="91"/>
      <c r="P79" s="89"/>
      <c r="Q79" s="91"/>
      <c r="R79" s="89"/>
      <c r="S79" s="91"/>
      <c r="T79" s="89"/>
      <c r="U79" s="982"/>
      <c r="V79" s="982"/>
    </row>
    <row r="80" spans="1:22" ht="27.6" x14ac:dyDescent="0.3">
      <c r="A80" s="89"/>
      <c r="B80" s="115" t="s">
        <v>331</v>
      </c>
      <c r="C80" s="123" t="s">
        <v>432</v>
      </c>
      <c r="D80" s="119" t="s">
        <v>122</v>
      </c>
      <c r="E80" s="182"/>
      <c r="F80" s="117" t="s">
        <v>433</v>
      </c>
      <c r="G80" s="120"/>
      <c r="H80" s="173" t="s">
        <v>434</v>
      </c>
      <c r="I80" s="131"/>
      <c r="J80" s="117" t="s">
        <v>435</v>
      </c>
      <c r="K80" s="131"/>
      <c r="L80" s="117" t="s">
        <v>436</v>
      </c>
      <c r="M80" s="173"/>
      <c r="N80" s="120" t="s">
        <v>437</v>
      </c>
      <c r="O80" s="194"/>
      <c r="P80" s="117" t="s">
        <v>438</v>
      </c>
      <c r="Q80" s="173"/>
      <c r="R80" s="173" t="s">
        <v>439</v>
      </c>
      <c r="S80" s="194"/>
      <c r="T80" s="117" t="s">
        <v>440</v>
      </c>
      <c r="U80" s="194"/>
      <c r="V80" s="117" t="s">
        <v>1504</v>
      </c>
    </row>
    <row r="81" spans="1:26" ht="15" thickBot="1" x14ac:dyDescent="0.35">
      <c r="A81" s="89"/>
      <c r="B81" s="178" t="s">
        <v>417</v>
      </c>
      <c r="C81" s="176" t="s">
        <v>442</v>
      </c>
      <c r="D81" s="176"/>
      <c r="E81" s="183"/>
      <c r="F81" s="179" t="s">
        <v>443</v>
      </c>
      <c r="G81" s="177"/>
      <c r="H81" s="176" t="s">
        <v>444</v>
      </c>
      <c r="I81" s="183"/>
      <c r="J81" s="179"/>
      <c r="K81" s="183"/>
      <c r="L81" s="179" t="s">
        <v>445</v>
      </c>
      <c r="M81" s="177"/>
      <c r="N81" s="176" t="s">
        <v>446</v>
      </c>
      <c r="O81" s="183"/>
      <c r="P81" s="179" t="s">
        <v>447</v>
      </c>
      <c r="Q81" s="177"/>
      <c r="R81" s="176" t="s">
        <v>448</v>
      </c>
      <c r="S81" s="183"/>
      <c r="T81" s="179" t="s">
        <v>449</v>
      </c>
      <c r="U81" s="178"/>
      <c r="V81" s="179" t="s">
        <v>739</v>
      </c>
      <c r="W81" s="982"/>
      <c r="X81" s="982"/>
      <c r="Y81" s="982"/>
      <c r="Z81" s="982"/>
    </row>
    <row r="82" spans="1:26" ht="28.2" thickTop="1" x14ac:dyDescent="0.3">
      <c r="A82" s="89"/>
      <c r="B82" s="130" t="s">
        <v>1430</v>
      </c>
      <c r="C82" s="92" t="s">
        <v>1511</v>
      </c>
      <c r="D82" s="92" t="s">
        <v>1705</v>
      </c>
      <c r="E82" s="140" t="s">
        <v>300</v>
      </c>
      <c r="F82" s="152" t="s">
        <v>451</v>
      </c>
      <c r="G82" s="147" t="s">
        <v>300</v>
      </c>
      <c r="H82" s="92" t="s">
        <v>452</v>
      </c>
      <c r="I82" s="403" t="s">
        <v>173</v>
      </c>
      <c r="J82" s="404">
        <v>20454.5</v>
      </c>
      <c r="K82" s="142" t="s">
        <v>300</v>
      </c>
      <c r="L82" s="203">
        <v>20.795999999999999</v>
      </c>
      <c r="M82" s="415" t="s">
        <v>173</v>
      </c>
      <c r="N82" s="415" t="s">
        <v>173</v>
      </c>
      <c r="O82" s="403" t="s">
        <v>173</v>
      </c>
      <c r="P82" s="404" t="s">
        <v>173</v>
      </c>
      <c r="Q82" s="205" t="s">
        <v>173</v>
      </c>
      <c r="R82" s="99">
        <v>25</v>
      </c>
      <c r="S82" s="146" t="s">
        <v>173</v>
      </c>
      <c r="T82" s="199">
        <v>0.93600000000000005</v>
      </c>
      <c r="U82" s="411" t="s">
        <v>300</v>
      </c>
      <c r="V82" s="485" t="s">
        <v>1508</v>
      </c>
      <c r="W82" s="982"/>
      <c r="X82" s="982"/>
      <c r="Y82" s="982"/>
      <c r="Z82" s="982"/>
    </row>
    <row r="83" spans="1:26" ht="27.6" x14ac:dyDescent="0.3">
      <c r="A83" s="89"/>
      <c r="B83" s="130" t="s">
        <v>1611</v>
      </c>
      <c r="C83" s="92" t="s">
        <v>1732</v>
      </c>
      <c r="D83" s="92" t="s">
        <v>1705</v>
      </c>
      <c r="E83" s="140" t="s">
        <v>300</v>
      </c>
      <c r="F83" s="152" t="s">
        <v>451</v>
      </c>
      <c r="G83" s="147" t="s">
        <v>300</v>
      </c>
      <c r="H83" s="92" t="s">
        <v>452</v>
      </c>
      <c r="I83" s="403" t="s">
        <v>173</v>
      </c>
      <c r="J83" s="404">
        <v>18454.5</v>
      </c>
      <c r="K83" s="142" t="s">
        <v>300</v>
      </c>
      <c r="L83" s="202">
        <v>18.763000000000002</v>
      </c>
      <c r="M83" s="415" t="s">
        <v>173</v>
      </c>
      <c r="N83" s="415" t="s">
        <v>173</v>
      </c>
      <c r="O83" s="403" t="s">
        <v>173</v>
      </c>
      <c r="P83" s="404" t="s">
        <v>173</v>
      </c>
      <c r="Q83" s="205" t="s">
        <v>173</v>
      </c>
      <c r="R83" s="99">
        <v>20</v>
      </c>
      <c r="S83" s="146" t="s">
        <v>173</v>
      </c>
      <c r="T83" s="728">
        <v>0.93</v>
      </c>
      <c r="U83" s="98" t="s">
        <v>300</v>
      </c>
      <c r="V83" s="485" t="s">
        <v>1508</v>
      </c>
      <c r="W83" s="982"/>
      <c r="X83" s="982"/>
      <c r="Y83" s="982"/>
      <c r="Z83" s="982"/>
    </row>
    <row r="84" spans="1:26" x14ac:dyDescent="0.3">
      <c r="A84" s="89"/>
      <c r="B84" s="130" t="s">
        <v>1715</v>
      </c>
      <c r="C84" s="92" t="s">
        <v>1733</v>
      </c>
      <c r="D84" s="92" t="s">
        <v>137</v>
      </c>
      <c r="E84" s="243" t="s">
        <v>300</v>
      </c>
      <c r="F84" s="152" t="s">
        <v>458</v>
      </c>
      <c r="G84" s="753" t="s">
        <v>300</v>
      </c>
      <c r="H84" s="92" t="s">
        <v>452</v>
      </c>
      <c r="I84" s="403" t="s">
        <v>173</v>
      </c>
      <c r="J84" s="404">
        <v>1554.08</v>
      </c>
      <c r="K84" s="243" t="s">
        <v>300</v>
      </c>
      <c r="L84" s="202">
        <v>1.2250000000000001</v>
      </c>
      <c r="M84" s="415" t="s">
        <v>173</v>
      </c>
      <c r="N84" s="415" t="s">
        <v>173</v>
      </c>
      <c r="O84" s="403" t="s">
        <v>173</v>
      </c>
      <c r="P84" s="404" t="s">
        <v>173</v>
      </c>
      <c r="Q84" s="246" t="s">
        <v>173</v>
      </c>
      <c r="R84" s="99">
        <v>1.5</v>
      </c>
      <c r="S84" s="248" t="s">
        <v>173</v>
      </c>
      <c r="T84" s="199">
        <v>0.86499999999999999</v>
      </c>
      <c r="U84" s="403" t="s">
        <v>173</v>
      </c>
      <c r="V84" s="404" t="s">
        <v>173</v>
      </c>
      <c r="W84" s="982"/>
      <c r="X84" s="982"/>
      <c r="Y84" s="982"/>
      <c r="Z84" s="982"/>
    </row>
    <row r="85" spans="1:26" x14ac:dyDescent="0.3">
      <c r="A85" s="89"/>
      <c r="B85" s="876" t="s">
        <v>1361</v>
      </c>
      <c r="C85" s="43" t="s">
        <v>1377</v>
      </c>
      <c r="D85" s="92" t="s">
        <v>137</v>
      </c>
      <c r="E85" s="243"/>
      <c r="F85" s="152" t="s">
        <v>451</v>
      </c>
      <c r="G85" s="753"/>
      <c r="H85" s="92" t="s">
        <v>452</v>
      </c>
      <c r="I85" s="750"/>
      <c r="J85" s="751">
        <v>3619.87</v>
      </c>
      <c r="K85" s="750"/>
      <c r="L85" s="751"/>
      <c r="M85" s="754"/>
      <c r="N85" s="754"/>
      <c r="O85" s="755" t="s">
        <v>1262</v>
      </c>
      <c r="P85" s="836">
        <v>3.8771200000000001</v>
      </c>
      <c r="Q85" s="246" t="s">
        <v>173</v>
      </c>
      <c r="R85" s="99">
        <v>5</v>
      </c>
      <c r="S85" s="248" t="s">
        <v>173</v>
      </c>
      <c r="T85" s="199">
        <v>0.89500000000000002</v>
      </c>
      <c r="U85" s="403"/>
      <c r="V85" s="404" t="s">
        <v>1734</v>
      </c>
      <c r="W85" s="982"/>
      <c r="X85" s="982"/>
      <c r="Y85" s="982"/>
      <c r="Z85" s="982"/>
    </row>
    <row r="86" spans="1:26" x14ac:dyDescent="0.3">
      <c r="A86" s="89"/>
      <c r="B86" s="876" t="s">
        <v>1362</v>
      </c>
      <c r="C86" s="43" t="s">
        <v>1379</v>
      </c>
      <c r="D86" s="92" t="s">
        <v>137</v>
      </c>
      <c r="E86" s="243"/>
      <c r="F86" s="152" t="s">
        <v>458</v>
      </c>
      <c r="G86" s="753"/>
      <c r="H86" s="92" t="s">
        <v>452</v>
      </c>
      <c r="I86" s="750"/>
      <c r="J86" s="751">
        <v>1951.95</v>
      </c>
      <c r="K86" s="750"/>
      <c r="L86" s="751"/>
      <c r="M86" s="754"/>
      <c r="N86" s="754"/>
      <c r="O86" s="745" t="s">
        <v>1262</v>
      </c>
      <c r="P86" s="836">
        <v>3.8771200000000001</v>
      </c>
      <c r="Q86" s="246" t="s">
        <v>173</v>
      </c>
      <c r="R86" s="99">
        <v>2</v>
      </c>
      <c r="S86" s="248" t="s">
        <v>173</v>
      </c>
      <c r="T86" s="199">
        <v>0.86499999999999999</v>
      </c>
      <c r="U86" s="403"/>
      <c r="V86" s="404" t="s">
        <v>1734</v>
      </c>
      <c r="W86" s="982"/>
      <c r="X86" s="982"/>
      <c r="Y86" s="982"/>
      <c r="Z86" s="982"/>
    </row>
    <row r="87" spans="1:26" x14ac:dyDescent="0.3">
      <c r="A87" s="89"/>
      <c r="B87" s="876" t="s">
        <v>1363</v>
      </c>
      <c r="C87" s="43" t="s">
        <v>1380</v>
      </c>
      <c r="D87" s="92" t="s">
        <v>137</v>
      </c>
      <c r="E87" s="243"/>
      <c r="F87" s="152" t="s">
        <v>458</v>
      </c>
      <c r="G87" s="753"/>
      <c r="H87" s="92" t="s">
        <v>452</v>
      </c>
      <c r="I87" s="750"/>
      <c r="J87" s="751">
        <v>1654.54</v>
      </c>
      <c r="K87" s="750"/>
      <c r="L87" s="751"/>
      <c r="M87" s="754"/>
      <c r="N87" s="754"/>
      <c r="O87" s="745" t="s">
        <v>1262</v>
      </c>
      <c r="P87" s="836">
        <v>3.8771200000000001</v>
      </c>
      <c r="Q87" s="246" t="s">
        <v>173</v>
      </c>
      <c r="R87" s="99">
        <v>2</v>
      </c>
      <c r="S87" s="248" t="s">
        <v>173</v>
      </c>
      <c r="T87" s="199">
        <v>0.86499999999999999</v>
      </c>
      <c r="U87" s="403"/>
      <c r="V87" s="404" t="s">
        <v>1734</v>
      </c>
      <c r="W87" s="982"/>
      <c r="X87" s="982"/>
      <c r="Y87" s="982"/>
      <c r="Z87" s="982"/>
    </row>
    <row r="88" spans="1:26" x14ac:dyDescent="0.3">
      <c r="A88" s="89"/>
      <c r="B88" s="876" t="s">
        <v>1364</v>
      </c>
      <c r="C88" s="43" t="s">
        <v>1381</v>
      </c>
      <c r="D88" s="92" t="s">
        <v>137</v>
      </c>
      <c r="E88" s="243"/>
      <c r="F88" s="152" t="s">
        <v>458</v>
      </c>
      <c r="G88" s="753"/>
      <c r="H88" s="92" t="s">
        <v>452</v>
      </c>
      <c r="I88" s="750"/>
      <c r="J88" s="751">
        <v>2024.9</v>
      </c>
      <c r="K88" s="750"/>
      <c r="L88" s="751"/>
      <c r="M88" s="754"/>
      <c r="N88" s="754"/>
      <c r="O88" s="745" t="s">
        <v>1262</v>
      </c>
      <c r="P88" s="836">
        <v>3.8771200000000001</v>
      </c>
      <c r="Q88" s="246" t="s">
        <v>173</v>
      </c>
      <c r="R88" s="99">
        <v>2</v>
      </c>
      <c r="S88" s="248" t="s">
        <v>173</v>
      </c>
      <c r="T88" s="199">
        <v>0.86499999999999999</v>
      </c>
      <c r="U88" s="403"/>
      <c r="V88" s="404" t="s">
        <v>1734</v>
      </c>
      <c r="W88" s="982"/>
      <c r="X88" s="982"/>
      <c r="Y88" s="982"/>
      <c r="Z88" s="982"/>
    </row>
    <row r="89" spans="1:26" x14ac:dyDescent="0.3">
      <c r="A89" s="89"/>
      <c r="B89" s="877" t="s">
        <v>1366</v>
      </c>
      <c r="C89" s="867" t="s">
        <v>1382</v>
      </c>
      <c r="D89" s="156" t="s">
        <v>137</v>
      </c>
      <c r="E89" s="160"/>
      <c r="F89" s="162" t="s">
        <v>451</v>
      </c>
      <c r="G89" s="170"/>
      <c r="H89" s="156" t="s">
        <v>452</v>
      </c>
      <c r="I89" s="743"/>
      <c r="J89" s="744">
        <v>6780.08</v>
      </c>
      <c r="K89" s="743"/>
      <c r="L89" s="744"/>
      <c r="M89" s="758"/>
      <c r="N89" s="758"/>
      <c r="O89" s="759" t="s">
        <v>1262</v>
      </c>
      <c r="P89" s="591">
        <v>3.8771200000000001</v>
      </c>
      <c r="Q89" s="206" t="s">
        <v>173</v>
      </c>
      <c r="R89" s="200">
        <v>7.5</v>
      </c>
      <c r="S89" s="207" t="s">
        <v>173</v>
      </c>
      <c r="T89" s="201">
        <v>0.91700000000000004</v>
      </c>
      <c r="U89" s="405"/>
      <c r="V89" s="406" t="s">
        <v>1734</v>
      </c>
      <c r="W89" s="982"/>
      <c r="X89" s="982"/>
      <c r="Y89" s="982"/>
      <c r="Z89" s="982"/>
    </row>
    <row r="90" spans="1:26" x14ac:dyDescent="0.3">
      <c r="A90" s="89"/>
      <c r="B90" s="89"/>
      <c r="C90" s="380"/>
      <c r="D90" s="89"/>
      <c r="E90" s="89"/>
      <c r="F90" s="89"/>
      <c r="G90" s="89"/>
      <c r="H90" s="89"/>
      <c r="I90" s="89"/>
      <c r="J90" s="89"/>
      <c r="K90" s="89"/>
      <c r="L90" s="89"/>
      <c r="M90" s="89"/>
      <c r="N90" s="89"/>
      <c r="O90" s="89"/>
      <c r="P90" s="89"/>
      <c r="Q90" s="89"/>
      <c r="R90" s="89"/>
      <c r="S90" s="89"/>
      <c r="T90" s="364"/>
      <c r="U90" s="982"/>
      <c r="V90" s="982"/>
      <c r="W90" s="982"/>
      <c r="X90" s="982"/>
      <c r="Y90" s="982"/>
      <c r="Z90" s="982"/>
    </row>
    <row r="91" spans="1:26" x14ac:dyDescent="0.3">
      <c r="A91" s="982"/>
      <c r="B91" s="982"/>
      <c r="C91" s="982"/>
      <c r="D91" s="357"/>
      <c r="E91" s="357"/>
      <c r="F91" s="982"/>
      <c r="G91" s="357"/>
      <c r="H91" s="982"/>
      <c r="I91" s="357"/>
      <c r="J91" s="982"/>
      <c r="K91" s="357"/>
      <c r="L91" s="982"/>
      <c r="M91" s="357"/>
      <c r="N91" s="982"/>
      <c r="O91" s="127"/>
      <c r="P91" s="118"/>
      <c r="Q91" s="357"/>
      <c r="R91" s="982"/>
      <c r="S91" s="357"/>
      <c r="T91" s="982"/>
      <c r="U91" s="982"/>
      <c r="V91" s="982"/>
      <c r="W91" s="982"/>
      <c r="X91" s="982"/>
      <c r="Y91" s="982"/>
      <c r="Z91" s="982"/>
    </row>
    <row r="92" spans="1:26" x14ac:dyDescent="0.3">
      <c r="A92" s="982"/>
      <c r="B92" s="115" t="s">
        <v>331</v>
      </c>
      <c r="C92" s="120" t="s">
        <v>1735</v>
      </c>
      <c r="D92" s="119" t="s">
        <v>122</v>
      </c>
      <c r="E92" s="131"/>
      <c r="F92" s="148" t="s">
        <v>508</v>
      </c>
      <c r="G92" s="210"/>
      <c r="H92" s="148" t="s">
        <v>509</v>
      </c>
      <c r="I92" s="131"/>
      <c r="J92" s="148" t="s">
        <v>1349</v>
      </c>
      <c r="K92" s="131"/>
      <c r="L92" s="148" t="s">
        <v>1350</v>
      </c>
      <c r="M92" s="357"/>
      <c r="N92" s="982"/>
      <c r="O92" s="127"/>
      <c r="P92" s="118"/>
      <c r="Q92" s="357"/>
      <c r="R92" s="982"/>
      <c r="S92" s="357"/>
      <c r="T92" s="982"/>
      <c r="U92" s="982"/>
      <c r="V92" s="982"/>
      <c r="W92" s="982"/>
      <c r="X92" s="982"/>
      <c r="Y92" s="982"/>
      <c r="Z92" s="982"/>
    </row>
    <row r="93" spans="1:26" s="38" customFormat="1" ht="15" thickBot="1" x14ac:dyDescent="0.35">
      <c r="A93" s="982"/>
      <c r="B93" s="178" t="s">
        <v>417</v>
      </c>
      <c r="C93" s="371"/>
      <c r="D93" s="214"/>
      <c r="E93" s="211"/>
      <c r="F93" s="179" t="s">
        <v>510</v>
      </c>
      <c r="G93" s="211"/>
      <c r="H93" s="179" t="s">
        <v>511</v>
      </c>
      <c r="I93" s="211"/>
      <c r="J93" s="179" t="s">
        <v>1351</v>
      </c>
      <c r="K93" s="211"/>
      <c r="L93" s="179" t="s">
        <v>1352</v>
      </c>
      <c r="M93" s="357"/>
      <c r="N93" s="982"/>
      <c r="O93" s="127"/>
      <c r="P93" s="118"/>
      <c r="Q93" s="357"/>
      <c r="R93" s="982"/>
      <c r="S93" s="357"/>
      <c r="T93" s="982"/>
      <c r="U93" s="982"/>
      <c r="V93" s="982"/>
      <c r="W93" s="982"/>
      <c r="X93" s="982"/>
      <c r="Y93" s="96"/>
      <c r="Z93" s="93"/>
    </row>
    <row r="94" spans="1:26" s="359" customFormat="1" ht="12.75" customHeight="1" thickTop="1" x14ac:dyDescent="0.3">
      <c r="A94" s="982"/>
      <c r="B94" s="130" t="s">
        <v>1430</v>
      </c>
      <c r="C94" s="92" t="s">
        <v>1553</v>
      </c>
      <c r="D94" s="376" t="s">
        <v>1705</v>
      </c>
      <c r="E94" s="142" t="s">
        <v>300</v>
      </c>
      <c r="F94" s="209" t="s">
        <v>1354</v>
      </c>
      <c r="G94" s="142" t="s">
        <v>300</v>
      </c>
      <c r="H94" s="209" t="s">
        <v>1355</v>
      </c>
      <c r="I94" s="412" t="s">
        <v>300</v>
      </c>
      <c r="J94" s="266">
        <v>75</v>
      </c>
      <c r="K94" s="403" t="s">
        <v>173</v>
      </c>
      <c r="L94" s="404" t="s">
        <v>173</v>
      </c>
      <c r="M94" s="357"/>
      <c r="N94" s="982"/>
      <c r="O94" s="127"/>
      <c r="P94" s="118"/>
      <c r="Q94" s="357"/>
      <c r="R94" s="982"/>
      <c r="S94" s="357"/>
      <c r="T94" s="982"/>
      <c r="U94" s="982"/>
      <c r="V94" s="982"/>
      <c r="W94" s="982"/>
      <c r="X94" s="982"/>
      <c r="Y94" s="96"/>
      <c r="Z94" s="93"/>
    </row>
    <row r="95" spans="1:26" s="93" customFormat="1" x14ac:dyDescent="0.3">
      <c r="A95" s="982"/>
      <c r="B95" s="130" t="s">
        <v>1611</v>
      </c>
      <c r="C95" s="92" t="s">
        <v>1736</v>
      </c>
      <c r="D95" s="376" t="s">
        <v>1705</v>
      </c>
      <c r="E95" s="142" t="s">
        <v>300</v>
      </c>
      <c r="F95" s="209" t="s">
        <v>1737</v>
      </c>
      <c r="G95" s="142" t="s">
        <v>300</v>
      </c>
      <c r="H95" s="209" t="s">
        <v>514</v>
      </c>
      <c r="I95" s="151" t="s">
        <v>300</v>
      </c>
      <c r="J95" s="266">
        <v>80</v>
      </c>
      <c r="K95" s="151" t="s">
        <v>300</v>
      </c>
      <c r="L95" s="266">
        <v>30</v>
      </c>
      <c r="M95" s="357"/>
      <c r="N95" s="982"/>
      <c r="O95" s="127"/>
      <c r="P95" s="118"/>
      <c r="Q95" s="357"/>
      <c r="R95" s="982"/>
      <c r="S95" s="357"/>
      <c r="T95" s="982"/>
      <c r="U95" s="982"/>
      <c r="V95" s="982"/>
      <c r="W95" s="982"/>
      <c r="X95" s="982"/>
    </row>
    <row r="96" spans="1:26" s="93" customFormat="1" x14ac:dyDescent="0.3">
      <c r="A96" s="982"/>
      <c r="B96" s="130" t="s">
        <v>1715</v>
      </c>
      <c r="C96" s="92" t="s">
        <v>1738</v>
      </c>
      <c r="D96" s="376" t="s">
        <v>137</v>
      </c>
      <c r="E96" s="403" t="s">
        <v>173</v>
      </c>
      <c r="F96" s="404" t="s">
        <v>173</v>
      </c>
      <c r="G96" s="403" t="s">
        <v>173</v>
      </c>
      <c r="H96" s="404" t="s">
        <v>173</v>
      </c>
      <c r="I96" s="403" t="s">
        <v>173</v>
      </c>
      <c r="J96" s="404" t="s">
        <v>173</v>
      </c>
      <c r="K96" s="403" t="s">
        <v>173</v>
      </c>
      <c r="L96" s="404" t="s">
        <v>173</v>
      </c>
      <c r="M96" s="357"/>
      <c r="N96" s="982"/>
      <c r="O96" s="127"/>
      <c r="P96" s="118"/>
      <c r="Q96" s="357"/>
      <c r="R96" s="982"/>
      <c r="S96" s="357"/>
      <c r="T96" s="982"/>
      <c r="U96" s="982"/>
      <c r="V96" s="982"/>
      <c r="W96" s="982"/>
      <c r="X96" s="982"/>
    </row>
    <row r="97" spans="1:24" s="93" customFormat="1" x14ac:dyDescent="0.3">
      <c r="A97" s="982"/>
      <c r="B97" s="735" t="s">
        <v>1361</v>
      </c>
      <c r="C97" s="366" t="s">
        <v>1383</v>
      </c>
      <c r="D97" s="62" t="s">
        <v>137</v>
      </c>
      <c r="E97" s="142"/>
      <c r="F97" s="209" t="s">
        <v>513</v>
      </c>
      <c r="G97" s="142"/>
      <c r="H97" s="209" t="s">
        <v>514</v>
      </c>
      <c r="I97" s="403" t="s">
        <v>173</v>
      </c>
      <c r="J97" s="404" t="s">
        <v>173</v>
      </c>
      <c r="K97" s="403" t="s">
        <v>173</v>
      </c>
      <c r="L97" s="404" t="s">
        <v>173</v>
      </c>
      <c r="M97" s="357"/>
      <c r="N97" s="982"/>
      <c r="O97" s="127"/>
      <c r="P97" s="118"/>
      <c r="Q97" s="357"/>
      <c r="R97" s="982"/>
      <c r="S97" s="357"/>
      <c r="T97" s="982"/>
      <c r="U97" s="982"/>
      <c r="V97" s="982"/>
      <c r="W97" s="982"/>
      <c r="X97" s="982"/>
    </row>
    <row r="98" spans="1:24" s="93" customFormat="1" x14ac:dyDescent="0.3">
      <c r="A98" s="982"/>
      <c r="B98" s="735" t="s">
        <v>1362</v>
      </c>
      <c r="C98" s="366" t="s">
        <v>1384</v>
      </c>
      <c r="D98" s="62" t="s">
        <v>137</v>
      </c>
      <c r="E98" s="142"/>
      <c r="F98" s="209" t="s">
        <v>513</v>
      </c>
      <c r="G98" s="142"/>
      <c r="H98" s="209" t="s">
        <v>514</v>
      </c>
      <c r="I98" s="403" t="s">
        <v>173</v>
      </c>
      <c r="J98" s="404" t="s">
        <v>173</v>
      </c>
      <c r="K98" s="403" t="s">
        <v>173</v>
      </c>
      <c r="L98" s="404" t="s">
        <v>173</v>
      </c>
      <c r="M98" s="357"/>
      <c r="N98" s="982"/>
      <c r="O98" s="127"/>
      <c r="P98" s="118"/>
      <c r="Q98" s="357"/>
      <c r="R98" s="982"/>
      <c r="S98" s="357"/>
      <c r="T98" s="982"/>
      <c r="U98" s="982"/>
      <c r="V98" s="982"/>
      <c r="W98" s="982"/>
      <c r="X98" s="982"/>
    </row>
    <row r="99" spans="1:24" s="14" customFormat="1" x14ac:dyDescent="0.3">
      <c r="A99" s="982"/>
      <c r="B99" s="735" t="s">
        <v>1363</v>
      </c>
      <c r="C99" s="366" t="s">
        <v>1385</v>
      </c>
      <c r="D99" s="62" t="s">
        <v>137</v>
      </c>
      <c r="E99" s="403"/>
      <c r="F99" s="404" t="s">
        <v>519</v>
      </c>
      <c r="G99" s="403" t="s">
        <v>173</v>
      </c>
      <c r="H99" s="404" t="s">
        <v>173</v>
      </c>
      <c r="I99" s="403" t="s">
        <v>173</v>
      </c>
      <c r="J99" s="404" t="s">
        <v>173</v>
      </c>
      <c r="K99" s="403" t="s">
        <v>173</v>
      </c>
      <c r="L99" s="404" t="s">
        <v>173</v>
      </c>
      <c r="M99" s="357"/>
      <c r="N99" s="982"/>
      <c r="O99" s="127"/>
      <c r="P99" s="118"/>
      <c r="Q99" s="357"/>
      <c r="R99" s="982"/>
      <c r="S99" s="357"/>
      <c r="T99" s="982"/>
      <c r="U99" s="982"/>
      <c r="V99" s="982"/>
      <c r="W99" s="982"/>
      <c r="X99" s="982"/>
    </row>
    <row r="100" spans="1:24" s="82" customFormat="1" x14ac:dyDescent="0.3">
      <c r="A100" s="982"/>
      <c r="B100" s="735" t="s">
        <v>1364</v>
      </c>
      <c r="C100" s="366" t="s">
        <v>1386</v>
      </c>
      <c r="D100" s="62" t="s">
        <v>137</v>
      </c>
      <c r="E100" s="142"/>
      <c r="F100" s="209" t="s">
        <v>513</v>
      </c>
      <c r="G100" s="142"/>
      <c r="H100" s="209" t="s">
        <v>514</v>
      </c>
      <c r="I100" s="403" t="s">
        <v>173</v>
      </c>
      <c r="J100" s="404" t="s">
        <v>173</v>
      </c>
      <c r="K100" s="403" t="s">
        <v>173</v>
      </c>
      <c r="L100" s="404" t="s">
        <v>173</v>
      </c>
      <c r="M100" s="357"/>
      <c r="N100" s="982"/>
      <c r="O100" s="127"/>
      <c r="P100" s="118"/>
      <c r="Q100" s="357"/>
      <c r="R100" s="982"/>
      <c r="S100" s="357"/>
      <c r="T100" s="982"/>
      <c r="U100" s="982"/>
      <c r="V100" s="982"/>
      <c r="W100" s="982"/>
      <c r="X100" s="982"/>
    </row>
    <row r="101" spans="1:24" x14ac:dyDescent="0.3">
      <c r="A101" s="982"/>
      <c r="B101" s="894" t="s">
        <v>1366</v>
      </c>
      <c r="C101" s="167" t="s">
        <v>1387</v>
      </c>
      <c r="D101" s="452" t="s">
        <v>137</v>
      </c>
      <c r="E101" s="160"/>
      <c r="F101" s="212" t="s">
        <v>513</v>
      </c>
      <c r="G101" s="160"/>
      <c r="H101" s="212" t="s">
        <v>514</v>
      </c>
      <c r="I101" s="405" t="s">
        <v>173</v>
      </c>
      <c r="J101" s="406" t="s">
        <v>173</v>
      </c>
      <c r="K101" s="405" t="s">
        <v>173</v>
      </c>
      <c r="L101" s="406" t="s">
        <v>173</v>
      </c>
      <c r="M101" s="357"/>
      <c r="N101" s="982"/>
      <c r="O101" s="127"/>
      <c r="P101" s="118"/>
      <c r="Q101" s="357"/>
      <c r="R101" s="982"/>
      <c r="S101" s="357"/>
      <c r="T101" s="982"/>
      <c r="U101" s="982"/>
      <c r="V101" s="982"/>
      <c r="W101" s="982"/>
      <c r="X101" s="982"/>
    </row>
    <row r="102" spans="1:24" x14ac:dyDescent="0.3">
      <c r="A102" s="982"/>
      <c r="B102" s="982"/>
      <c r="C102" s="982"/>
      <c r="D102" s="357"/>
      <c r="E102" s="357"/>
      <c r="F102" s="982"/>
      <c r="G102" s="357"/>
      <c r="H102" s="982"/>
      <c r="I102" s="357"/>
      <c r="J102" s="982"/>
      <c r="K102" s="357"/>
      <c r="L102" s="982"/>
      <c r="M102" s="357"/>
      <c r="N102" s="982"/>
      <c r="O102" s="127"/>
      <c r="P102" s="118"/>
      <c r="Q102" s="357"/>
      <c r="R102" s="982"/>
      <c r="S102" s="357"/>
      <c r="T102" s="982"/>
      <c r="U102" s="982"/>
      <c r="V102" s="982"/>
      <c r="W102" s="982"/>
      <c r="X102" s="982"/>
    </row>
    <row r="103" spans="1:24" x14ac:dyDescent="0.3">
      <c r="A103" s="89"/>
      <c r="B103" s="92"/>
      <c r="C103" s="90"/>
      <c r="D103" s="357"/>
      <c r="E103" s="89"/>
      <c r="F103" s="89"/>
      <c r="G103" s="89"/>
      <c r="H103" s="89"/>
      <c r="I103" s="89"/>
      <c r="J103" s="89"/>
      <c r="K103" s="89"/>
      <c r="L103" s="89"/>
      <c r="M103" s="89"/>
      <c r="N103" s="89"/>
      <c r="O103" s="89"/>
      <c r="P103" s="89"/>
      <c r="Q103" s="89"/>
      <c r="R103" s="89"/>
      <c r="S103" s="89"/>
      <c r="T103" s="89"/>
      <c r="U103" s="982"/>
      <c r="V103" s="982"/>
      <c r="W103" s="982"/>
      <c r="X103" s="982"/>
    </row>
    <row r="104" spans="1:24" x14ac:dyDescent="0.3">
      <c r="A104" s="89"/>
      <c r="B104" s="115" t="s">
        <v>522</v>
      </c>
      <c r="C104" s="120" t="s">
        <v>523</v>
      </c>
      <c r="D104" s="213"/>
      <c r="E104" s="210"/>
      <c r="F104" s="148" t="s">
        <v>533</v>
      </c>
      <c r="G104" s="131"/>
      <c r="H104" s="148" t="s">
        <v>534</v>
      </c>
      <c r="O104" s="982"/>
      <c r="P104" s="982"/>
      <c r="Q104" s="982"/>
      <c r="R104" s="982"/>
      <c r="S104" s="982"/>
      <c r="T104" s="982"/>
      <c r="U104" s="982"/>
      <c r="V104" s="982"/>
      <c r="W104" s="982"/>
      <c r="X104" s="982"/>
    </row>
    <row r="105" spans="1:24" ht="15" thickBot="1" x14ac:dyDescent="0.35">
      <c r="A105" s="89"/>
      <c r="B105" s="178" t="s">
        <v>535</v>
      </c>
      <c r="C105" s="176" t="s">
        <v>536</v>
      </c>
      <c r="D105" s="214"/>
      <c r="E105" s="211"/>
      <c r="F105" s="179" t="s">
        <v>543</v>
      </c>
      <c r="G105" s="211"/>
      <c r="H105" s="179" t="s">
        <v>544</v>
      </c>
      <c r="O105" s="982"/>
      <c r="P105" s="982"/>
      <c r="Q105" s="982"/>
      <c r="R105" s="982"/>
      <c r="S105" s="982"/>
      <c r="T105" s="982"/>
      <c r="U105" s="982"/>
      <c r="V105" s="982"/>
      <c r="W105" s="982"/>
      <c r="X105" s="982"/>
    </row>
    <row r="106" spans="1:24" ht="15" thickTop="1" x14ac:dyDescent="0.3">
      <c r="A106" s="89"/>
      <c r="B106" s="130" t="s">
        <v>1312</v>
      </c>
      <c r="C106" s="92" t="s">
        <v>546</v>
      </c>
      <c r="E106" s="140" t="s">
        <v>300</v>
      </c>
      <c r="F106" s="152" t="s">
        <v>964</v>
      </c>
      <c r="G106" s="140" t="s">
        <v>300</v>
      </c>
      <c r="H106" s="152" t="s">
        <v>965</v>
      </c>
      <c r="O106" s="982"/>
      <c r="P106" s="982"/>
      <c r="Q106" s="982"/>
      <c r="R106" s="982"/>
      <c r="S106" s="982"/>
      <c r="T106" s="982"/>
      <c r="U106" s="982"/>
      <c r="V106" s="982"/>
      <c r="W106" s="982"/>
      <c r="X106" s="982"/>
    </row>
    <row r="107" spans="1:24" x14ac:dyDescent="0.3">
      <c r="A107" s="89"/>
      <c r="B107" s="130" t="s">
        <v>1297</v>
      </c>
      <c r="C107" s="92" t="s">
        <v>546</v>
      </c>
      <c r="E107" s="142" t="s">
        <v>300</v>
      </c>
      <c r="F107" s="152" t="s">
        <v>964</v>
      </c>
      <c r="G107" s="142" t="s">
        <v>300</v>
      </c>
      <c r="H107" s="152" t="s">
        <v>965</v>
      </c>
      <c r="O107" s="982"/>
      <c r="P107" s="982"/>
      <c r="Q107" s="982"/>
      <c r="R107" s="982"/>
      <c r="S107" s="982"/>
      <c r="T107" s="982"/>
      <c r="U107" s="982"/>
      <c r="V107" s="982"/>
      <c r="W107" s="982"/>
      <c r="X107" s="982"/>
    </row>
    <row r="108" spans="1:24" x14ac:dyDescent="0.3">
      <c r="A108" s="89"/>
      <c r="B108" s="130" t="s">
        <v>1301</v>
      </c>
      <c r="C108" s="92" t="s">
        <v>546</v>
      </c>
      <c r="E108" s="142" t="s">
        <v>300</v>
      </c>
      <c r="F108" s="152" t="s">
        <v>964</v>
      </c>
      <c r="G108" s="142" t="s">
        <v>300</v>
      </c>
      <c r="H108" s="152" t="s">
        <v>965</v>
      </c>
      <c r="O108" s="982"/>
      <c r="P108" s="982"/>
      <c r="Q108" s="982"/>
      <c r="R108" s="982"/>
      <c r="S108" s="982"/>
      <c r="T108" s="982"/>
      <c r="U108" s="982"/>
      <c r="V108" s="982"/>
      <c r="W108" s="982"/>
      <c r="X108" s="982"/>
    </row>
    <row r="109" spans="1:24" x14ac:dyDescent="0.3">
      <c r="A109" s="89"/>
      <c r="B109" s="180" t="s">
        <v>1315</v>
      </c>
      <c r="C109" s="156" t="s">
        <v>546</v>
      </c>
      <c r="D109" s="157"/>
      <c r="E109" s="160" t="s">
        <v>300</v>
      </c>
      <c r="F109" s="162" t="s">
        <v>964</v>
      </c>
      <c r="G109" s="160" t="s">
        <v>300</v>
      </c>
      <c r="H109" s="162" t="s">
        <v>965</v>
      </c>
      <c r="O109" s="982"/>
      <c r="P109" s="982"/>
      <c r="Q109" s="982"/>
      <c r="R109" s="982"/>
      <c r="S109" s="982"/>
      <c r="T109" s="982"/>
      <c r="U109" s="982"/>
      <c r="V109" s="982"/>
      <c r="W109" s="982"/>
      <c r="X109" s="982"/>
    </row>
    <row r="110" spans="1:24" x14ac:dyDescent="0.3">
      <c r="A110" s="982"/>
      <c r="B110" s="982"/>
      <c r="C110" s="982"/>
      <c r="D110" s="357"/>
      <c r="E110" s="357"/>
      <c r="F110" s="982"/>
      <c r="G110" s="357"/>
      <c r="H110" s="982"/>
      <c r="I110" s="357"/>
      <c r="J110" s="982"/>
      <c r="K110" s="357"/>
      <c r="L110" s="982"/>
      <c r="M110" s="357"/>
      <c r="N110" s="982"/>
      <c r="O110" s="127"/>
      <c r="P110" s="118"/>
      <c r="Q110" s="357"/>
      <c r="R110" s="982"/>
      <c r="S110" s="357"/>
      <c r="T110" s="982"/>
      <c r="U110" s="982"/>
      <c r="V110" s="982"/>
      <c r="W110" s="982"/>
      <c r="X110" s="982"/>
    </row>
    <row r="111" spans="1:24" s="90" customFormat="1" x14ac:dyDescent="0.3">
      <c r="A111" s="982"/>
      <c r="B111" s="982"/>
      <c r="C111" s="982"/>
      <c r="D111" s="357"/>
      <c r="E111" s="357"/>
      <c r="F111" s="982"/>
      <c r="G111" s="357"/>
      <c r="H111" s="982"/>
      <c r="I111" s="357"/>
      <c r="J111" s="982"/>
      <c r="K111" s="357"/>
      <c r="L111" s="982"/>
      <c r="M111" s="357"/>
      <c r="N111" s="982"/>
      <c r="O111" s="127"/>
      <c r="P111" s="118"/>
      <c r="Q111" s="357"/>
      <c r="R111" s="982"/>
      <c r="S111" s="357"/>
      <c r="T111" s="982"/>
      <c r="U111" s="982"/>
      <c r="V111" s="982"/>
      <c r="W111" s="982"/>
      <c r="X111" s="982"/>
    </row>
    <row r="112" spans="1:24" s="364" customFormat="1" x14ac:dyDescent="0.3">
      <c r="A112" s="27"/>
      <c r="B112" s="29" t="s">
        <v>669</v>
      </c>
      <c r="C112" s="92"/>
      <c r="D112" s="14"/>
      <c r="E112" s="357"/>
      <c r="F112" s="982"/>
      <c r="G112" s="357"/>
      <c r="H112" s="982"/>
      <c r="I112" s="357"/>
      <c r="J112" s="982"/>
      <c r="K112" s="357"/>
      <c r="L112" s="982"/>
      <c r="M112" s="357"/>
      <c r="N112" s="982"/>
      <c r="O112" s="127"/>
      <c r="P112" s="118"/>
      <c r="Q112" s="357"/>
      <c r="R112" s="982"/>
      <c r="S112" s="357"/>
      <c r="T112" s="982"/>
      <c r="U112" s="982"/>
      <c r="V112" s="982"/>
      <c r="W112" s="982"/>
      <c r="X112" s="982"/>
    </row>
    <row r="113" spans="1:24" s="373" customFormat="1" ht="27.6" x14ac:dyDescent="0.3">
      <c r="A113" s="982"/>
      <c r="B113" s="115" t="s">
        <v>670</v>
      </c>
      <c r="C113" s="382"/>
      <c r="D113" s="119" t="s">
        <v>122</v>
      </c>
      <c r="E113" s="234"/>
      <c r="F113" s="116" t="s">
        <v>671</v>
      </c>
      <c r="G113" s="213"/>
      <c r="H113" s="123" t="s">
        <v>672</v>
      </c>
      <c r="I113" s="234"/>
      <c r="J113" s="116" t="s">
        <v>673</v>
      </c>
      <c r="K113" s="435"/>
      <c r="L113" s="436" t="s">
        <v>674</v>
      </c>
      <c r="M113" s="234"/>
      <c r="N113" s="116" t="s">
        <v>675</v>
      </c>
      <c r="O113" s="127"/>
      <c r="P113" s="118"/>
      <c r="Q113" s="357"/>
      <c r="R113" s="982"/>
      <c r="S113" s="357"/>
      <c r="T113" s="982"/>
      <c r="U113" s="982"/>
      <c r="V113" s="982"/>
      <c r="W113" s="982"/>
      <c r="X113" s="982"/>
    </row>
    <row r="114" spans="1:24" ht="15" thickBot="1" x14ac:dyDescent="0.35">
      <c r="A114" s="982"/>
      <c r="B114" s="215"/>
      <c r="C114" s="371"/>
      <c r="D114" s="214"/>
      <c r="E114" s="370"/>
      <c r="F114" s="351" t="s">
        <v>676</v>
      </c>
      <c r="G114" s="371"/>
      <c r="H114" s="350" t="s">
        <v>677</v>
      </c>
      <c r="I114" s="233"/>
      <c r="J114" s="351" t="s">
        <v>678</v>
      </c>
      <c r="K114" s="214"/>
      <c r="L114" s="350" t="s">
        <v>679</v>
      </c>
      <c r="M114" s="233"/>
      <c r="N114" s="351" t="s">
        <v>680</v>
      </c>
      <c r="O114" s="127"/>
      <c r="P114" s="118"/>
      <c r="Q114" s="357"/>
      <c r="R114" s="982"/>
      <c r="S114" s="357"/>
      <c r="T114" s="982"/>
      <c r="U114" s="982"/>
      <c r="V114" s="982"/>
      <c r="W114" s="982"/>
      <c r="X114" s="982"/>
    </row>
    <row r="115" spans="1:24" ht="15" thickTop="1" x14ac:dyDescent="0.3">
      <c r="A115" s="982"/>
      <c r="B115" s="352">
        <v>1</v>
      </c>
      <c r="C115" s="374"/>
      <c r="D115" s="186" t="s">
        <v>1705</v>
      </c>
      <c r="E115" s="631" t="s">
        <v>173</v>
      </c>
      <c r="F115" s="200">
        <v>600000</v>
      </c>
      <c r="G115" s="355" t="s">
        <v>300</v>
      </c>
      <c r="H115" s="156">
        <v>0.8</v>
      </c>
      <c r="I115" s="171" t="s">
        <v>300</v>
      </c>
      <c r="J115" s="162" t="s">
        <v>681</v>
      </c>
      <c r="K115" s="170" t="s">
        <v>300</v>
      </c>
      <c r="L115" s="156" t="s">
        <v>682</v>
      </c>
      <c r="M115" s="171" t="s">
        <v>300</v>
      </c>
      <c r="N115" s="162">
        <v>0.25</v>
      </c>
      <c r="O115" s="127"/>
      <c r="Q115" s="357"/>
      <c r="R115" s="982"/>
      <c r="S115" s="357"/>
      <c r="T115" s="982"/>
      <c r="U115" s="982"/>
      <c r="V115" s="982"/>
      <c r="W115" s="982"/>
      <c r="X115" s="982"/>
    </row>
    <row r="116" spans="1:24" x14ac:dyDescent="0.3">
      <c r="A116" s="982"/>
      <c r="B116" s="982"/>
      <c r="C116" s="982"/>
      <c r="D116" s="357"/>
      <c r="E116" s="357"/>
      <c r="F116" s="982"/>
      <c r="G116" s="357"/>
      <c r="H116" s="982"/>
      <c r="I116" s="357"/>
      <c r="J116" s="982"/>
      <c r="K116" s="357"/>
      <c r="L116" s="982"/>
      <c r="M116" s="357"/>
      <c r="N116" s="982"/>
      <c r="O116" s="357"/>
      <c r="P116" s="982"/>
      <c r="Q116" s="357"/>
      <c r="R116" s="982"/>
      <c r="S116" s="357"/>
      <c r="T116" s="982"/>
      <c r="U116" s="982"/>
      <c r="V116" s="982"/>
      <c r="W116" s="982"/>
      <c r="X116" s="93"/>
    </row>
    <row r="117" spans="1:24" ht="27.6" x14ac:dyDescent="0.3">
      <c r="A117" s="89"/>
      <c r="B117" s="131" t="s">
        <v>720</v>
      </c>
      <c r="C117" s="120" t="s">
        <v>721</v>
      </c>
      <c r="D117" s="120" t="s">
        <v>122</v>
      </c>
      <c r="E117" s="131"/>
      <c r="F117" s="148" t="s">
        <v>722</v>
      </c>
      <c r="G117" s="120"/>
      <c r="H117" s="120" t="s">
        <v>723</v>
      </c>
      <c r="I117" s="210"/>
      <c r="J117" s="120" t="s">
        <v>724</v>
      </c>
      <c r="K117" s="210"/>
      <c r="L117" s="120" t="s">
        <v>725</v>
      </c>
      <c r="M117" s="210"/>
      <c r="N117" s="148" t="s">
        <v>726</v>
      </c>
      <c r="O117" s="120"/>
      <c r="P117" s="120" t="s">
        <v>727</v>
      </c>
      <c r="Q117" s="131"/>
      <c r="R117" s="148" t="s">
        <v>728</v>
      </c>
      <c r="S117" s="120"/>
      <c r="T117" s="148" t="s">
        <v>729</v>
      </c>
      <c r="U117" s="120"/>
      <c r="V117" s="148" t="s">
        <v>730</v>
      </c>
      <c r="W117" s="96"/>
      <c r="X117" s="93"/>
    </row>
    <row r="118" spans="1:24" ht="15" thickBot="1" x14ac:dyDescent="0.35">
      <c r="A118" s="89"/>
      <c r="B118" s="183"/>
      <c r="C118" s="176"/>
      <c r="D118" s="177"/>
      <c r="E118" s="178"/>
      <c r="F118" s="351" t="s">
        <v>731</v>
      </c>
      <c r="G118" s="176"/>
      <c r="H118" s="351" t="s">
        <v>732</v>
      </c>
      <c r="I118" s="178"/>
      <c r="J118" s="179" t="s">
        <v>733</v>
      </c>
      <c r="K118" s="178"/>
      <c r="L118" s="351" t="s">
        <v>734</v>
      </c>
      <c r="M118" s="178"/>
      <c r="N118" s="351" t="s">
        <v>735</v>
      </c>
      <c r="O118" s="176"/>
      <c r="P118" s="351" t="s">
        <v>736</v>
      </c>
      <c r="Q118" s="178"/>
      <c r="R118" s="351" t="s">
        <v>737</v>
      </c>
      <c r="S118" s="176"/>
      <c r="T118" s="351" t="s">
        <v>738</v>
      </c>
      <c r="U118" s="176"/>
      <c r="V118" s="179" t="s">
        <v>739</v>
      </c>
      <c r="W118" s="96"/>
      <c r="X118" s="93"/>
    </row>
    <row r="119" spans="1:24" ht="15" thickTop="1" x14ac:dyDescent="0.3">
      <c r="A119" s="373"/>
      <c r="B119" s="455" t="s">
        <v>1739</v>
      </c>
      <c r="C119" s="461" t="s">
        <v>1569</v>
      </c>
      <c r="D119" s="394" t="s">
        <v>1705</v>
      </c>
      <c r="E119" s="471" t="s">
        <v>300</v>
      </c>
      <c r="F119" s="461" t="s">
        <v>742</v>
      </c>
      <c r="G119" s="471" t="s">
        <v>300</v>
      </c>
      <c r="H119" s="394" t="s">
        <v>743</v>
      </c>
      <c r="I119" s="555" t="s">
        <v>173</v>
      </c>
      <c r="J119" s="556">
        <f>ROUND(F115/500.19/40,2)</f>
        <v>29.99</v>
      </c>
      <c r="K119" s="471" t="s">
        <v>300</v>
      </c>
      <c r="L119" s="558" t="str">
        <f>ROUND(J119*P119/3960/(0.7*R119)*745.6/1000,2)&amp;" ("&amp;ROUND(P119/3960/(0.7*R119)*745.6,2)&amp;" W/gpm)"</f>
        <v>0.59 (19.68 W/gpm)</v>
      </c>
      <c r="M119" s="471" t="s">
        <v>300</v>
      </c>
      <c r="N119" s="472">
        <v>0.8</v>
      </c>
      <c r="O119" s="471" t="s">
        <v>300</v>
      </c>
      <c r="P119" s="559">
        <f>0.75*0.95/J119*3960*0.7</f>
        <v>65.856952317439138</v>
      </c>
      <c r="Q119" s="471" t="s">
        <v>300</v>
      </c>
      <c r="R119" s="472">
        <v>0.9</v>
      </c>
      <c r="S119" s="471" t="s">
        <v>300</v>
      </c>
      <c r="T119" s="798">
        <v>0.7</v>
      </c>
      <c r="U119" s="462" t="s">
        <v>173</v>
      </c>
      <c r="V119" s="453" t="s">
        <v>173</v>
      </c>
      <c r="W119" s="96"/>
      <c r="X119" s="93"/>
    </row>
    <row r="120" spans="1:24" x14ac:dyDescent="0.3">
      <c r="A120" s="89"/>
      <c r="B120" s="92"/>
      <c r="C120" s="90"/>
      <c r="D120" s="93"/>
      <c r="E120" s="357"/>
      <c r="F120" s="93"/>
      <c r="G120" s="25"/>
      <c r="H120" s="93"/>
      <c r="I120" s="96"/>
      <c r="J120" s="93"/>
      <c r="K120" s="96"/>
      <c r="L120" s="93"/>
      <c r="M120" s="96"/>
      <c r="N120" s="557"/>
      <c r="O120" s="96"/>
      <c r="P120" s="557"/>
      <c r="Q120" s="96"/>
      <c r="R120" s="93"/>
      <c r="S120" s="93"/>
      <c r="T120" s="93"/>
      <c r="U120" s="96"/>
      <c r="V120" s="93"/>
      <c r="W120" s="93"/>
      <c r="X120" s="93"/>
    </row>
    <row r="121" spans="1:24" x14ac:dyDescent="0.3">
      <c r="A121" s="286"/>
      <c r="B121" s="286" t="s">
        <v>243</v>
      </c>
      <c r="C121" s="287"/>
      <c r="D121" s="285"/>
      <c r="E121" s="287"/>
      <c r="F121" s="285"/>
      <c r="G121" s="288"/>
      <c r="H121" s="285"/>
      <c r="I121" s="287"/>
      <c r="J121" s="285"/>
      <c r="K121" s="287"/>
      <c r="L121" s="285"/>
      <c r="M121" s="285"/>
      <c r="N121" s="285"/>
      <c r="O121" s="287"/>
      <c r="P121" s="285"/>
      <c r="Q121" s="287"/>
      <c r="R121" s="287"/>
      <c r="S121" s="287"/>
      <c r="T121" s="287"/>
      <c r="U121" s="287"/>
      <c r="V121" s="287"/>
      <c r="W121" s="93"/>
      <c r="X121" s="93"/>
    </row>
    <row r="122" spans="1:24" x14ac:dyDescent="0.3">
      <c r="A122" s="23"/>
      <c r="B122" s="23" t="s">
        <v>145</v>
      </c>
      <c r="C122" s="96"/>
      <c r="D122" s="93"/>
      <c r="E122" s="91"/>
      <c r="F122" s="364"/>
      <c r="G122" s="91"/>
      <c r="H122" s="364"/>
      <c r="I122" s="91"/>
      <c r="J122" s="364"/>
      <c r="K122" s="91"/>
      <c r="L122" s="364"/>
      <c r="M122" s="91"/>
      <c r="N122" s="364"/>
      <c r="O122" s="91"/>
      <c r="P122" s="364"/>
      <c r="Q122" s="91"/>
      <c r="R122" s="69"/>
      <c r="S122" s="93"/>
      <c r="T122" s="93"/>
      <c r="U122" s="91"/>
      <c r="V122" s="69"/>
      <c r="W122" s="93"/>
      <c r="X122" s="93"/>
    </row>
    <row r="123" spans="1:24" x14ac:dyDescent="0.3">
      <c r="A123" s="89"/>
      <c r="B123" s="90" t="s">
        <v>146</v>
      </c>
      <c r="C123" s="96"/>
      <c r="D123" s="93"/>
      <c r="E123" s="96"/>
      <c r="F123" s="93"/>
      <c r="G123" s="25"/>
      <c r="H123" s="93"/>
      <c r="I123" s="96"/>
      <c r="J123" s="93"/>
      <c r="K123" s="96"/>
      <c r="L123" s="364"/>
      <c r="M123" s="96"/>
      <c r="N123" s="364"/>
      <c r="O123" s="84"/>
      <c r="P123" s="364"/>
      <c r="Q123" s="84"/>
      <c r="R123" s="93"/>
      <c r="S123" s="84"/>
      <c r="T123" s="69"/>
      <c r="U123" s="93"/>
      <c r="V123" s="93"/>
      <c r="W123" s="93"/>
      <c r="X123" s="14"/>
    </row>
    <row r="124" spans="1:24" ht="55.2" x14ac:dyDescent="0.3">
      <c r="A124" s="89"/>
      <c r="B124" s="219" t="s">
        <v>148</v>
      </c>
      <c r="C124" s="123" t="s">
        <v>149</v>
      </c>
      <c r="D124" s="119" t="s">
        <v>122</v>
      </c>
      <c r="E124" s="220"/>
      <c r="F124" s="116" t="s">
        <v>128</v>
      </c>
      <c r="G124" s="217"/>
      <c r="H124" s="123" t="s">
        <v>150</v>
      </c>
      <c r="I124" s="220"/>
      <c r="J124" s="116" t="s">
        <v>151</v>
      </c>
      <c r="K124" s="217"/>
      <c r="L124" s="120" t="s">
        <v>152</v>
      </c>
      <c r="M124" s="220"/>
      <c r="N124" s="148" t="s">
        <v>153</v>
      </c>
      <c r="O124" s="217"/>
      <c r="P124" s="123" t="s">
        <v>154</v>
      </c>
      <c r="Q124" s="220"/>
      <c r="R124" s="116" t="s">
        <v>155</v>
      </c>
      <c r="S124" s="84"/>
      <c r="T124" s="69"/>
      <c r="U124" s="14"/>
      <c r="V124" s="14"/>
      <c r="W124" s="14"/>
      <c r="X124" s="82"/>
    </row>
    <row r="125" spans="1:24" ht="15" thickBot="1" x14ac:dyDescent="0.35">
      <c r="A125" s="89"/>
      <c r="B125" s="132"/>
      <c r="C125" s="124" t="s">
        <v>159</v>
      </c>
      <c r="D125" s="218"/>
      <c r="E125" s="107"/>
      <c r="F125" s="149" t="s">
        <v>160</v>
      </c>
      <c r="G125" s="218"/>
      <c r="H125" s="124" t="s">
        <v>161</v>
      </c>
      <c r="I125" s="107"/>
      <c r="J125" s="149" t="s">
        <v>162</v>
      </c>
      <c r="K125" s="218"/>
      <c r="L125" s="124" t="s">
        <v>163</v>
      </c>
      <c r="M125" s="107"/>
      <c r="N125" s="149" t="s">
        <v>164</v>
      </c>
      <c r="O125" s="218"/>
      <c r="P125" s="124" t="s">
        <v>165</v>
      </c>
      <c r="Q125" s="107"/>
      <c r="R125" s="149" t="s">
        <v>166</v>
      </c>
      <c r="S125" s="84"/>
      <c r="T125" s="69"/>
      <c r="U125" s="82"/>
      <c r="V125" s="82"/>
      <c r="W125" s="82"/>
      <c r="X125" s="982"/>
    </row>
    <row r="126" spans="1:24" ht="28.2" thickTop="1" x14ac:dyDescent="0.3">
      <c r="A126" s="89"/>
      <c r="B126" s="129" t="s">
        <v>132</v>
      </c>
      <c r="C126" s="92" t="s">
        <v>1740</v>
      </c>
      <c r="D126" s="364" t="s">
        <v>1703</v>
      </c>
      <c r="E126" s="140" t="s">
        <v>300</v>
      </c>
      <c r="F126" s="152" t="s">
        <v>319</v>
      </c>
      <c r="G126" s="147" t="s">
        <v>300</v>
      </c>
      <c r="H126" s="92" t="s">
        <v>144</v>
      </c>
      <c r="I126" s="780" t="s">
        <v>173</v>
      </c>
      <c r="J126" s="778" t="str">
        <f>"0."&amp;RIGHT(C126,3)</f>
        <v>0.082</v>
      </c>
      <c r="K126" s="147" t="s">
        <v>300</v>
      </c>
      <c r="L126" s="32">
        <v>0.85</v>
      </c>
      <c r="M126" s="140" t="s">
        <v>300</v>
      </c>
      <c r="N126" s="225">
        <v>0.85</v>
      </c>
      <c r="O126" s="147" t="s">
        <v>300</v>
      </c>
      <c r="P126" s="32">
        <v>0.63</v>
      </c>
      <c r="Q126" s="140" t="s">
        <v>300</v>
      </c>
      <c r="R126" s="153">
        <v>0.37</v>
      </c>
      <c r="S126" s="84"/>
      <c r="T126" s="30"/>
      <c r="U126" s="982"/>
      <c r="V126" s="982"/>
      <c r="W126" s="982"/>
      <c r="X126" s="982"/>
    </row>
    <row r="127" spans="1:24" x14ac:dyDescent="0.3">
      <c r="A127" s="89"/>
      <c r="B127" s="129" t="s">
        <v>147</v>
      </c>
      <c r="C127" s="92" t="s">
        <v>1741</v>
      </c>
      <c r="D127" s="364" t="s">
        <v>1703</v>
      </c>
      <c r="E127" s="403" t="s">
        <v>173</v>
      </c>
      <c r="F127" s="447" t="s">
        <v>173</v>
      </c>
      <c r="G127" s="181" t="s">
        <v>300</v>
      </c>
      <c r="H127" s="92" t="s">
        <v>248</v>
      </c>
      <c r="I127" s="781" t="s">
        <v>173</v>
      </c>
      <c r="J127" s="779" t="str">
        <f>"0."&amp;RIGHT(C127,3)</f>
        <v>0.217</v>
      </c>
      <c r="K127" s="415" t="s">
        <v>173</v>
      </c>
      <c r="L127" s="415" t="s">
        <v>173</v>
      </c>
      <c r="M127" s="403" t="s">
        <v>173</v>
      </c>
      <c r="N127" s="404" t="s">
        <v>173</v>
      </c>
      <c r="O127" s="415" t="s">
        <v>173</v>
      </c>
      <c r="P127" s="415" t="s">
        <v>173</v>
      </c>
      <c r="Q127" s="403" t="s">
        <v>173</v>
      </c>
      <c r="R127" s="404" t="s">
        <v>173</v>
      </c>
      <c r="S127" s="84"/>
      <c r="T127" s="30"/>
      <c r="U127" s="982"/>
      <c r="V127" s="982"/>
      <c r="W127" s="982"/>
      <c r="X127" s="982"/>
    </row>
    <row r="128" spans="1:24" x14ac:dyDescent="0.3">
      <c r="A128" s="89"/>
      <c r="B128" s="155" t="s">
        <v>147</v>
      </c>
      <c r="C128" s="156" t="s">
        <v>275</v>
      </c>
      <c r="D128" s="157" t="s">
        <v>1705</v>
      </c>
      <c r="E128" s="405" t="s">
        <v>173</v>
      </c>
      <c r="F128" s="448" t="s">
        <v>173</v>
      </c>
      <c r="G128" s="174" t="s">
        <v>300</v>
      </c>
      <c r="H128" s="156" t="s">
        <v>248</v>
      </c>
      <c r="I128" s="160" t="s">
        <v>300</v>
      </c>
      <c r="J128" s="162">
        <v>6.8000000000000005E-2</v>
      </c>
      <c r="K128" s="163" t="s">
        <v>173</v>
      </c>
      <c r="L128" s="163" t="s">
        <v>173</v>
      </c>
      <c r="M128" s="158" t="s">
        <v>173</v>
      </c>
      <c r="N128" s="164" t="s">
        <v>173</v>
      </c>
      <c r="O128" s="163" t="s">
        <v>173</v>
      </c>
      <c r="P128" s="163" t="s">
        <v>173</v>
      </c>
      <c r="Q128" s="158" t="s">
        <v>173</v>
      </c>
      <c r="R128" s="164" t="s">
        <v>173</v>
      </c>
      <c r="S128" s="84"/>
      <c r="T128" s="30"/>
      <c r="U128" s="982"/>
      <c r="V128" s="982"/>
      <c r="W128" s="982"/>
      <c r="X128" s="982"/>
    </row>
    <row r="129" spans="1:27" ht="15" customHeight="1" x14ac:dyDescent="0.3">
      <c r="A129" s="89"/>
      <c r="B129" s="90"/>
      <c r="S129" s="84"/>
      <c r="U129" s="982"/>
      <c r="V129" s="982"/>
      <c r="W129" s="982"/>
      <c r="X129" s="982"/>
      <c r="Y129" s="982"/>
      <c r="Z129" s="982"/>
      <c r="AA129" s="982"/>
    </row>
    <row r="130" spans="1:27" x14ac:dyDescent="0.3">
      <c r="A130" s="89"/>
      <c r="B130" s="90" t="s">
        <v>184</v>
      </c>
      <c r="U130" s="982"/>
      <c r="V130" s="982"/>
      <c r="W130" s="982"/>
      <c r="X130" s="982"/>
      <c r="Y130" s="982"/>
      <c r="Z130" s="982"/>
      <c r="AA130" s="982"/>
    </row>
    <row r="131" spans="1:27" ht="27.6" x14ac:dyDescent="0.3">
      <c r="A131" s="89"/>
      <c r="B131" s="219" t="s">
        <v>148</v>
      </c>
      <c r="C131" s="123" t="s">
        <v>149</v>
      </c>
      <c r="D131" s="216"/>
      <c r="E131" s="195"/>
      <c r="F131" s="116" t="s">
        <v>150</v>
      </c>
      <c r="G131" s="188"/>
      <c r="H131" s="123" t="s">
        <v>151</v>
      </c>
      <c r="I131" s="195"/>
      <c r="J131" s="116" t="s">
        <v>185</v>
      </c>
      <c r="K131" s="188"/>
      <c r="L131" s="116" t="s">
        <v>186</v>
      </c>
      <c r="M131" s="36"/>
      <c r="N131" s="84"/>
      <c r="O131" s="36"/>
      <c r="P131" s="84"/>
      <c r="Q131" s="36"/>
      <c r="R131" s="84"/>
      <c r="S131" s="36"/>
      <c r="T131" s="84"/>
      <c r="U131" s="982"/>
      <c r="V131" s="982"/>
      <c r="W131" s="982"/>
      <c r="X131" s="982"/>
      <c r="Y131" s="364"/>
      <c r="Z131" s="364"/>
      <c r="AA131" s="364"/>
    </row>
    <row r="132" spans="1:27" ht="15" thickBot="1" x14ac:dyDescent="0.35">
      <c r="A132" s="89"/>
      <c r="B132" s="132"/>
      <c r="C132" s="124" t="s">
        <v>188</v>
      </c>
      <c r="D132" s="125"/>
      <c r="E132" s="139"/>
      <c r="F132" s="149" t="s">
        <v>189</v>
      </c>
      <c r="G132" s="126"/>
      <c r="H132" s="124" t="s">
        <v>190</v>
      </c>
      <c r="I132" s="145"/>
      <c r="J132" s="149" t="s">
        <v>191</v>
      </c>
      <c r="K132" s="125"/>
      <c r="L132" s="149" t="s">
        <v>192</v>
      </c>
      <c r="M132" s="83"/>
      <c r="N132" s="30"/>
      <c r="O132" s="83"/>
      <c r="P132" s="30"/>
      <c r="Q132" s="30"/>
      <c r="R132" s="30"/>
      <c r="S132" s="30"/>
      <c r="T132" s="30"/>
      <c r="U132" s="982"/>
      <c r="V132" s="982"/>
      <c r="W132" s="982"/>
      <c r="X132" s="982"/>
      <c r="Y132" s="364"/>
      <c r="Z132" s="364"/>
      <c r="AA132" s="364"/>
    </row>
    <row r="133" spans="1:27" ht="25.5" customHeight="1" thickTop="1" x14ac:dyDescent="0.3">
      <c r="A133" s="89"/>
      <c r="B133" s="129" t="s">
        <v>187</v>
      </c>
      <c r="C133" s="364" t="s">
        <v>1706</v>
      </c>
      <c r="D133" s="373" t="s">
        <v>137</v>
      </c>
      <c r="E133" s="140" t="s">
        <v>300</v>
      </c>
      <c r="F133" s="362" t="s">
        <v>199</v>
      </c>
      <c r="G133" s="147" t="s">
        <v>300</v>
      </c>
      <c r="H133" s="92">
        <v>0.36</v>
      </c>
      <c r="I133" s="140" t="s">
        <v>300</v>
      </c>
      <c r="J133" s="152">
        <v>0.25</v>
      </c>
      <c r="K133" s="147" t="s">
        <v>300</v>
      </c>
      <c r="L133" s="152">
        <v>0.42</v>
      </c>
      <c r="U133" s="982"/>
      <c r="V133" s="982"/>
      <c r="W133" s="982"/>
      <c r="X133" s="982"/>
      <c r="Y133" s="364"/>
      <c r="Z133" s="364"/>
      <c r="AA133" s="364"/>
    </row>
    <row r="134" spans="1:27" x14ac:dyDescent="0.3">
      <c r="A134" s="89"/>
      <c r="B134" s="155" t="s">
        <v>187</v>
      </c>
      <c r="C134" s="157" t="s">
        <v>1708</v>
      </c>
      <c r="D134" s="165" t="s">
        <v>1705</v>
      </c>
      <c r="E134" s="160" t="s">
        <v>300</v>
      </c>
      <c r="F134" s="172" t="s">
        <v>199</v>
      </c>
      <c r="G134" s="174" t="s">
        <v>300</v>
      </c>
      <c r="H134" s="156">
        <v>0.55000000000000004</v>
      </c>
      <c r="I134" s="160" t="s">
        <v>300</v>
      </c>
      <c r="J134" s="169">
        <v>0.56000000000000005</v>
      </c>
      <c r="K134" s="174" t="s">
        <v>300</v>
      </c>
      <c r="L134" s="169">
        <v>0.6</v>
      </c>
      <c r="U134" s="982"/>
      <c r="V134" s="982"/>
      <c r="W134" s="982"/>
      <c r="X134" s="982"/>
      <c r="Y134" s="364"/>
      <c r="Z134" s="364"/>
      <c r="AA134" s="364"/>
    </row>
    <row r="135" spans="1:27" ht="15" customHeight="1" x14ac:dyDescent="0.3">
      <c r="C135" s="366"/>
      <c r="D135" s="373"/>
      <c r="E135" s="364"/>
      <c r="G135" s="364"/>
      <c r="H135" s="92"/>
      <c r="U135" s="982"/>
      <c r="V135" s="982"/>
      <c r="W135" s="982"/>
      <c r="X135" s="90"/>
      <c r="Y135" s="364"/>
      <c r="Z135" s="364"/>
      <c r="AA135" s="364"/>
    </row>
    <row r="136" spans="1:27" ht="15" customHeight="1" x14ac:dyDescent="0.3">
      <c r="A136" s="90"/>
      <c r="B136" s="90"/>
      <c r="C136" s="90"/>
      <c r="D136" s="219" t="s">
        <v>148</v>
      </c>
      <c r="E136" s="195"/>
      <c r="F136" s="116" t="s">
        <v>840</v>
      </c>
      <c r="G136" s="188"/>
      <c r="H136" s="123" t="s">
        <v>841</v>
      </c>
      <c r="I136" s="195"/>
      <c r="J136" s="116" t="s">
        <v>842</v>
      </c>
      <c r="K136" s="188"/>
      <c r="L136" s="123" t="s">
        <v>843</v>
      </c>
      <c r="M136" s="195"/>
      <c r="N136" s="116" t="s">
        <v>844</v>
      </c>
      <c r="O136" s="40"/>
      <c r="P136" s="14"/>
      <c r="Q136" s="14"/>
      <c r="R136" s="14"/>
      <c r="S136" s="14"/>
      <c r="T136" s="14"/>
      <c r="U136" s="90"/>
      <c r="V136" s="90"/>
      <c r="W136" s="90"/>
      <c r="X136" s="364"/>
      <c r="Y136" s="364"/>
      <c r="Z136" s="364"/>
      <c r="AA136" s="364"/>
    </row>
    <row r="137" spans="1:27" ht="15" customHeight="1" thickBot="1" x14ac:dyDescent="0.35">
      <c r="C137" s="364"/>
      <c r="D137" s="239"/>
      <c r="E137" s="240"/>
      <c r="F137" s="241" t="s">
        <v>850</v>
      </c>
      <c r="G137" s="227"/>
      <c r="H137" s="125" t="s">
        <v>851</v>
      </c>
      <c r="I137" s="240"/>
      <c r="J137" s="108" t="s">
        <v>852</v>
      </c>
      <c r="K137" s="227"/>
      <c r="L137" s="218" t="s">
        <v>853</v>
      </c>
      <c r="M137" s="240"/>
      <c r="N137" s="108" t="s">
        <v>854</v>
      </c>
      <c r="O137" s="69"/>
      <c r="P137" s="69"/>
      <c r="Q137" s="69"/>
      <c r="R137" s="69"/>
      <c r="S137" s="69"/>
      <c r="T137" s="69"/>
      <c r="U137" s="364"/>
      <c r="V137" s="364"/>
      <c r="W137" s="364"/>
      <c r="X137" s="373"/>
      <c r="Y137" s="364"/>
      <c r="Z137" s="364"/>
      <c r="AA137" s="364"/>
    </row>
    <row r="138" spans="1:27" ht="15" thickTop="1" x14ac:dyDescent="0.3">
      <c r="A138" s="373"/>
      <c r="B138" s="373"/>
      <c r="C138" s="91"/>
      <c r="D138" s="236" t="s">
        <v>187</v>
      </c>
      <c r="E138" s="242" t="s">
        <v>300</v>
      </c>
      <c r="F138" s="238">
        <v>0.30809999999999998</v>
      </c>
      <c r="G138" s="235" t="s">
        <v>300</v>
      </c>
      <c r="H138" s="237">
        <v>0.33</v>
      </c>
      <c r="I138" s="242" t="s">
        <v>300</v>
      </c>
      <c r="J138" s="237">
        <v>0.33</v>
      </c>
      <c r="K138" s="354" t="s">
        <v>300</v>
      </c>
      <c r="L138" s="237">
        <v>0.33</v>
      </c>
      <c r="M138" s="242" t="s">
        <v>300</v>
      </c>
      <c r="N138" s="238">
        <v>0.22</v>
      </c>
      <c r="O138" s="365"/>
      <c r="P138" s="365"/>
      <c r="Q138" s="365"/>
      <c r="R138" s="365"/>
      <c r="S138" s="365"/>
      <c r="T138" s="365"/>
      <c r="U138" s="373"/>
      <c r="V138" s="373"/>
      <c r="W138" s="373"/>
      <c r="X138" s="982"/>
      <c r="Y138" s="364"/>
      <c r="Z138" s="364"/>
      <c r="AA138" s="364"/>
    </row>
    <row r="139" spans="1:27" x14ac:dyDescent="0.3">
      <c r="A139" s="89"/>
      <c r="B139" s="90"/>
      <c r="U139" s="982"/>
      <c r="V139" s="982"/>
      <c r="W139" s="982"/>
      <c r="X139" s="982"/>
      <c r="Y139" s="364"/>
      <c r="Z139" s="364"/>
      <c r="AA139" s="364"/>
    </row>
    <row r="140" spans="1:27" x14ac:dyDescent="0.3">
      <c r="A140" s="23"/>
      <c r="B140" s="23" t="s">
        <v>204</v>
      </c>
      <c r="C140" s="982"/>
      <c r="D140" s="357"/>
      <c r="E140" s="41"/>
      <c r="F140" s="39"/>
      <c r="G140" s="41"/>
      <c r="H140" s="39"/>
      <c r="I140" s="41"/>
      <c r="J140" s="39"/>
      <c r="K140" s="41"/>
      <c r="L140" s="39"/>
      <c r="M140" s="41"/>
      <c r="N140" s="39"/>
      <c r="O140" s="41"/>
      <c r="P140" s="39"/>
      <c r="R140" s="39"/>
      <c r="T140" s="39"/>
      <c r="U140" s="982"/>
      <c r="V140" s="982"/>
      <c r="W140" s="982"/>
      <c r="X140" s="982"/>
      <c r="Y140" s="364"/>
      <c r="Z140" s="364"/>
      <c r="AA140" s="364"/>
    </row>
    <row r="141" spans="1:27" x14ac:dyDescent="0.3">
      <c r="A141" s="89"/>
      <c r="B141" s="91" t="s">
        <v>146</v>
      </c>
      <c r="U141" s="982"/>
      <c r="V141" s="982"/>
      <c r="W141" s="982"/>
      <c r="X141" s="982"/>
      <c r="Y141" s="364"/>
      <c r="Z141" s="364"/>
      <c r="AA141" s="364"/>
    </row>
    <row r="142" spans="1:27" x14ac:dyDescent="0.3">
      <c r="A142" s="89"/>
      <c r="B142" s="138" t="s">
        <v>148</v>
      </c>
      <c r="C142" s="120" t="s">
        <v>149</v>
      </c>
      <c r="D142" s="119" t="s">
        <v>122</v>
      </c>
      <c r="E142" s="138"/>
      <c r="F142" s="117" t="s">
        <v>214</v>
      </c>
      <c r="G142" s="119"/>
      <c r="H142" s="173" t="s">
        <v>215</v>
      </c>
      <c r="I142" s="138"/>
      <c r="J142" s="117" t="s">
        <v>216</v>
      </c>
      <c r="K142" s="119"/>
      <c r="L142" s="173" t="s">
        <v>217</v>
      </c>
      <c r="M142" s="138"/>
      <c r="N142" s="117" t="s">
        <v>218</v>
      </c>
      <c r="O142" s="119"/>
      <c r="P142" s="117" t="s">
        <v>219</v>
      </c>
      <c r="Q142" s="119"/>
      <c r="R142" s="117" t="s">
        <v>253</v>
      </c>
      <c r="S142" s="119"/>
      <c r="T142" s="117" t="s">
        <v>1742</v>
      </c>
      <c r="U142" s="982"/>
      <c r="V142" s="982"/>
      <c r="W142" s="982"/>
      <c r="X142" s="982"/>
      <c r="Y142" s="364"/>
      <c r="Z142" s="364"/>
      <c r="AA142" s="364"/>
    </row>
    <row r="143" spans="1:27" ht="15" thickBot="1" x14ac:dyDescent="0.35">
      <c r="A143" s="89"/>
      <c r="B143" s="132"/>
      <c r="C143" s="124" t="s">
        <v>159</v>
      </c>
      <c r="D143" s="125"/>
      <c r="E143" s="139"/>
      <c r="F143" s="473" t="s">
        <v>226</v>
      </c>
      <c r="G143" s="126"/>
      <c r="H143" s="473" t="s">
        <v>226</v>
      </c>
      <c r="I143" s="145"/>
      <c r="J143" s="473" t="s">
        <v>226</v>
      </c>
      <c r="K143" s="125"/>
      <c r="L143" s="473" t="s">
        <v>226</v>
      </c>
      <c r="M143" s="145"/>
      <c r="N143" s="473" t="s">
        <v>226</v>
      </c>
      <c r="O143" s="125"/>
      <c r="P143" s="473" t="s">
        <v>226</v>
      </c>
      <c r="Q143" s="125"/>
      <c r="R143" s="473" t="s">
        <v>226</v>
      </c>
      <c r="S143" s="125"/>
      <c r="T143" s="473"/>
      <c r="U143" s="982"/>
      <c r="V143" s="982"/>
      <c r="W143" s="982"/>
      <c r="X143" s="982"/>
      <c r="Y143" s="364"/>
      <c r="Z143" s="364"/>
      <c r="AA143" s="364"/>
    </row>
    <row r="144" spans="1:27" ht="28.2" thickTop="1" x14ac:dyDescent="0.3">
      <c r="A144" s="89"/>
      <c r="B144" s="129" t="s">
        <v>147</v>
      </c>
      <c r="C144" s="92" t="s">
        <v>1741</v>
      </c>
      <c r="D144" s="364" t="s">
        <v>137</v>
      </c>
      <c r="E144" s="140" t="s">
        <v>300</v>
      </c>
      <c r="F144" s="362" t="s">
        <v>222</v>
      </c>
      <c r="G144" s="147" t="s">
        <v>300</v>
      </c>
      <c r="H144" s="366" t="s">
        <v>256</v>
      </c>
      <c r="I144" s="140" t="s">
        <v>300</v>
      </c>
      <c r="J144" s="362" t="s">
        <v>257</v>
      </c>
      <c r="K144" s="147" t="s">
        <v>300</v>
      </c>
      <c r="L144" s="366" t="s">
        <v>257</v>
      </c>
      <c r="M144" s="142" t="s">
        <v>300</v>
      </c>
      <c r="N144" s="362" t="s">
        <v>1743</v>
      </c>
      <c r="O144" s="142" t="s">
        <v>300</v>
      </c>
      <c r="P144" s="362" t="s">
        <v>1744</v>
      </c>
      <c r="Q144" s="142" t="s">
        <v>300</v>
      </c>
      <c r="R144" s="362" t="s">
        <v>259</v>
      </c>
      <c r="S144" s="142" t="s">
        <v>300</v>
      </c>
      <c r="T144" s="362" t="s">
        <v>225</v>
      </c>
      <c r="U144" s="982"/>
      <c r="V144" s="982"/>
      <c r="W144" s="982"/>
      <c r="X144" s="982"/>
      <c r="Y144" s="982"/>
      <c r="Z144" s="982"/>
      <c r="AA144" s="982"/>
    </row>
    <row r="145" spans="1:25" ht="27.6" x14ac:dyDescent="0.3">
      <c r="A145" s="89"/>
      <c r="B145" s="129" t="s">
        <v>147</v>
      </c>
      <c r="C145" s="92" t="s">
        <v>275</v>
      </c>
      <c r="D145" s="364" t="s">
        <v>1705</v>
      </c>
      <c r="E145" s="142" t="s">
        <v>300</v>
      </c>
      <c r="F145" s="362" t="s">
        <v>222</v>
      </c>
      <c r="G145" s="181" t="s">
        <v>300</v>
      </c>
      <c r="H145" s="366" t="s">
        <v>223</v>
      </c>
      <c r="I145" s="142" t="s">
        <v>300</v>
      </c>
      <c r="J145" s="362" t="s">
        <v>294</v>
      </c>
      <c r="K145" s="181" t="s">
        <v>300</v>
      </c>
      <c r="L145" s="366" t="s">
        <v>259</v>
      </c>
      <c r="M145" s="142" t="s">
        <v>300</v>
      </c>
      <c r="N145" s="362" t="s">
        <v>225</v>
      </c>
      <c r="O145" s="415" t="s">
        <v>173</v>
      </c>
      <c r="P145" s="404" t="s">
        <v>173</v>
      </c>
      <c r="Q145" s="415" t="s">
        <v>173</v>
      </c>
      <c r="R145" s="404" t="s">
        <v>173</v>
      </c>
      <c r="S145" s="415"/>
      <c r="T145" s="404"/>
      <c r="U145" s="982"/>
      <c r="V145" s="982"/>
      <c r="W145" s="982"/>
      <c r="X145" s="982"/>
      <c r="Y145" s="982"/>
    </row>
    <row r="146" spans="1:25" ht="27.6" x14ac:dyDescent="0.3">
      <c r="A146" s="89"/>
      <c r="B146" s="155" t="s">
        <v>132</v>
      </c>
      <c r="C146" s="156" t="s">
        <v>1745</v>
      </c>
      <c r="D146" s="172" t="s">
        <v>1703</v>
      </c>
      <c r="E146" s="160" t="s">
        <v>300</v>
      </c>
      <c r="F146" s="172" t="s">
        <v>261</v>
      </c>
      <c r="G146" s="174" t="s">
        <v>300</v>
      </c>
      <c r="H146" s="172" t="s">
        <v>1746</v>
      </c>
      <c r="I146" s="174" t="s">
        <v>300</v>
      </c>
      <c r="J146" s="172" t="s">
        <v>1747</v>
      </c>
      <c r="K146" s="419" t="s">
        <v>173</v>
      </c>
      <c r="L146" s="419" t="s">
        <v>173</v>
      </c>
      <c r="M146" s="405" t="s">
        <v>173</v>
      </c>
      <c r="N146" s="406" t="s">
        <v>173</v>
      </c>
      <c r="O146" s="419" t="s">
        <v>173</v>
      </c>
      <c r="P146" s="406" t="s">
        <v>173</v>
      </c>
      <c r="Q146" s="419" t="s">
        <v>173</v>
      </c>
      <c r="R146" s="406" t="s">
        <v>173</v>
      </c>
      <c r="S146" s="419"/>
      <c r="T146" s="406"/>
      <c r="U146" s="982"/>
      <c r="V146" s="982"/>
      <c r="W146" s="982"/>
      <c r="X146" s="982"/>
      <c r="Y146" s="982"/>
    </row>
    <row r="147" spans="1:25" x14ac:dyDescent="0.3">
      <c r="A147" s="89"/>
      <c r="U147" s="982"/>
      <c r="V147" s="982"/>
      <c r="W147" s="982"/>
      <c r="X147" s="982"/>
      <c r="Y147" s="982"/>
    </row>
    <row r="148" spans="1:25" x14ac:dyDescent="0.3">
      <c r="A148" s="89"/>
      <c r="B148" s="92"/>
      <c r="C148" s="90"/>
      <c r="D148" s="357"/>
      <c r="E148" s="364"/>
      <c r="F148" s="364"/>
      <c r="G148" s="364"/>
      <c r="H148" s="364"/>
      <c r="J148" s="364"/>
      <c r="L148" s="72"/>
      <c r="N148" s="72"/>
      <c r="P148" s="72"/>
      <c r="R148" s="72"/>
      <c r="T148" s="72"/>
      <c r="U148" s="982"/>
      <c r="V148" s="982"/>
      <c r="W148" s="982"/>
      <c r="X148" s="982"/>
      <c r="Y148" s="982"/>
    </row>
    <row r="149" spans="1:25" x14ac:dyDescent="0.3">
      <c r="A149" s="23"/>
      <c r="B149" s="23" t="s">
        <v>329</v>
      </c>
      <c r="U149" s="982"/>
      <c r="V149" s="982"/>
      <c r="W149" s="982"/>
      <c r="X149" s="982"/>
      <c r="Y149" s="982"/>
    </row>
    <row r="150" spans="1:25" ht="41.4" x14ac:dyDescent="0.3">
      <c r="A150" s="89"/>
      <c r="B150" s="115" t="s">
        <v>330</v>
      </c>
      <c r="C150" s="123" t="s">
        <v>331</v>
      </c>
      <c r="D150" s="119" t="s">
        <v>122</v>
      </c>
      <c r="E150" s="131"/>
      <c r="F150" s="148" t="s">
        <v>332</v>
      </c>
      <c r="G150" s="120"/>
      <c r="H150" s="117" t="s">
        <v>148</v>
      </c>
      <c r="I150" s="131"/>
      <c r="J150" s="173" t="s">
        <v>333</v>
      </c>
      <c r="K150" s="131"/>
      <c r="L150" s="117" t="s">
        <v>334</v>
      </c>
      <c r="M150" s="131"/>
      <c r="N150" s="148" t="s">
        <v>335</v>
      </c>
      <c r="O150" s="120"/>
      <c r="P150" s="120" t="s">
        <v>336</v>
      </c>
      <c r="Q150" s="131"/>
      <c r="R150" s="148" t="s">
        <v>337</v>
      </c>
      <c r="S150" s="131"/>
      <c r="T150" s="148" t="s">
        <v>338</v>
      </c>
      <c r="U150" s="131"/>
      <c r="V150" s="148" t="s">
        <v>339</v>
      </c>
      <c r="W150" s="982"/>
      <c r="X150" s="982"/>
      <c r="Y150" s="982"/>
    </row>
    <row r="151" spans="1:25" ht="15" thickBot="1" x14ac:dyDescent="0.35">
      <c r="A151" s="89"/>
      <c r="B151" s="178" t="s">
        <v>341</v>
      </c>
      <c r="C151" s="176" t="s">
        <v>342</v>
      </c>
      <c r="D151" s="214"/>
      <c r="E151" s="183"/>
      <c r="F151" s="214"/>
      <c r="G151" s="183"/>
      <c r="H151" s="179" t="s">
        <v>343</v>
      </c>
      <c r="I151" s="183"/>
      <c r="J151" s="179" t="s">
        <v>344</v>
      </c>
      <c r="K151" s="177"/>
      <c r="L151" s="176" t="s">
        <v>345</v>
      </c>
      <c r="M151" s="211"/>
      <c r="N151" s="179" t="s">
        <v>346</v>
      </c>
      <c r="O151" s="208"/>
      <c r="P151" s="176" t="s">
        <v>347</v>
      </c>
      <c r="Q151" s="211"/>
      <c r="R151" s="179" t="s">
        <v>348</v>
      </c>
      <c r="S151" s="233"/>
      <c r="T151" s="179" t="s">
        <v>349</v>
      </c>
      <c r="U151" s="233"/>
      <c r="V151" s="179" t="s">
        <v>350</v>
      </c>
      <c r="W151" s="982"/>
      <c r="X151" s="982"/>
      <c r="Y151" s="982"/>
    </row>
    <row r="152" spans="1:25" ht="15" thickTop="1" x14ac:dyDescent="0.3">
      <c r="A152" s="89"/>
      <c r="B152" s="130" t="s">
        <v>1712</v>
      </c>
      <c r="C152" s="92" t="s">
        <v>1430</v>
      </c>
      <c r="D152" s="364" t="s">
        <v>1705</v>
      </c>
      <c r="E152" s="403" t="s">
        <v>173</v>
      </c>
      <c r="F152" s="404" t="s">
        <v>173</v>
      </c>
      <c r="G152" s="140" t="s">
        <v>300</v>
      </c>
      <c r="H152" s="152" t="s">
        <v>353</v>
      </c>
      <c r="I152" s="147"/>
      <c r="J152" s="92" t="s">
        <v>353</v>
      </c>
      <c r="K152" s="140"/>
      <c r="L152" s="152" t="s">
        <v>354</v>
      </c>
      <c r="M152" s="140"/>
      <c r="N152" s="209">
        <v>55</v>
      </c>
      <c r="O152" s="140"/>
      <c r="P152" s="364">
        <v>60</v>
      </c>
      <c r="Q152" s="140"/>
      <c r="R152" s="209" t="s">
        <v>355</v>
      </c>
      <c r="S152" s="142"/>
      <c r="T152" s="209">
        <v>60</v>
      </c>
      <c r="U152" s="142"/>
      <c r="V152" s="209">
        <v>55</v>
      </c>
      <c r="W152" s="982"/>
      <c r="X152" s="982"/>
      <c r="Y152" s="982"/>
    </row>
    <row r="153" spans="1:25" x14ac:dyDescent="0.3">
      <c r="A153" s="89"/>
      <c r="B153" s="130" t="s">
        <v>1713</v>
      </c>
      <c r="C153" s="92" t="s">
        <v>1611</v>
      </c>
      <c r="D153" s="364" t="s">
        <v>1705</v>
      </c>
      <c r="E153" s="403" t="s">
        <v>173</v>
      </c>
      <c r="F153" s="404" t="s">
        <v>173</v>
      </c>
      <c r="G153" s="140" t="s">
        <v>300</v>
      </c>
      <c r="H153" s="152" t="s">
        <v>353</v>
      </c>
      <c r="I153" s="147"/>
      <c r="J153" s="92" t="s">
        <v>353</v>
      </c>
      <c r="K153" s="140"/>
      <c r="L153" s="152" t="s">
        <v>354</v>
      </c>
      <c r="M153" s="140"/>
      <c r="N153" s="209">
        <v>55</v>
      </c>
      <c r="O153" s="140"/>
      <c r="P153" s="364">
        <v>60</v>
      </c>
      <c r="Q153" s="140"/>
      <c r="R153" s="209" t="s">
        <v>355</v>
      </c>
      <c r="S153" s="142"/>
      <c r="T153" s="209">
        <v>60</v>
      </c>
      <c r="U153" s="142"/>
      <c r="V153" s="209">
        <v>55</v>
      </c>
      <c r="W153" s="982"/>
      <c r="X153" s="982"/>
      <c r="Y153" s="982"/>
    </row>
    <row r="154" spans="1:25" x14ac:dyDescent="0.3">
      <c r="A154" s="89"/>
      <c r="B154" s="130" t="s">
        <v>1714</v>
      </c>
      <c r="C154" s="43" t="s">
        <v>1748</v>
      </c>
      <c r="D154" s="364" t="s">
        <v>137</v>
      </c>
      <c r="E154" s="782"/>
      <c r="F154" s="152" t="s">
        <v>1716</v>
      </c>
      <c r="G154" s="140"/>
      <c r="H154" s="152" t="s">
        <v>365</v>
      </c>
      <c r="I154" s="147"/>
      <c r="J154" s="92" t="s">
        <v>365</v>
      </c>
      <c r="K154" s="140"/>
      <c r="L154" s="152" t="s">
        <v>354</v>
      </c>
      <c r="M154" s="140"/>
      <c r="N154" s="209">
        <v>55</v>
      </c>
      <c r="O154" s="140"/>
      <c r="P154" s="364">
        <v>95</v>
      </c>
      <c r="Q154" s="140"/>
      <c r="R154" s="209" t="s">
        <v>377</v>
      </c>
      <c r="S154" s="403" t="s">
        <v>173</v>
      </c>
      <c r="T154" s="404" t="s">
        <v>173</v>
      </c>
      <c r="U154" s="403" t="s">
        <v>173</v>
      </c>
      <c r="V154" s="404" t="s">
        <v>173</v>
      </c>
      <c r="W154" s="982"/>
      <c r="X154" s="982"/>
      <c r="Y154" s="982"/>
    </row>
    <row r="155" spans="1:25" s="857" customFormat="1" x14ac:dyDescent="0.3">
      <c r="A155" s="89"/>
      <c r="B155" s="130" t="s">
        <v>1717</v>
      </c>
      <c r="C155" s="92" t="s">
        <v>1718</v>
      </c>
      <c r="D155" s="376" t="s">
        <v>137</v>
      </c>
      <c r="E155" s="403" t="s">
        <v>173</v>
      </c>
      <c r="F155" s="404" t="s">
        <v>1719</v>
      </c>
      <c r="G155" s="243"/>
      <c r="H155" s="152" t="s">
        <v>365</v>
      </c>
      <c r="I155" s="243"/>
      <c r="J155" s="152" t="s">
        <v>365</v>
      </c>
      <c r="K155" s="753" t="s">
        <v>300</v>
      </c>
      <c r="L155" s="152" t="s">
        <v>354</v>
      </c>
      <c r="M155" s="905"/>
      <c r="N155" s="209">
        <v>55</v>
      </c>
      <c r="O155" s="753"/>
      <c r="P155" s="364">
        <v>95</v>
      </c>
      <c r="Q155" s="243"/>
      <c r="R155" s="209" t="s">
        <v>377</v>
      </c>
      <c r="S155" s="415" t="s">
        <v>173</v>
      </c>
      <c r="T155" s="404" t="s">
        <v>173</v>
      </c>
      <c r="U155" s="415" t="s">
        <v>173</v>
      </c>
      <c r="V155" s="404" t="s">
        <v>173</v>
      </c>
      <c r="W155" s="982"/>
      <c r="X155" s="982"/>
      <c r="Y155" s="982"/>
    </row>
    <row r="156" spans="1:25" s="857" customFormat="1" x14ac:dyDescent="0.3">
      <c r="A156" s="89"/>
      <c r="B156" s="877" t="s">
        <v>1720</v>
      </c>
      <c r="C156" s="867" t="s">
        <v>1721</v>
      </c>
      <c r="D156" s="186" t="s">
        <v>137</v>
      </c>
      <c r="E156" s="405" t="s">
        <v>173</v>
      </c>
      <c r="F156" s="406" t="s">
        <v>1722</v>
      </c>
      <c r="G156" s="160"/>
      <c r="H156" s="919" t="s">
        <v>1580</v>
      </c>
      <c r="I156" s="160"/>
      <c r="J156" s="919" t="s">
        <v>1580</v>
      </c>
      <c r="K156" s="170" t="s">
        <v>300</v>
      </c>
      <c r="L156" s="162" t="s">
        <v>354</v>
      </c>
      <c r="M156" s="171"/>
      <c r="N156" s="212">
        <v>55</v>
      </c>
      <c r="O156" s="170"/>
      <c r="P156" s="157">
        <v>95</v>
      </c>
      <c r="Q156" s="160"/>
      <c r="R156" s="212" t="s">
        <v>377</v>
      </c>
      <c r="S156" s="405" t="s">
        <v>173</v>
      </c>
      <c r="T156" s="406" t="s">
        <v>173</v>
      </c>
      <c r="U156" s="419" t="s">
        <v>173</v>
      </c>
      <c r="V156" s="406" t="s">
        <v>173</v>
      </c>
      <c r="W156" s="982"/>
      <c r="X156" s="982"/>
      <c r="Y156" s="982"/>
    </row>
    <row r="157" spans="1:25" x14ac:dyDescent="0.3">
      <c r="A157" s="89"/>
      <c r="B157" s="84"/>
      <c r="C157" s="82"/>
      <c r="D157" s="30"/>
      <c r="E157" s="364"/>
      <c r="F157" s="364"/>
      <c r="G157" s="364"/>
      <c r="H157" s="364"/>
      <c r="J157" s="364"/>
      <c r="K157" s="91"/>
      <c r="L157" s="89"/>
      <c r="N157" s="364"/>
      <c r="P157" s="364"/>
      <c r="R157" s="364"/>
      <c r="T157" s="364"/>
      <c r="U157" s="364"/>
      <c r="V157" s="364"/>
      <c r="W157" s="364"/>
      <c r="X157" s="364"/>
      <c r="Y157" s="982"/>
    </row>
    <row r="158" spans="1:25" x14ac:dyDescent="0.3">
      <c r="A158" s="89"/>
      <c r="B158" s="84"/>
      <c r="C158" s="82"/>
      <c r="D158" s="30"/>
      <c r="E158" s="364"/>
      <c r="F158" s="364"/>
      <c r="G158" s="364"/>
      <c r="H158" s="364"/>
      <c r="J158" s="364"/>
      <c r="K158" s="91"/>
      <c r="L158" s="89"/>
      <c r="N158" s="364"/>
      <c r="P158" s="364"/>
      <c r="R158" s="364"/>
      <c r="T158" s="364"/>
      <c r="U158" s="364"/>
      <c r="V158" s="364"/>
      <c r="W158" s="364"/>
      <c r="X158" s="364"/>
      <c r="Y158" s="982"/>
    </row>
    <row r="159" spans="1:25" ht="41.4" x14ac:dyDescent="0.3">
      <c r="A159" s="89"/>
      <c r="B159" s="194" t="s">
        <v>1294</v>
      </c>
      <c r="C159" s="120" t="s">
        <v>382</v>
      </c>
      <c r="D159" s="119" t="s">
        <v>122</v>
      </c>
      <c r="E159" s="194"/>
      <c r="F159" s="117" t="s">
        <v>148</v>
      </c>
      <c r="G159" s="173"/>
      <c r="H159" s="173" t="s">
        <v>383</v>
      </c>
      <c r="I159" s="194"/>
      <c r="J159" s="117" t="s">
        <v>385</v>
      </c>
      <c r="K159" s="187"/>
      <c r="L159" s="117" t="s">
        <v>386</v>
      </c>
      <c r="M159" s="427"/>
      <c r="N159" s="117" t="s">
        <v>387</v>
      </c>
      <c r="O159" s="426"/>
      <c r="P159" s="117" t="s">
        <v>388</v>
      </c>
      <c r="R159" s="364"/>
      <c r="T159" s="364"/>
      <c r="U159" s="364"/>
      <c r="V159" s="364"/>
      <c r="W159" s="364"/>
      <c r="X159" s="364"/>
      <c r="Y159" s="982"/>
    </row>
    <row r="160" spans="1:25" ht="15" thickBot="1" x14ac:dyDescent="0.35">
      <c r="A160" s="89"/>
      <c r="B160" s="178" t="s">
        <v>389</v>
      </c>
      <c r="C160" s="176" t="s">
        <v>390</v>
      </c>
      <c r="D160" s="214"/>
      <c r="E160" s="183"/>
      <c r="F160" s="179" t="s">
        <v>391</v>
      </c>
      <c r="G160" s="177"/>
      <c r="H160" s="176" t="s">
        <v>392</v>
      </c>
      <c r="I160" s="183"/>
      <c r="J160" s="179" t="s">
        <v>394</v>
      </c>
      <c r="K160" s="189"/>
      <c r="L160" s="176" t="s">
        <v>395</v>
      </c>
      <c r="M160" s="178"/>
      <c r="N160" s="179" t="s">
        <v>396</v>
      </c>
      <c r="O160" s="176"/>
      <c r="P160" s="179" t="s">
        <v>397</v>
      </c>
      <c r="R160" s="364"/>
      <c r="T160" s="364"/>
      <c r="U160" s="364"/>
      <c r="V160" s="364"/>
      <c r="W160" s="364"/>
      <c r="X160" s="364"/>
      <c r="Y160" s="364"/>
    </row>
    <row r="161" spans="1:24" ht="15" thickTop="1" x14ac:dyDescent="0.3">
      <c r="A161" s="89"/>
      <c r="B161" s="130" t="s">
        <v>1430</v>
      </c>
      <c r="C161" s="92" t="s">
        <v>1467</v>
      </c>
      <c r="D161" s="364" t="s">
        <v>1705</v>
      </c>
      <c r="E161" s="140" t="s">
        <v>300</v>
      </c>
      <c r="F161" s="192" t="s">
        <v>399</v>
      </c>
      <c r="G161" s="181" t="s">
        <v>300</v>
      </c>
      <c r="H161" s="363">
        <v>9.8000000000000007</v>
      </c>
      <c r="I161" s="403" t="s">
        <v>173</v>
      </c>
      <c r="J161" s="404" t="s">
        <v>173</v>
      </c>
      <c r="K161" s="181" t="s">
        <v>300</v>
      </c>
      <c r="L161" s="92" t="s">
        <v>400</v>
      </c>
      <c r="M161" s="142" t="s">
        <v>300</v>
      </c>
      <c r="N161" s="152" t="s">
        <v>401</v>
      </c>
      <c r="O161" s="181" t="s">
        <v>300</v>
      </c>
      <c r="P161" s="152" t="s">
        <v>402</v>
      </c>
      <c r="R161" s="364"/>
      <c r="T161" s="364"/>
      <c r="U161" s="364"/>
      <c r="V161" s="364"/>
      <c r="W161" s="364"/>
      <c r="X161" s="364"/>
    </row>
    <row r="162" spans="1:24" x14ac:dyDescent="0.3">
      <c r="A162" s="89"/>
      <c r="B162" s="130" t="s">
        <v>1611</v>
      </c>
      <c r="C162" s="92" t="s">
        <v>1723</v>
      </c>
      <c r="D162" s="364" t="s">
        <v>1705</v>
      </c>
      <c r="E162" s="140" t="s">
        <v>300</v>
      </c>
      <c r="F162" s="192" t="s">
        <v>399</v>
      </c>
      <c r="G162" s="142" t="s">
        <v>300</v>
      </c>
      <c r="H162" s="363">
        <v>9.8000000000000007</v>
      </c>
      <c r="I162" s="403" t="s">
        <v>173</v>
      </c>
      <c r="J162" s="404" t="s">
        <v>173</v>
      </c>
      <c r="K162" s="181" t="s">
        <v>300</v>
      </c>
      <c r="L162" s="92" t="s">
        <v>400</v>
      </c>
      <c r="M162" s="142" t="s">
        <v>300</v>
      </c>
      <c r="N162" s="152" t="s">
        <v>401</v>
      </c>
      <c r="O162" s="181" t="s">
        <v>300</v>
      </c>
      <c r="P162" s="152" t="s">
        <v>402</v>
      </c>
      <c r="R162" s="364"/>
      <c r="T162" s="364"/>
      <c r="U162" s="364"/>
      <c r="V162" s="364"/>
      <c r="W162" s="364"/>
      <c r="X162" s="364"/>
    </row>
    <row r="163" spans="1:24" x14ac:dyDescent="0.3">
      <c r="A163" s="89"/>
      <c r="B163" s="876" t="s">
        <v>1361</v>
      </c>
      <c r="C163" s="43" t="s">
        <v>1367</v>
      </c>
      <c r="D163" s="364" t="s">
        <v>137</v>
      </c>
      <c r="E163" s="762"/>
      <c r="F163" s="192" t="s">
        <v>399</v>
      </c>
      <c r="G163" s="142"/>
      <c r="H163" s="363">
        <v>11</v>
      </c>
      <c r="I163" s="799"/>
      <c r="J163" s="362">
        <v>1.1499999999999999</v>
      </c>
      <c r="K163" s="181"/>
      <c r="L163" s="92" t="s">
        <v>400</v>
      </c>
      <c r="M163" s="142"/>
      <c r="N163" s="152" t="s">
        <v>401</v>
      </c>
      <c r="O163" s="181"/>
      <c r="P163" s="152" t="s">
        <v>782</v>
      </c>
      <c r="R163" s="982"/>
      <c r="U163" s="364"/>
      <c r="V163" s="364"/>
      <c r="W163" s="364"/>
      <c r="X163" s="364"/>
    </row>
    <row r="164" spans="1:24" ht="27.6" x14ac:dyDescent="0.3">
      <c r="A164" s="89"/>
      <c r="B164" s="876" t="s">
        <v>1362</v>
      </c>
      <c r="C164" s="43" t="s">
        <v>1368</v>
      </c>
      <c r="D164" s="364" t="s">
        <v>137</v>
      </c>
      <c r="E164" s="762"/>
      <c r="F164" s="192" t="s">
        <v>399</v>
      </c>
      <c r="G164" s="142"/>
      <c r="H164" s="363">
        <v>10.8</v>
      </c>
      <c r="I164" s="799"/>
      <c r="J164" s="362">
        <v>1.1499999999999999</v>
      </c>
      <c r="K164" s="181"/>
      <c r="L164" s="92" t="s">
        <v>783</v>
      </c>
      <c r="M164" s="142"/>
      <c r="N164" s="152" t="s">
        <v>405</v>
      </c>
      <c r="O164" s="181"/>
      <c r="P164" s="152" t="s">
        <v>402</v>
      </c>
      <c r="R164" s="982"/>
      <c r="U164" s="364"/>
      <c r="V164" s="364"/>
      <c r="W164" s="364"/>
      <c r="X164" s="364"/>
    </row>
    <row r="165" spans="1:24" ht="27.6" x14ac:dyDescent="0.3">
      <c r="A165" s="89"/>
      <c r="B165" s="876" t="s">
        <v>1363</v>
      </c>
      <c r="C165" s="43" t="s">
        <v>1369</v>
      </c>
      <c r="D165" s="364" t="s">
        <v>137</v>
      </c>
      <c r="E165" s="762"/>
      <c r="F165" s="192" t="s">
        <v>399</v>
      </c>
      <c r="G165" s="142"/>
      <c r="H165" s="363">
        <v>10.8</v>
      </c>
      <c r="I165" s="799"/>
      <c r="J165" s="362">
        <v>1.1499999999999999</v>
      </c>
      <c r="K165" s="181"/>
      <c r="L165" s="92" t="s">
        <v>783</v>
      </c>
      <c r="M165" s="142"/>
      <c r="N165" s="152" t="s">
        <v>405</v>
      </c>
      <c r="O165" s="181"/>
      <c r="P165" s="152" t="s">
        <v>402</v>
      </c>
      <c r="R165" s="982"/>
      <c r="U165" s="364"/>
      <c r="V165" s="364"/>
      <c r="W165" s="364"/>
      <c r="X165" s="364"/>
    </row>
    <row r="166" spans="1:24" ht="27.6" x14ac:dyDescent="0.3">
      <c r="A166" s="89"/>
      <c r="B166" s="876" t="s">
        <v>1364</v>
      </c>
      <c r="C166" s="43" t="s">
        <v>1370</v>
      </c>
      <c r="D166" s="364" t="s">
        <v>137</v>
      </c>
      <c r="E166" s="762"/>
      <c r="F166" s="192" t="s">
        <v>399</v>
      </c>
      <c r="G166" s="142"/>
      <c r="H166" s="363">
        <v>10.8</v>
      </c>
      <c r="I166" s="799"/>
      <c r="J166" s="362">
        <v>1.1499999999999999</v>
      </c>
      <c r="K166" s="181"/>
      <c r="L166" s="92" t="s">
        <v>783</v>
      </c>
      <c r="M166" s="142"/>
      <c r="N166" s="152" t="s">
        <v>405</v>
      </c>
      <c r="O166" s="181"/>
      <c r="P166" s="152" t="s">
        <v>402</v>
      </c>
      <c r="R166" s="982"/>
      <c r="U166" s="364"/>
      <c r="V166" s="364"/>
      <c r="W166" s="364"/>
      <c r="X166" s="364"/>
    </row>
    <row r="167" spans="1:24" x14ac:dyDescent="0.3">
      <c r="A167" s="89"/>
      <c r="B167" s="876" t="s">
        <v>1366</v>
      </c>
      <c r="C167" s="43" t="s">
        <v>1371</v>
      </c>
      <c r="D167" s="364" t="s">
        <v>137</v>
      </c>
      <c r="E167" s="762"/>
      <c r="F167" s="192" t="s">
        <v>399</v>
      </c>
      <c r="G167" s="142"/>
      <c r="H167" s="363">
        <v>10.8</v>
      </c>
      <c r="I167" s="799"/>
      <c r="J167" s="362">
        <v>1.1499999999999999</v>
      </c>
      <c r="K167" s="181"/>
      <c r="L167" s="92" t="s">
        <v>400</v>
      </c>
      <c r="M167" s="142"/>
      <c r="N167" s="152" t="s">
        <v>401</v>
      </c>
      <c r="O167" s="181"/>
      <c r="P167" s="152" t="s">
        <v>782</v>
      </c>
      <c r="R167" s="982"/>
      <c r="U167" s="364"/>
      <c r="V167" s="364"/>
      <c r="W167" s="364"/>
      <c r="X167" s="364"/>
    </row>
    <row r="168" spans="1:24" ht="27.6" x14ac:dyDescent="0.3">
      <c r="A168" s="89"/>
      <c r="B168" s="877" t="s">
        <v>1748</v>
      </c>
      <c r="C168" s="867" t="s">
        <v>1749</v>
      </c>
      <c r="D168" s="157" t="s">
        <v>137</v>
      </c>
      <c r="E168" s="835"/>
      <c r="F168" s="193" t="s">
        <v>399</v>
      </c>
      <c r="G168" s="160"/>
      <c r="H168" s="191">
        <v>10.8</v>
      </c>
      <c r="I168" s="742"/>
      <c r="J168" s="172">
        <v>1.1499999999999999</v>
      </c>
      <c r="K168" s="174"/>
      <c r="L168" s="156" t="s">
        <v>783</v>
      </c>
      <c r="M168" s="160"/>
      <c r="N168" s="162" t="s">
        <v>405</v>
      </c>
      <c r="O168" s="174"/>
      <c r="P168" s="162" t="s">
        <v>402</v>
      </c>
      <c r="R168" s="982"/>
      <c r="U168" s="364"/>
      <c r="V168" s="364"/>
      <c r="W168" s="364"/>
      <c r="X168" s="364"/>
    </row>
    <row r="169" spans="1:24" x14ac:dyDescent="0.3">
      <c r="A169" s="89"/>
      <c r="B169" s="84"/>
      <c r="C169" s="82"/>
      <c r="D169" s="89"/>
      <c r="E169" s="91"/>
      <c r="F169" s="89"/>
      <c r="G169" s="91"/>
      <c r="H169" s="89"/>
      <c r="I169" s="91"/>
      <c r="J169" s="89"/>
      <c r="K169" s="30"/>
      <c r="L169" s="364"/>
      <c r="N169" s="364"/>
      <c r="P169" s="364"/>
      <c r="R169" s="364"/>
      <c r="T169" s="364"/>
      <c r="U169" s="364"/>
      <c r="V169" s="364"/>
      <c r="W169" s="364"/>
      <c r="X169" s="364"/>
    </row>
    <row r="170" spans="1:24" x14ac:dyDescent="0.3">
      <c r="A170" s="89"/>
      <c r="B170" s="84"/>
      <c r="C170" s="82"/>
      <c r="D170" s="89"/>
      <c r="E170" s="91"/>
      <c r="F170" s="89"/>
      <c r="G170" s="91"/>
      <c r="H170" s="89"/>
      <c r="I170" s="91"/>
      <c r="J170" s="89"/>
      <c r="K170" s="30"/>
      <c r="L170" s="364"/>
      <c r="N170" s="364"/>
      <c r="P170" s="364"/>
      <c r="R170" s="364"/>
      <c r="T170" s="364"/>
      <c r="U170" s="364"/>
      <c r="V170" s="364"/>
      <c r="W170" s="364"/>
      <c r="X170" s="364"/>
    </row>
    <row r="171" spans="1:24" ht="27.6" x14ac:dyDescent="0.3">
      <c r="A171" s="89"/>
      <c r="B171" s="115" t="s">
        <v>331</v>
      </c>
      <c r="C171" s="123" t="s">
        <v>413</v>
      </c>
      <c r="D171" s="119" t="s">
        <v>122</v>
      </c>
      <c r="E171" s="194"/>
      <c r="F171" s="117" t="s">
        <v>414</v>
      </c>
      <c r="G171" s="173"/>
      <c r="H171" s="173" t="s">
        <v>1564</v>
      </c>
      <c r="I171" s="194"/>
      <c r="J171" s="117" t="s">
        <v>385</v>
      </c>
      <c r="K171" s="196"/>
      <c r="L171" s="117" t="s">
        <v>416</v>
      </c>
      <c r="N171" s="364"/>
      <c r="P171" s="364"/>
      <c r="R171" s="364"/>
      <c r="T171" s="364"/>
      <c r="U171" s="364"/>
      <c r="V171" s="364"/>
      <c r="W171" s="364"/>
      <c r="X171" s="364"/>
    </row>
    <row r="172" spans="1:24" ht="15" thickBot="1" x14ac:dyDescent="0.35">
      <c r="A172" s="89"/>
      <c r="B172" s="178" t="s">
        <v>417</v>
      </c>
      <c r="C172" s="176" t="s">
        <v>418</v>
      </c>
      <c r="D172" s="176"/>
      <c r="E172" s="183"/>
      <c r="F172" s="179" t="s">
        <v>419</v>
      </c>
      <c r="G172" s="177"/>
      <c r="H172" s="176" t="s">
        <v>420</v>
      </c>
      <c r="I172" s="183"/>
      <c r="J172" s="179"/>
      <c r="K172" s="124"/>
      <c r="L172" s="179" t="s">
        <v>421</v>
      </c>
      <c r="N172" s="364"/>
      <c r="P172" s="364"/>
      <c r="R172" s="364"/>
      <c r="T172" s="364"/>
      <c r="U172" s="364"/>
      <c r="V172" s="364"/>
      <c r="W172" s="364"/>
      <c r="X172" s="364"/>
    </row>
    <row r="173" spans="1:24" ht="15" thickTop="1" x14ac:dyDescent="0.3">
      <c r="A173" s="89"/>
      <c r="B173" s="228" t="s">
        <v>1430</v>
      </c>
      <c r="C173" s="367" t="s">
        <v>1493</v>
      </c>
      <c r="D173" s="367" t="s">
        <v>1750</v>
      </c>
      <c r="E173" s="140" t="s">
        <v>300</v>
      </c>
      <c r="F173" s="197" t="s">
        <v>681</v>
      </c>
      <c r="G173" s="415" t="s">
        <v>173</v>
      </c>
      <c r="H173" s="415" t="s">
        <v>173</v>
      </c>
      <c r="I173" s="403" t="s">
        <v>173</v>
      </c>
      <c r="J173" s="404" t="s">
        <v>173</v>
      </c>
      <c r="K173" s="415" t="s">
        <v>173</v>
      </c>
      <c r="L173" s="404" t="s">
        <v>173</v>
      </c>
      <c r="N173" s="364"/>
      <c r="P173" s="364"/>
      <c r="R173" s="364"/>
      <c r="T173" s="364"/>
      <c r="U173" s="982"/>
      <c r="V173" s="982"/>
      <c r="W173" s="982"/>
      <c r="X173" s="982"/>
    </row>
    <row r="174" spans="1:24" x14ac:dyDescent="0.3">
      <c r="A174" s="89"/>
      <c r="B174" s="228" t="s">
        <v>1430</v>
      </c>
      <c r="C174" s="367" t="s">
        <v>1725</v>
      </c>
      <c r="D174" s="367" t="s">
        <v>1750</v>
      </c>
      <c r="E174" s="140" t="s">
        <v>300</v>
      </c>
      <c r="F174" s="197" t="s">
        <v>681</v>
      </c>
      <c r="G174" s="415" t="s">
        <v>173</v>
      </c>
      <c r="H174" s="415" t="s">
        <v>173</v>
      </c>
      <c r="I174" s="403" t="s">
        <v>173</v>
      </c>
      <c r="J174" s="404" t="s">
        <v>173</v>
      </c>
      <c r="K174" s="415" t="s">
        <v>173</v>
      </c>
      <c r="L174" s="404" t="s">
        <v>173</v>
      </c>
      <c r="N174" s="364"/>
      <c r="P174" s="364"/>
      <c r="R174" s="364"/>
      <c r="T174" s="364"/>
      <c r="U174" s="982"/>
      <c r="V174" s="982"/>
      <c r="W174" s="982"/>
      <c r="X174" s="982"/>
    </row>
    <row r="175" spans="1:24" x14ac:dyDescent="0.3">
      <c r="A175" s="89"/>
      <c r="B175" s="228" t="s">
        <v>1430</v>
      </c>
      <c r="C175" s="367" t="s">
        <v>1501</v>
      </c>
      <c r="D175" s="367" t="s">
        <v>1750</v>
      </c>
      <c r="E175" s="140" t="s">
        <v>300</v>
      </c>
      <c r="F175" s="197" t="s">
        <v>681</v>
      </c>
      <c r="G175" s="415" t="s">
        <v>173</v>
      </c>
      <c r="H175" s="415" t="s">
        <v>173</v>
      </c>
      <c r="I175" s="403" t="s">
        <v>173</v>
      </c>
      <c r="J175" s="404" t="s">
        <v>173</v>
      </c>
      <c r="K175" s="415" t="s">
        <v>173</v>
      </c>
      <c r="L175" s="404" t="s">
        <v>173</v>
      </c>
      <c r="N175" s="364"/>
      <c r="P175" s="364"/>
      <c r="R175" s="364"/>
      <c r="T175" s="364"/>
      <c r="U175" s="982"/>
      <c r="V175" s="982"/>
      <c r="W175" s="982"/>
      <c r="X175" s="982"/>
    </row>
    <row r="176" spans="1:24" x14ac:dyDescent="0.3">
      <c r="A176" s="89"/>
      <c r="B176" s="228" t="s">
        <v>1430</v>
      </c>
      <c r="C176" s="367" t="s">
        <v>1502</v>
      </c>
      <c r="D176" s="367" t="s">
        <v>1750</v>
      </c>
      <c r="E176" s="140" t="s">
        <v>300</v>
      </c>
      <c r="F176" s="197" t="s">
        <v>681</v>
      </c>
      <c r="G176" s="415" t="s">
        <v>173</v>
      </c>
      <c r="H176" s="415" t="s">
        <v>173</v>
      </c>
      <c r="I176" s="403" t="s">
        <v>173</v>
      </c>
      <c r="J176" s="404" t="s">
        <v>173</v>
      </c>
      <c r="K176" s="415" t="s">
        <v>173</v>
      </c>
      <c r="L176" s="404" t="s">
        <v>173</v>
      </c>
      <c r="N176" s="364"/>
      <c r="P176" s="364"/>
      <c r="R176" s="364"/>
      <c r="T176" s="364"/>
      <c r="U176" s="982"/>
      <c r="V176" s="982"/>
      <c r="W176" s="982"/>
      <c r="X176" s="982"/>
    </row>
    <row r="177" spans="1:24" x14ac:dyDescent="0.3">
      <c r="A177" s="89"/>
      <c r="B177" s="228" t="s">
        <v>1430</v>
      </c>
      <c r="C177" s="367" t="s">
        <v>1726</v>
      </c>
      <c r="D177" s="367" t="s">
        <v>1750</v>
      </c>
      <c r="E177" s="140" t="s">
        <v>300</v>
      </c>
      <c r="F177" s="197" t="s">
        <v>681</v>
      </c>
      <c r="G177" s="415" t="s">
        <v>173</v>
      </c>
      <c r="H177" s="415" t="s">
        <v>173</v>
      </c>
      <c r="I177" s="403" t="s">
        <v>173</v>
      </c>
      <c r="J177" s="404" t="s">
        <v>173</v>
      </c>
      <c r="K177" s="415" t="s">
        <v>173</v>
      </c>
      <c r="L177" s="404" t="s">
        <v>173</v>
      </c>
      <c r="N177" s="364"/>
      <c r="P177" s="364"/>
      <c r="R177" s="364"/>
      <c r="T177" s="364"/>
      <c r="U177" s="982"/>
      <c r="V177" s="982"/>
      <c r="W177" s="982"/>
      <c r="X177" s="982"/>
    </row>
    <row r="178" spans="1:24" x14ac:dyDescent="0.3">
      <c r="A178" s="89"/>
      <c r="B178" s="228" t="s">
        <v>1430</v>
      </c>
      <c r="C178" s="367" t="s">
        <v>1506</v>
      </c>
      <c r="D178" s="367" t="s">
        <v>1750</v>
      </c>
      <c r="E178" s="140" t="s">
        <v>300</v>
      </c>
      <c r="F178" s="197" t="s">
        <v>681</v>
      </c>
      <c r="G178" s="415" t="s">
        <v>173</v>
      </c>
      <c r="H178" s="415" t="s">
        <v>173</v>
      </c>
      <c r="I178" s="403" t="s">
        <v>173</v>
      </c>
      <c r="J178" s="404" t="s">
        <v>173</v>
      </c>
      <c r="K178" s="415" t="s">
        <v>173</v>
      </c>
      <c r="L178" s="404" t="s">
        <v>173</v>
      </c>
      <c r="N178" s="364"/>
      <c r="P178" s="364"/>
      <c r="R178" s="364"/>
      <c r="T178" s="364"/>
      <c r="U178" s="982"/>
      <c r="V178" s="982"/>
      <c r="W178" s="982"/>
      <c r="X178" s="982"/>
    </row>
    <row r="179" spans="1:24" x14ac:dyDescent="0.3">
      <c r="A179" s="89"/>
      <c r="B179" s="228" t="s">
        <v>1611</v>
      </c>
      <c r="C179" s="367" t="s">
        <v>1612</v>
      </c>
      <c r="D179" s="367" t="s">
        <v>1750</v>
      </c>
      <c r="E179" s="140" t="s">
        <v>300</v>
      </c>
      <c r="F179" s="197" t="s">
        <v>681</v>
      </c>
      <c r="G179" s="415" t="s">
        <v>173</v>
      </c>
      <c r="H179" s="415" t="s">
        <v>173</v>
      </c>
      <c r="I179" s="403" t="s">
        <v>173</v>
      </c>
      <c r="J179" s="404" t="s">
        <v>173</v>
      </c>
      <c r="K179" s="415" t="s">
        <v>173</v>
      </c>
      <c r="L179" s="404" t="s">
        <v>173</v>
      </c>
      <c r="N179" s="364"/>
      <c r="P179" s="364"/>
      <c r="R179" s="364"/>
      <c r="T179" s="364"/>
      <c r="U179" s="982"/>
      <c r="V179" s="982"/>
      <c r="W179" s="982"/>
      <c r="X179" s="982"/>
    </row>
    <row r="180" spans="1:24" x14ac:dyDescent="0.3">
      <c r="A180" s="89"/>
      <c r="B180" s="228" t="s">
        <v>1611</v>
      </c>
      <c r="C180" s="367" t="s">
        <v>1727</v>
      </c>
      <c r="D180" s="367" t="s">
        <v>1750</v>
      </c>
      <c r="E180" s="140" t="s">
        <v>300</v>
      </c>
      <c r="F180" s="197" t="s">
        <v>681</v>
      </c>
      <c r="G180" s="415" t="s">
        <v>173</v>
      </c>
      <c r="H180" s="415" t="s">
        <v>173</v>
      </c>
      <c r="I180" s="403" t="s">
        <v>173</v>
      </c>
      <c r="J180" s="404" t="s">
        <v>173</v>
      </c>
      <c r="K180" s="415" t="s">
        <v>173</v>
      </c>
      <c r="L180" s="404" t="s">
        <v>173</v>
      </c>
      <c r="N180" s="364"/>
      <c r="P180" s="364"/>
      <c r="R180" s="364"/>
      <c r="T180" s="364"/>
      <c r="U180" s="982"/>
      <c r="V180" s="982"/>
      <c r="W180" s="982"/>
      <c r="X180" s="982"/>
    </row>
    <row r="181" spans="1:24" s="369" customFormat="1" x14ac:dyDescent="0.3">
      <c r="A181" s="89"/>
      <c r="B181" s="228" t="s">
        <v>1611</v>
      </c>
      <c r="C181" s="367" t="s">
        <v>1728</v>
      </c>
      <c r="D181" s="367" t="s">
        <v>1750</v>
      </c>
      <c r="E181" s="140" t="s">
        <v>300</v>
      </c>
      <c r="F181" s="197" t="s">
        <v>681</v>
      </c>
      <c r="G181" s="415" t="s">
        <v>173</v>
      </c>
      <c r="H181" s="415" t="s">
        <v>173</v>
      </c>
      <c r="I181" s="403" t="s">
        <v>173</v>
      </c>
      <c r="J181" s="404" t="s">
        <v>173</v>
      </c>
      <c r="K181" s="415" t="s">
        <v>173</v>
      </c>
      <c r="L181" s="404" t="s">
        <v>173</v>
      </c>
      <c r="M181" s="364"/>
      <c r="N181" s="364"/>
      <c r="O181" s="364"/>
      <c r="P181" s="364"/>
      <c r="Q181" s="364"/>
      <c r="R181" s="364"/>
      <c r="S181" s="364"/>
      <c r="T181" s="364"/>
      <c r="U181" s="982"/>
      <c r="V181" s="982"/>
      <c r="W181" s="982"/>
      <c r="X181" s="982"/>
    </row>
    <row r="182" spans="1:24" x14ac:dyDescent="0.3">
      <c r="A182" s="89"/>
      <c r="B182" s="228" t="s">
        <v>1611</v>
      </c>
      <c r="C182" s="367" t="s">
        <v>1729</v>
      </c>
      <c r="D182" s="451" t="s">
        <v>1750</v>
      </c>
      <c r="E182" s="140" t="s">
        <v>300</v>
      </c>
      <c r="F182" s="197" t="s">
        <v>681</v>
      </c>
      <c r="G182" s="415" t="s">
        <v>173</v>
      </c>
      <c r="H182" s="415" t="s">
        <v>173</v>
      </c>
      <c r="I182" s="403" t="s">
        <v>173</v>
      </c>
      <c r="J182" s="404" t="s">
        <v>173</v>
      </c>
      <c r="K182" s="415" t="s">
        <v>173</v>
      </c>
      <c r="L182" s="404" t="s">
        <v>173</v>
      </c>
      <c r="N182" s="364"/>
      <c r="P182" s="364"/>
      <c r="R182" s="364"/>
      <c r="T182" s="364"/>
      <c r="U182" s="982"/>
      <c r="V182" s="982"/>
      <c r="W182" s="982"/>
      <c r="X182" s="982"/>
    </row>
    <row r="183" spans="1:24" x14ac:dyDescent="0.3">
      <c r="A183" s="89"/>
      <c r="B183" s="228" t="s">
        <v>1611</v>
      </c>
      <c r="C183" s="367" t="s">
        <v>1730</v>
      </c>
      <c r="D183" s="451" t="s">
        <v>1750</v>
      </c>
      <c r="E183" s="140" t="s">
        <v>300</v>
      </c>
      <c r="F183" s="197" t="s">
        <v>681</v>
      </c>
      <c r="G183" s="415" t="s">
        <v>173</v>
      </c>
      <c r="H183" s="415" t="s">
        <v>173</v>
      </c>
      <c r="I183" s="403" t="s">
        <v>173</v>
      </c>
      <c r="J183" s="404" t="s">
        <v>173</v>
      </c>
      <c r="K183" s="415" t="s">
        <v>173</v>
      </c>
      <c r="L183" s="404" t="s">
        <v>173</v>
      </c>
      <c r="N183" s="364"/>
      <c r="P183" s="364"/>
      <c r="R183" s="364"/>
      <c r="T183" s="364"/>
      <c r="U183" s="982"/>
      <c r="V183" s="982"/>
      <c r="W183" s="982"/>
      <c r="X183" s="364"/>
    </row>
    <row r="184" spans="1:24" x14ac:dyDescent="0.3">
      <c r="A184" s="89"/>
      <c r="B184" s="923" t="s">
        <v>1361</v>
      </c>
      <c r="C184" s="114" t="s">
        <v>1372</v>
      </c>
      <c r="D184" s="367" t="s">
        <v>137</v>
      </c>
      <c r="E184" s="140"/>
      <c r="F184" s="197" t="s">
        <v>430</v>
      </c>
      <c r="G184" s="243"/>
      <c r="H184" s="446">
        <f>0.0051427*(78)+0.3989</f>
        <v>0.80003059999999993</v>
      </c>
      <c r="I184" s="243"/>
      <c r="J184" s="53">
        <v>1.25</v>
      </c>
      <c r="K184" s="243"/>
      <c r="L184" s="152" t="s">
        <v>431</v>
      </c>
      <c r="N184" s="364"/>
      <c r="P184" s="364"/>
      <c r="R184" s="364"/>
      <c r="T184" s="364"/>
      <c r="U184" s="364"/>
      <c r="V184" s="364"/>
      <c r="W184" s="364"/>
      <c r="X184" s="364"/>
    </row>
    <row r="185" spans="1:24" x14ac:dyDescent="0.3">
      <c r="A185" s="89"/>
      <c r="B185" s="923" t="s">
        <v>1362</v>
      </c>
      <c r="C185" s="114" t="s">
        <v>1373</v>
      </c>
      <c r="D185" s="367" t="s">
        <v>137</v>
      </c>
      <c r="E185" s="140"/>
      <c r="F185" s="197" t="s">
        <v>430</v>
      </c>
      <c r="G185" s="243"/>
      <c r="H185" s="446">
        <f>0.0051427*(78)+0.3989</f>
        <v>0.80003059999999993</v>
      </c>
      <c r="I185" s="243"/>
      <c r="J185" s="53">
        <v>1.25</v>
      </c>
      <c r="K185" s="243"/>
      <c r="L185" s="152" t="s">
        <v>431</v>
      </c>
      <c r="N185" s="364"/>
      <c r="P185" s="364"/>
      <c r="R185" s="364"/>
      <c r="T185" s="364"/>
      <c r="U185" s="364"/>
      <c r="V185" s="364"/>
      <c r="W185" s="364"/>
      <c r="X185" s="364"/>
    </row>
    <row r="186" spans="1:24" x14ac:dyDescent="0.3">
      <c r="A186" s="89"/>
      <c r="B186" s="923" t="s">
        <v>1363</v>
      </c>
      <c r="C186" s="114" t="s">
        <v>1374</v>
      </c>
      <c r="D186" s="367" t="s">
        <v>137</v>
      </c>
      <c r="E186" s="140"/>
      <c r="F186" s="197" t="s">
        <v>430</v>
      </c>
      <c r="G186" s="243"/>
      <c r="H186" s="446">
        <f t="shared" ref="H186:H187" si="1">0.0051427*(78)+0.3989</f>
        <v>0.80003059999999993</v>
      </c>
      <c r="I186" s="243"/>
      <c r="J186" s="53">
        <v>1.25</v>
      </c>
      <c r="K186" s="243"/>
      <c r="L186" s="152" t="s">
        <v>431</v>
      </c>
      <c r="N186" s="364"/>
      <c r="P186" s="364"/>
      <c r="R186" s="364"/>
      <c r="T186" s="364"/>
      <c r="U186" s="364"/>
      <c r="V186" s="364"/>
      <c r="W186" s="364"/>
      <c r="X186" s="364"/>
    </row>
    <row r="187" spans="1:24" x14ac:dyDescent="0.3">
      <c r="A187" s="89"/>
      <c r="B187" s="923" t="s">
        <v>1364</v>
      </c>
      <c r="C187" s="114" t="s">
        <v>1375</v>
      </c>
      <c r="D187" s="367" t="s">
        <v>137</v>
      </c>
      <c r="E187" s="140"/>
      <c r="F187" s="197" t="s">
        <v>430</v>
      </c>
      <c r="G187" s="243"/>
      <c r="H187" s="446">
        <f t="shared" si="1"/>
        <v>0.80003059999999993</v>
      </c>
      <c r="I187" s="243"/>
      <c r="J187" s="53">
        <v>1.25</v>
      </c>
      <c r="K187" s="243"/>
      <c r="L187" s="152" t="s">
        <v>431</v>
      </c>
      <c r="N187" s="364"/>
      <c r="P187" s="364"/>
      <c r="R187" s="364"/>
      <c r="T187" s="364"/>
      <c r="U187" s="364"/>
      <c r="V187" s="364"/>
      <c r="W187" s="364"/>
      <c r="X187" s="364"/>
    </row>
    <row r="188" spans="1:24" x14ac:dyDescent="0.3">
      <c r="A188" s="89"/>
      <c r="B188" s="923" t="s">
        <v>1366</v>
      </c>
      <c r="C188" s="114" t="s">
        <v>1376</v>
      </c>
      <c r="D188" s="367" t="s">
        <v>137</v>
      </c>
      <c r="E188" s="140"/>
      <c r="F188" s="197" t="s">
        <v>430</v>
      </c>
      <c r="G188" s="243"/>
      <c r="H188" s="446">
        <v>0.8</v>
      </c>
      <c r="I188" s="243"/>
      <c r="J188" s="53">
        <v>1.25</v>
      </c>
      <c r="K188" s="243"/>
      <c r="L188" s="152" t="s">
        <v>431</v>
      </c>
      <c r="N188" s="364"/>
      <c r="P188" s="364"/>
      <c r="R188" s="364"/>
      <c r="T188" s="364"/>
      <c r="U188" s="364"/>
      <c r="V188" s="364"/>
      <c r="W188" s="364"/>
      <c r="X188" s="364"/>
    </row>
    <row r="189" spans="1:24" x14ac:dyDescent="0.3">
      <c r="A189" s="89"/>
      <c r="B189" s="924" t="s">
        <v>1748</v>
      </c>
      <c r="C189" s="925" t="s">
        <v>1751</v>
      </c>
      <c r="D189" s="230" t="s">
        <v>137</v>
      </c>
      <c r="E189" s="171"/>
      <c r="F189" s="822" t="s">
        <v>430</v>
      </c>
      <c r="G189" s="160"/>
      <c r="H189" s="922">
        <f>0.0051427*(78)+0.3989</f>
        <v>0.80003059999999993</v>
      </c>
      <c r="I189" s="160"/>
      <c r="J189" s="231">
        <v>1.25</v>
      </c>
      <c r="K189" s="160"/>
      <c r="L189" s="162" t="s">
        <v>431</v>
      </c>
      <c r="N189" s="364"/>
      <c r="P189" s="364"/>
      <c r="R189" s="364"/>
      <c r="T189" s="364"/>
      <c r="U189" s="364"/>
      <c r="V189" s="364"/>
      <c r="W189" s="364"/>
      <c r="X189" s="364"/>
    </row>
    <row r="190" spans="1:24" x14ac:dyDescent="0.3">
      <c r="A190" s="89"/>
      <c r="B190" s="380"/>
      <c r="C190" s="380"/>
      <c r="D190" s="357"/>
      <c r="E190" s="357"/>
      <c r="F190" s="982"/>
      <c r="G190" s="357"/>
      <c r="H190" s="982"/>
      <c r="I190" s="357"/>
      <c r="J190" s="982"/>
      <c r="K190" s="357"/>
      <c r="L190" s="982"/>
      <c r="N190" s="364"/>
      <c r="P190" s="364"/>
      <c r="R190" s="364"/>
      <c r="T190" s="364"/>
      <c r="U190" s="982"/>
      <c r="V190" s="982"/>
      <c r="W190" s="982"/>
      <c r="X190" s="982"/>
    </row>
    <row r="191" spans="1:24" x14ac:dyDescent="0.3">
      <c r="A191" s="89"/>
      <c r="B191" s="380"/>
      <c r="C191" s="380"/>
      <c r="D191" s="357"/>
      <c r="E191" s="357"/>
      <c r="F191" s="982"/>
      <c r="G191" s="357"/>
      <c r="H191" s="982"/>
      <c r="I191" s="357"/>
      <c r="J191" s="982"/>
      <c r="K191" s="357"/>
      <c r="L191" s="982"/>
      <c r="N191" s="364"/>
      <c r="P191" s="364"/>
      <c r="R191" s="364"/>
      <c r="T191" s="364"/>
      <c r="U191" s="982"/>
      <c r="V191" s="982"/>
      <c r="W191" s="982"/>
      <c r="X191" s="982"/>
    </row>
    <row r="192" spans="1:24" ht="27.6" x14ac:dyDescent="0.3">
      <c r="A192" s="89"/>
      <c r="B192" s="115" t="s">
        <v>331</v>
      </c>
      <c r="C192" s="120" t="s">
        <v>432</v>
      </c>
      <c r="D192" s="120" t="s">
        <v>122</v>
      </c>
      <c r="E192" s="131"/>
      <c r="F192" s="117" t="s">
        <v>433</v>
      </c>
      <c r="G192" s="120"/>
      <c r="H192" s="173" t="s">
        <v>434</v>
      </c>
      <c r="I192" s="131"/>
      <c r="J192" s="117" t="s">
        <v>435</v>
      </c>
      <c r="K192" s="120"/>
      <c r="L192" s="173" t="s">
        <v>436</v>
      </c>
      <c r="M192" s="194"/>
      <c r="N192" s="148" t="s">
        <v>437</v>
      </c>
      <c r="O192" s="173"/>
      <c r="P192" s="173" t="s">
        <v>438</v>
      </c>
      <c r="Q192" s="194"/>
      <c r="R192" s="117" t="s">
        <v>439</v>
      </c>
      <c r="S192" s="194"/>
      <c r="T192" s="117" t="s">
        <v>440</v>
      </c>
      <c r="U192" s="194"/>
      <c r="V192" s="117" t="s">
        <v>1504</v>
      </c>
      <c r="W192" s="982"/>
      <c r="X192" s="982"/>
    </row>
    <row r="193" spans="1:24" ht="15" thickBot="1" x14ac:dyDescent="0.35">
      <c r="A193" s="89"/>
      <c r="B193" s="178" t="s">
        <v>417</v>
      </c>
      <c r="C193" s="176" t="s">
        <v>442</v>
      </c>
      <c r="D193" s="176"/>
      <c r="E193" s="183"/>
      <c r="F193" s="179" t="s">
        <v>443</v>
      </c>
      <c r="G193" s="177"/>
      <c r="H193" s="176" t="s">
        <v>444</v>
      </c>
      <c r="I193" s="183"/>
      <c r="J193" s="179"/>
      <c r="K193" s="177"/>
      <c r="L193" s="176" t="s">
        <v>445</v>
      </c>
      <c r="M193" s="183"/>
      <c r="N193" s="179" t="s">
        <v>446</v>
      </c>
      <c r="O193" s="177"/>
      <c r="P193" s="176" t="s">
        <v>447</v>
      </c>
      <c r="Q193" s="183"/>
      <c r="R193" s="179" t="s">
        <v>448</v>
      </c>
      <c r="S193" s="183"/>
      <c r="T193" s="179" t="s">
        <v>449</v>
      </c>
      <c r="U193" s="178"/>
      <c r="V193" s="179" t="s">
        <v>739</v>
      </c>
      <c r="W193" s="982"/>
      <c r="X193" s="982"/>
    </row>
    <row r="194" spans="1:24" s="364" customFormat="1" ht="28.2" thickTop="1" x14ac:dyDescent="0.3">
      <c r="A194" s="89"/>
      <c r="B194" s="130" t="s">
        <v>1430</v>
      </c>
      <c r="C194" s="92" t="s">
        <v>1511</v>
      </c>
      <c r="D194" s="92" t="s">
        <v>1750</v>
      </c>
      <c r="E194" s="142" t="s">
        <v>300</v>
      </c>
      <c r="F194" s="152" t="s">
        <v>451</v>
      </c>
      <c r="G194" s="181" t="s">
        <v>300</v>
      </c>
      <c r="H194" s="43" t="s">
        <v>452</v>
      </c>
      <c r="I194" s="146" t="s">
        <v>173</v>
      </c>
      <c r="J194" s="646">
        <v>20454.5</v>
      </c>
      <c r="K194" s="181" t="s">
        <v>300</v>
      </c>
      <c r="L194" s="1">
        <v>20.795999999999999</v>
      </c>
      <c r="M194" s="403" t="s">
        <v>173</v>
      </c>
      <c r="N194" s="404" t="s">
        <v>173</v>
      </c>
      <c r="O194" s="415" t="s">
        <v>173</v>
      </c>
      <c r="P194" s="415" t="s">
        <v>173</v>
      </c>
      <c r="Q194" s="146" t="s">
        <v>173</v>
      </c>
      <c r="R194" s="199">
        <v>25</v>
      </c>
      <c r="S194" s="146" t="s">
        <v>173</v>
      </c>
      <c r="T194" s="199">
        <v>0.93600000000000005</v>
      </c>
      <c r="U194" s="411" t="s">
        <v>300</v>
      </c>
      <c r="V194" s="485" t="s">
        <v>1508</v>
      </c>
      <c r="W194" s="982"/>
      <c r="X194" s="982"/>
    </row>
    <row r="195" spans="1:24" s="364" customFormat="1" ht="27.6" x14ac:dyDescent="0.3">
      <c r="A195" s="89"/>
      <c r="B195" s="130" t="s">
        <v>1611</v>
      </c>
      <c r="C195" s="92" t="s">
        <v>1732</v>
      </c>
      <c r="D195" s="92" t="s">
        <v>1750</v>
      </c>
      <c r="E195" s="142" t="s">
        <v>300</v>
      </c>
      <c r="F195" s="152" t="s">
        <v>451</v>
      </c>
      <c r="G195" s="181" t="s">
        <v>300</v>
      </c>
      <c r="H195" s="43" t="s">
        <v>452</v>
      </c>
      <c r="I195" s="146" t="s">
        <v>173</v>
      </c>
      <c r="J195" s="646">
        <v>18454.5</v>
      </c>
      <c r="K195" s="181" t="s">
        <v>300</v>
      </c>
      <c r="L195" s="373">
        <v>18.763000000000002</v>
      </c>
      <c r="M195" s="403" t="s">
        <v>173</v>
      </c>
      <c r="N195" s="404" t="s">
        <v>173</v>
      </c>
      <c r="O195" s="415" t="s">
        <v>173</v>
      </c>
      <c r="P195" s="415" t="s">
        <v>173</v>
      </c>
      <c r="Q195" s="146" t="s">
        <v>173</v>
      </c>
      <c r="R195" s="199">
        <v>20</v>
      </c>
      <c r="S195" s="146" t="s">
        <v>173</v>
      </c>
      <c r="T195" s="199">
        <v>0.93</v>
      </c>
      <c r="U195" s="98" t="s">
        <v>300</v>
      </c>
      <c r="V195" s="485" t="s">
        <v>1508</v>
      </c>
      <c r="W195" s="982"/>
      <c r="X195" s="982"/>
    </row>
    <row r="196" spans="1:24" s="364" customFormat="1" x14ac:dyDescent="0.3">
      <c r="A196" s="89"/>
      <c r="B196" s="876" t="s">
        <v>1361</v>
      </c>
      <c r="C196" s="43" t="s">
        <v>1377</v>
      </c>
      <c r="D196" s="92" t="s">
        <v>137</v>
      </c>
      <c r="E196" s="142"/>
      <c r="F196" s="152" t="s">
        <v>451</v>
      </c>
      <c r="G196" s="181"/>
      <c r="H196" s="43" t="s">
        <v>452</v>
      </c>
      <c r="I196" s="146" t="s">
        <v>173</v>
      </c>
      <c r="J196" s="646">
        <v>3618.9</v>
      </c>
      <c r="K196" s="146" t="s">
        <v>173</v>
      </c>
      <c r="L196" s="926">
        <f>0.0013*J196</f>
        <v>4.7045699999999995</v>
      </c>
      <c r="M196" s="181"/>
      <c r="N196" s="373">
        <v>0.65</v>
      </c>
      <c r="O196" s="755" t="s">
        <v>1262</v>
      </c>
      <c r="P196" s="836">
        <v>3.8771200000000001</v>
      </c>
      <c r="Q196" s="755" t="s">
        <v>1262</v>
      </c>
      <c r="R196" s="836">
        <v>5</v>
      </c>
      <c r="S196" s="755" t="s">
        <v>1262</v>
      </c>
      <c r="T196" s="836">
        <v>0.89500000000000002</v>
      </c>
      <c r="U196" s="146" t="s">
        <v>173</v>
      </c>
      <c r="V196" s="404" t="s">
        <v>173</v>
      </c>
      <c r="W196" s="982"/>
      <c r="X196" s="982"/>
    </row>
    <row r="197" spans="1:24" s="364" customFormat="1" x14ac:dyDescent="0.3">
      <c r="A197" s="89"/>
      <c r="B197" s="876" t="s">
        <v>1362</v>
      </c>
      <c r="C197" s="43" t="s">
        <v>1379</v>
      </c>
      <c r="D197" s="92" t="s">
        <v>137</v>
      </c>
      <c r="E197" s="142"/>
      <c r="F197" s="152" t="s">
        <v>458</v>
      </c>
      <c r="G197" s="181"/>
      <c r="H197" s="43" t="s">
        <v>452</v>
      </c>
      <c r="I197" s="750"/>
      <c r="J197" s="751"/>
      <c r="K197" s="750"/>
      <c r="L197" s="751"/>
      <c r="M197" s="754"/>
      <c r="N197" s="754"/>
      <c r="O197" s="745" t="s">
        <v>1262</v>
      </c>
      <c r="P197" s="836">
        <v>3.8771200000000001</v>
      </c>
      <c r="Q197" s="756"/>
      <c r="R197" s="199">
        <v>2</v>
      </c>
      <c r="S197" s="756"/>
      <c r="T197" s="199">
        <v>0.86499999999999999</v>
      </c>
      <c r="U197" s="750"/>
      <c r="V197" s="404" t="s">
        <v>1734</v>
      </c>
      <c r="W197" s="982"/>
      <c r="X197" s="982"/>
    </row>
    <row r="198" spans="1:24" s="364" customFormat="1" x14ac:dyDescent="0.3">
      <c r="A198" s="89"/>
      <c r="B198" s="876" t="s">
        <v>1363</v>
      </c>
      <c r="C198" s="43" t="s">
        <v>1380</v>
      </c>
      <c r="D198" s="92" t="s">
        <v>137</v>
      </c>
      <c r="E198" s="142"/>
      <c r="F198" s="152" t="s">
        <v>458</v>
      </c>
      <c r="G198" s="181"/>
      <c r="H198" s="43" t="s">
        <v>452</v>
      </c>
      <c r="I198" s="750"/>
      <c r="J198" s="751"/>
      <c r="K198" s="750"/>
      <c r="L198" s="751"/>
      <c r="M198" s="754"/>
      <c r="N198" s="754"/>
      <c r="O198" s="745" t="s">
        <v>1262</v>
      </c>
      <c r="P198" s="836">
        <v>3.8771200000000001</v>
      </c>
      <c r="Q198" s="756"/>
      <c r="R198" s="199">
        <v>2</v>
      </c>
      <c r="S198" s="757"/>
      <c r="T198" s="199">
        <v>0.86499999999999999</v>
      </c>
      <c r="U198" s="403"/>
      <c r="V198" s="404" t="s">
        <v>1734</v>
      </c>
      <c r="W198" s="982"/>
      <c r="X198" s="982"/>
    </row>
    <row r="199" spans="1:24" s="364" customFormat="1" x14ac:dyDescent="0.3">
      <c r="A199" s="89"/>
      <c r="B199" s="876" t="s">
        <v>1364</v>
      </c>
      <c r="C199" s="43" t="s">
        <v>1381</v>
      </c>
      <c r="D199" s="92" t="s">
        <v>137</v>
      </c>
      <c r="E199" s="142"/>
      <c r="F199" s="152" t="s">
        <v>458</v>
      </c>
      <c r="G199" s="181"/>
      <c r="H199" s="43" t="s">
        <v>452</v>
      </c>
      <c r="I199" s="750"/>
      <c r="J199" s="751"/>
      <c r="K199" s="750"/>
      <c r="L199" s="751"/>
      <c r="M199" s="754"/>
      <c r="N199" s="754"/>
      <c r="O199" s="745" t="s">
        <v>1262</v>
      </c>
      <c r="P199" s="836">
        <v>3.8771200000000001</v>
      </c>
      <c r="Q199" s="756"/>
      <c r="R199" s="199">
        <v>2</v>
      </c>
      <c r="S199" s="757"/>
      <c r="T199" s="199">
        <v>0.86499999999999999</v>
      </c>
      <c r="U199" s="403"/>
      <c r="V199" s="404" t="s">
        <v>1734</v>
      </c>
      <c r="W199" s="982"/>
      <c r="X199" s="982"/>
    </row>
    <row r="200" spans="1:24" s="364" customFormat="1" x14ac:dyDescent="0.3">
      <c r="A200" s="89"/>
      <c r="B200" s="876" t="s">
        <v>1366</v>
      </c>
      <c r="C200" s="43" t="s">
        <v>1382</v>
      </c>
      <c r="D200" s="92" t="s">
        <v>137</v>
      </c>
      <c r="E200" s="142"/>
      <c r="F200" s="152" t="s">
        <v>451</v>
      </c>
      <c r="G200" s="181"/>
      <c r="H200" s="43" t="s">
        <v>452</v>
      </c>
      <c r="I200" s="750"/>
      <c r="J200" s="751"/>
      <c r="K200" s="750"/>
      <c r="L200" s="751"/>
      <c r="M200" s="754"/>
      <c r="N200" s="754"/>
      <c r="O200" s="745" t="s">
        <v>1262</v>
      </c>
      <c r="P200" s="836">
        <v>3.8771200000000001</v>
      </c>
      <c r="Q200" s="756"/>
      <c r="R200" s="199">
        <v>7.5</v>
      </c>
      <c r="S200" s="757"/>
      <c r="T200" s="199">
        <v>0.91700000000000004</v>
      </c>
      <c r="U200" s="403"/>
      <c r="V200" s="404" t="s">
        <v>1734</v>
      </c>
      <c r="W200" s="982"/>
      <c r="X200" s="982"/>
    </row>
    <row r="201" spans="1:24" s="364" customFormat="1" x14ac:dyDescent="0.3">
      <c r="A201" s="89"/>
      <c r="B201" s="877" t="s">
        <v>1748</v>
      </c>
      <c r="C201" s="867" t="s">
        <v>1752</v>
      </c>
      <c r="D201" s="156" t="s">
        <v>137</v>
      </c>
      <c r="E201" s="160"/>
      <c r="F201" s="162" t="s">
        <v>458</v>
      </c>
      <c r="G201" s="174"/>
      <c r="H201" s="867" t="s">
        <v>452</v>
      </c>
      <c r="I201" s="743"/>
      <c r="J201" s="744"/>
      <c r="K201" s="743"/>
      <c r="L201" s="744"/>
      <c r="M201" s="758"/>
      <c r="N201" s="758"/>
      <c r="O201" s="759" t="s">
        <v>1262</v>
      </c>
      <c r="P201" s="591">
        <v>3.8771200000000001</v>
      </c>
      <c r="Q201" s="760"/>
      <c r="R201" s="201">
        <v>1.5</v>
      </c>
      <c r="S201" s="761"/>
      <c r="T201" s="201">
        <v>0.86499999999999999</v>
      </c>
      <c r="U201" s="405"/>
      <c r="V201" s="406" t="s">
        <v>1734</v>
      </c>
      <c r="W201" s="982"/>
      <c r="X201" s="982"/>
    </row>
    <row r="202" spans="1:24" s="364" customFormat="1" x14ac:dyDescent="0.3">
      <c r="A202" s="89"/>
      <c r="B202" s="89"/>
      <c r="C202" s="380"/>
      <c r="D202" s="89"/>
      <c r="E202" s="89"/>
      <c r="F202" s="89"/>
      <c r="G202" s="89"/>
      <c r="H202" s="89"/>
      <c r="I202" s="89"/>
      <c r="J202" s="89"/>
      <c r="K202" s="89"/>
      <c r="L202" s="89"/>
      <c r="M202" s="89"/>
      <c r="N202" s="89"/>
      <c r="O202" s="89"/>
      <c r="P202" s="89"/>
      <c r="Q202" s="89"/>
      <c r="R202" s="89"/>
      <c r="S202" s="89"/>
      <c r="T202" s="89"/>
      <c r="U202" s="89"/>
      <c r="V202" s="89"/>
      <c r="W202" s="89"/>
      <c r="X202" s="982"/>
    </row>
    <row r="203" spans="1:24" s="364" customFormat="1" x14ac:dyDescent="0.3">
      <c r="A203" s="89"/>
      <c r="B203" s="92"/>
      <c r="C203" s="90"/>
      <c r="D203" s="357"/>
      <c r="E203" s="89"/>
      <c r="F203" s="89"/>
      <c r="G203" s="89"/>
      <c r="H203" s="89"/>
      <c r="I203" s="89"/>
      <c r="J203" s="89"/>
      <c r="K203" s="89"/>
      <c r="L203" s="89"/>
      <c r="M203" s="89"/>
      <c r="N203" s="89"/>
      <c r="O203" s="89"/>
      <c r="P203" s="89"/>
      <c r="Q203" s="89"/>
      <c r="R203" s="89"/>
      <c r="S203" s="89"/>
      <c r="T203" s="89"/>
      <c r="U203" s="89"/>
      <c r="V203" s="89"/>
      <c r="W203" s="89"/>
      <c r="X203" s="982"/>
    </row>
    <row r="204" spans="1:24" x14ac:dyDescent="0.3">
      <c r="A204" s="89"/>
      <c r="B204" s="194" t="s">
        <v>522</v>
      </c>
      <c r="C204" s="120" t="s">
        <v>523</v>
      </c>
      <c r="D204" s="121"/>
      <c r="E204" s="131"/>
      <c r="F204" s="148" t="s">
        <v>533</v>
      </c>
      <c r="G204" s="131"/>
      <c r="H204" s="148" t="s">
        <v>534</v>
      </c>
      <c r="I204" s="89"/>
      <c r="J204" s="89"/>
      <c r="K204" s="89"/>
      <c r="L204" s="89"/>
      <c r="O204" s="982"/>
      <c r="P204" s="982"/>
      <c r="Q204" s="982"/>
      <c r="R204" s="982"/>
      <c r="S204" s="982"/>
      <c r="T204" s="982"/>
      <c r="U204" s="982"/>
      <c r="V204" s="982"/>
      <c r="W204" s="982"/>
      <c r="X204" s="982"/>
    </row>
    <row r="205" spans="1:24" ht="15" thickBot="1" x14ac:dyDescent="0.35">
      <c r="A205" s="89"/>
      <c r="B205" s="178" t="s">
        <v>535</v>
      </c>
      <c r="C205" s="176" t="s">
        <v>536</v>
      </c>
      <c r="D205" s="214"/>
      <c r="E205" s="211"/>
      <c r="F205" s="179" t="s">
        <v>543</v>
      </c>
      <c r="G205" s="211"/>
      <c r="H205" s="179" t="s">
        <v>544</v>
      </c>
      <c r="I205" s="89"/>
      <c r="J205" s="89"/>
      <c r="K205" s="89"/>
      <c r="L205" s="89"/>
      <c r="O205" s="982"/>
      <c r="P205" s="982"/>
      <c r="Q205" s="982"/>
      <c r="R205" s="982"/>
      <c r="S205" s="982"/>
      <c r="T205" s="982"/>
      <c r="U205" s="982"/>
      <c r="V205" s="982"/>
      <c r="W205" s="982"/>
      <c r="X205" s="982"/>
    </row>
    <row r="206" spans="1:24" ht="15" thickTop="1" x14ac:dyDescent="0.3">
      <c r="A206" s="89"/>
      <c r="B206" s="130" t="s">
        <v>1312</v>
      </c>
      <c r="C206" s="92" t="s">
        <v>546</v>
      </c>
      <c r="E206" s="140" t="s">
        <v>300</v>
      </c>
      <c r="F206" s="152" t="s">
        <v>964</v>
      </c>
      <c r="G206" s="140" t="s">
        <v>300</v>
      </c>
      <c r="H206" s="152" t="s">
        <v>965</v>
      </c>
      <c r="I206" s="89"/>
      <c r="J206" s="89"/>
      <c r="K206" s="89"/>
      <c r="L206" s="89"/>
      <c r="O206" s="982"/>
      <c r="P206" s="982"/>
      <c r="Q206" s="982"/>
      <c r="R206" s="982"/>
      <c r="S206" s="982"/>
      <c r="T206" s="982"/>
      <c r="U206" s="982"/>
      <c r="V206" s="982"/>
      <c r="W206" s="982"/>
      <c r="X206" s="982"/>
    </row>
    <row r="207" spans="1:24" x14ac:dyDescent="0.3">
      <c r="A207" s="89"/>
      <c r="B207" s="130" t="s">
        <v>1297</v>
      </c>
      <c r="C207" s="92" t="s">
        <v>546</v>
      </c>
      <c r="E207" s="142" t="s">
        <v>300</v>
      </c>
      <c r="F207" s="152" t="s">
        <v>964</v>
      </c>
      <c r="G207" s="142" t="s">
        <v>300</v>
      </c>
      <c r="H207" s="152" t="s">
        <v>965</v>
      </c>
      <c r="I207" s="89"/>
      <c r="J207" s="89"/>
      <c r="K207" s="89"/>
      <c r="L207" s="89"/>
      <c r="O207" s="982"/>
      <c r="P207" s="982"/>
      <c r="Q207" s="982"/>
      <c r="R207" s="982"/>
      <c r="S207" s="982"/>
      <c r="T207" s="982"/>
      <c r="U207" s="982"/>
      <c r="V207" s="982"/>
      <c r="W207" s="982"/>
      <c r="X207" s="982"/>
    </row>
    <row r="208" spans="1:24" x14ac:dyDescent="0.3">
      <c r="A208" s="89"/>
      <c r="B208" s="130" t="s">
        <v>1301</v>
      </c>
      <c r="C208" s="92" t="s">
        <v>546</v>
      </c>
      <c r="E208" s="142" t="s">
        <v>300</v>
      </c>
      <c r="F208" s="152" t="s">
        <v>964</v>
      </c>
      <c r="G208" s="142" t="s">
        <v>300</v>
      </c>
      <c r="H208" s="152" t="s">
        <v>965</v>
      </c>
      <c r="I208" s="89"/>
      <c r="J208" s="89"/>
      <c r="K208" s="89"/>
      <c r="L208" s="89"/>
      <c r="O208" s="982"/>
      <c r="P208" s="982"/>
      <c r="Q208" s="982"/>
      <c r="R208" s="982"/>
      <c r="S208" s="982"/>
      <c r="T208" s="982"/>
      <c r="U208" s="982"/>
      <c r="V208" s="982"/>
      <c r="W208" s="982"/>
      <c r="X208" s="982"/>
    </row>
    <row r="209" spans="1:24" x14ac:dyDescent="0.3">
      <c r="A209" s="89"/>
      <c r="B209" s="180" t="s">
        <v>1315</v>
      </c>
      <c r="C209" s="156" t="s">
        <v>546</v>
      </c>
      <c r="D209" s="157"/>
      <c r="E209" s="160" t="s">
        <v>300</v>
      </c>
      <c r="F209" s="162" t="s">
        <v>964</v>
      </c>
      <c r="G209" s="160" t="s">
        <v>300</v>
      </c>
      <c r="H209" s="162" t="s">
        <v>965</v>
      </c>
      <c r="I209" s="89"/>
      <c r="J209" s="89"/>
      <c r="K209" s="89"/>
      <c r="L209" s="89"/>
      <c r="O209" s="982"/>
      <c r="P209" s="982"/>
      <c r="Q209" s="982"/>
      <c r="R209" s="982"/>
      <c r="S209" s="982"/>
      <c r="T209" s="982"/>
      <c r="U209" s="982"/>
      <c r="V209" s="982"/>
      <c r="W209" s="982"/>
      <c r="X209" s="982"/>
    </row>
    <row r="210" spans="1:24" x14ac:dyDescent="0.3">
      <c r="A210" s="89"/>
      <c r="U210" s="982"/>
      <c r="V210" s="982"/>
      <c r="W210" s="982"/>
      <c r="X210" s="982"/>
    </row>
    <row r="211" spans="1:24" x14ac:dyDescent="0.3">
      <c r="A211" s="89"/>
      <c r="U211" s="982"/>
      <c r="V211" s="982"/>
      <c r="W211" s="982"/>
      <c r="X211" s="982"/>
    </row>
    <row r="212" spans="1:24" x14ac:dyDescent="0.3">
      <c r="A212" s="89"/>
      <c r="B212" s="115" t="s">
        <v>331</v>
      </c>
      <c r="C212" s="120" t="s">
        <v>1735</v>
      </c>
      <c r="D212" s="120" t="s">
        <v>122</v>
      </c>
      <c r="E212" s="131"/>
      <c r="F212" s="148" t="s">
        <v>508</v>
      </c>
      <c r="G212" s="131"/>
      <c r="H212" s="148" t="s">
        <v>509</v>
      </c>
      <c r="I212" s="131"/>
      <c r="J212" s="148" t="s">
        <v>1349</v>
      </c>
      <c r="K212" s="131"/>
      <c r="L212" s="148" t="s">
        <v>1350</v>
      </c>
      <c r="U212" s="982"/>
      <c r="V212" s="982"/>
      <c r="W212" s="982"/>
      <c r="X212" s="982"/>
    </row>
    <row r="213" spans="1:24" ht="15" thickBot="1" x14ac:dyDescent="0.35">
      <c r="A213" s="89"/>
      <c r="B213" s="178" t="s">
        <v>417</v>
      </c>
      <c r="C213" s="371"/>
      <c r="D213" s="214"/>
      <c r="E213" s="211"/>
      <c r="F213" s="179" t="s">
        <v>510</v>
      </c>
      <c r="G213" s="211"/>
      <c r="H213" s="179" t="s">
        <v>511</v>
      </c>
      <c r="I213" s="211"/>
      <c r="J213" s="179" t="s">
        <v>1351</v>
      </c>
      <c r="K213" s="211"/>
      <c r="L213" s="179" t="s">
        <v>1352</v>
      </c>
      <c r="U213" s="982"/>
      <c r="V213" s="982"/>
      <c r="W213" s="982"/>
      <c r="X213" s="982"/>
    </row>
    <row r="214" spans="1:24" ht="15" thickTop="1" x14ac:dyDescent="0.3">
      <c r="A214" s="89"/>
      <c r="B214" s="130" t="s">
        <v>1430</v>
      </c>
      <c r="C214" s="92" t="s">
        <v>1553</v>
      </c>
      <c r="D214" s="92" t="s">
        <v>1750</v>
      </c>
      <c r="E214" s="142" t="s">
        <v>300</v>
      </c>
      <c r="F214" s="209" t="s">
        <v>1354</v>
      </c>
      <c r="G214" s="142" t="s">
        <v>300</v>
      </c>
      <c r="H214" s="209" t="s">
        <v>1355</v>
      </c>
      <c r="I214" s="412" t="s">
        <v>300</v>
      </c>
      <c r="J214" s="266">
        <v>75</v>
      </c>
      <c r="K214" s="403" t="s">
        <v>173</v>
      </c>
      <c r="L214" s="404" t="s">
        <v>173</v>
      </c>
      <c r="U214" s="982"/>
      <c r="V214" s="982"/>
      <c r="W214" s="982"/>
      <c r="X214" s="982"/>
    </row>
    <row r="215" spans="1:24" x14ac:dyDescent="0.3">
      <c r="A215" s="89"/>
      <c r="B215" s="130" t="s">
        <v>1611</v>
      </c>
      <c r="C215" s="92" t="s">
        <v>1736</v>
      </c>
      <c r="D215" s="92" t="s">
        <v>1750</v>
      </c>
      <c r="E215" s="142" t="s">
        <v>300</v>
      </c>
      <c r="F215" s="209" t="s">
        <v>1737</v>
      </c>
      <c r="G215" s="142" t="s">
        <v>300</v>
      </c>
      <c r="H215" s="209" t="s">
        <v>514</v>
      </c>
      <c r="I215" s="151" t="s">
        <v>300</v>
      </c>
      <c r="J215" s="266">
        <v>80</v>
      </c>
      <c r="K215" s="151" t="s">
        <v>300</v>
      </c>
      <c r="L215" s="266">
        <v>30</v>
      </c>
      <c r="U215" s="982"/>
      <c r="V215" s="982"/>
      <c r="W215" s="982"/>
      <c r="X215" s="982"/>
    </row>
    <row r="216" spans="1:24" x14ac:dyDescent="0.3">
      <c r="A216" s="89"/>
      <c r="B216" s="876" t="s">
        <v>1361</v>
      </c>
      <c r="C216" s="43" t="s">
        <v>1383</v>
      </c>
      <c r="D216" s="92" t="s">
        <v>137</v>
      </c>
      <c r="E216" s="142" t="s">
        <v>300</v>
      </c>
      <c r="F216" s="209" t="s">
        <v>513</v>
      </c>
      <c r="G216" s="142" t="s">
        <v>300</v>
      </c>
      <c r="H216" s="209" t="s">
        <v>514</v>
      </c>
      <c r="I216" s="783" t="s">
        <v>173</v>
      </c>
      <c r="J216" s="784" t="s">
        <v>173</v>
      </c>
      <c r="K216" s="783" t="s">
        <v>173</v>
      </c>
      <c r="L216" s="784" t="s">
        <v>173</v>
      </c>
      <c r="U216" s="982"/>
      <c r="V216" s="982"/>
      <c r="W216" s="982"/>
      <c r="X216" s="982"/>
    </row>
    <row r="217" spans="1:24" x14ac:dyDescent="0.3">
      <c r="A217" s="89"/>
      <c r="B217" s="876" t="s">
        <v>1362</v>
      </c>
      <c r="C217" s="43" t="s">
        <v>1384</v>
      </c>
      <c r="D217" s="92" t="s">
        <v>137</v>
      </c>
      <c r="E217" s="142" t="s">
        <v>300</v>
      </c>
      <c r="F217" s="209" t="s">
        <v>513</v>
      </c>
      <c r="G217" s="142" t="s">
        <v>300</v>
      </c>
      <c r="H217" s="209" t="s">
        <v>514</v>
      </c>
      <c r="I217" s="783" t="s">
        <v>173</v>
      </c>
      <c r="J217" s="784" t="s">
        <v>173</v>
      </c>
      <c r="K217" s="783" t="s">
        <v>173</v>
      </c>
      <c r="L217" s="784" t="s">
        <v>173</v>
      </c>
      <c r="U217" s="982"/>
      <c r="V217" s="982"/>
      <c r="W217" s="982"/>
      <c r="X217" s="982"/>
    </row>
    <row r="218" spans="1:24" x14ac:dyDescent="0.3">
      <c r="A218" s="89"/>
      <c r="B218" s="876" t="s">
        <v>1363</v>
      </c>
      <c r="C218" s="43" t="s">
        <v>1385</v>
      </c>
      <c r="D218" s="92" t="s">
        <v>137</v>
      </c>
      <c r="E218" s="146"/>
      <c r="F218" s="646" t="s">
        <v>519</v>
      </c>
      <c r="G218" s="146"/>
      <c r="H218" s="646" t="s">
        <v>311</v>
      </c>
      <c r="I218" s="783" t="s">
        <v>173</v>
      </c>
      <c r="J218" s="784" t="s">
        <v>173</v>
      </c>
      <c r="K218" s="783" t="s">
        <v>173</v>
      </c>
      <c r="L218" s="784" t="s">
        <v>173</v>
      </c>
      <c r="U218" s="982"/>
      <c r="V218" s="982"/>
      <c r="W218" s="982"/>
      <c r="X218" s="982"/>
    </row>
    <row r="219" spans="1:24" x14ac:dyDescent="0.3">
      <c r="A219" s="89"/>
      <c r="B219" s="876" t="s">
        <v>1364</v>
      </c>
      <c r="C219" s="43" t="s">
        <v>1386</v>
      </c>
      <c r="D219" s="92" t="s">
        <v>137</v>
      </c>
      <c r="E219" s="142" t="s">
        <v>300</v>
      </c>
      <c r="F219" s="209" t="s">
        <v>513</v>
      </c>
      <c r="G219" s="142" t="s">
        <v>300</v>
      </c>
      <c r="H219" s="209" t="s">
        <v>514</v>
      </c>
      <c r="I219" s="783" t="s">
        <v>173</v>
      </c>
      <c r="J219" s="784" t="s">
        <v>173</v>
      </c>
      <c r="K219" s="783" t="s">
        <v>173</v>
      </c>
      <c r="L219" s="784" t="s">
        <v>173</v>
      </c>
      <c r="U219" s="982"/>
      <c r="V219" s="982"/>
      <c r="W219" s="982"/>
      <c r="X219" s="982"/>
    </row>
    <row r="220" spans="1:24" x14ac:dyDescent="0.3">
      <c r="A220" s="89"/>
      <c r="B220" s="876" t="s">
        <v>1366</v>
      </c>
      <c r="C220" s="43" t="s">
        <v>1387</v>
      </c>
      <c r="D220" s="92" t="s">
        <v>137</v>
      </c>
      <c r="E220" s="142" t="s">
        <v>300</v>
      </c>
      <c r="F220" s="209" t="s">
        <v>513</v>
      </c>
      <c r="G220" s="142" t="s">
        <v>300</v>
      </c>
      <c r="H220" s="209" t="s">
        <v>514</v>
      </c>
      <c r="I220" s="783" t="s">
        <v>173</v>
      </c>
      <c r="J220" s="784" t="s">
        <v>173</v>
      </c>
      <c r="K220" s="783" t="s">
        <v>173</v>
      </c>
      <c r="L220" s="784" t="s">
        <v>173</v>
      </c>
      <c r="U220" s="982"/>
      <c r="V220" s="982"/>
      <c r="W220" s="982"/>
      <c r="X220" s="982"/>
    </row>
    <row r="221" spans="1:24" x14ac:dyDescent="0.3">
      <c r="A221" s="89"/>
      <c r="B221" s="877" t="s">
        <v>1748</v>
      </c>
      <c r="C221" s="867" t="s">
        <v>1753</v>
      </c>
      <c r="D221" s="156" t="s">
        <v>137</v>
      </c>
      <c r="E221" s="207"/>
      <c r="F221" s="647" t="s">
        <v>519</v>
      </c>
      <c r="G221" s="207"/>
      <c r="H221" s="647" t="s">
        <v>311</v>
      </c>
      <c r="I221" s="785" t="s">
        <v>173</v>
      </c>
      <c r="J221" s="837" t="s">
        <v>173</v>
      </c>
      <c r="K221" s="785" t="s">
        <v>173</v>
      </c>
      <c r="L221" s="837" t="s">
        <v>173</v>
      </c>
      <c r="U221" s="982"/>
      <c r="V221" s="982"/>
      <c r="W221" s="982"/>
      <c r="X221" s="982"/>
    </row>
    <row r="222" spans="1:24" x14ac:dyDescent="0.3">
      <c r="A222" s="89"/>
      <c r="U222" s="982"/>
      <c r="V222" s="982"/>
      <c r="W222" s="982"/>
      <c r="X222" s="982"/>
    </row>
    <row r="223" spans="1:24" x14ac:dyDescent="0.3">
      <c r="A223" s="89"/>
      <c r="U223" s="982"/>
      <c r="V223" s="982"/>
      <c r="W223" s="982"/>
      <c r="X223" s="982"/>
    </row>
    <row r="224" spans="1:24" x14ac:dyDescent="0.3">
      <c r="A224" s="23"/>
      <c r="B224" s="23" t="s">
        <v>669</v>
      </c>
      <c r="C224" s="982"/>
      <c r="D224" s="357"/>
      <c r="E224" s="357"/>
      <c r="F224" s="982"/>
      <c r="G224" s="357"/>
      <c r="H224" s="982"/>
      <c r="I224" s="357"/>
      <c r="J224" s="982"/>
      <c r="K224" s="357"/>
      <c r="L224" s="982"/>
      <c r="M224" s="357"/>
      <c r="N224" s="982"/>
      <c r="U224" s="982"/>
      <c r="V224" s="982"/>
      <c r="W224" s="982"/>
      <c r="X224" s="369"/>
    </row>
    <row r="225" spans="1:24" ht="27.6" x14ac:dyDescent="0.3">
      <c r="A225" s="369"/>
      <c r="B225" s="115" t="s">
        <v>670</v>
      </c>
      <c r="C225" s="382"/>
      <c r="D225" s="384" t="s">
        <v>122</v>
      </c>
      <c r="E225" s="383"/>
      <c r="F225" s="116" t="s">
        <v>671</v>
      </c>
      <c r="G225" s="213"/>
      <c r="H225" s="123" t="s">
        <v>672</v>
      </c>
      <c r="I225" s="234"/>
      <c r="J225" s="116" t="s">
        <v>673</v>
      </c>
      <c r="K225" s="435"/>
      <c r="L225" s="436" t="s">
        <v>674</v>
      </c>
      <c r="M225" s="234"/>
      <c r="N225" s="116" t="s">
        <v>675</v>
      </c>
      <c r="U225" s="369"/>
      <c r="V225" s="369"/>
      <c r="W225" s="369"/>
      <c r="X225" s="982"/>
    </row>
    <row r="226" spans="1:24" ht="15" thickBot="1" x14ac:dyDescent="0.35">
      <c r="A226" s="982"/>
      <c r="B226" s="215"/>
      <c r="C226" s="371"/>
      <c r="D226" s="214"/>
      <c r="E226" s="370"/>
      <c r="F226" s="351" t="s">
        <v>676</v>
      </c>
      <c r="G226" s="371"/>
      <c r="H226" s="350" t="s">
        <v>677</v>
      </c>
      <c r="I226" s="233"/>
      <c r="J226" s="351" t="s">
        <v>678</v>
      </c>
      <c r="K226" s="214"/>
      <c r="L226" s="350" t="s">
        <v>679</v>
      </c>
      <c r="M226" s="233"/>
      <c r="N226" s="351" t="s">
        <v>680</v>
      </c>
      <c r="U226" s="982"/>
      <c r="V226" s="982"/>
      <c r="W226" s="982"/>
      <c r="X226" s="982"/>
    </row>
    <row r="227" spans="1:24" ht="15" thickTop="1" x14ac:dyDescent="0.3">
      <c r="A227" s="982"/>
      <c r="B227" s="352">
        <v>1</v>
      </c>
      <c r="C227" s="374"/>
      <c r="D227" s="255" t="s">
        <v>1705</v>
      </c>
      <c r="E227" s="207" t="s">
        <v>173</v>
      </c>
      <c r="F227" s="201">
        <v>600000</v>
      </c>
      <c r="G227" s="170" t="s">
        <v>300</v>
      </c>
      <c r="H227" s="156">
        <v>0.8</v>
      </c>
      <c r="I227" s="171" t="s">
        <v>300</v>
      </c>
      <c r="J227" s="162" t="s">
        <v>681</v>
      </c>
      <c r="K227" s="170" t="s">
        <v>300</v>
      </c>
      <c r="L227" s="156" t="s">
        <v>682</v>
      </c>
      <c r="M227" s="171" t="s">
        <v>300</v>
      </c>
      <c r="N227" s="162">
        <v>0.25</v>
      </c>
      <c r="U227" s="982"/>
      <c r="V227" s="982"/>
      <c r="W227" s="982"/>
      <c r="X227" s="982"/>
    </row>
    <row r="228" spans="1:24" x14ac:dyDescent="0.3">
      <c r="A228" s="89"/>
      <c r="U228" s="982"/>
      <c r="V228" s="982"/>
      <c r="W228" s="982"/>
      <c r="X228" s="93"/>
    </row>
    <row r="229" spans="1:24" ht="27.6" x14ac:dyDescent="0.3">
      <c r="A229" s="89"/>
      <c r="B229" s="131" t="s">
        <v>720</v>
      </c>
      <c r="C229" s="120" t="s">
        <v>721</v>
      </c>
      <c r="D229" s="120" t="s">
        <v>122</v>
      </c>
      <c r="E229" s="131"/>
      <c r="F229" s="148" t="s">
        <v>722</v>
      </c>
      <c r="G229" s="120"/>
      <c r="H229" s="120" t="s">
        <v>723</v>
      </c>
      <c r="I229" s="210"/>
      <c r="J229" s="120" t="s">
        <v>724</v>
      </c>
      <c r="K229" s="210"/>
      <c r="L229" s="120" t="s">
        <v>725</v>
      </c>
      <c r="M229" s="210"/>
      <c r="N229" s="148" t="s">
        <v>726</v>
      </c>
      <c r="O229" s="120"/>
      <c r="P229" s="120" t="s">
        <v>727</v>
      </c>
      <c r="Q229" s="131"/>
      <c r="R229" s="148" t="s">
        <v>728</v>
      </c>
      <c r="S229" s="120"/>
      <c r="T229" s="148" t="s">
        <v>729</v>
      </c>
      <c r="U229" s="120"/>
      <c r="V229" s="148" t="s">
        <v>730</v>
      </c>
      <c r="W229" s="96"/>
      <c r="X229" s="93"/>
    </row>
    <row r="230" spans="1:24" ht="15" thickBot="1" x14ac:dyDescent="0.35">
      <c r="A230" s="89"/>
      <c r="B230" s="183"/>
      <c r="C230" s="176"/>
      <c r="D230" s="177"/>
      <c r="E230" s="178"/>
      <c r="F230" s="351" t="s">
        <v>731</v>
      </c>
      <c r="G230" s="176"/>
      <c r="H230" s="179" t="s">
        <v>732</v>
      </c>
      <c r="I230" s="178"/>
      <c r="J230" s="179" t="s">
        <v>733</v>
      </c>
      <c r="K230" s="178"/>
      <c r="L230" s="351" t="s">
        <v>734</v>
      </c>
      <c r="M230" s="178"/>
      <c r="N230" s="351" t="s">
        <v>735</v>
      </c>
      <c r="O230" s="176"/>
      <c r="P230" s="351" t="s">
        <v>736</v>
      </c>
      <c r="Q230" s="178"/>
      <c r="R230" s="351" t="s">
        <v>737</v>
      </c>
      <c r="S230" s="176"/>
      <c r="T230" s="351" t="s">
        <v>738</v>
      </c>
      <c r="U230" s="176"/>
      <c r="V230" s="179" t="s">
        <v>739</v>
      </c>
      <c r="W230" s="96"/>
      <c r="X230" s="93"/>
    </row>
    <row r="231" spans="1:24" ht="15" thickTop="1" x14ac:dyDescent="0.3">
      <c r="A231" s="373"/>
      <c r="B231" s="455" t="s">
        <v>1739</v>
      </c>
      <c r="C231" s="461" t="s">
        <v>1569</v>
      </c>
      <c r="D231" s="394" t="s">
        <v>1705</v>
      </c>
      <c r="E231" s="471" t="s">
        <v>300</v>
      </c>
      <c r="F231" s="461" t="s">
        <v>742</v>
      </c>
      <c r="G231" s="471" t="s">
        <v>300</v>
      </c>
      <c r="H231" s="394" t="s">
        <v>743</v>
      </c>
      <c r="I231" s="555" t="s">
        <v>173</v>
      </c>
      <c r="J231" s="561">
        <f>F227/500.19/40</f>
        <v>29.98860433035447</v>
      </c>
      <c r="K231" s="471" t="s">
        <v>300</v>
      </c>
      <c r="L231" s="558" t="str">
        <f>ROUND(J231*P231/3960/(0.7*R231)*745.6/1000,2)&amp;" ("&amp;ROUND(P231/3960/(0.7*R231)*745.6,2)&amp;" W/gpm)"</f>
        <v>0.59 (19.68 W/gpm)</v>
      </c>
      <c r="M231" s="471" t="s">
        <v>300</v>
      </c>
      <c r="N231" s="472">
        <v>0.8</v>
      </c>
      <c r="O231" s="471" t="s">
        <v>300</v>
      </c>
      <c r="P231" s="559">
        <f>0.75*0.95/J231*3960*0.7</f>
        <v>65.860017299999981</v>
      </c>
      <c r="Q231" s="471" t="s">
        <v>300</v>
      </c>
      <c r="R231" s="472">
        <v>0.9</v>
      </c>
      <c r="S231" s="471" t="s">
        <v>300</v>
      </c>
      <c r="T231" s="472">
        <v>0.7</v>
      </c>
      <c r="U231" s="462" t="s">
        <v>173</v>
      </c>
      <c r="V231" s="453" t="s">
        <v>173</v>
      </c>
      <c r="W231" s="96"/>
      <c r="X231" s="982"/>
    </row>
    <row r="232" spans="1:24" x14ac:dyDescent="0.3">
      <c r="A232" s="89"/>
      <c r="P232" s="560"/>
      <c r="U232" s="982"/>
      <c r="V232" s="982"/>
      <c r="W232" s="982"/>
      <c r="X232" s="982"/>
    </row>
    <row r="233" spans="1:24" x14ac:dyDescent="0.3">
      <c r="A233" s="89"/>
      <c r="U233" s="982"/>
      <c r="V233" s="982"/>
      <c r="W233" s="982"/>
      <c r="X233" s="982"/>
    </row>
    <row r="234" spans="1:24" x14ac:dyDescent="0.3">
      <c r="A234" s="89"/>
      <c r="U234" s="982"/>
      <c r="V234" s="982"/>
      <c r="W234" s="982"/>
      <c r="X234" s="982"/>
    </row>
    <row r="235" spans="1:24" x14ac:dyDescent="0.3">
      <c r="A235" s="89"/>
      <c r="U235" s="982"/>
      <c r="V235" s="982"/>
      <c r="W235" s="982"/>
      <c r="X235" s="982"/>
    </row>
    <row r="236" spans="1:24" x14ac:dyDescent="0.3">
      <c r="A236" s="89"/>
      <c r="U236" s="982"/>
      <c r="V236" s="982"/>
      <c r="W236" s="982"/>
      <c r="X236" s="982"/>
    </row>
  </sheetData>
  <pageMargins left="0.7" right="0.7" top="0.75" bottom="0.75" header="0.3" footer="0.3"/>
  <pageSetup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Z138"/>
  <sheetViews>
    <sheetView topLeftCell="A79" zoomScale="85" zoomScaleNormal="85" workbookViewId="0">
      <selection activeCell="J104" sqref="J104"/>
    </sheetView>
  </sheetViews>
  <sheetFormatPr defaultColWidth="9.109375" defaultRowHeight="14.4" x14ac:dyDescent="0.3"/>
  <cols>
    <col min="1" max="1" width="3.6640625" style="109" customWidth="1"/>
    <col min="2" max="2" width="27" style="109" bestFit="1" customWidth="1"/>
    <col min="3" max="3" width="30.6640625" style="92" customWidth="1"/>
    <col min="4" max="4" width="11.6640625" style="109" bestFit="1" customWidth="1"/>
    <col min="5" max="5" width="2.6640625" style="83" customWidth="1"/>
    <col min="6" max="6" width="30.6640625" style="111" customWidth="1"/>
    <col min="7" max="7" width="2.6640625" style="83" customWidth="1"/>
    <col min="8" max="8" width="27.88671875" style="30" bestFit="1" customWidth="1"/>
    <col min="9" max="9" width="2.6640625" style="109" customWidth="1"/>
    <col min="10" max="10" width="22.109375" style="92" customWidth="1"/>
    <col min="11" max="11" width="2.6640625" style="109" customWidth="1"/>
    <col min="12" max="12" width="28.109375" style="92" customWidth="1"/>
    <col min="13" max="13" width="2.6640625" style="109" customWidth="1"/>
    <col min="14" max="14" width="26" style="92" customWidth="1"/>
    <col min="15" max="15" width="2.6640625" style="109" customWidth="1"/>
    <col min="16" max="16" width="27.6640625" style="92" customWidth="1"/>
    <col min="17" max="17" width="2.6640625" style="109" customWidth="1"/>
    <col min="18" max="18" width="22" style="92" customWidth="1"/>
    <col min="19" max="19" width="2.6640625" style="109" customWidth="1"/>
    <col min="20" max="20" width="19" style="92" customWidth="1"/>
    <col min="21" max="21" width="9.109375" style="257"/>
    <col min="22" max="22" width="10.5546875" style="257" bestFit="1" customWidth="1"/>
    <col min="23" max="16384" width="9.109375" style="257"/>
  </cols>
  <sheetData>
    <row r="1" spans="1:20" s="391" customFormat="1" ht="12.75" customHeight="1" x14ac:dyDescent="0.3">
      <c r="A1" s="364"/>
      <c r="B1" s="364"/>
      <c r="C1" s="92"/>
      <c r="D1" s="364"/>
      <c r="E1" s="83"/>
      <c r="F1" s="366"/>
      <c r="G1" s="83"/>
      <c r="H1" s="30"/>
      <c r="I1" s="364"/>
      <c r="J1" s="92"/>
      <c r="K1" s="364"/>
      <c r="L1" s="92"/>
      <c r="M1" s="364"/>
      <c r="N1" s="92"/>
      <c r="O1" s="364"/>
      <c r="P1" s="982"/>
      <c r="Q1" s="982"/>
      <c r="R1" s="982"/>
      <c r="S1" s="982"/>
      <c r="T1" s="982"/>
    </row>
    <row r="2" spans="1:20" x14ac:dyDescent="0.3">
      <c r="A2" s="364"/>
      <c r="B2" s="513" t="s">
        <v>0</v>
      </c>
      <c r="C2" s="516"/>
      <c r="D2" s="513"/>
      <c r="E2" s="520"/>
      <c r="F2" s="516" t="s">
        <v>1</v>
      </c>
      <c r="G2" s="364"/>
      <c r="I2" s="364"/>
      <c r="K2" s="513"/>
      <c r="L2" s="516" t="s">
        <v>109</v>
      </c>
      <c r="M2" s="364"/>
      <c r="O2" s="364"/>
      <c r="Q2" s="364"/>
      <c r="S2" s="364"/>
    </row>
    <row r="3" spans="1:20" x14ac:dyDescent="0.3">
      <c r="A3" s="364"/>
      <c r="B3" s="364" t="s">
        <v>2</v>
      </c>
      <c r="C3" s="71" t="s">
        <v>94</v>
      </c>
      <c r="D3" s="364"/>
      <c r="E3" s="364"/>
      <c r="F3" s="92" t="s">
        <v>3</v>
      </c>
      <c r="G3" s="364"/>
      <c r="H3" s="71" t="str">
        <f>'Documentation Main Sheet'!I2</f>
        <v>r6055</v>
      </c>
      <c r="I3" s="364"/>
      <c r="J3" s="401"/>
      <c r="K3" s="632"/>
      <c r="L3" s="364" t="s">
        <v>110</v>
      </c>
      <c r="M3" s="364"/>
      <c r="O3" s="364"/>
      <c r="Q3" s="364"/>
      <c r="S3" s="364"/>
    </row>
    <row r="4" spans="1:20" x14ac:dyDescent="0.3">
      <c r="A4" s="364"/>
      <c r="B4" s="364" t="s">
        <v>6</v>
      </c>
      <c r="C4" s="92" t="str">
        <f>C3&amp;".cibd19"</f>
        <v>050006-RetlMed-Run27.cibd19</v>
      </c>
      <c r="D4" s="364"/>
      <c r="F4" s="92" t="s">
        <v>7</v>
      </c>
      <c r="G4" s="364"/>
      <c r="H4" s="389" t="str">
        <f>'Documentation Main Sheet'!I3</f>
        <v>Release package</v>
      </c>
      <c r="I4" s="364"/>
      <c r="J4" s="401"/>
      <c r="K4" s="522">
        <v>1</v>
      </c>
      <c r="L4" s="373" t="s">
        <v>111</v>
      </c>
      <c r="M4" s="364"/>
      <c r="O4" s="364"/>
      <c r="Q4" s="364"/>
      <c r="S4" s="364"/>
    </row>
    <row r="5" spans="1:20" x14ac:dyDescent="0.3">
      <c r="A5" s="364"/>
      <c r="B5" s="364" t="s">
        <v>9</v>
      </c>
      <c r="C5" s="92" t="s">
        <v>112</v>
      </c>
      <c r="D5" s="364"/>
      <c r="F5" s="92" t="s">
        <v>10</v>
      </c>
      <c r="H5" s="389" t="str">
        <f>'Documentation Main Sheet'!I4</f>
        <v>CBECC-Com 2019.1.2 Release</v>
      </c>
      <c r="I5" s="68"/>
      <c r="J5" s="401"/>
      <c r="K5" s="523">
        <v>1</v>
      </c>
      <c r="L5" s="373" t="s">
        <v>111</v>
      </c>
      <c r="M5" s="364"/>
      <c r="O5" s="364"/>
      <c r="P5" s="8"/>
      <c r="Q5" s="364"/>
      <c r="R5" s="8"/>
      <c r="S5" s="364"/>
      <c r="T5" s="8"/>
    </row>
    <row r="6" spans="1:20" x14ac:dyDescent="0.3">
      <c r="A6" s="364"/>
      <c r="B6" s="364" t="s">
        <v>17</v>
      </c>
      <c r="C6" s="92" t="s">
        <v>35</v>
      </c>
      <c r="D6" s="364"/>
      <c r="F6" s="92" t="s">
        <v>12</v>
      </c>
      <c r="H6" s="387">
        <f>'Documentation Main Sheet'!I5</f>
        <v>43754</v>
      </c>
      <c r="I6" s="364"/>
      <c r="J6" s="402"/>
      <c r="K6" s="524">
        <v>1</v>
      </c>
      <c r="L6" s="376" t="s">
        <v>113</v>
      </c>
      <c r="M6" s="364"/>
      <c r="O6" s="364"/>
      <c r="Q6" s="364"/>
      <c r="S6" s="364"/>
    </row>
    <row r="7" spans="1:20" x14ac:dyDescent="0.3">
      <c r="A7" s="364"/>
      <c r="B7" s="364" t="s">
        <v>20</v>
      </c>
      <c r="C7" s="92" t="s">
        <v>88</v>
      </c>
      <c r="D7" s="364"/>
      <c r="F7" s="92" t="s">
        <v>13</v>
      </c>
      <c r="H7" s="389" t="str">
        <f>'Documentation Main Sheet'!I6</f>
        <v>Jireh Peng</v>
      </c>
      <c r="I7" s="364"/>
      <c r="K7" s="525">
        <v>1</v>
      </c>
      <c r="L7" s="373" t="s">
        <v>114</v>
      </c>
      <c r="M7" s="364"/>
      <c r="O7" s="364"/>
      <c r="Q7" s="364"/>
      <c r="S7" s="364"/>
    </row>
    <row r="8" spans="1:20" x14ac:dyDescent="0.3">
      <c r="A8" s="364"/>
      <c r="B8" s="364" t="s">
        <v>19</v>
      </c>
      <c r="C8" s="92" t="s">
        <v>1754</v>
      </c>
      <c r="D8" s="364"/>
      <c r="F8" s="364"/>
      <c r="G8" s="364"/>
      <c r="H8" s="364"/>
      <c r="I8" s="364"/>
      <c r="K8" s="702">
        <v>1</v>
      </c>
      <c r="L8" s="364" t="s">
        <v>115</v>
      </c>
      <c r="M8" s="364"/>
      <c r="O8" s="364"/>
      <c r="Q8" s="364"/>
      <c r="S8" s="364"/>
    </row>
    <row r="9" spans="1:20" x14ac:dyDescent="0.3">
      <c r="A9" s="364"/>
      <c r="B9" s="364"/>
      <c r="D9" s="364"/>
      <c r="F9" s="364"/>
      <c r="G9" s="364"/>
      <c r="H9" s="364"/>
      <c r="I9" s="364"/>
      <c r="K9" s="364"/>
      <c r="M9" s="364"/>
      <c r="O9" s="364"/>
      <c r="Q9" s="364"/>
      <c r="S9" s="364"/>
    </row>
    <row r="10" spans="1:20" x14ac:dyDescent="0.3">
      <c r="A10" s="281"/>
      <c r="B10" s="282" t="s">
        <v>134</v>
      </c>
      <c r="C10" s="283"/>
      <c r="D10" s="281"/>
      <c r="E10" s="281"/>
      <c r="F10" s="284"/>
      <c r="G10" s="281"/>
      <c r="H10" s="283"/>
      <c r="I10" s="281"/>
      <c r="J10" s="283"/>
      <c r="K10" s="281"/>
      <c r="L10" s="283"/>
      <c r="M10" s="281"/>
      <c r="N10" s="283"/>
      <c r="O10" s="281"/>
      <c r="P10" s="283"/>
      <c r="Q10" s="281"/>
      <c r="R10" s="283"/>
      <c r="S10" s="281"/>
      <c r="T10" s="283"/>
    </row>
    <row r="11" spans="1:20" ht="15" customHeight="1" x14ac:dyDescent="0.3">
      <c r="A11" s="27"/>
      <c r="B11" s="29" t="s">
        <v>145</v>
      </c>
      <c r="C11" s="96"/>
      <c r="D11" s="93"/>
      <c r="E11" s="91"/>
      <c r="F11" s="92"/>
      <c r="G11" s="91"/>
      <c r="I11" s="91"/>
      <c r="K11" s="91"/>
      <c r="M11" s="91"/>
      <c r="O11" s="91"/>
      <c r="P11" s="84"/>
      <c r="Q11" s="91"/>
      <c r="R11" s="84"/>
      <c r="S11" s="91"/>
      <c r="T11" s="84"/>
    </row>
    <row r="12" spans="1:20" x14ac:dyDescent="0.3">
      <c r="A12" s="364"/>
      <c r="B12" s="91" t="s">
        <v>184</v>
      </c>
      <c r="D12" s="364"/>
      <c r="E12" s="364"/>
      <c r="F12" s="92"/>
      <c r="G12" s="364"/>
      <c r="H12" s="366"/>
      <c r="I12" s="364"/>
      <c r="J12" s="34"/>
      <c r="K12" s="6"/>
      <c r="L12" s="34"/>
      <c r="M12" s="6"/>
      <c r="N12" s="34"/>
      <c r="O12" s="6"/>
      <c r="P12" s="31"/>
      <c r="Q12" s="6"/>
      <c r="R12" s="31"/>
      <c r="S12" s="91"/>
      <c r="T12" s="30"/>
    </row>
    <row r="13" spans="1:20" ht="27.6" x14ac:dyDescent="0.3">
      <c r="A13" s="91"/>
      <c r="B13" s="138" t="s">
        <v>148</v>
      </c>
      <c r="C13" s="120" t="s">
        <v>149</v>
      </c>
      <c r="D13" s="119" t="s">
        <v>122</v>
      </c>
      <c r="E13" s="119"/>
      <c r="F13" s="120" t="s">
        <v>332</v>
      </c>
      <c r="G13" s="138"/>
      <c r="H13" s="148" t="s">
        <v>150</v>
      </c>
      <c r="I13" s="119"/>
      <c r="J13" s="120" t="s">
        <v>151</v>
      </c>
      <c r="K13" s="138"/>
      <c r="L13" s="148" t="s">
        <v>185</v>
      </c>
      <c r="M13" s="138"/>
      <c r="N13" s="148" t="s">
        <v>186</v>
      </c>
      <c r="O13" s="91"/>
      <c r="P13" s="38"/>
      <c r="Q13" s="91"/>
      <c r="S13" s="91"/>
      <c r="T13" s="38"/>
    </row>
    <row r="14" spans="1:20" ht="15" thickBot="1" x14ac:dyDescent="0.35">
      <c r="A14" s="83"/>
      <c r="B14" s="132"/>
      <c r="C14" s="124" t="s">
        <v>188</v>
      </c>
      <c r="D14" s="125"/>
      <c r="E14" s="126"/>
      <c r="F14" s="124"/>
      <c r="G14" s="139"/>
      <c r="H14" s="149" t="s">
        <v>189</v>
      </c>
      <c r="I14" s="126"/>
      <c r="J14" s="124" t="s">
        <v>190</v>
      </c>
      <c r="K14" s="145"/>
      <c r="L14" s="149" t="s">
        <v>191</v>
      </c>
      <c r="M14" s="145"/>
      <c r="N14" s="149" t="s">
        <v>192</v>
      </c>
      <c r="O14" s="83"/>
      <c r="P14" s="30"/>
      <c r="Q14" s="30"/>
      <c r="S14" s="30"/>
      <c r="T14" s="30"/>
    </row>
    <row r="15" spans="1:20" ht="15" thickTop="1" x14ac:dyDescent="0.3">
      <c r="A15" s="364"/>
      <c r="B15" s="155" t="s">
        <v>187</v>
      </c>
      <c r="C15" s="157" t="s">
        <v>1755</v>
      </c>
      <c r="D15" s="165" t="s">
        <v>137</v>
      </c>
      <c r="E15" s="166"/>
      <c r="F15" s="167" t="s">
        <v>1756</v>
      </c>
      <c r="G15" s="171" t="s">
        <v>300</v>
      </c>
      <c r="H15" s="172" t="s">
        <v>199</v>
      </c>
      <c r="I15" s="170" t="s">
        <v>300</v>
      </c>
      <c r="J15" s="156">
        <v>0.35</v>
      </c>
      <c r="K15" s="171" t="s">
        <v>300</v>
      </c>
      <c r="L15" s="169">
        <v>0.32</v>
      </c>
      <c r="M15" s="171" t="s">
        <v>300</v>
      </c>
      <c r="N15" s="169">
        <v>0.53</v>
      </c>
      <c r="O15" s="364"/>
      <c r="Q15" s="364"/>
      <c r="S15" s="364"/>
    </row>
    <row r="16" spans="1:20" x14ac:dyDescent="0.3">
      <c r="A16" s="364"/>
      <c r="B16" s="364"/>
      <c r="C16" s="366"/>
      <c r="D16" s="373"/>
      <c r="E16" s="364"/>
      <c r="F16" s="366"/>
      <c r="G16" s="364"/>
      <c r="H16" s="92"/>
      <c r="I16" s="364"/>
      <c r="K16" s="364"/>
      <c r="M16" s="364"/>
      <c r="O16" s="364"/>
      <c r="Q16" s="364"/>
      <c r="S16" s="364"/>
    </row>
    <row r="17" spans="1:20" s="90" customFormat="1" ht="27.6" x14ac:dyDescent="0.3">
      <c r="D17" s="219" t="s">
        <v>148</v>
      </c>
      <c r="E17" s="195"/>
      <c r="F17" s="116" t="s">
        <v>840</v>
      </c>
      <c r="G17" s="188"/>
      <c r="H17" s="123" t="s">
        <v>841</v>
      </c>
      <c r="I17" s="195"/>
      <c r="J17" s="116" t="s">
        <v>842</v>
      </c>
      <c r="K17" s="188"/>
      <c r="L17" s="123" t="s">
        <v>843</v>
      </c>
      <c r="M17" s="195"/>
      <c r="N17" s="116" t="s">
        <v>844</v>
      </c>
      <c r="O17" s="40"/>
      <c r="P17" s="14"/>
      <c r="Q17" s="14"/>
      <c r="S17" s="14"/>
      <c r="T17" s="14"/>
    </row>
    <row r="18" spans="1:20" s="109" customFormat="1" thickBot="1" x14ac:dyDescent="0.35">
      <c r="A18" s="364"/>
      <c r="B18" s="364"/>
      <c r="C18" s="364"/>
      <c r="D18" s="239"/>
      <c r="E18" s="240"/>
      <c r="F18" s="241" t="s">
        <v>850</v>
      </c>
      <c r="G18" s="227"/>
      <c r="H18" s="125" t="s">
        <v>851</v>
      </c>
      <c r="I18" s="240"/>
      <c r="J18" s="108" t="s">
        <v>852</v>
      </c>
      <c r="K18" s="227"/>
      <c r="L18" s="218" t="s">
        <v>853</v>
      </c>
      <c r="M18" s="240"/>
      <c r="N18" s="108" t="s">
        <v>854</v>
      </c>
      <c r="O18" s="69"/>
      <c r="P18" s="69"/>
      <c r="Q18" s="69"/>
      <c r="R18" s="364"/>
      <c r="S18" s="69"/>
      <c r="T18" s="69"/>
    </row>
    <row r="19" spans="1:20" s="113" customFormat="1" thickTop="1" x14ac:dyDescent="0.3">
      <c r="A19" s="373"/>
      <c r="B19" s="373"/>
      <c r="C19" s="91"/>
      <c r="D19" s="236" t="s">
        <v>187</v>
      </c>
      <c r="E19" s="171" t="s">
        <v>300</v>
      </c>
      <c r="F19" s="238">
        <v>0.37159999999999999</v>
      </c>
      <c r="G19" s="170" t="s">
        <v>300</v>
      </c>
      <c r="H19" s="237">
        <v>0</v>
      </c>
      <c r="I19" s="171" t="s">
        <v>300</v>
      </c>
      <c r="J19" s="237">
        <v>0</v>
      </c>
      <c r="K19" s="355" t="s">
        <v>300</v>
      </c>
      <c r="L19" s="237">
        <v>0.46029999999999999</v>
      </c>
      <c r="M19" s="171" t="s">
        <v>300</v>
      </c>
      <c r="N19" s="238">
        <v>0</v>
      </c>
      <c r="O19" s="365"/>
      <c r="P19" s="365"/>
      <c r="Q19" s="365"/>
      <c r="R19" s="365"/>
      <c r="S19" s="365"/>
      <c r="T19" s="365"/>
    </row>
    <row r="20" spans="1:20" s="113" customFormat="1" ht="13.8" x14ac:dyDescent="0.3">
      <c r="A20" s="373"/>
      <c r="B20" s="373"/>
      <c r="C20" s="373"/>
      <c r="D20" s="373"/>
      <c r="E20" s="373"/>
      <c r="F20" s="373"/>
      <c r="G20" s="373"/>
      <c r="H20" s="373"/>
      <c r="I20" s="373"/>
      <c r="J20" s="373"/>
      <c r="K20" s="373"/>
      <c r="L20" s="373"/>
      <c r="M20" s="373"/>
      <c r="N20" s="373"/>
      <c r="O20" s="365"/>
      <c r="P20" s="365"/>
      <c r="Q20" s="365"/>
      <c r="R20" s="365"/>
      <c r="S20" s="365"/>
      <c r="T20" s="365"/>
    </row>
    <row r="21" spans="1:20" s="89" customFormat="1" ht="13.8" x14ac:dyDescent="0.3">
      <c r="A21" s="27"/>
      <c r="B21" s="29" t="s">
        <v>922</v>
      </c>
      <c r="D21" s="93"/>
      <c r="E21" s="91"/>
      <c r="G21" s="93"/>
      <c r="H21" s="91"/>
      <c r="J21" s="93"/>
      <c r="K21" s="91"/>
      <c r="M21" s="93"/>
      <c r="N21" s="91"/>
      <c r="P21" s="93"/>
      <c r="Q21" s="91"/>
      <c r="S21" s="93"/>
      <c r="T21" s="91"/>
    </row>
    <row r="22" spans="1:20" s="89" customFormat="1" ht="13.8" x14ac:dyDescent="0.3">
      <c r="B22" s="84" t="s">
        <v>870</v>
      </c>
      <c r="D22" s="93"/>
      <c r="E22" s="91"/>
      <c r="G22" s="93"/>
      <c r="H22" s="91"/>
      <c r="J22" s="93"/>
      <c r="K22" s="91"/>
      <c r="M22" s="93"/>
      <c r="N22" s="91"/>
      <c r="P22" s="93"/>
      <c r="Q22" s="91"/>
      <c r="S22" s="93"/>
      <c r="T22" s="91"/>
    </row>
    <row r="23" spans="1:20" s="92" customFormat="1" ht="38.25" customHeight="1" x14ac:dyDescent="0.3">
      <c r="B23" s="115" t="s">
        <v>580</v>
      </c>
      <c r="C23" s="123" t="s">
        <v>52</v>
      </c>
      <c r="D23" s="119" t="s">
        <v>122</v>
      </c>
      <c r="E23" s="274"/>
      <c r="F23" s="117" t="s">
        <v>1757</v>
      </c>
      <c r="G23" s="386"/>
      <c r="H23" s="117" t="s">
        <v>1215</v>
      </c>
      <c r="I23" s="187"/>
      <c r="J23" s="173" t="s">
        <v>1216</v>
      </c>
      <c r="K23" s="386"/>
      <c r="L23" s="117" t="s">
        <v>930</v>
      </c>
      <c r="M23" s="187"/>
      <c r="N23" s="117" t="s">
        <v>1206</v>
      </c>
      <c r="O23" s="274"/>
      <c r="P23" s="117" t="s">
        <v>1281</v>
      </c>
      <c r="Q23" s="96"/>
      <c r="R23" s="96"/>
      <c r="S23" s="96"/>
      <c r="T23" s="96"/>
    </row>
    <row r="24" spans="1:20" s="109" customFormat="1" thickBot="1" x14ac:dyDescent="0.35">
      <c r="A24" s="364"/>
      <c r="B24" s="107" t="s">
        <v>942</v>
      </c>
      <c r="C24" s="124"/>
      <c r="D24" s="125"/>
      <c r="E24" s="107"/>
      <c r="F24" s="108" t="s">
        <v>946</v>
      </c>
      <c r="G24" s="107"/>
      <c r="H24" s="108" t="s">
        <v>946</v>
      </c>
      <c r="I24" s="218"/>
      <c r="J24" s="218" t="s">
        <v>946</v>
      </c>
      <c r="K24" s="107"/>
      <c r="L24" s="108" t="s">
        <v>947</v>
      </c>
      <c r="M24" s="218"/>
      <c r="N24" s="244"/>
      <c r="O24" s="107"/>
      <c r="P24" s="108" t="s">
        <v>1282</v>
      </c>
      <c r="Q24" s="96"/>
      <c r="R24" s="96"/>
      <c r="S24" s="96"/>
      <c r="T24" s="96"/>
    </row>
    <row r="25" spans="1:20" s="109" customFormat="1" thickTop="1" x14ac:dyDescent="0.3">
      <c r="A25" s="364"/>
      <c r="B25" s="130" t="s">
        <v>1285</v>
      </c>
      <c r="C25" s="92" t="s">
        <v>982</v>
      </c>
      <c r="D25" s="75" t="s">
        <v>137</v>
      </c>
      <c r="E25" s="312"/>
      <c r="F25" s="541">
        <v>1.2</v>
      </c>
      <c r="G25" s="403" t="s">
        <v>173</v>
      </c>
      <c r="H25" s="404" t="s">
        <v>173</v>
      </c>
      <c r="I25" s="147" t="s">
        <v>300</v>
      </c>
      <c r="J25" s="1">
        <v>1.2</v>
      </c>
      <c r="K25" s="140" t="s">
        <v>300</v>
      </c>
      <c r="L25" s="202" t="s">
        <v>973</v>
      </c>
      <c r="M25" s="181" t="s">
        <v>300</v>
      </c>
      <c r="N25" s="361" t="s">
        <v>1096</v>
      </c>
      <c r="O25" s="403" t="s">
        <v>173</v>
      </c>
      <c r="P25" s="404" t="s">
        <v>173</v>
      </c>
      <c r="Q25" s="96"/>
      <c r="R25" s="96"/>
      <c r="S25" s="96"/>
      <c r="T25" s="96"/>
    </row>
    <row r="26" spans="1:20" s="109" customFormat="1" ht="27.6" x14ac:dyDescent="0.3">
      <c r="A26" s="364"/>
      <c r="B26" s="130" t="s">
        <v>1286</v>
      </c>
      <c r="C26" s="245" t="s">
        <v>971</v>
      </c>
      <c r="D26" s="75" t="s">
        <v>137</v>
      </c>
      <c r="E26" s="322"/>
      <c r="F26" s="541">
        <v>1.6</v>
      </c>
      <c r="G26" s="322"/>
      <c r="H26" s="253">
        <v>0.75</v>
      </c>
      <c r="I26" s="181" t="s">
        <v>300</v>
      </c>
      <c r="J26" s="1">
        <v>2.35</v>
      </c>
      <c r="K26" s="142" t="s">
        <v>300</v>
      </c>
      <c r="L26" s="202" t="s">
        <v>973</v>
      </c>
      <c r="M26" s="181" t="s">
        <v>300</v>
      </c>
      <c r="N26" s="361" t="s">
        <v>1758</v>
      </c>
      <c r="O26" s="181" t="s">
        <v>300</v>
      </c>
      <c r="P26" s="361">
        <v>810</v>
      </c>
      <c r="Q26" s="96"/>
      <c r="R26" s="96"/>
      <c r="S26" s="96"/>
      <c r="T26" s="96"/>
    </row>
    <row r="27" spans="1:20" s="109" customFormat="1" ht="27.6" x14ac:dyDescent="0.3">
      <c r="A27" s="364"/>
      <c r="B27" s="180" t="s">
        <v>1287</v>
      </c>
      <c r="C27" s="251" t="s">
        <v>971</v>
      </c>
      <c r="D27" s="591" t="s">
        <v>137</v>
      </c>
      <c r="E27" s="326"/>
      <c r="F27" s="729">
        <v>1.1499999999999999</v>
      </c>
      <c r="G27" s="405" t="s">
        <v>173</v>
      </c>
      <c r="H27" s="406" t="s">
        <v>173</v>
      </c>
      <c r="I27" s="174" t="s">
        <v>300</v>
      </c>
      <c r="J27" s="237">
        <v>1.1499999999999999</v>
      </c>
      <c r="K27" s="160" t="s">
        <v>300</v>
      </c>
      <c r="L27" s="204" t="s">
        <v>973</v>
      </c>
      <c r="M27" s="160" t="s">
        <v>300</v>
      </c>
      <c r="N27" s="396" t="s">
        <v>1096</v>
      </c>
      <c r="O27" s="405" t="s">
        <v>173</v>
      </c>
      <c r="P27" s="406" t="s">
        <v>173</v>
      </c>
      <c r="Q27" s="96"/>
      <c r="R27" s="96"/>
      <c r="S27" s="96"/>
      <c r="T27" s="96"/>
    </row>
    <row r="29" spans="1:20" x14ac:dyDescent="0.3">
      <c r="A29" s="364"/>
      <c r="B29" s="92"/>
      <c r="C29" s="90"/>
      <c r="D29" s="982"/>
      <c r="E29" s="364"/>
      <c r="F29" s="364"/>
      <c r="G29" s="364"/>
      <c r="H29" s="364"/>
      <c r="I29" s="364"/>
      <c r="J29" s="364"/>
      <c r="K29" s="364"/>
      <c r="L29" s="72"/>
      <c r="M29" s="364"/>
      <c r="N29" s="72"/>
      <c r="O29" s="364"/>
      <c r="P29" s="72"/>
      <c r="Q29" s="364"/>
      <c r="R29" s="72"/>
      <c r="S29" s="364"/>
      <c r="T29" s="72"/>
    </row>
    <row r="30" spans="1:20" x14ac:dyDescent="0.3">
      <c r="A30" s="27"/>
      <c r="B30" s="29" t="s">
        <v>329</v>
      </c>
      <c r="C30" s="90"/>
      <c r="D30" s="982"/>
      <c r="E30" s="364"/>
      <c r="F30" s="364"/>
      <c r="G30" s="364"/>
      <c r="H30" s="364"/>
      <c r="I30" s="364"/>
      <c r="J30" s="364"/>
      <c r="K30" s="364"/>
      <c r="L30" s="72"/>
      <c r="M30" s="364"/>
      <c r="N30" s="72"/>
      <c r="O30" s="364"/>
      <c r="P30" s="72"/>
      <c r="Q30" s="364"/>
      <c r="R30" s="72"/>
      <c r="S30" s="364"/>
      <c r="T30" s="72"/>
    </row>
    <row r="31" spans="1:20" ht="41.4" x14ac:dyDescent="0.3">
      <c r="A31" s="89"/>
      <c r="B31" s="115" t="s">
        <v>330</v>
      </c>
      <c r="C31" s="123" t="s">
        <v>331</v>
      </c>
      <c r="D31" s="119" t="s">
        <v>122</v>
      </c>
      <c r="E31" s="182"/>
      <c r="F31" s="148" t="s">
        <v>332</v>
      </c>
      <c r="G31" s="182"/>
      <c r="H31" s="116" t="s">
        <v>148</v>
      </c>
      <c r="I31" s="175"/>
      <c r="J31" s="116" t="s">
        <v>334</v>
      </c>
      <c r="K31" s="131"/>
      <c r="L31" s="148" t="s">
        <v>335</v>
      </c>
      <c r="M31" s="120"/>
      <c r="N31" s="120" t="s">
        <v>336</v>
      </c>
      <c r="O31" s="210"/>
      <c r="P31" s="148" t="s">
        <v>337</v>
      </c>
      <c r="Q31" s="82"/>
      <c r="R31" s="84"/>
      <c r="S31" s="82"/>
      <c r="T31" s="84"/>
    </row>
    <row r="32" spans="1:20" ht="15" thickBot="1" x14ac:dyDescent="0.35">
      <c r="A32" s="89"/>
      <c r="B32" s="178" t="s">
        <v>341</v>
      </c>
      <c r="C32" s="176" t="s">
        <v>342</v>
      </c>
      <c r="D32" s="371"/>
      <c r="E32" s="183"/>
      <c r="F32" s="372"/>
      <c r="G32" s="370"/>
      <c r="H32" s="179" t="s">
        <v>343</v>
      </c>
      <c r="I32" s="177"/>
      <c r="J32" s="179" t="s">
        <v>345</v>
      </c>
      <c r="K32" s="211"/>
      <c r="L32" s="179" t="s">
        <v>346</v>
      </c>
      <c r="M32" s="208"/>
      <c r="N32" s="176" t="s">
        <v>347</v>
      </c>
      <c r="O32" s="211"/>
      <c r="P32" s="179" t="s">
        <v>348</v>
      </c>
      <c r="Q32" s="93"/>
      <c r="R32" s="89"/>
      <c r="S32" s="93"/>
      <c r="T32" s="89"/>
    </row>
    <row r="33" spans="1:22" ht="15" thickTop="1" x14ac:dyDescent="0.3">
      <c r="A33" s="89"/>
      <c r="B33" s="180" t="s">
        <v>1759</v>
      </c>
      <c r="C33" s="156" t="s">
        <v>1760</v>
      </c>
      <c r="D33" s="186" t="s">
        <v>137</v>
      </c>
      <c r="E33" s="184"/>
      <c r="F33" s="162" t="s">
        <v>1761</v>
      </c>
      <c r="G33" s="160" t="s">
        <v>300</v>
      </c>
      <c r="H33" s="162" t="s">
        <v>365</v>
      </c>
      <c r="I33" s="174" t="s">
        <v>300</v>
      </c>
      <c r="J33" s="162" t="s">
        <v>1762</v>
      </c>
      <c r="K33" s="160" t="s">
        <v>300</v>
      </c>
      <c r="L33" s="212">
        <v>55</v>
      </c>
      <c r="M33" s="174" t="s">
        <v>300</v>
      </c>
      <c r="N33" s="157">
        <v>95</v>
      </c>
      <c r="O33" s="160" t="s">
        <v>300</v>
      </c>
      <c r="P33" s="212" t="s">
        <v>377</v>
      </c>
      <c r="Q33" s="364"/>
      <c r="R33" s="364"/>
      <c r="S33" s="364"/>
      <c r="T33" s="364"/>
      <c r="U33" s="982"/>
      <c r="V33" s="982"/>
    </row>
    <row r="34" spans="1:22" x14ac:dyDescent="0.3">
      <c r="A34" s="89"/>
      <c r="B34" s="84"/>
      <c r="C34" s="82"/>
      <c r="D34" s="30"/>
      <c r="E34" s="364"/>
      <c r="F34" s="364"/>
      <c r="G34" s="364"/>
      <c r="H34" s="364"/>
      <c r="I34" s="364"/>
      <c r="J34" s="364"/>
      <c r="K34" s="91"/>
      <c r="L34" s="89"/>
      <c r="M34" s="364"/>
      <c r="N34" s="364"/>
      <c r="O34" s="364"/>
      <c r="P34" s="364"/>
      <c r="Q34" s="364"/>
      <c r="R34" s="364"/>
      <c r="S34" s="364"/>
      <c r="T34" s="364"/>
      <c r="U34" s="982"/>
      <c r="V34" s="982"/>
    </row>
    <row r="35" spans="1:22" x14ac:dyDescent="0.3">
      <c r="A35" s="89"/>
      <c r="B35" s="84"/>
      <c r="C35" s="91"/>
      <c r="D35" s="89"/>
      <c r="E35" s="91"/>
      <c r="F35" s="89"/>
      <c r="G35" s="91"/>
      <c r="H35" s="89"/>
      <c r="I35" s="91"/>
      <c r="J35" s="89"/>
      <c r="K35" s="91"/>
      <c r="L35" s="89"/>
      <c r="M35" s="364"/>
      <c r="N35" s="364"/>
      <c r="O35" s="364"/>
      <c r="P35" s="364"/>
      <c r="Q35" s="364"/>
      <c r="R35" s="364"/>
      <c r="S35" s="364"/>
      <c r="T35" s="364"/>
      <c r="U35" s="982"/>
      <c r="V35" s="982"/>
    </row>
    <row r="36" spans="1:22" ht="41.4" x14ac:dyDescent="0.3">
      <c r="A36" s="89"/>
      <c r="B36" s="115" t="s">
        <v>331</v>
      </c>
      <c r="C36" s="123" t="s">
        <v>382</v>
      </c>
      <c r="D36" s="119" t="s">
        <v>122</v>
      </c>
      <c r="E36" s="182"/>
      <c r="F36" s="117" t="s">
        <v>148</v>
      </c>
      <c r="G36" s="175"/>
      <c r="H36" s="173" t="s">
        <v>383</v>
      </c>
      <c r="I36" s="194"/>
      <c r="J36" s="173" t="s">
        <v>384</v>
      </c>
      <c r="K36" s="194"/>
      <c r="L36" s="117" t="s">
        <v>385</v>
      </c>
      <c r="M36" s="187"/>
      <c r="N36" s="117" t="s">
        <v>386</v>
      </c>
      <c r="O36" s="427"/>
      <c r="P36" s="117" t="s">
        <v>387</v>
      </c>
      <c r="Q36" s="426"/>
      <c r="R36" s="117" t="s">
        <v>388</v>
      </c>
      <c r="S36" s="364"/>
      <c r="T36" s="364"/>
      <c r="U36" s="364"/>
      <c r="V36" s="364"/>
    </row>
    <row r="37" spans="1:22" ht="15" thickBot="1" x14ac:dyDescent="0.35">
      <c r="A37" s="89"/>
      <c r="B37" s="178" t="s">
        <v>389</v>
      </c>
      <c r="C37" s="176" t="s">
        <v>390</v>
      </c>
      <c r="D37" s="371"/>
      <c r="E37" s="183"/>
      <c r="F37" s="179" t="s">
        <v>391</v>
      </c>
      <c r="G37" s="177"/>
      <c r="H37" s="176" t="s">
        <v>392</v>
      </c>
      <c r="I37" s="183"/>
      <c r="J37" s="176" t="s">
        <v>393</v>
      </c>
      <c r="K37" s="183"/>
      <c r="L37" s="179" t="s">
        <v>394</v>
      </c>
      <c r="M37" s="189"/>
      <c r="N37" s="176" t="s">
        <v>395</v>
      </c>
      <c r="O37" s="178"/>
      <c r="P37" s="179" t="s">
        <v>396</v>
      </c>
      <c r="Q37" s="176"/>
      <c r="R37" s="179" t="s">
        <v>397</v>
      </c>
      <c r="S37" s="364"/>
      <c r="T37" s="364"/>
      <c r="U37" s="364"/>
      <c r="V37" s="364"/>
    </row>
    <row r="38" spans="1:22" ht="15" customHeight="1" thickTop="1" x14ac:dyDescent="0.3">
      <c r="A38" s="89"/>
      <c r="B38" s="180" t="s">
        <v>1760</v>
      </c>
      <c r="C38" s="156" t="s">
        <v>1763</v>
      </c>
      <c r="D38" s="186" t="s">
        <v>137</v>
      </c>
      <c r="E38" s="160" t="s">
        <v>300</v>
      </c>
      <c r="F38" s="193" t="s">
        <v>399</v>
      </c>
      <c r="G38" s="174" t="s">
        <v>300</v>
      </c>
      <c r="H38" s="191">
        <v>11</v>
      </c>
      <c r="I38" s="160" t="s">
        <v>300</v>
      </c>
      <c r="J38" s="156">
        <v>12.7</v>
      </c>
      <c r="K38" s="405" t="s">
        <v>173</v>
      </c>
      <c r="L38" s="406" t="s">
        <v>173</v>
      </c>
      <c r="M38" s="174" t="s">
        <v>300</v>
      </c>
      <c r="N38" s="156" t="s">
        <v>400</v>
      </c>
      <c r="O38" s="160" t="s">
        <v>300</v>
      </c>
      <c r="P38" s="162" t="s">
        <v>401</v>
      </c>
      <c r="Q38" s="174" t="s">
        <v>300</v>
      </c>
      <c r="R38" s="162" t="s">
        <v>402</v>
      </c>
      <c r="S38" s="364"/>
      <c r="T38" s="364"/>
      <c r="U38" s="364"/>
      <c r="V38" s="364"/>
    </row>
    <row r="39" spans="1:22" x14ac:dyDescent="0.3">
      <c r="A39" s="89"/>
      <c r="B39" s="84"/>
      <c r="C39" s="82"/>
      <c r="D39" s="89"/>
      <c r="E39" s="91"/>
      <c r="F39" s="89"/>
      <c r="G39" s="91"/>
      <c r="H39" s="89"/>
      <c r="I39" s="91"/>
      <c r="J39" s="89"/>
      <c r="K39" s="30"/>
      <c r="L39" s="364"/>
      <c r="M39" s="364"/>
      <c r="N39" s="364"/>
      <c r="O39" s="364"/>
      <c r="P39" s="364"/>
      <c r="Q39" s="364"/>
      <c r="R39" s="364"/>
      <c r="S39" s="364"/>
      <c r="T39" s="364"/>
      <c r="U39" s="982"/>
      <c r="V39" s="982"/>
    </row>
    <row r="41" spans="1:22" ht="27.6" x14ac:dyDescent="0.3">
      <c r="A41" s="89"/>
      <c r="B41" s="115" t="s">
        <v>331</v>
      </c>
      <c r="C41" s="123" t="s">
        <v>413</v>
      </c>
      <c r="D41" s="119" t="s">
        <v>122</v>
      </c>
      <c r="E41" s="182"/>
      <c r="F41" s="117" t="s">
        <v>414</v>
      </c>
      <c r="G41" s="175"/>
      <c r="H41" s="173" t="s">
        <v>1564</v>
      </c>
      <c r="I41" s="194"/>
      <c r="J41" s="117" t="s">
        <v>385</v>
      </c>
      <c r="K41" s="196"/>
      <c r="L41" s="117" t="s">
        <v>416</v>
      </c>
      <c r="M41" s="364"/>
      <c r="N41" s="364"/>
      <c r="O41" s="364"/>
      <c r="P41" s="364"/>
      <c r="Q41" s="364"/>
      <c r="R41" s="364"/>
      <c r="S41" s="364"/>
      <c r="T41" s="364"/>
      <c r="U41" s="982"/>
      <c r="V41" s="982"/>
    </row>
    <row r="42" spans="1:22" ht="15" thickBot="1" x14ac:dyDescent="0.35">
      <c r="A42" s="89"/>
      <c r="B42" s="178" t="s">
        <v>417</v>
      </c>
      <c r="C42" s="176" t="s">
        <v>418</v>
      </c>
      <c r="D42" s="176"/>
      <c r="E42" s="183"/>
      <c r="F42" s="179" t="s">
        <v>419</v>
      </c>
      <c r="G42" s="177"/>
      <c r="H42" s="176" t="s">
        <v>420</v>
      </c>
      <c r="I42" s="183"/>
      <c r="J42" s="179"/>
      <c r="K42" s="124"/>
      <c r="L42" s="179" t="s">
        <v>421</v>
      </c>
      <c r="M42" s="364"/>
      <c r="N42" s="364"/>
      <c r="O42" s="364"/>
      <c r="P42" s="364"/>
      <c r="Q42" s="364"/>
      <c r="R42" s="364"/>
      <c r="S42" s="364"/>
      <c r="T42" s="364"/>
      <c r="U42" s="982"/>
      <c r="V42" s="982"/>
    </row>
    <row r="43" spans="1:22" ht="15" customHeight="1" thickTop="1" x14ac:dyDescent="0.3">
      <c r="A43" s="89"/>
      <c r="B43" s="180" t="s">
        <v>1760</v>
      </c>
      <c r="C43" s="156" t="s">
        <v>1764</v>
      </c>
      <c r="D43" s="353" t="s">
        <v>137</v>
      </c>
      <c r="E43" s="160" t="s">
        <v>300</v>
      </c>
      <c r="F43" s="198" t="s">
        <v>430</v>
      </c>
      <c r="G43" s="174"/>
      <c r="H43" s="922">
        <f>0.0051427*(81)+0.3989</f>
        <v>0.81545869999999998</v>
      </c>
      <c r="I43" s="405" t="s">
        <v>173</v>
      </c>
      <c r="J43" s="406" t="s">
        <v>173</v>
      </c>
      <c r="K43" s="174" t="s">
        <v>300</v>
      </c>
      <c r="L43" s="162" t="s">
        <v>431</v>
      </c>
      <c r="M43" s="364"/>
      <c r="N43" s="364"/>
      <c r="O43" s="364"/>
      <c r="P43" s="364"/>
      <c r="Q43" s="364"/>
      <c r="R43" s="364"/>
      <c r="S43" s="364"/>
      <c r="T43" s="364"/>
      <c r="U43" s="982"/>
      <c r="V43" s="982"/>
    </row>
    <row r="44" spans="1:22" x14ac:dyDescent="0.3">
      <c r="A44" s="89"/>
      <c r="B44" s="380"/>
      <c r="C44" s="380"/>
      <c r="D44" s="982"/>
      <c r="E44" s="357"/>
      <c r="F44" s="982"/>
      <c r="G44" s="357"/>
      <c r="H44" s="982"/>
      <c r="I44" s="357"/>
      <c r="J44" s="982"/>
      <c r="K44" s="357"/>
      <c r="L44" s="982"/>
      <c r="M44" s="364"/>
      <c r="N44" s="364"/>
      <c r="O44" s="364"/>
      <c r="P44" s="364"/>
      <c r="Q44" s="364"/>
      <c r="R44" s="364"/>
      <c r="S44" s="364"/>
      <c r="T44" s="364"/>
      <c r="U44" s="982"/>
      <c r="V44" s="982"/>
    </row>
    <row r="45" spans="1:22" x14ac:dyDescent="0.3">
      <c r="A45" s="89"/>
      <c r="B45" s="90"/>
      <c r="C45" s="93"/>
      <c r="D45" s="89"/>
      <c r="E45" s="91"/>
      <c r="F45" s="89"/>
      <c r="G45" s="91"/>
      <c r="H45" s="89"/>
      <c r="I45" s="91"/>
      <c r="J45" s="89"/>
      <c r="K45" s="91"/>
      <c r="L45" s="89"/>
      <c r="M45" s="91"/>
      <c r="N45" s="89"/>
      <c r="O45" s="91"/>
      <c r="P45" s="89"/>
      <c r="Q45" s="91"/>
      <c r="R45" s="89"/>
      <c r="S45" s="91"/>
      <c r="T45" s="89"/>
      <c r="U45" s="982"/>
      <c r="V45" s="982"/>
    </row>
    <row r="46" spans="1:22" ht="27.6" x14ac:dyDescent="0.3">
      <c r="A46" s="89"/>
      <c r="B46" s="115" t="s">
        <v>331</v>
      </c>
      <c r="C46" s="123" t="s">
        <v>432</v>
      </c>
      <c r="D46" s="119" t="s">
        <v>122</v>
      </c>
      <c r="E46" s="182"/>
      <c r="F46" s="117" t="s">
        <v>433</v>
      </c>
      <c r="G46" s="120"/>
      <c r="H46" s="173" t="s">
        <v>434</v>
      </c>
      <c r="I46" s="131"/>
      <c r="J46" s="117" t="s">
        <v>435</v>
      </c>
      <c r="K46" s="131"/>
      <c r="L46" s="117" t="s">
        <v>436</v>
      </c>
      <c r="M46" s="173"/>
      <c r="N46" s="120" t="s">
        <v>437</v>
      </c>
      <c r="O46" s="194"/>
      <c r="P46" s="117" t="s">
        <v>438</v>
      </c>
      <c r="Q46" s="173"/>
      <c r="R46" s="173" t="s">
        <v>439</v>
      </c>
      <c r="S46" s="194"/>
      <c r="T46" s="117" t="s">
        <v>440</v>
      </c>
      <c r="U46" s="91"/>
      <c r="V46" s="364"/>
    </row>
    <row r="47" spans="1:22" ht="15" thickBot="1" x14ac:dyDescent="0.35">
      <c r="A47" s="89"/>
      <c r="B47" s="178" t="s">
        <v>417</v>
      </c>
      <c r="C47" s="176" t="s">
        <v>442</v>
      </c>
      <c r="D47" s="176"/>
      <c r="E47" s="183"/>
      <c r="F47" s="179" t="s">
        <v>443</v>
      </c>
      <c r="G47" s="177"/>
      <c r="H47" s="176" t="s">
        <v>444</v>
      </c>
      <c r="I47" s="183"/>
      <c r="J47" s="179"/>
      <c r="K47" s="183"/>
      <c r="L47" s="179" t="s">
        <v>445</v>
      </c>
      <c r="M47" s="177"/>
      <c r="N47" s="176" t="s">
        <v>446</v>
      </c>
      <c r="O47" s="183"/>
      <c r="P47" s="179" t="s">
        <v>447</v>
      </c>
      <c r="Q47" s="177"/>
      <c r="R47" s="176" t="s">
        <v>448</v>
      </c>
      <c r="S47" s="183"/>
      <c r="T47" s="179" t="s">
        <v>449</v>
      </c>
      <c r="U47" s="91"/>
      <c r="V47" s="364"/>
    </row>
    <row r="48" spans="1:22" ht="15" customHeight="1" thickTop="1" x14ac:dyDescent="0.3">
      <c r="A48" s="89"/>
      <c r="B48" s="180" t="s">
        <v>1760</v>
      </c>
      <c r="C48" s="156" t="s">
        <v>1765</v>
      </c>
      <c r="D48" s="156" t="s">
        <v>137</v>
      </c>
      <c r="E48" s="160" t="s">
        <v>300</v>
      </c>
      <c r="F48" s="162" t="s">
        <v>1378</v>
      </c>
      <c r="G48" s="174" t="s">
        <v>300</v>
      </c>
      <c r="H48" s="156" t="s">
        <v>452</v>
      </c>
      <c r="I48" s="405" t="s">
        <v>173</v>
      </c>
      <c r="J48" s="406" t="s">
        <v>173</v>
      </c>
      <c r="K48" s="160" t="s">
        <v>300</v>
      </c>
      <c r="L48" s="204">
        <v>3.2</v>
      </c>
      <c r="M48" s="419" t="s">
        <v>173</v>
      </c>
      <c r="N48" s="419" t="s">
        <v>173</v>
      </c>
      <c r="O48" s="405" t="s">
        <v>173</v>
      </c>
      <c r="P48" s="406" t="s">
        <v>173</v>
      </c>
      <c r="Q48" s="206" t="s">
        <v>1262</v>
      </c>
      <c r="R48" s="200">
        <v>3</v>
      </c>
      <c r="S48" s="207" t="s">
        <v>1262</v>
      </c>
      <c r="T48" s="201">
        <v>0.89500000000000002</v>
      </c>
      <c r="U48" s="91"/>
      <c r="V48" s="364"/>
    </row>
    <row r="49" spans="1:20" x14ac:dyDescent="0.3">
      <c r="A49" s="89"/>
      <c r="B49" s="89"/>
      <c r="C49" s="380"/>
      <c r="D49" s="89"/>
      <c r="E49" s="89"/>
      <c r="F49" s="89"/>
      <c r="G49" s="89"/>
      <c r="H49" s="89"/>
      <c r="I49" s="89"/>
      <c r="J49" s="89"/>
      <c r="K49" s="89"/>
      <c r="L49" s="89"/>
      <c r="M49" s="89"/>
      <c r="N49" s="89"/>
      <c r="O49" s="89"/>
      <c r="P49" s="89"/>
      <c r="Q49" s="89"/>
      <c r="R49" s="89"/>
      <c r="S49" s="89"/>
      <c r="T49" s="364"/>
    </row>
    <row r="50" spans="1:20" x14ac:dyDescent="0.3">
      <c r="A50" s="982"/>
      <c r="B50" s="982"/>
      <c r="C50" s="982"/>
      <c r="D50" s="982"/>
      <c r="E50" s="357"/>
      <c r="F50" s="982"/>
      <c r="G50" s="357"/>
      <c r="H50" s="982"/>
      <c r="I50" s="357"/>
      <c r="J50" s="982"/>
      <c r="K50" s="982"/>
      <c r="L50" s="982"/>
      <c r="M50" s="357"/>
      <c r="N50" s="982"/>
      <c r="O50" s="127"/>
      <c r="P50" s="118"/>
      <c r="Q50" s="89"/>
      <c r="R50" s="89"/>
      <c r="S50" s="89"/>
      <c r="T50" s="89"/>
    </row>
    <row r="51" spans="1:20" x14ac:dyDescent="0.3">
      <c r="A51" s="982"/>
      <c r="B51" s="115" t="s">
        <v>331</v>
      </c>
      <c r="C51" s="120" t="s">
        <v>1735</v>
      </c>
      <c r="D51" s="119" t="s">
        <v>122</v>
      </c>
      <c r="E51" s="210"/>
      <c r="F51" s="148" t="s">
        <v>508</v>
      </c>
      <c r="G51" s="131"/>
      <c r="H51" s="148" t="s">
        <v>509</v>
      </c>
      <c r="I51" s="357"/>
      <c r="J51" s="982"/>
      <c r="K51" s="982"/>
      <c r="L51" s="982"/>
      <c r="M51" s="357"/>
      <c r="N51" s="982"/>
      <c r="O51" s="127"/>
      <c r="P51" s="118"/>
      <c r="Q51" s="89"/>
      <c r="R51" s="89"/>
      <c r="S51" s="89"/>
      <c r="T51" s="89"/>
    </row>
    <row r="52" spans="1:20" ht="15" thickBot="1" x14ac:dyDescent="0.35">
      <c r="A52" s="982"/>
      <c r="B52" s="178" t="s">
        <v>417</v>
      </c>
      <c r="C52" s="176"/>
      <c r="D52" s="179"/>
      <c r="E52" s="208"/>
      <c r="F52" s="179" t="s">
        <v>510</v>
      </c>
      <c r="G52" s="211"/>
      <c r="H52" s="179" t="s">
        <v>511</v>
      </c>
      <c r="I52" s="357"/>
      <c r="J52" s="982"/>
      <c r="K52" s="982"/>
      <c r="L52" s="982"/>
      <c r="M52" s="357"/>
      <c r="N52" s="982"/>
      <c r="O52" s="127"/>
      <c r="P52" s="118"/>
      <c r="Q52" s="89"/>
      <c r="R52" s="89"/>
      <c r="S52" s="89"/>
      <c r="T52" s="89"/>
    </row>
    <row r="53" spans="1:20" ht="15" thickTop="1" x14ac:dyDescent="0.3">
      <c r="A53" s="982"/>
      <c r="B53" s="180" t="s">
        <v>1760</v>
      </c>
      <c r="C53" s="256" t="s">
        <v>1766</v>
      </c>
      <c r="D53" s="255" t="s">
        <v>137</v>
      </c>
      <c r="E53" s="174" t="s">
        <v>300</v>
      </c>
      <c r="F53" s="162" t="s">
        <v>519</v>
      </c>
      <c r="G53" s="419" t="s">
        <v>173</v>
      </c>
      <c r="H53" s="453" t="s">
        <v>173</v>
      </c>
      <c r="I53" s="357"/>
      <c r="J53" s="982"/>
      <c r="K53" s="982"/>
      <c r="L53" s="982"/>
      <c r="M53" s="357"/>
      <c r="N53" s="982"/>
      <c r="O53" s="127"/>
      <c r="P53" s="118"/>
      <c r="Q53" s="89"/>
      <c r="R53" s="89"/>
      <c r="S53" s="89"/>
      <c r="T53" s="89"/>
    </row>
    <row r="54" spans="1:20" x14ac:dyDescent="0.3">
      <c r="A54" s="982"/>
      <c r="B54" s="92"/>
      <c r="D54" s="92"/>
      <c r="E54" s="92"/>
      <c r="F54" s="92"/>
      <c r="G54" s="92"/>
      <c r="H54" s="92"/>
      <c r="I54" s="92"/>
      <c r="J54" s="982"/>
      <c r="K54" s="982"/>
      <c r="L54" s="982"/>
      <c r="M54" s="357"/>
      <c r="N54" s="982"/>
      <c r="O54" s="127"/>
      <c r="P54" s="118"/>
      <c r="Q54" s="89"/>
      <c r="R54" s="89"/>
      <c r="S54" s="89"/>
      <c r="T54" s="89"/>
    </row>
    <row r="55" spans="1:20" x14ac:dyDescent="0.3">
      <c r="A55" s="89"/>
      <c r="B55" s="92"/>
      <c r="C55" s="90"/>
      <c r="D55" s="982"/>
      <c r="E55" s="89"/>
      <c r="F55" s="89"/>
      <c r="G55" s="89"/>
      <c r="H55" s="89"/>
      <c r="I55" s="89"/>
      <c r="J55" s="89"/>
      <c r="K55" s="89"/>
      <c r="L55" s="89"/>
      <c r="M55" s="89"/>
      <c r="N55" s="89"/>
      <c r="O55" s="89"/>
      <c r="P55" s="89"/>
      <c r="Q55" s="89"/>
      <c r="R55" s="89"/>
      <c r="S55" s="89"/>
      <c r="T55" s="89"/>
    </row>
    <row r="56" spans="1:20" x14ac:dyDescent="0.3">
      <c r="A56" s="89"/>
      <c r="B56" s="115" t="s">
        <v>522</v>
      </c>
      <c r="C56" s="120" t="s">
        <v>523</v>
      </c>
      <c r="D56" s="368"/>
      <c r="E56" s="210"/>
      <c r="F56" s="148" t="s">
        <v>533</v>
      </c>
      <c r="G56" s="131"/>
      <c r="H56" s="148" t="s">
        <v>534</v>
      </c>
      <c r="I56" s="982"/>
      <c r="J56" s="982"/>
      <c r="K56" s="982"/>
      <c r="L56" s="982"/>
      <c r="M56" s="89"/>
      <c r="N56" s="89"/>
      <c r="O56" s="982"/>
      <c r="P56" s="982"/>
      <c r="Q56" s="982"/>
      <c r="R56" s="982"/>
      <c r="S56" s="982"/>
      <c r="T56" s="982"/>
    </row>
    <row r="57" spans="1:20" ht="15" thickBot="1" x14ac:dyDescent="0.35">
      <c r="A57" s="89"/>
      <c r="B57" s="178" t="s">
        <v>535</v>
      </c>
      <c r="C57" s="176" t="s">
        <v>536</v>
      </c>
      <c r="D57" s="371"/>
      <c r="E57" s="211"/>
      <c r="F57" s="179" t="s">
        <v>543</v>
      </c>
      <c r="G57" s="211"/>
      <c r="H57" s="179" t="s">
        <v>544</v>
      </c>
      <c r="I57" s="982"/>
      <c r="J57" s="982"/>
      <c r="K57" s="982"/>
      <c r="L57" s="982"/>
      <c r="M57" s="89"/>
      <c r="N57" s="89"/>
      <c r="O57" s="982"/>
      <c r="P57" s="982"/>
      <c r="Q57" s="982"/>
      <c r="R57" s="982"/>
      <c r="S57" s="982"/>
      <c r="T57" s="982"/>
    </row>
    <row r="58" spans="1:20" ht="15" thickTop="1" x14ac:dyDescent="0.3">
      <c r="A58" s="89"/>
      <c r="B58" s="130" t="s">
        <v>1285</v>
      </c>
      <c r="C58" s="92" t="s">
        <v>1200</v>
      </c>
      <c r="D58" s="364"/>
      <c r="E58" s="403" t="s">
        <v>173</v>
      </c>
      <c r="F58" s="404" t="s">
        <v>173</v>
      </c>
      <c r="G58" s="403" t="s">
        <v>173</v>
      </c>
      <c r="H58" s="404" t="s">
        <v>173</v>
      </c>
      <c r="I58" s="982"/>
      <c r="J58" s="982"/>
      <c r="K58" s="982"/>
      <c r="L58" s="982"/>
      <c r="M58" s="89"/>
      <c r="N58" s="89"/>
      <c r="O58" s="982"/>
      <c r="P58" s="982"/>
      <c r="Q58" s="982"/>
      <c r="R58" s="982"/>
      <c r="S58" s="982"/>
      <c r="T58" s="982"/>
    </row>
    <row r="59" spans="1:20" x14ac:dyDescent="0.3">
      <c r="A59" s="89"/>
      <c r="B59" s="130" t="s">
        <v>1286</v>
      </c>
      <c r="C59" s="92" t="s">
        <v>546</v>
      </c>
      <c r="D59" s="364"/>
      <c r="E59" s="142" t="s">
        <v>300</v>
      </c>
      <c r="F59" s="152" t="s">
        <v>1072</v>
      </c>
      <c r="G59" s="142" t="s">
        <v>300</v>
      </c>
      <c r="H59" s="152" t="s">
        <v>1073</v>
      </c>
      <c r="I59" s="982"/>
      <c r="J59" s="982"/>
      <c r="K59" s="982"/>
      <c r="L59" s="982"/>
      <c r="M59" s="89"/>
      <c r="N59" s="89"/>
      <c r="O59" s="982"/>
      <c r="P59" s="982"/>
      <c r="Q59" s="982"/>
      <c r="R59" s="982"/>
      <c r="S59" s="982"/>
      <c r="T59" s="982"/>
    </row>
    <row r="60" spans="1:20" x14ac:dyDescent="0.3">
      <c r="A60" s="89"/>
      <c r="B60" s="180" t="s">
        <v>1287</v>
      </c>
      <c r="C60" s="156" t="s">
        <v>546</v>
      </c>
      <c r="D60" s="157"/>
      <c r="E60" s="160" t="s">
        <v>300</v>
      </c>
      <c r="F60" s="162" t="s">
        <v>1072</v>
      </c>
      <c r="G60" s="160" t="s">
        <v>300</v>
      </c>
      <c r="H60" s="162" t="s">
        <v>1073</v>
      </c>
      <c r="I60" s="982"/>
      <c r="J60" s="982"/>
      <c r="K60" s="982"/>
      <c r="L60" s="982"/>
      <c r="M60" s="89"/>
      <c r="N60" s="89"/>
      <c r="O60" s="982"/>
      <c r="P60" s="982"/>
      <c r="Q60" s="982"/>
      <c r="R60" s="982"/>
      <c r="S60" s="982"/>
      <c r="T60" s="982"/>
    </row>
    <row r="61" spans="1:20" x14ac:dyDescent="0.3">
      <c r="A61" s="982"/>
      <c r="B61" s="982"/>
      <c r="C61" s="982"/>
      <c r="D61" s="982"/>
      <c r="E61" s="982"/>
      <c r="F61" s="982"/>
      <c r="G61" s="982"/>
      <c r="H61" s="982"/>
      <c r="I61" s="357"/>
      <c r="J61" s="982"/>
      <c r="K61" s="982"/>
      <c r="L61" s="982"/>
      <c r="M61" s="357"/>
      <c r="N61" s="982"/>
      <c r="O61" s="127"/>
      <c r="P61" s="118"/>
      <c r="Q61" s="89"/>
      <c r="R61" s="89"/>
      <c r="S61" s="89"/>
      <c r="T61" s="89"/>
    </row>
    <row r="62" spans="1:20" s="93" customFormat="1" ht="13.8" x14ac:dyDescent="0.3">
      <c r="A62" s="89"/>
      <c r="B62" s="92"/>
      <c r="C62" s="90"/>
      <c r="E62" s="357"/>
      <c r="G62" s="25"/>
      <c r="I62" s="96"/>
      <c r="K62" s="96"/>
      <c r="M62" s="96"/>
      <c r="O62" s="96"/>
      <c r="Q62" s="96"/>
      <c r="S62" s="96"/>
    </row>
    <row r="63" spans="1:20" s="93" customFormat="1" ht="13.8" x14ac:dyDescent="0.3">
      <c r="A63" s="286"/>
      <c r="B63" s="286" t="s">
        <v>243</v>
      </c>
      <c r="C63" s="287"/>
      <c r="D63" s="285"/>
      <c r="E63" s="287"/>
      <c r="F63" s="285"/>
      <c r="G63" s="288"/>
      <c r="H63" s="285"/>
      <c r="I63" s="287"/>
      <c r="J63" s="285"/>
      <c r="K63" s="287"/>
      <c r="L63" s="285"/>
      <c r="M63" s="285"/>
      <c r="N63" s="285"/>
      <c r="O63" s="287"/>
      <c r="P63" s="285"/>
      <c r="Q63" s="287"/>
      <c r="R63" s="287"/>
      <c r="S63" s="287"/>
      <c r="T63" s="287"/>
    </row>
    <row r="64" spans="1:20" s="93" customFormat="1" ht="13.8" x14ac:dyDescent="0.3">
      <c r="A64" s="23"/>
      <c r="B64" s="23" t="s">
        <v>145</v>
      </c>
      <c r="C64" s="96"/>
      <c r="E64" s="91"/>
      <c r="F64" s="364"/>
      <c r="G64" s="91"/>
      <c r="H64" s="364"/>
      <c r="I64" s="91"/>
      <c r="J64" s="364"/>
      <c r="K64" s="91"/>
      <c r="L64" s="364"/>
      <c r="M64" s="91"/>
      <c r="N64" s="364"/>
      <c r="O64" s="91"/>
      <c r="P64" s="364"/>
      <c r="Q64" s="91"/>
      <c r="R64" s="69"/>
      <c r="S64" s="91"/>
      <c r="T64" s="69"/>
    </row>
    <row r="65" spans="1:20" x14ac:dyDescent="0.3">
      <c r="A65" s="89"/>
      <c r="B65" s="90" t="s">
        <v>184</v>
      </c>
      <c r="D65" s="364"/>
      <c r="F65" s="366"/>
      <c r="I65" s="364"/>
      <c r="K65" s="364"/>
      <c r="M65" s="364"/>
      <c r="O65" s="364"/>
      <c r="Q65" s="364"/>
      <c r="S65" s="364"/>
    </row>
    <row r="66" spans="1:20" ht="27.6" x14ac:dyDescent="0.3">
      <c r="A66" s="89"/>
      <c r="B66" s="219" t="s">
        <v>148</v>
      </c>
      <c r="C66" s="123" t="s">
        <v>149</v>
      </c>
      <c r="D66" s="119" t="s">
        <v>122</v>
      </c>
      <c r="E66" s="195"/>
      <c r="F66" s="116" t="s">
        <v>150</v>
      </c>
      <c r="G66" s="188"/>
      <c r="H66" s="123" t="s">
        <v>151</v>
      </c>
      <c r="I66" s="195"/>
      <c r="J66" s="116" t="s">
        <v>185</v>
      </c>
      <c r="K66" s="188"/>
      <c r="L66" s="116" t="s">
        <v>186</v>
      </c>
      <c r="M66" s="36"/>
      <c r="N66" s="84"/>
      <c r="O66" s="36"/>
      <c r="P66" s="84"/>
      <c r="Q66" s="36"/>
      <c r="R66" s="84"/>
      <c r="S66" s="36"/>
      <c r="T66" s="84"/>
    </row>
    <row r="67" spans="1:20" ht="15" thickBot="1" x14ac:dyDescent="0.35">
      <c r="A67" s="89"/>
      <c r="B67" s="132"/>
      <c r="C67" s="124" t="s">
        <v>188</v>
      </c>
      <c r="D67" s="125"/>
      <c r="E67" s="139"/>
      <c r="F67" s="149" t="s">
        <v>189</v>
      </c>
      <c r="G67" s="126"/>
      <c r="H67" s="124" t="s">
        <v>190</v>
      </c>
      <c r="I67" s="145"/>
      <c r="J67" s="149" t="s">
        <v>191</v>
      </c>
      <c r="K67" s="125"/>
      <c r="L67" s="149" t="s">
        <v>192</v>
      </c>
      <c r="M67" s="83"/>
      <c r="N67" s="30"/>
      <c r="O67" s="83"/>
      <c r="P67" s="30"/>
      <c r="Q67" s="30"/>
      <c r="R67" s="30"/>
      <c r="S67" s="30"/>
      <c r="T67" s="30"/>
    </row>
    <row r="68" spans="1:20" ht="15" thickTop="1" x14ac:dyDescent="0.3">
      <c r="A68" s="89"/>
      <c r="B68" s="155" t="s">
        <v>187</v>
      </c>
      <c r="C68" s="157" t="s">
        <v>1755</v>
      </c>
      <c r="D68" s="165" t="s">
        <v>137</v>
      </c>
      <c r="E68" s="160" t="s">
        <v>300</v>
      </c>
      <c r="F68" s="172" t="s">
        <v>199</v>
      </c>
      <c r="G68" s="174" t="s">
        <v>300</v>
      </c>
      <c r="H68" s="156">
        <v>0.36</v>
      </c>
      <c r="I68" s="160" t="s">
        <v>300</v>
      </c>
      <c r="J68" s="169">
        <v>0.25</v>
      </c>
      <c r="K68" s="174" t="s">
        <v>300</v>
      </c>
      <c r="L68" s="169">
        <v>0.42</v>
      </c>
      <c r="M68" s="364"/>
      <c r="O68" s="364"/>
      <c r="Q68" s="364"/>
      <c r="S68" s="364"/>
    </row>
    <row r="69" spans="1:20" x14ac:dyDescent="0.3">
      <c r="A69" s="364"/>
      <c r="B69" s="364"/>
      <c r="C69" s="366"/>
      <c r="D69" s="373"/>
      <c r="E69" s="364"/>
      <c r="F69" s="366"/>
      <c r="G69" s="364"/>
      <c r="H69" s="92"/>
      <c r="I69" s="364"/>
      <c r="K69" s="364"/>
      <c r="M69" s="364"/>
      <c r="O69" s="364"/>
      <c r="Q69" s="364"/>
      <c r="S69" s="364"/>
    </row>
    <row r="70" spans="1:20" s="90" customFormat="1" ht="27.6" x14ac:dyDescent="0.3">
      <c r="D70" s="219" t="s">
        <v>148</v>
      </c>
      <c r="E70" s="195"/>
      <c r="F70" s="116" t="s">
        <v>840</v>
      </c>
      <c r="G70" s="188"/>
      <c r="H70" s="123" t="s">
        <v>841</v>
      </c>
      <c r="I70" s="195"/>
      <c r="J70" s="116" t="s">
        <v>842</v>
      </c>
      <c r="K70" s="188"/>
      <c r="L70" s="123" t="s">
        <v>843</v>
      </c>
      <c r="M70" s="195"/>
      <c r="N70" s="116" t="s">
        <v>844</v>
      </c>
      <c r="O70" s="40"/>
      <c r="P70" s="14"/>
      <c r="Q70" s="14"/>
      <c r="R70" s="14"/>
      <c r="S70" s="14"/>
      <c r="T70" s="14"/>
    </row>
    <row r="71" spans="1:20" s="109" customFormat="1" thickBot="1" x14ac:dyDescent="0.35">
      <c r="A71" s="364"/>
      <c r="B71" s="364"/>
      <c r="C71" s="364"/>
      <c r="D71" s="239"/>
      <c r="E71" s="240"/>
      <c r="F71" s="241" t="s">
        <v>850</v>
      </c>
      <c r="G71" s="227"/>
      <c r="H71" s="125" t="s">
        <v>851</v>
      </c>
      <c r="I71" s="240"/>
      <c r="J71" s="108" t="s">
        <v>852</v>
      </c>
      <c r="K71" s="227"/>
      <c r="L71" s="218" t="s">
        <v>853</v>
      </c>
      <c r="M71" s="240"/>
      <c r="N71" s="108" t="s">
        <v>854</v>
      </c>
      <c r="O71" s="69"/>
      <c r="P71" s="69"/>
      <c r="Q71" s="69"/>
      <c r="R71" s="69"/>
      <c r="S71" s="69"/>
      <c r="T71" s="69"/>
    </row>
    <row r="72" spans="1:20" s="113" customFormat="1" thickTop="1" x14ac:dyDescent="0.3">
      <c r="A72" s="373"/>
      <c r="B72" s="373"/>
      <c r="C72" s="91"/>
      <c r="D72" s="236" t="s">
        <v>187</v>
      </c>
      <c r="E72" s="171" t="s">
        <v>300</v>
      </c>
      <c r="F72" s="238">
        <v>0.37159999999999999</v>
      </c>
      <c r="G72" s="170" t="s">
        <v>300</v>
      </c>
      <c r="H72" s="237">
        <v>0</v>
      </c>
      <c r="I72" s="171" t="s">
        <v>300</v>
      </c>
      <c r="J72" s="237">
        <v>0</v>
      </c>
      <c r="K72" s="171" t="s">
        <v>300</v>
      </c>
      <c r="L72" s="237">
        <v>0.46029999999999999</v>
      </c>
      <c r="M72" s="171" t="s">
        <v>300</v>
      </c>
      <c r="N72" s="238">
        <v>0</v>
      </c>
      <c r="O72" s="365"/>
      <c r="P72" s="365"/>
      <c r="Q72" s="365"/>
      <c r="R72" s="365"/>
      <c r="S72" s="365"/>
      <c r="T72" s="365"/>
    </row>
    <row r="73" spans="1:20" x14ac:dyDescent="0.3">
      <c r="A73" s="89"/>
      <c r="B73" s="90"/>
      <c r="D73" s="364"/>
      <c r="F73" s="366"/>
      <c r="I73" s="364"/>
      <c r="K73" s="364"/>
      <c r="M73" s="364"/>
      <c r="O73" s="364"/>
      <c r="Q73" s="364"/>
      <c r="S73" s="364"/>
    </row>
    <row r="74" spans="1:20" s="89" customFormat="1" ht="13.8" x14ac:dyDescent="0.3">
      <c r="A74" s="23"/>
      <c r="B74" s="23" t="s">
        <v>922</v>
      </c>
      <c r="D74" s="93"/>
      <c r="E74" s="91"/>
      <c r="G74" s="93"/>
      <c r="H74" s="91"/>
      <c r="J74" s="93"/>
      <c r="K74" s="91"/>
      <c r="M74" s="93"/>
      <c r="N74" s="91"/>
      <c r="P74" s="93"/>
      <c r="Q74" s="91"/>
      <c r="S74" s="93"/>
      <c r="T74" s="91"/>
    </row>
    <row r="75" spans="1:20" s="89" customFormat="1" ht="13.8" x14ac:dyDescent="0.3">
      <c r="B75" s="84" t="s">
        <v>870</v>
      </c>
      <c r="D75" s="93"/>
      <c r="E75" s="91"/>
      <c r="G75" s="93"/>
      <c r="H75" s="91"/>
      <c r="J75" s="93"/>
      <c r="K75" s="91"/>
      <c r="M75" s="93"/>
      <c r="N75" s="91"/>
      <c r="P75" s="93"/>
      <c r="Q75" s="91"/>
      <c r="S75" s="93"/>
      <c r="T75" s="91"/>
    </row>
    <row r="76" spans="1:20" s="92" customFormat="1" ht="38.25" customHeight="1" x14ac:dyDescent="0.3">
      <c r="B76" s="115" t="s">
        <v>580</v>
      </c>
      <c r="C76" s="123" t="s">
        <v>52</v>
      </c>
      <c r="D76" s="119" t="s">
        <v>122</v>
      </c>
      <c r="E76" s="274"/>
      <c r="F76" s="117" t="s">
        <v>1757</v>
      </c>
      <c r="G76" s="386"/>
      <c r="H76" s="117" t="s">
        <v>1215</v>
      </c>
      <c r="I76" s="187"/>
      <c r="J76" s="173" t="s">
        <v>1216</v>
      </c>
      <c r="K76" s="386"/>
      <c r="L76" s="117" t="s">
        <v>930</v>
      </c>
      <c r="M76" s="187"/>
      <c r="N76" s="117" t="s">
        <v>1206</v>
      </c>
      <c r="O76" s="274"/>
      <c r="P76" s="117" t="s">
        <v>1281</v>
      </c>
      <c r="Q76" s="96"/>
      <c r="R76" s="96"/>
      <c r="S76" s="96"/>
      <c r="T76" s="96"/>
    </row>
    <row r="77" spans="1:20" s="109" customFormat="1" thickBot="1" x14ac:dyDescent="0.35">
      <c r="A77" s="364"/>
      <c r="B77" s="107" t="s">
        <v>942</v>
      </c>
      <c r="C77" s="124"/>
      <c r="D77" s="125"/>
      <c r="E77" s="107"/>
      <c r="F77" s="108" t="s">
        <v>946</v>
      </c>
      <c r="G77" s="107"/>
      <c r="H77" s="108" t="s">
        <v>946</v>
      </c>
      <c r="I77" s="218"/>
      <c r="J77" s="218" t="s">
        <v>946</v>
      </c>
      <c r="K77" s="107"/>
      <c r="L77" s="108" t="s">
        <v>947</v>
      </c>
      <c r="M77" s="218"/>
      <c r="N77" s="244"/>
      <c r="O77" s="107"/>
      <c r="P77" s="108" t="s">
        <v>1282</v>
      </c>
      <c r="Q77" s="96"/>
      <c r="R77" s="96"/>
      <c r="S77" s="96"/>
      <c r="T77" s="96"/>
    </row>
    <row r="78" spans="1:20" s="109" customFormat="1" thickTop="1" x14ac:dyDescent="0.3">
      <c r="A78" s="364"/>
      <c r="B78" s="130" t="s">
        <v>1285</v>
      </c>
      <c r="C78" s="92" t="s">
        <v>982</v>
      </c>
      <c r="D78" s="75" t="s">
        <v>137</v>
      </c>
      <c r="E78" s="312"/>
      <c r="F78" s="541">
        <v>0.95</v>
      </c>
      <c r="G78" s="403" t="s">
        <v>173</v>
      </c>
      <c r="H78" s="404" t="s">
        <v>173</v>
      </c>
      <c r="I78" s="147"/>
      <c r="J78" s="20">
        <v>0.85</v>
      </c>
      <c r="K78" s="140" t="s">
        <v>300</v>
      </c>
      <c r="L78" s="202" t="s">
        <v>973</v>
      </c>
      <c r="M78" s="345" t="s">
        <v>300</v>
      </c>
      <c r="N78" s="542" t="s">
        <v>1096</v>
      </c>
      <c r="O78" s="403" t="s">
        <v>173</v>
      </c>
      <c r="P78" s="404" t="s">
        <v>173</v>
      </c>
      <c r="Q78" s="96"/>
      <c r="R78" s="96"/>
      <c r="S78" s="96"/>
      <c r="T78" s="96"/>
    </row>
    <row r="79" spans="1:20" s="109" customFormat="1" ht="27.6" x14ac:dyDescent="0.3">
      <c r="A79" s="364"/>
      <c r="B79" s="130" t="s">
        <v>1286</v>
      </c>
      <c r="C79" s="245" t="s">
        <v>971</v>
      </c>
      <c r="D79" s="75" t="s">
        <v>137</v>
      </c>
      <c r="E79" s="322"/>
      <c r="F79" s="541">
        <v>1.45</v>
      </c>
      <c r="G79" s="322"/>
      <c r="H79" s="541">
        <f>MIN(0.8,1216/810)*810/1623.3*0.7</f>
        <v>0.27943078913324709</v>
      </c>
      <c r="I79" s="181"/>
      <c r="J79" s="20">
        <f>SUM(F79,H79)</f>
        <v>1.729430789133247</v>
      </c>
      <c r="K79" s="142" t="s">
        <v>300</v>
      </c>
      <c r="L79" s="202" t="s">
        <v>973</v>
      </c>
      <c r="M79" s="142" t="s">
        <v>300</v>
      </c>
      <c r="N79" s="361" t="s">
        <v>1758</v>
      </c>
      <c r="O79" s="181" t="s">
        <v>300</v>
      </c>
      <c r="P79" s="361">
        <v>810</v>
      </c>
      <c r="Q79" s="96"/>
      <c r="R79" s="96"/>
      <c r="S79" s="96"/>
      <c r="T79" s="96"/>
    </row>
    <row r="80" spans="1:20" s="109" customFormat="1" ht="27.6" x14ac:dyDescent="0.3">
      <c r="A80" s="364"/>
      <c r="B80" s="180" t="s">
        <v>1287</v>
      </c>
      <c r="C80" s="251" t="s">
        <v>971</v>
      </c>
      <c r="D80" s="591" t="s">
        <v>137</v>
      </c>
      <c r="E80" s="326"/>
      <c r="F80" s="729">
        <v>1.2</v>
      </c>
      <c r="G80" s="405" t="s">
        <v>173</v>
      </c>
      <c r="H80" s="406" t="s">
        <v>173</v>
      </c>
      <c r="I80" s="174"/>
      <c r="J80" s="889">
        <v>1</v>
      </c>
      <c r="K80" s="160" t="s">
        <v>300</v>
      </c>
      <c r="L80" s="204" t="s">
        <v>973</v>
      </c>
      <c r="M80" s="160" t="s">
        <v>300</v>
      </c>
      <c r="N80" s="396" t="s">
        <v>1096</v>
      </c>
      <c r="O80" s="405" t="s">
        <v>173</v>
      </c>
      <c r="P80" s="406" t="s">
        <v>173</v>
      </c>
      <c r="Q80" s="96"/>
      <c r="R80" s="96"/>
      <c r="S80" s="96"/>
      <c r="T80" s="96"/>
    </row>
    <row r="82" spans="1:26" x14ac:dyDescent="0.3">
      <c r="A82" s="89"/>
      <c r="B82" s="92"/>
      <c r="C82" s="90"/>
      <c r="D82" s="982"/>
      <c r="E82" s="364"/>
      <c r="F82" s="364"/>
      <c r="G82" s="364"/>
      <c r="H82" s="364"/>
      <c r="I82" s="364"/>
      <c r="J82" s="364"/>
      <c r="K82" s="364"/>
      <c r="L82" s="72"/>
      <c r="M82" s="364"/>
      <c r="N82" s="72"/>
      <c r="O82" s="364"/>
      <c r="P82" s="72"/>
      <c r="Q82" s="364"/>
      <c r="S82" s="364"/>
      <c r="U82" s="982"/>
      <c r="V82" s="982"/>
      <c r="W82" s="982"/>
      <c r="X82" s="982"/>
      <c r="Y82" s="982"/>
      <c r="Z82" s="982"/>
    </row>
    <row r="83" spans="1:26" x14ac:dyDescent="0.3">
      <c r="A83" s="23"/>
      <c r="B83" s="23" t="s">
        <v>329</v>
      </c>
      <c r="D83" s="364"/>
      <c r="F83" s="366"/>
      <c r="I83" s="364"/>
      <c r="K83" s="364"/>
      <c r="M83" s="364"/>
      <c r="O83" s="364"/>
      <c r="Q83" s="364"/>
      <c r="S83" s="364"/>
      <c r="U83" s="982"/>
      <c r="V83" s="982"/>
      <c r="W83" s="982"/>
      <c r="X83" s="982"/>
      <c r="Y83" s="982"/>
      <c r="Z83" s="982"/>
    </row>
    <row r="84" spans="1:26" ht="41.4" x14ac:dyDescent="0.3">
      <c r="A84" s="89"/>
      <c r="B84" s="115" t="s">
        <v>330</v>
      </c>
      <c r="C84" s="123" t="s">
        <v>331</v>
      </c>
      <c r="D84" s="119" t="s">
        <v>122</v>
      </c>
      <c r="E84" s="131"/>
      <c r="F84" s="148" t="s">
        <v>332</v>
      </c>
      <c r="G84" s="120"/>
      <c r="H84" s="173" t="s">
        <v>148</v>
      </c>
      <c r="I84" s="131"/>
      <c r="J84" s="117" t="s">
        <v>334</v>
      </c>
      <c r="K84" s="131"/>
      <c r="L84" s="148" t="s">
        <v>335</v>
      </c>
      <c r="M84" s="120"/>
      <c r="N84" s="120" t="s">
        <v>336</v>
      </c>
      <c r="O84" s="210"/>
      <c r="P84" s="148" t="s">
        <v>337</v>
      </c>
      <c r="Q84" s="82"/>
      <c r="R84" s="397"/>
      <c r="S84" s="397"/>
      <c r="T84" s="397"/>
      <c r="U84" s="364"/>
      <c r="V84" s="397"/>
      <c r="W84" s="982"/>
      <c r="X84" s="397"/>
      <c r="Y84" s="982"/>
      <c r="Z84" s="982"/>
    </row>
    <row r="85" spans="1:26" ht="15" thickBot="1" x14ac:dyDescent="0.35">
      <c r="A85" s="89"/>
      <c r="B85" s="178" t="s">
        <v>341</v>
      </c>
      <c r="C85" s="176" t="s">
        <v>342</v>
      </c>
      <c r="D85" s="371"/>
      <c r="E85" s="183"/>
      <c r="F85" s="179"/>
      <c r="G85" s="177"/>
      <c r="H85" s="179" t="s">
        <v>343</v>
      </c>
      <c r="I85" s="183"/>
      <c r="J85" s="179" t="s">
        <v>345</v>
      </c>
      <c r="K85" s="211"/>
      <c r="L85" s="179" t="s">
        <v>346</v>
      </c>
      <c r="M85" s="208"/>
      <c r="N85" s="176" t="s">
        <v>347</v>
      </c>
      <c r="O85" s="211"/>
      <c r="P85" s="179" t="s">
        <v>348</v>
      </c>
      <c r="Q85" s="93"/>
      <c r="R85" s="536"/>
      <c r="S85" s="537"/>
      <c r="T85" s="537"/>
      <c r="U85" s="538"/>
      <c r="V85" s="539"/>
      <c r="W85" s="538"/>
      <c r="X85" s="536"/>
      <c r="Y85" s="982"/>
      <c r="Z85" s="982"/>
    </row>
    <row r="86" spans="1:26" ht="15" thickTop="1" x14ac:dyDescent="0.3">
      <c r="A86" s="89"/>
      <c r="B86" s="180" t="s">
        <v>1759</v>
      </c>
      <c r="C86" s="867" t="s">
        <v>1361</v>
      </c>
      <c r="D86" s="157" t="s">
        <v>137</v>
      </c>
      <c r="E86" s="184"/>
      <c r="F86" s="162" t="s">
        <v>1761</v>
      </c>
      <c r="G86" s="174"/>
      <c r="H86" s="867" t="s">
        <v>1580</v>
      </c>
      <c r="I86" s="160" t="s">
        <v>300</v>
      </c>
      <c r="J86" s="162" t="s">
        <v>1762</v>
      </c>
      <c r="K86" s="160" t="s">
        <v>300</v>
      </c>
      <c r="L86" s="212">
        <v>55</v>
      </c>
      <c r="M86" s="174" t="s">
        <v>300</v>
      </c>
      <c r="N86" s="157">
        <v>95</v>
      </c>
      <c r="O86" s="160" t="s">
        <v>300</v>
      </c>
      <c r="P86" s="212" t="s">
        <v>377</v>
      </c>
      <c r="Q86" s="364"/>
      <c r="R86" s="536"/>
      <c r="S86" s="537"/>
      <c r="T86" s="537"/>
      <c r="U86" s="538"/>
      <c r="V86" s="539"/>
      <c r="W86" s="538"/>
      <c r="X86" s="536"/>
      <c r="Y86" s="982"/>
      <c r="Z86" s="982"/>
    </row>
    <row r="87" spans="1:26" x14ac:dyDescent="0.3">
      <c r="A87" s="89"/>
      <c r="B87" s="84"/>
      <c r="C87" s="82"/>
      <c r="D87" s="30"/>
      <c r="E87" s="364"/>
      <c r="F87" s="364"/>
      <c r="G87" s="364"/>
      <c r="H87" s="364"/>
      <c r="I87" s="364"/>
      <c r="J87" s="364"/>
      <c r="K87" s="91"/>
      <c r="L87" s="89"/>
      <c r="M87" s="364"/>
      <c r="N87" s="364"/>
      <c r="O87" s="364"/>
      <c r="P87" s="364"/>
      <c r="Q87" s="364"/>
      <c r="S87" s="364"/>
      <c r="U87" s="982"/>
      <c r="V87" s="982"/>
      <c r="W87" s="982"/>
      <c r="X87" s="982"/>
      <c r="Y87" s="982"/>
      <c r="Z87" s="982"/>
    </row>
    <row r="88" spans="1:26" x14ac:dyDescent="0.3">
      <c r="A88" s="89"/>
      <c r="B88" s="84"/>
      <c r="C88" s="82"/>
      <c r="D88" s="30"/>
      <c r="E88" s="364"/>
      <c r="F88" s="364"/>
      <c r="G88" s="364"/>
      <c r="H88" s="364"/>
      <c r="I88" s="364"/>
      <c r="J88" s="364"/>
      <c r="K88" s="91"/>
      <c r="L88" s="89"/>
      <c r="M88" s="364"/>
      <c r="N88" s="364"/>
      <c r="O88" s="364"/>
      <c r="P88" s="364"/>
      <c r="Q88" s="364"/>
      <c r="R88" s="364"/>
      <c r="S88" s="364"/>
      <c r="T88" s="364"/>
      <c r="U88" s="364"/>
      <c r="V88" s="364"/>
      <c r="W88" s="364"/>
      <c r="X88" s="364"/>
      <c r="Y88" s="364"/>
      <c r="Z88" s="364"/>
    </row>
    <row r="89" spans="1:26" ht="41.4" x14ac:dyDescent="0.3">
      <c r="A89" s="89"/>
      <c r="B89" s="194" t="s">
        <v>1294</v>
      </c>
      <c r="C89" s="120" t="s">
        <v>382</v>
      </c>
      <c r="D89" s="119" t="s">
        <v>122</v>
      </c>
      <c r="E89" s="194"/>
      <c r="F89" s="117" t="s">
        <v>148</v>
      </c>
      <c r="G89" s="173"/>
      <c r="H89" s="173" t="s">
        <v>383</v>
      </c>
      <c r="I89" s="194"/>
      <c r="J89" s="117" t="s">
        <v>385</v>
      </c>
      <c r="K89" s="187"/>
      <c r="L89" s="117" t="s">
        <v>386</v>
      </c>
      <c r="M89" s="427"/>
      <c r="N89" s="117" t="s">
        <v>387</v>
      </c>
      <c r="O89" s="426"/>
      <c r="P89" s="117" t="s">
        <v>388</v>
      </c>
      <c r="Q89" s="364"/>
      <c r="R89" s="364"/>
      <c r="S89" s="364"/>
      <c r="T89" s="364"/>
      <c r="U89" s="364"/>
      <c r="V89" s="364"/>
      <c r="W89" s="364"/>
      <c r="X89" s="364"/>
      <c r="Y89" s="364"/>
      <c r="Z89" s="364"/>
    </row>
    <row r="90" spans="1:26" ht="15" thickBot="1" x14ac:dyDescent="0.35">
      <c r="A90" s="89"/>
      <c r="B90" s="178" t="s">
        <v>389</v>
      </c>
      <c r="C90" s="176" t="s">
        <v>390</v>
      </c>
      <c r="D90" s="371"/>
      <c r="E90" s="183"/>
      <c r="F90" s="179" t="s">
        <v>391</v>
      </c>
      <c r="G90" s="177"/>
      <c r="H90" s="176" t="s">
        <v>392</v>
      </c>
      <c r="I90" s="183"/>
      <c r="J90" s="179" t="s">
        <v>394</v>
      </c>
      <c r="K90" s="189"/>
      <c r="L90" s="176" t="s">
        <v>395</v>
      </c>
      <c r="M90" s="178"/>
      <c r="N90" s="179" t="s">
        <v>396</v>
      </c>
      <c r="O90" s="176"/>
      <c r="P90" s="179" t="s">
        <v>397</v>
      </c>
      <c r="Q90" s="364"/>
      <c r="R90" s="364"/>
      <c r="S90" s="364"/>
      <c r="T90" s="364"/>
      <c r="U90" s="364"/>
      <c r="V90" s="364"/>
      <c r="W90" s="364"/>
      <c r="X90" s="364"/>
      <c r="Y90" s="364"/>
      <c r="Z90" s="364"/>
    </row>
    <row r="91" spans="1:26" ht="15" customHeight="1" thickTop="1" x14ac:dyDescent="0.3">
      <c r="A91" s="89"/>
      <c r="B91" s="877" t="s">
        <v>1361</v>
      </c>
      <c r="C91" s="867" t="s">
        <v>1367</v>
      </c>
      <c r="D91" s="157" t="s">
        <v>137</v>
      </c>
      <c r="E91" s="160" t="s">
        <v>300</v>
      </c>
      <c r="F91" s="193" t="s">
        <v>399</v>
      </c>
      <c r="G91" s="174" t="s">
        <v>300</v>
      </c>
      <c r="H91" s="191">
        <v>10.8</v>
      </c>
      <c r="I91" s="355" t="s">
        <v>300</v>
      </c>
      <c r="J91" s="191">
        <v>1.1499999999999999</v>
      </c>
      <c r="K91" s="355" t="s">
        <v>300</v>
      </c>
      <c r="L91" s="156" t="s">
        <v>400</v>
      </c>
      <c r="M91" s="160" t="s">
        <v>300</v>
      </c>
      <c r="N91" s="162" t="s">
        <v>401</v>
      </c>
      <c r="O91" s="174" t="s">
        <v>300</v>
      </c>
      <c r="P91" s="162" t="s">
        <v>782</v>
      </c>
      <c r="Q91" s="364"/>
      <c r="R91" s="364"/>
      <c r="S91" s="364"/>
      <c r="T91" s="364"/>
      <c r="U91" s="364"/>
      <c r="V91" s="364"/>
      <c r="W91" s="364"/>
      <c r="X91" s="364"/>
      <c r="Y91" s="364"/>
      <c r="Z91" s="364"/>
    </row>
    <row r="92" spans="1:26" x14ac:dyDescent="0.3">
      <c r="A92" s="89"/>
      <c r="B92" s="84"/>
      <c r="C92" s="82"/>
      <c r="D92" s="89"/>
      <c r="E92" s="91"/>
      <c r="F92" s="89"/>
      <c r="G92" s="91"/>
      <c r="H92" s="89"/>
      <c r="I92" s="91"/>
      <c r="J92" s="89"/>
      <c r="K92" s="30"/>
      <c r="L92" s="364"/>
      <c r="M92" s="364"/>
      <c r="N92" s="364"/>
      <c r="O92" s="364"/>
      <c r="P92" s="364"/>
      <c r="Q92" s="364"/>
      <c r="R92" s="364"/>
      <c r="S92" s="364"/>
      <c r="T92" s="364"/>
      <c r="U92" s="364"/>
      <c r="V92" s="364"/>
      <c r="W92" s="364"/>
      <c r="X92" s="364"/>
      <c r="Y92" s="364"/>
      <c r="Z92" s="364"/>
    </row>
    <row r="93" spans="1:26" x14ac:dyDescent="0.3">
      <c r="A93" s="89"/>
      <c r="B93" s="84"/>
      <c r="C93" s="82"/>
      <c r="D93" s="89"/>
      <c r="E93" s="91"/>
      <c r="F93" s="89"/>
      <c r="G93" s="91"/>
      <c r="H93" s="89"/>
      <c r="I93" s="91"/>
      <c r="J93" s="89"/>
      <c r="K93" s="30"/>
      <c r="L93" s="364"/>
      <c r="M93" s="364"/>
      <c r="N93" s="364"/>
      <c r="O93" s="364"/>
      <c r="P93" s="364"/>
      <c r="Q93" s="364"/>
      <c r="R93" s="364"/>
      <c r="S93" s="364"/>
      <c r="T93" s="364"/>
      <c r="U93" s="364"/>
      <c r="V93" s="364"/>
      <c r="W93" s="364"/>
      <c r="X93" s="364"/>
      <c r="Y93" s="364"/>
      <c r="Z93" s="364"/>
    </row>
    <row r="94" spans="1:26" ht="27.6" x14ac:dyDescent="0.3">
      <c r="A94" s="89"/>
      <c r="B94" s="115" t="s">
        <v>331</v>
      </c>
      <c r="C94" s="123" t="s">
        <v>413</v>
      </c>
      <c r="D94" s="119" t="s">
        <v>122</v>
      </c>
      <c r="E94" s="194"/>
      <c r="F94" s="117" t="s">
        <v>414</v>
      </c>
      <c r="G94" s="173"/>
      <c r="H94" s="173" t="s">
        <v>1564</v>
      </c>
      <c r="I94" s="194"/>
      <c r="J94" s="117" t="s">
        <v>385</v>
      </c>
      <c r="K94" s="196"/>
      <c r="L94" s="117" t="s">
        <v>416</v>
      </c>
      <c r="M94" s="364"/>
      <c r="N94" s="364"/>
      <c r="O94" s="364"/>
      <c r="P94" s="364"/>
      <c r="Q94" s="364"/>
      <c r="R94" s="364"/>
      <c r="S94" s="364"/>
      <c r="T94" s="364"/>
      <c r="U94" s="364"/>
      <c r="V94" s="364"/>
      <c r="W94" s="364"/>
      <c r="X94" s="364"/>
      <c r="Y94" s="364"/>
      <c r="Z94" s="364"/>
    </row>
    <row r="95" spans="1:26" ht="15" thickBot="1" x14ac:dyDescent="0.35">
      <c r="A95" s="89"/>
      <c r="B95" s="178" t="s">
        <v>417</v>
      </c>
      <c r="C95" s="176" t="s">
        <v>418</v>
      </c>
      <c r="D95" s="176"/>
      <c r="E95" s="183"/>
      <c r="F95" s="179" t="s">
        <v>419</v>
      </c>
      <c r="G95" s="177"/>
      <c r="H95" s="176" t="s">
        <v>420</v>
      </c>
      <c r="I95" s="183"/>
      <c r="J95" s="179"/>
      <c r="K95" s="124"/>
      <c r="L95" s="179" t="s">
        <v>421</v>
      </c>
      <c r="M95" s="364"/>
      <c r="N95" s="364"/>
      <c r="O95" s="364"/>
      <c r="P95" s="364"/>
      <c r="Q95" s="364"/>
      <c r="R95" s="364"/>
      <c r="S95" s="364"/>
      <c r="T95" s="364"/>
      <c r="U95" s="364"/>
      <c r="V95" s="364"/>
      <c r="W95" s="364"/>
      <c r="X95" s="364"/>
      <c r="Y95" s="364"/>
      <c r="Z95" s="364"/>
    </row>
    <row r="96" spans="1:26" ht="15" thickTop="1" x14ac:dyDescent="0.3">
      <c r="A96" s="89"/>
      <c r="B96" s="924" t="s">
        <v>1361</v>
      </c>
      <c r="C96" s="925" t="s">
        <v>1372</v>
      </c>
      <c r="D96" s="186" t="s">
        <v>137</v>
      </c>
      <c r="E96" s="160" t="s">
        <v>300</v>
      </c>
      <c r="F96" s="198" t="s">
        <v>430</v>
      </c>
      <c r="G96" s="174"/>
      <c r="H96" s="446">
        <f>0.0051427*(78)+0.3989</f>
        <v>0.80003059999999993</v>
      </c>
      <c r="I96" s="160" t="s">
        <v>300</v>
      </c>
      <c r="J96" s="249">
        <v>1.25</v>
      </c>
      <c r="K96" s="174" t="s">
        <v>300</v>
      </c>
      <c r="L96" s="162" t="s">
        <v>431</v>
      </c>
      <c r="M96" s="364"/>
      <c r="N96" s="364"/>
      <c r="O96" s="364"/>
      <c r="P96" s="364"/>
      <c r="Q96" s="364"/>
      <c r="R96" s="364"/>
      <c r="S96" s="364"/>
      <c r="T96" s="364"/>
      <c r="U96" s="364"/>
      <c r="V96" s="364"/>
      <c r="W96" s="364"/>
      <c r="X96" s="364"/>
      <c r="Y96" s="364"/>
      <c r="Z96" s="364"/>
    </row>
    <row r="97" spans="1:26" x14ac:dyDescent="0.3">
      <c r="A97" s="89"/>
      <c r="B97" s="380"/>
      <c r="C97" s="380"/>
      <c r="D97" s="982"/>
      <c r="E97" s="357"/>
      <c r="F97" s="982"/>
      <c r="G97" s="357"/>
      <c r="H97" s="982"/>
      <c r="I97" s="357"/>
      <c r="J97" s="982"/>
      <c r="K97" s="357"/>
      <c r="L97" s="982"/>
      <c r="M97" s="364"/>
      <c r="N97" s="364"/>
      <c r="O97" s="364"/>
      <c r="P97" s="364"/>
      <c r="Q97" s="364"/>
      <c r="R97" s="364"/>
      <c r="S97" s="364"/>
      <c r="T97" s="364"/>
      <c r="U97" s="364"/>
      <c r="V97" s="364"/>
      <c r="W97" s="364"/>
      <c r="X97" s="364"/>
      <c r="Y97" s="364"/>
      <c r="Z97" s="364"/>
    </row>
    <row r="98" spans="1:26" x14ac:dyDescent="0.3">
      <c r="A98" s="89"/>
      <c r="B98" s="380"/>
      <c r="C98" s="380"/>
      <c r="D98" s="982"/>
      <c r="E98" s="357"/>
      <c r="F98" s="982"/>
      <c r="G98" s="357"/>
      <c r="H98" s="982"/>
      <c r="I98" s="357"/>
      <c r="J98" s="982"/>
      <c r="K98" s="357"/>
      <c r="L98" s="982"/>
      <c r="M98" s="364"/>
      <c r="N98" s="364"/>
      <c r="O98" s="364"/>
      <c r="P98" s="364"/>
      <c r="Q98" s="364"/>
      <c r="R98" s="364"/>
      <c r="S98" s="364"/>
      <c r="T98" s="364"/>
      <c r="U98" s="982"/>
      <c r="V98" s="982"/>
      <c r="W98" s="982"/>
      <c r="X98" s="982"/>
      <c r="Y98" s="982"/>
      <c r="Z98" s="982"/>
    </row>
    <row r="99" spans="1:26" ht="27.6" x14ac:dyDescent="0.3">
      <c r="A99" s="89"/>
      <c r="B99" s="115" t="s">
        <v>331</v>
      </c>
      <c r="C99" s="120" t="s">
        <v>432</v>
      </c>
      <c r="D99" s="119" t="s">
        <v>122</v>
      </c>
      <c r="E99" s="131"/>
      <c r="F99" s="117" t="s">
        <v>433</v>
      </c>
      <c r="G99" s="120"/>
      <c r="H99" s="173" t="s">
        <v>434</v>
      </c>
      <c r="I99" s="131"/>
      <c r="J99" s="117" t="s">
        <v>435</v>
      </c>
      <c r="K99" s="120"/>
      <c r="L99" s="173" t="s">
        <v>436</v>
      </c>
      <c r="M99" s="194"/>
      <c r="N99" s="148" t="s">
        <v>437</v>
      </c>
      <c r="O99" s="173"/>
      <c r="P99" s="173" t="s">
        <v>438</v>
      </c>
      <c r="Q99" s="194"/>
      <c r="R99" s="117" t="s">
        <v>439</v>
      </c>
      <c r="S99" s="194"/>
      <c r="T99" s="117" t="s">
        <v>440</v>
      </c>
      <c r="U99" s="982"/>
      <c r="V99" s="982"/>
      <c r="W99" s="982"/>
      <c r="X99" s="982"/>
      <c r="Y99" s="982"/>
      <c r="Z99" s="982"/>
    </row>
    <row r="100" spans="1:26" ht="15" thickBot="1" x14ac:dyDescent="0.35">
      <c r="A100" s="89"/>
      <c r="B100" s="178" t="s">
        <v>417</v>
      </c>
      <c r="C100" s="176" t="s">
        <v>442</v>
      </c>
      <c r="D100" s="176"/>
      <c r="E100" s="183"/>
      <c r="F100" s="179" t="s">
        <v>443</v>
      </c>
      <c r="G100" s="177"/>
      <c r="H100" s="176" t="s">
        <v>444</v>
      </c>
      <c r="I100" s="183"/>
      <c r="J100" s="179"/>
      <c r="K100" s="177"/>
      <c r="L100" s="176" t="s">
        <v>445</v>
      </c>
      <c r="M100" s="183"/>
      <c r="N100" s="933" t="s">
        <v>446</v>
      </c>
      <c r="O100" s="177"/>
      <c r="P100" s="176" t="s">
        <v>447</v>
      </c>
      <c r="Q100" s="183"/>
      <c r="R100" s="179" t="s">
        <v>448</v>
      </c>
      <c r="S100" s="183"/>
      <c r="T100" s="179" t="s">
        <v>449</v>
      </c>
      <c r="U100" s="982"/>
      <c r="V100" s="982"/>
      <c r="W100" s="982"/>
      <c r="X100" s="982"/>
      <c r="Y100" s="982"/>
      <c r="Z100" s="982"/>
    </row>
    <row r="101" spans="1:26" s="391" customFormat="1" ht="15" thickTop="1" x14ac:dyDescent="0.3">
      <c r="A101" s="89"/>
      <c r="B101" s="929" t="s">
        <v>1361</v>
      </c>
      <c r="C101" s="930" t="s">
        <v>1377</v>
      </c>
      <c r="D101" s="927" t="s">
        <v>137</v>
      </c>
      <c r="E101" s="355" t="s">
        <v>300</v>
      </c>
      <c r="F101" s="472" t="s">
        <v>451</v>
      </c>
      <c r="G101" s="466"/>
      <c r="H101" s="930" t="s">
        <v>452</v>
      </c>
      <c r="I101" s="631" t="s">
        <v>1262</v>
      </c>
      <c r="J101" s="928">
        <v>5636.02</v>
      </c>
      <c r="K101" s="631" t="s">
        <v>1262</v>
      </c>
      <c r="L101" s="935">
        <f>J101*0.0013</f>
        <v>7.3268260000000005</v>
      </c>
      <c r="M101" s="355"/>
      <c r="N101" s="798">
        <v>0.65</v>
      </c>
      <c r="O101" s="466"/>
      <c r="P101" s="931">
        <v>3.8771200000000001</v>
      </c>
      <c r="Q101" s="355"/>
      <c r="R101" s="932">
        <v>7.5</v>
      </c>
      <c r="S101" s="355"/>
      <c r="T101" s="932">
        <v>0.91700000000000004</v>
      </c>
      <c r="U101" s="982"/>
      <c r="V101" s="982"/>
      <c r="W101" s="982"/>
      <c r="X101" s="982"/>
      <c r="Y101" s="982"/>
      <c r="Z101" s="982"/>
    </row>
    <row r="102" spans="1:26" x14ac:dyDescent="0.3">
      <c r="A102" s="89"/>
      <c r="B102" s="89"/>
      <c r="C102" s="380"/>
      <c r="D102" s="89"/>
      <c r="E102" s="89"/>
      <c r="F102" s="89"/>
      <c r="G102" s="89"/>
      <c r="H102" s="89"/>
      <c r="I102" s="89"/>
      <c r="J102" s="89"/>
      <c r="K102" s="89"/>
      <c r="L102" s="89"/>
      <c r="M102" s="89"/>
      <c r="N102" s="89"/>
      <c r="O102" s="89"/>
      <c r="P102" s="89"/>
      <c r="Q102" s="89"/>
      <c r="R102" s="89"/>
      <c r="S102" s="89"/>
      <c r="T102" s="89"/>
      <c r="U102" s="982"/>
      <c r="V102" s="982"/>
      <c r="W102" s="982"/>
      <c r="X102" s="982"/>
      <c r="Y102" s="982"/>
      <c r="Z102" s="982"/>
    </row>
    <row r="103" spans="1:26" x14ac:dyDescent="0.3">
      <c r="A103" s="982"/>
      <c r="B103" s="982"/>
      <c r="C103" s="982"/>
      <c r="D103" s="982"/>
      <c r="E103" s="357"/>
      <c r="F103" s="982"/>
      <c r="G103" s="357"/>
      <c r="H103" s="982"/>
      <c r="I103" s="357"/>
      <c r="J103" s="982"/>
      <c r="K103" s="982"/>
      <c r="L103" s="982"/>
      <c r="M103" s="357"/>
      <c r="N103" s="982"/>
      <c r="O103" s="127"/>
      <c r="P103" s="118"/>
      <c r="Q103" s="89"/>
      <c r="R103" s="89"/>
      <c r="S103" s="89"/>
      <c r="T103" s="89"/>
      <c r="U103" s="982"/>
      <c r="V103" s="982"/>
      <c r="W103" s="982"/>
      <c r="X103" s="982"/>
      <c r="Y103" s="982"/>
      <c r="Z103" s="982"/>
    </row>
    <row r="104" spans="1:26" x14ac:dyDescent="0.3">
      <c r="A104" s="982"/>
      <c r="B104" s="115" t="s">
        <v>331</v>
      </c>
      <c r="C104" s="120" t="s">
        <v>1735</v>
      </c>
      <c r="D104" s="148" t="s">
        <v>122</v>
      </c>
      <c r="E104" s="121"/>
      <c r="F104" s="148" t="s">
        <v>508</v>
      </c>
      <c r="G104" s="131"/>
      <c r="H104" s="148" t="s">
        <v>509</v>
      </c>
      <c r="I104" s="357"/>
      <c r="J104" s="982"/>
      <c r="K104" s="982"/>
      <c r="L104" s="982"/>
      <c r="M104" s="357"/>
      <c r="N104" s="982"/>
      <c r="O104" s="127"/>
      <c r="P104" s="118"/>
      <c r="Q104" s="89"/>
      <c r="R104" s="89"/>
      <c r="S104" s="89"/>
      <c r="T104" s="89"/>
      <c r="U104" s="982"/>
      <c r="V104" s="982"/>
      <c r="W104" s="982"/>
      <c r="X104" s="982"/>
      <c r="Y104" s="982"/>
      <c r="Z104" s="982"/>
    </row>
    <row r="105" spans="1:26" ht="15" thickBot="1" x14ac:dyDescent="0.35">
      <c r="A105" s="982"/>
      <c r="B105" s="178" t="s">
        <v>417</v>
      </c>
      <c r="C105" s="176"/>
      <c r="D105" s="179"/>
      <c r="E105" s="208"/>
      <c r="F105" s="179" t="s">
        <v>510</v>
      </c>
      <c r="G105" s="211"/>
      <c r="H105" s="179" t="s">
        <v>511</v>
      </c>
      <c r="I105" s="357"/>
      <c r="J105" s="982"/>
      <c r="K105" s="982"/>
      <c r="L105" s="982"/>
      <c r="M105" s="357"/>
      <c r="N105" s="982"/>
      <c r="O105" s="127"/>
      <c r="P105" s="118"/>
      <c r="Q105" s="89"/>
      <c r="R105" s="89"/>
      <c r="S105" s="89"/>
      <c r="T105" s="89"/>
      <c r="U105" s="982"/>
      <c r="V105" s="982"/>
      <c r="W105" s="982"/>
      <c r="X105" s="982"/>
      <c r="Y105" s="982"/>
      <c r="Z105" s="982"/>
    </row>
    <row r="106" spans="1:26" ht="15" thickTop="1" x14ac:dyDescent="0.3">
      <c r="A106" s="982"/>
      <c r="B106" s="877" t="s">
        <v>1760</v>
      </c>
      <c r="C106" s="930" t="s">
        <v>1383</v>
      </c>
      <c r="D106" s="255" t="s">
        <v>137</v>
      </c>
      <c r="E106" s="174" t="s">
        <v>300</v>
      </c>
      <c r="F106" s="162" t="s">
        <v>513</v>
      </c>
      <c r="G106" s="160" t="s">
        <v>300</v>
      </c>
      <c r="H106" s="162" t="s">
        <v>514</v>
      </c>
      <c r="I106" s="357"/>
      <c r="J106" s="982"/>
      <c r="K106" s="982"/>
      <c r="L106" s="982"/>
      <c r="M106" s="357"/>
      <c r="N106" s="982"/>
      <c r="O106" s="127"/>
      <c r="P106" s="118"/>
      <c r="Q106" s="89"/>
      <c r="R106" s="89"/>
      <c r="S106" s="89"/>
      <c r="T106" s="89"/>
      <c r="U106" s="982"/>
      <c r="V106" s="982"/>
      <c r="W106" s="982"/>
      <c r="X106" s="982"/>
      <c r="Y106" s="982"/>
      <c r="Z106" s="982"/>
    </row>
    <row r="107" spans="1:26" x14ac:dyDescent="0.3">
      <c r="A107" s="982"/>
      <c r="B107" s="92"/>
      <c r="D107" s="92"/>
      <c r="E107" s="92"/>
      <c r="F107" s="92"/>
      <c r="G107" s="92"/>
      <c r="H107" s="92"/>
      <c r="I107" s="92"/>
      <c r="J107" s="982"/>
      <c r="K107" s="982"/>
      <c r="L107" s="982"/>
      <c r="M107" s="357"/>
      <c r="N107" s="982"/>
      <c r="O107" s="127"/>
      <c r="P107" s="118"/>
      <c r="Q107" s="89"/>
      <c r="R107" s="89"/>
      <c r="S107" s="89"/>
      <c r="T107" s="89"/>
      <c r="U107" s="982"/>
      <c r="V107" s="982"/>
      <c r="W107" s="982"/>
      <c r="X107" s="982"/>
      <c r="Y107" s="982"/>
      <c r="Z107" s="982"/>
    </row>
    <row r="108" spans="1:26" x14ac:dyDescent="0.3">
      <c r="A108" s="89"/>
      <c r="B108" s="92"/>
      <c r="C108" s="90"/>
      <c r="D108" s="982"/>
      <c r="E108" s="89"/>
      <c r="F108" s="89"/>
      <c r="G108" s="89"/>
      <c r="H108" s="89"/>
      <c r="I108" s="89"/>
      <c r="J108" s="982"/>
      <c r="K108" s="982"/>
      <c r="L108" s="982"/>
      <c r="M108" s="89"/>
      <c r="N108" s="89"/>
      <c r="O108" s="89"/>
      <c r="P108" s="89"/>
      <c r="Q108" s="89"/>
      <c r="R108" s="89"/>
      <c r="S108" s="89"/>
      <c r="T108" s="89"/>
      <c r="U108" s="982"/>
      <c r="V108" s="982"/>
      <c r="W108" s="982"/>
      <c r="X108" s="982"/>
      <c r="Y108" s="982"/>
      <c r="Z108" s="982"/>
    </row>
    <row r="109" spans="1:26" x14ac:dyDescent="0.3">
      <c r="A109" s="89"/>
      <c r="B109" s="194" t="s">
        <v>522</v>
      </c>
      <c r="C109" s="120" t="s">
        <v>523</v>
      </c>
      <c r="D109" s="121"/>
      <c r="E109" s="131"/>
      <c r="F109" s="148" t="s">
        <v>533</v>
      </c>
      <c r="G109" s="131"/>
      <c r="H109" s="148" t="s">
        <v>534</v>
      </c>
      <c r="I109" s="89"/>
      <c r="J109" s="982"/>
      <c r="K109" s="982"/>
      <c r="L109" s="982"/>
      <c r="M109" s="89"/>
      <c r="N109" s="89"/>
      <c r="O109" s="89"/>
      <c r="P109" s="89"/>
      <c r="Q109" s="89"/>
      <c r="R109" s="89"/>
      <c r="S109" s="89"/>
      <c r="T109" s="89"/>
      <c r="U109" s="982"/>
      <c r="V109" s="982"/>
      <c r="W109" s="982"/>
      <c r="X109" s="982"/>
      <c r="Y109" s="982"/>
      <c r="Z109" s="982"/>
    </row>
    <row r="110" spans="1:26" ht="15" thickBot="1" x14ac:dyDescent="0.35">
      <c r="A110" s="89"/>
      <c r="B110" s="178" t="s">
        <v>535</v>
      </c>
      <c r="C110" s="176" t="s">
        <v>536</v>
      </c>
      <c r="D110" s="371"/>
      <c r="E110" s="211"/>
      <c r="F110" s="179" t="s">
        <v>543</v>
      </c>
      <c r="G110" s="211"/>
      <c r="H110" s="179" t="s">
        <v>544</v>
      </c>
      <c r="I110" s="89"/>
      <c r="J110" s="982"/>
      <c r="K110" s="982"/>
      <c r="L110" s="982"/>
      <c r="M110" s="89"/>
      <c r="N110" s="89"/>
      <c r="O110" s="89"/>
      <c r="P110" s="89"/>
      <c r="Q110" s="89"/>
      <c r="R110" s="89"/>
      <c r="S110" s="89"/>
      <c r="T110" s="89"/>
      <c r="U110" s="982"/>
      <c r="V110" s="982"/>
      <c r="W110" s="982"/>
      <c r="X110" s="982"/>
      <c r="Y110" s="982"/>
      <c r="Z110" s="982"/>
    </row>
    <row r="111" spans="1:26" ht="15" thickTop="1" x14ac:dyDescent="0.3">
      <c r="A111" s="89"/>
      <c r="B111" s="130" t="s">
        <v>1285</v>
      </c>
      <c r="C111" s="92" t="s">
        <v>1200</v>
      </c>
      <c r="D111" s="364"/>
      <c r="E111" s="403" t="s">
        <v>173</v>
      </c>
      <c r="F111" s="404" t="s">
        <v>173</v>
      </c>
      <c r="G111" s="403" t="s">
        <v>173</v>
      </c>
      <c r="H111" s="404" t="s">
        <v>173</v>
      </c>
      <c r="I111" s="89"/>
      <c r="J111" s="982"/>
      <c r="K111" s="982"/>
      <c r="L111" s="982"/>
      <c r="M111" s="89"/>
      <c r="N111" s="89"/>
      <c r="O111" s="89"/>
      <c r="P111" s="89"/>
      <c r="Q111" s="89"/>
      <c r="R111" s="89"/>
      <c r="S111" s="89"/>
      <c r="T111" s="89"/>
      <c r="U111" s="982"/>
      <c r="V111" s="982"/>
      <c r="W111" s="982"/>
      <c r="X111" s="982"/>
      <c r="Y111" s="982"/>
      <c r="Z111" s="982"/>
    </row>
    <row r="112" spans="1:26" x14ac:dyDescent="0.3">
      <c r="A112" s="89"/>
      <c r="B112" s="130" t="s">
        <v>1286</v>
      </c>
      <c r="C112" s="92" t="s">
        <v>546</v>
      </c>
      <c r="D112" s="364"/>
      <c r="E112" s="142" t="s">
        <v>300</v>
      </c>
      <c r="F112" s="152" t="s">
        <v>1072</v>
      </c>
      <c r="G112" s="142" t="s">
        <v>300</v>
      </c>
      <c r="H112" s="152" t="s">
        <v>1073</v>
      </c>
      <c r="I112" s="89"/>
      <c r="J112" s="89"/>
      <c r="K112" s="89"/>
      <c r="L112" s="89"/>
      <c r="M112" s="89"/>
      <c r="N112" s="89"/>
      <c r="O112" s="89"/>
      <c r="P112" s="89"/>
      <c r="Q112" s="89"/>
      <c r="R112" s="89"/>
      <c r="S112" s="89"/>
      <c r="T112" s="89"/>
      <c r="U112" s="982"/>
      <c r="V112" s="982"/>
      <c r="W112" s="982"/>
      <c r="X112" s="982"/>
      <c r="Y112" s="982"/>
      <c r="Z112" s="982"/>
    </row>
    <row r="113" spans="1:20" x14ac:dyDescent="0.3">
      <c r="A113" s="89"/>
      <c r="B113" s="180" t="s">
        <v>1287</v>
      </c>
      <c r="C113" s="156" t="s">
        <v>546</v>
      </c>
      <c r="D113" s="157"/>
      <c r="E113" s="160" t="s">
        <v>300</v>
      </c>
      <c r="F113" s="162" t="s">
        <v>1072</v>
      </c>
      <c r="G113" s="160" t="s">
        <v>300</v>
      </c>
      <c r="H113" s="162" t="s">
        <v>1073</v>
      </c>
      <c r="I113" s="89"/>
      <c r="J113" s="89"/>
      <c r="K113" s="89"/>
      <c r="L113" s="89"/>
      <c r="M113" s="89"/>
      <c r="N113" s="89"/>
      <c r="O113" s="89"/>
      <c r="P113" s="89"/>
      <c r="Q113" s="89"/>
      <c r="R113" s="89"/>
      <c r="S113" s="89"/>
      <c r="T113" s="89"/>
    </row>
    <row r="114" spans="1:20" x14ac:dyDescent="0.3">
      <c r="A114" s="89"/>
      <c r="B114" s="364"/>
      <c r="D114" s="364"/>
      <c r="F114" s="366"/>
      <c r="I114" s="89"/>
      <c r="J114" s="89"/>
      <c r="K114" s="89"/>
      <c r="L114" s="89"/>
      <c r="M114" s="89"/>
      <c r="N114" s="89"/>
      <c r="O114" s="89"/>
      <c r="P114" s="89"/>
      <c r="Q114" s="364"/>
      <c r="S114" s="364"/>
    </row>
    <row r="115" spans="1:20" x14ac:dyDescent="0.3">
      <c r="A115" s="89"/>
      <c r="B115" s="364"/>
      <c r="D115" s="364"/>
      <c r="F115" s="366"/>
      <c r="I115" s="364"/>
      <c r="K115" s="364"/>
      <c r="M115" s="364"/>
      <c r="O115" s="364"/>
      <c r="Q115" s="364"/>
      <c r="S115" s="364"/>
    </row>
    <row r="116" spans="1:20" x14ac:dyDescent="0.3">
      <c r="A116" s="89"/>
      <c r="B116" s="364"/>
      <c r="D116" s="364"/>
      <c r="F116" s="366"/>
      <c r="I116" s="364"/>
      <c r="K116" s="364"/>
      <c r="M116" s="364"/>
      <c r="O116" s="364"/>
      <c r="Q116" s="364"/>
      <c r="S116" s="364"/>
    </row>
    <row r="117" spans="1:20" x14ac:dyDescent="0.3">
      <c r="A117" s="89"/>
      <c r="B117" s="364"/>
      <c r="D117" s="364"/>
      <c r="F117" s="366"/>
      <c r="I117" s="364"/>
      <c r="K117" s="364"/>
      <c r="M117" s="364"/>
      <c r="O117" s="364"/>
      <c r="Q117" s="364"/>
      <c r="S117" s="364"/>
    </row>
    <row r="118" spans="1:20" x14ac:dyDescent="0.3">
      <c r="A118" s="89"/>
      <c r="B118" s="364"/>
      <c r="D118" s="364"/>
      <c r="F118" s="366"/>
      <c r="I118" s="364"/>
      <c r="K118" s="364"/>
      <c r="M118" s="364"/>
      <c r="O118" s="364"/>
      <c r="Q118" s="364"/>
      <c r="S118" s="364"/>
    </row>
    <row r="119" spans="1:20" x14ac:dyDescent="0.3">
      <c r="A119" s="89"/>
      <c r="B119" s="364"/>
      <c r="D119" s="364"/>
      <c r="F119" s="366"/>
      <c r="I119" s="364"/>
      <c r="K119" s="364"/>
      <c r="M119" s="364"/>
      <c r="O119" s="364"/>
      <c r="Q119" s="364"/>
      <c r="S119" s="364"/>
    </row>
    <row r="120" spans="1:20" x14ac:dyDescent="0.3">
      <c r="A120" s="89"/>
      <c r="B120" s="364"/>
      <c r="D120" s="364"/>
      <c r="F120" s="366"/>
      <c r="I120" s="364"/>
      <c r="K120" s="364"/>
      <c r="M120" s="364"/>
      <c r="O120" s="364"/>
      <c r="Q120" s="364"/>
      <c r="S120" s="364"/>
    </row>
    <row r="121" spans="1:20" x14ac:dyDescent="0.3">
      <c r="A121" s="89"/>
      <c r="B121" s="364"/>
      <c r="D121" s="364"/>
      <c r="F121" s="366"/>
      <c r="I121" s="364"/>
      <c r="K121" s="364"/>
      <c r="M121" s="364"/>
      <c r="O121" s="364"/>
      <c r="Q121" s="364"/>
      <c r="S121" s="364"/>
    </row>
    <row r="122" spans="1:20" x14ac:dyDescent="0.3">
      <c r="A122" s="89"/>
      <c r="B122" s="364"/>
      <c r="D122" s="364"/>
      <c r="F122" s="366"/>
      <c r="I122" s="364"/>
      <c r="K122" s="364"/>
      <c r="M122" s="364"/>
      <c r="O122" s="364"/>
      <c r="Q122" s="364"/>
      <c r="S122" s="364"/>
    </row>
    <row r="123" spans="1:20" x14ac:dyDescent="0.3">
      <c r="A123" s="89"/>
      <c r="B123" s="364"/>
      <c r="D123" s="364"/>
      <c r="F123" s="366"/>
      <c r="I123" s="364"/>
      <c r="K123" s="364"/>
      <c r="M123" s="364"/>
      <c r="O123" s="364"/>
      <c r="Q123" s="364"/>
      <c r="S123" s="364"/>
    </row>
    <row r="124" spans="1:20" s="109" customFormat="1" ht="13.8" x14ac:dyDescent="0.3">
      <c r="A124" s="89"/>
      <c r="B124" s="364"/>
      <c r="C124" s="92"/>
      <c r="D124" s="364"/>
      <c r="E124" s="83"/>
      <c r="F124" s="366"/>
      <c r="G124" s="83"/>
      <c r="H124" s="30"/>
      <c r="I124" s="364"/>
      <c r="J124" s="92"/>
      <c r="K124" s="364"/>
      <c r="L124" s="92"/>
      <c r="M124" s="364"/>
      <c r="N124" s="92"/>
      <c r="O124" s="364"/>
      <c r="P124" s="92"/>
      <c r="Q124" s="364"/>
      <c r="R124" s="92"/>
      <c r="S124" s="364"/>
      <c r="T124" s="92"/>
    </row>
    <row r="125" spans="1:20" s="109" customFormat="1" ht="13.8" x14ac:dyDescent="0.3">
      <c r="A125" s="89"/>
      <c r="B125" s="364"/>
      <c r="C125" s="92"/>
      <c r="D125" s="364"/>
      <c r="E125" s="83"/>
      <c r="F125" s="366"/>
      <c r="G125" s="83"/>
      <c r="H125" s="30"/>
      <c r="I125" s="364"/>
      <c r="J125" s="92"/>
      <c r="K125" s="364"/>
      <c r="L125" s="92"/>
      <c r="M125" s="364"/>
      <c r="N125" s="92"/>
      <c r="O125" s="364"/>
      <c r="P125" s="92"/>
      <c r="Q125" s="364"/>
      <c r="R125" s="92"/>
      <c r="S125" s="364"/>
      <c r="T125" s="92"/>
    </row>
    <row r="126" spans="1:20" s="109" customFormat="1" ht="13.8" x14ac:dyDescent="0.3">
      <c r="A126" s="89"/>
      <c r="B126" s="364"/>
      <c r="C126" s="92"/>
      <c r="D126" s="364"/>
      <c r="E126" s="83"/>
      <c r="F126" s="366"/>
      <c r="G126" s="83"/>
      <c r="H126" s="30"/>
      <c r="I126" s="364"/>
      <c r="J126" s="92"/>
      <c r="K126" s="364"/>
      <c r="L126" s="92"/>
      <c r="M126" s="364"/>
      <c r="N126" s="92"/>
      <c r="O126" s="364"/>
      <c r="P126" s="92"/>
      <c r="Q126" s="364"/>
      <c r="R126" s="92"/>
      <c r="S126" s="364"/>
      <c r="T126" s="92"/>
    </row>
    <row r="127" spans="1:20" s="109" customFormat="1" ht="13.8" x14ac:dyDescent="0.3">
      <c r="A127" s="89"/>
      <c r="B127" s="364"/>
      <c r="C127" s="92"/>
      <c r="D127" s="364"/>
      <c r="E127" s="83"/>
      <c r="F127" s="366"/>
      <c r="G127" s="83"/>
      <c r="H127" s="30"/>
      <c r="I127" s="364"/>
      <c r="J127" s="92"/>
      <c r="K127" s="364"/>
      <c r="L127" s="92"/>
      <c r="M127" s="364"/>
      <c r="N127" s="92"/>
      <c r="O127" s="364"/>
      <c r="P127" s="92"/>
      <c r="Q127" s="364"/>
      <c r="R127" s="92"/>
      <c r="S127" s="364"/>
      <c r="T127" s="92"/>
    </row>
    <row r="128" spans="1:20" s="109" customFormat="1" ht="13.8" x14ac:dyDescent="0.3">
      <c r="A128" s="89"/>
      <c r="B128" s="364"/>
      <c r="C128" s="92"/>
      <c r="D128" s="364"/>
      <c r="E128" s="83"/>
      <c r="F128" s="366"/>
      <c r="G128" s="83"/>
      <c r="H128" s="30"/>
      <c r="I128" s="364"/>
      <c r="J128" s="92"/>
      <c r="K128" s="364"/>
      <c r="L128" s="92"/>
      <c r="M128" s="364"/>
      <c r="N128" s="92"/>
      <c r="O128" s="364"/>
      <c r="P128" s="92"/>
      <c r="Q128" s="364"/>
      <c r="R128" s="92"/>
      <c r="S128" s="364"/>
      <c r="T128" s="92"/>
    </row>
    <row r="129" spans="1:20" s="109" customFormat="1" ht="13.8" x14ac:dyDescent="0.3">
      <c r="A129" s="89"/>
      <c r="B129" s="364"/>
      <c r="C129" s="92"/>
      <c r="D129" s="364"/>
      <c r="E129" s="83"/>
      <c r="F129" s="366"/>
      <c r="G129" s="83"/>
      <c r="H129" s="30"/>
      <c r="I129" s="364"/>
      <c r="J129" s="92"/>
      <c r="K129" s="364"/>
      <c r="L129" s="92"/>
      <c r="M129" s="364"/>
      <c r="N129" s="92"/>
      <c r="O129" s="364"/>
      <c r="P129" s="92"/>
      <c r="Q129" s="364"/>
      <c r="R129" s="92"/>
      <c r="S129" s="364"/>
      <c r="T129" s="92"/>
    </row>
    <row r="130" spans="1:20" s="109" customFormat="1" ht="13.8" x14ac:dyDescent="0.3">
      <c r="A130" s="89"/>
      <c r="B130" s="364"/>
      <c r="C130" s="92"/>
      <c r="D130" s="364"/>
      <c r="E130" s="83"/>
      <c r="F130" s="366"/>
      <c r="G130" s="83"/>
      <c r="H130" s="30"/>
      <c r="I130" s="364"/>
      <c r="J130" s="92"/>
      <c r="K130" s="364"/>
      <c r="L130" s="92"/>
      <c r="M130" s="364"/>
      <c r="N130" s="92"/>
      <c r="O130" s="364"/>
      <c r="P130" s="92"/>
      <c r="Q130" s="364"/>
      <c r="R130" s="92"/>
      <c r="S130" s="364"/>
      <c r="T130" s="92"/>
    </row>
    <row r="131" spans="1:20" s="109" customFormat="1" ht="13.8" x14ac:dyDescent="0.3">
      <c r="A131" s="89"/>
      <c r="B131" s="364"/>
      <c r="C131" s="92"/>
      <c r="D131" s="364"/>
      <c r="E131" s="83"/>
      <c r="F131" s="366"/>
      <c r="G131" s="83"/>
      <c r="H131" s="30"/>
      <c r="I131" s="364"/>
      <c r="J131" s="92"/>
      <c r="K131" s="364"/>
      <c r="L131" s="92"/>
      <c r="M131" s="364"/>
      <c r="N131" s="92"/>
      <c r="O131" s="364"/>
      <c r="P131" s="92"/>
      <c r="Q131" s="364"/>
      <c r="R131" s="92"/>
      <c r="S131" s="364"/>
      <c r="T131" s="92"/>
    </row>
    <row r="132" spans="1:20" s="109" customFormat="1" ht="13.8" x14ac:dyDescent="0.3">
      <c r="A132" s="89"/>
      <c r="B132" s="364"/>
      <c r="C132" s="92"/>
      <c r="D132" s="364"/>
      <c r="E132" s="83"/>
      <c r="F132" s="366"/>
      <c r="G132" s="83"/>
      <c r="H132" s="30"/>
      <c r="I132" s="364"/>
      <c r="J132" s="92"/>
      <c r="K132" s="364"/>
      <c r="L132" s="92"/>
      <c r="M132" s="364"/>
      <c r="N132" s="92"/>
      <c r="O132" s="364"/>
      <c r="P132" s="92"/>
      <c r="Q132" s="364"/>
      <c r="R132" s="92"/>
      <c r="S132" s="364"/>
      <c r="T132" s="92"/>
    </row>
    <row r="133" spans="1:20" s="109" customFormat="1" ht="13.8" x14ac:dyDescent="0.3">
      <c r="A133" s="89"/>
      <c r="B133" s="364"/>
      <c r="C133" s="92"/>
      <c r="D133" s="364"/>
      <c r="E133" s="83"/>
      <c r="F133" s="366"/>
      <c r="G133" s="83"/>
      <c r="H133" s="30"/>
      <c r="I133" s="364"/>
      <c r="J133" s="92"/>
      <c r="K133" s="364"/>
      <c r="L133" s="92"/>
      <c r="M133" s="364"/>
      <c r="N133" s="92"/>
      <c r="O133" s="364"/>
      <c r="P133" s="92"/>
      <c r="Q133" s="364"/>
      <c r="R133" s="92"/>
      <c r="S133" s="364"/>
      <c r="T133" s="92"/>
    </row>
    <row r="134" spans="1:20" s="109" customFormat="1" ht="13.8" x14ac:dyDescent="0.3">
      <c r="A134" s="89"/>
      <c r="B134" s="364"/>
      <c r="C134" s="92"/>
      <c r="D134" s="364"/>
      <c r="E134" s="83"/>
      <c r="F134" s="366"/>
      <c r="G134" s="83"/>
      <c r="H134" s="30"/>
      <c r="I134" s="364"/>
      <c r="J134" s="92"/>
      <c r="K134" s="364"/>
      <c r="L134" s="92"/>
      <c r="M134" s="364"/>
      <c r="N134" s="92"/>
      <c r="O134" s="364"/>
      <c r="P134" s="92"/>
      <c r="Q134" s="364"/>
      <c r="R134" s="92"/>
      <c r="S134" s="364"/>
      <c r="T134" s="92"/>
    </row>
    <row r="135" spans="1:20" s="109" customFormat="1" ht="13.8" x14ac:dyDescent="0.3">
      <c r="A135" s="89"/>
      <c r="B135" s="364"/>
      <c r="C135" s="92"/>
      <c r="D135" s="364"/>
      <c r="E135" s="83"/>
      <c r="F135" s="366"/>
      <c r="G135" s="83"/>
      <c r="H135" s="30"/>
      <c r="I135" s="364"/>
      <c r="J135" s="92"/>
      <c r="K135" s="364"/>
      <c r="L135" s="92"/>
      <c r="M135" s="364"/>
      <c r="N135" s="92"/>
      <c r="O135" s="364"/>
      <c r="P135" s="92"/>
      <c r="Q135" s="364"/>
      <c r="R135" s="92"/>
      <c r="S135" s="364"/>
      <c r="T135" s="92"/>
    </row>
    <row r="136" spans="1:20" s="109" customFormat="1" ht="13.8" x14ac:dyDescent="0.3">
      <c r="A136" s="89"/>
      <c r="B136" s="364"/>
      <c r="C136" s="92"/>
      <c r="D136" s="364"/>
      <c r="E136" s="83"/>
      <c r="F136" s="366"/>
      <c r="G136" s="83"/>
      <c r="H136" s="30"/>
      <c r="I136" s="364"/>
      <c r="J136" s="92"/>
      <c r="K136" s="364"/>
      <c r="L136" s="92"/>
      <c r="M136" s="364"/>
      <c r="N136" s="92"/>
      <c r="O136" s="364"/>
      <c r="P136" s="92"/>
      <c r="Q136" s="364"/>
      <c r="R136" s="92"/>
      <c r="S136" s="364"/>
      <c r="T136" s="92"/>
    </row>
    <row r="137" spans="1:20" s="109" customFormat="1" ht="13.8" x14ac:dyDescent="0.3">
      <c r="A137" s="89"/>
      <c r="B137" s="364"/>
      <c r="C137" s="92"/>
      <c r="D137" s="364"/>
      <c r="E137" s="83"/>
      <c r="F137" s="366"/>
      <c r="G137" s="83"/>
      <c r="H137" s="30"/>
      <c r="I137" s="364"/>
      <c r="J137" s="92"/>
      <c r="K137" s="364"/>
      <c r="L137" s="92"/>
      <c r="M137" s="364"/>
      <c r="N137" s="92"/>
      <c r="O137" s="364"/>
      <c r="P137" s="92"/>
      <c r="Q137" s="364"/>
      <c r="R137" s="92"/>
      <c r="S137" s="364"/>
      <c r="T137" s="92"/>
    </row>
    <row r="138" spans="1:20" s="109" customFormat="1" ht="13.8" x14ac:dyDescent="0.3">
      <c r="A138" s="89"/>
      <c r="B138" s="364"/>
      <c r="C138" s="92"/>
      <c r="D138" s="364"/>
      <c r="E138" s="83"/>
      <c r="F138" s="366"/>
      <c r="G138" s="83"/>
      <c r="H138" s="30"/>
      <c r="I138" s="364"/>
      <c r="J138" s="92"/>
      <c r="K138" s="364"/>
      <c r="L138" s="92"/>
      <c r="M138" s="364"/>
      <c r="N138" s="92"/>
      <c r="O138" s="364"/>
      <c r="P138" s="92"/>
      <c r="Q138" s="364"/>
      <c r="R138" s="92"/>
      <c r="S138" s="364"/>
      <c r="T138" s="92"/>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T58"/>
  <sheetViews>
    <sheetView topLeftCell="J4" zoomScale="85" zoomScaleNormal="85" workbookViewId="0">
      <selection activeCell="J8" sqref="J8"/>
    </sheetView>
  </sheetViews>
  <sheetFormatPr defaultColWidth="9.109375" defaultRowHeight="13.8" outlineLevelCol="1" x14ac:dyDescent="0.3"/>
  <cols>
    <col min="1" max="1" width="3.5546875" style="18" customWidth="1"/>
    <col min="2" max="2" width="30.6640625" style="18" customWidth="1"/>
    <col min="3" max="3" width="30.6640625" style="9" customWidth="1"/>
    <col min="4" max="4" width="2.6640625" style="83" customWidth="1"/>
    <col min="5" max="5" width="30" style="7" customWidth="1"/>
    <col min="6" max="6" width="2.6640625" style="83" customWidth="1"/>
    <col min="7" max="7" width="31.5546875" style="30" customWidth="1"/>
    <col min="8" max="8" width="2.6640625" style="109" customWidth="1"/>
    <col min="9" max="9" width="33.6640625" style="9" customWidth="1"/>
    <col min="10" max="10" width="2.6640625" style="109" customWidth="1"/>
    <col min="11" max="11" width="33.33203125" style="9" customWidth="1"/>
    <col min="12" max="12" width="2.6640625" style="109" customWidth="1"/>
    <col min="13" max="13" width="30.6640625" style="9" customWidth="1"/>
    <col min="14" max="14" width="2.6640625" style="109" customWidth="1"/>
    <col min="15" max="15" width="30.6640625" style="9" customWidth="1"/>
    <col min="16" max="16" width="2.6640625" style="109" customWidth="1"/>
    <col min="17" max="17" width="30.6640625" style="9" customWidth="1"/>
    <col min="18" max="18" width="2.6640625" style="16" customWidth="1"/>
    <col min="19" max="19" width="13.33203125" style="16" customWidth="1" outlineLevel="1"/>
    <col min="20" max="20" width="10" style="16" customWidth="1" outlineLevel="1"/>
    <col min="21" max="46" width="9.109375" style="16" outlineLevel="1"/>
    <col min="47" max="16384" width="9.109375" style="16"/>
  </cols>
  <sheetData>
    <row r="1" spans="1:45" s="69" customFormat="1" x14ac:dyDescent="0.3">
      <c r="A1" s="364"/>
      <c r="B1" s="364"/>
      <c r="C1" s="92"/>
      <c r="D1" s="83"/>
      <c r="E1" s="366"/>
      <c r="F1" s="83"/>
      <c r="G1" s="30"/>
      <c r="H1" s="364"/>
      <c r="I1" s="92"/>
      <c r="J1" s="364"/>
      <c r="K1" s="92"/>
      <c r="L1" s="364"/>
      <c r="M1" s="92"/>
      <c r="N1" s="364"/>
      <c r="O1" s="92"/>
      <c r="P1" s="364"/>
      <c r="Q1" s="92"/>
    </row>
    <row r="2" spans="1:45" x14ac:dyDescent="0.3">
      <c r="A2" s="364"/>
      <c r="B2" s="513" t="s">
        <v>0</v>
      </c>
      <c r="C2" s="514"/>
      <c r="D2" s="515"/>
      <c r="E2" s="516" t="s">
        <v>1</v>
      </c>
      <c r="F2" s="517"/>
      <c r="G2" s="518"/>
      <c r="H2" s="517"/>
      <c r="I2" s="514"/>
      <c r="J2" s="513"/>
      <c r="K2" s="516" t="s">
        <v>109</v>
      </c>
      <c r="L2" s="364"/>
      <c r="M2" s="92"/>
      <c r="N2" s="364"/>
      <c r="O2" s="92"/>
      <c r="P2" s="364"/>
      <c r="Q2" s="92"/>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1:45" x14ac:dyDescent="0.3">
      <c r="A3" s="364"/>
      <c r="B3" s="364" t="s">
        <v>2</v>
      </c>
      <c r="C3" s="530" t="s">
        <v>26</v>
      </c>
      <c r="D3" s="364"/>
      <c r="E3" s="92" t="s">
        <v>3</v>
      </c>
      <c r="F3" s="364"/>
      <c r="G3" s="950" t="str">
        <f>'Documentation Main Sheet'!I2</f>
        <v>r6055</v>
      </c>
      <c r="H3" s="364"/>
      <c r="I3" s="92"/>
      <c r="J3" s="521"/>
      <c r="K3" s="364" t="s">
        <v>110</v>
      </c>
      <c r="L3" s="364"/>
      <c r="M3" s="92"/>
      <c r="N3" s="364"/>
      <c r="O3" s="92"/>
      <c r="P3" s="364"/>
      <c r="Q3" s="92"/>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row>
    <row r="4" spans="1:45" x14ac:dyDescent="0.3">
      <c r="A4" s="364"/>
      <c r="B4" s="364" t="s">
        <v>6</v>
      </c>
      <c r="C4" s="92" t="str">
        <f>C3&amp;".cibd19"</f>
        <v>020006-OffSml-Run01.cibd19</v>
      </c>
      <c r="E4" s="388" t="s">
        <v>7</v>
      </c>
      <c r="F4" s="364"/>
      <c r="G4" s="366" t="str">
        <f>'Documentation Main Sheet'!I3</f>
        <v>Release package</v>
      </c>
      <c r="H4" s="364"/>
      <c r="I4" s="92"/>
      <c r="J4" s="994">
        <v>1</v>
      </c>
      <c r="K4" s="373" t="s">
        <v>111</v>
      </c>
      <c r="L4" s="364"/>
      <c r="M4" s="92"/>
      <c r="N4" s="364"/>
      <c r="O4" s="92"/>
      <c r="P4" s="364"/>
      <c r="Q4" s="92"/>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row>
    <row r="5" spans="1:45" x14ac:dyDescent="0.3">
      <c r="A5" s="364"/>
      <c r="B5" s="364" t="s">
        <v>9</v>
      </c>
      <c r="C5" s="92" t="s">
        <v>112</v>
      </c>
      <c r="E5" s="92" t="s">
        <v>10</v>
      </c>
      <c r="G5" s="366" t="str">
        <f>'Documentation Main Sheet'!I4</f>
        <v>CBECC-Com 2019.1.2 Release</v>
      </c>
      <c r="H5" s="68"/>
      <c r="I5" s="92"/>
      <c r="J5" s="991">
        <v>1</v>
      </c>
      <c r="K5" s="373" t="s">
        <v>111</v>
      </c>
      <c r="L5" s="364"/>
      <c r="M5" s="92"/>
      <c r="N5" s="364"/>
      <c r="O5" s="8"/>
      <c r="P5" s="364"/>
      <c r="Q5" s="8"/>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row>
    <row r="6" spans="1:45" x14ac:dyDescent="0.3">
      <c r="A6" s="364"/>
      <c r="B6" s="364" t="s">
        <v>17</v>
      </c>
      <c r="C6" s="92" t="s">
        <v>25</v>
      </c>
      <c r="E6" s="92" t="s">
        <v>12</v>
      </c>
      <c r="G6" s="387">
        <f>'Documentation Main Sheet'!I5</f>
        <v>43754</v>
      </c>
      <c r="H6" s="364"/>
      <c r="I6" s="92"/>
      <c r="J6" s="524">
        <v>1</v>
      </c>
      <c r="K6" s="376" t="s">
        <v>113</v>
      </c>
      <c r="L6" s="364"/>
      <c r="M6" s="92"/>
      <c r="N6" s="364"/>
      <c r="O6" s="92"/>
      <c r="P6" s="364"/>
      <c r="Q6" s="92"/>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row>
    <row r="7" spans="1:45" ht="14.4" x14ac:dyDescent="0.3">
      <c r="A7" s="364"/>
      <c r="B7" s="364" t="s">
        <v>20</v>
      </c>
      <c r="C7" s="92" t="s">
        <v>28</v>
      </c>
      <c r="E7" s="92" t="s">
        <v>13</v>
      </c>
      <c r="G7" s="366" t="str">
        <f>'Documentation Main Sheet'!I6</f>
        <v>Jireh Peng</v>
      </c>
      <c r="H7" s="364"/>
      <c r="I7" s="92"/>
      <c r="J7" s="525">
        <v>1</v>
      </c>
      <c r="K7" s="373" t="s">
        <v>114</v>
      </c>
      <c r="L7" s="364"/>
      <c r="M7" s="92"/>
      <c r="N7" s="364"/>
      <c r="O7" s="92"/>
      <c r="P7" s="364"/>
      <c r="Q7" s="92"/>
      <c r="R7" s="69"/>
      <c r="S7" s="69"/>
      <c r="T7" s="69"/>
      <c r="U7" s="69"/>
      <c r="V7" s="69"/>
      <c r="W7" s="69"/>
      <c r="X7" s="69"/>
      <c r="Y7" s="69"/>
      <c r="Z7" s="982"/>
      <c r="AA7" s="982"/>
      <c r="AB7" s="982"/>
      <c r="AC7" s="982"/>
      <c r="AD7" s="982"/>
      <c r="AE7" s="982"/>
      <c r="AF7" s="982"/>
      <c r="AG7" s="982"/>
      <c r="AH7" s="982"/>
      <c r="AI7" s="982"/>
      <c r="AJ7" s="982"/>
      <c r="AK7" s="982"/>
      <c r="AL7" s="982"/>
      <c r="AM7" s="982"/>
      <c r="AN7" s="982"/>
      <c r="AO7" s="982"/>
      <c r="AP7" s="982"/>
      <c r="AQ7" s="982"/>
      <c r="AR7" s="982"/>
      <c r="AS7" s="982"/>
    </row>
    <row r="8" spans="1:45" ht="14.4" x14ac:dyDescent="0.3">
      <c r="A8" s="364"/>
      <c r="B8" s="364" t="s">
        <v>19</v>
      </c>
      <c r="C8" s="92" t="s">
        <v>27</v>
      </c>
      <c r="E8" s="364"/>
      <c r="F8" s="364"/>
      <c r="G8" s="364"/>
      <c r="H8" s="364"/>
      <c r="I8" s="92"/>
      <c r="J8" s="996">
        <v>1</v>
      </c>
      <c r="K8" s="364" t="s">
        <v>115</v>
      </c>
      <c r="L8" s="364"/>
      <c r="M8" s="92"/>
      <c r="N8" s="364"/>
      <c r="O8" s="92"/>
      <c r="P8" s="364"/>
      <c r="Q8" s="92"/>
      <c r="R8" s="69"/>
      <c r="S8" s="69"/>
      <c r="T8" s="69"/>
      <c r="U8" s="69"/>
      <c r="V8" s="69"/>
      <c r="W8" s="69"/>
      <c r="X8" s="69"/>
      <c r="Y8" s="69"/>
      <c r="Z8" s="369" t="s">
        <v>116</v>
      </c>
      <c r="AA8" s="982"/>
      <c r="AB8" s="982"/>
      <c r="AC8" s="982"/>
      <c r="AD8" s="982"/>
      <c r="AE8" s="982"/>
      <c r="AF8" s="982"/>
      <c r="AG8" s="982"/>
      <c r="AH8" s="982"/>
      <c r="AI8" s="982"/>
      <c r="AJ8" s="982"/>
      <c r="AK8" s="982"/>
      <c r="AL8" s="982" t="s">
        <v>117</v>
      </c>
      <c r="AM8" s="982"/>
      <c r="AN8" s="982" t="s">
        <v>118</v>
      </c>
      <c r="AO8" s="982"/>
      <c r="AP8" s="982" t="s">
        <v>119</v>
      </c>
      <c r="AQ8" s="982"/>
      <c r="AR8" s="982" t="s">
        <v>120</v>
      </c>
      <c r="AS8" s="982"/>
    </row>
    <row r="9" spans="1:45" ht="14.4" x14ac:dyDescent="0.3">
      <c r="A9" s="364"/>
      <c r="B9" s="92"/>
      <c r="C9" s="90"/>
      <c r="D9" s="364"/>
      <c r="E9" s="92"/>
      <c r="G9" s="92"/>
      <c r="H9" s="364"/>
      <c r="I9" s="92"/>
      <c r="J9" s="364"/>
      <c r="K9" s="92"/>
      <c r="L9" s="364"/>
      <c r="M9" s="92"/>
      <c r="N9" s="364"/>
      <c r="O9" s="92"/>
      <c r="P9" s="364"/>
      <c r="Q9" s="92"/>
      <c r="R9" s="69"/>
      <c r="S9" s="69"/>
      <c r="T9" s="69"/>
      <c r="U9" s="69"/>
      <c r="V9" s="69"/>
      <c r="W9" s="69"/>
      <c r="X9" s="69"/>
      <c r="Y9" s="69"/>
      <c r="Z9" s="982" t="s">
        <v>121</v>
      </c>
      <c r="AA9" s="982" t="s">
        <v>122</v>
      </c>
      <c r="AB9" s="982" t="s">
        <v>121</v>
      </c>
      <c r="AC9" s="982" t="s">
        <v>123</v>
      </c>
      <c r="AD9" s="982" t="s">
        <v>124</v>
      </c>
      <c r="AE9" s="982" t="s">
        <v>125</v>
      </c>
      <c r="AF9" s="982" t="s">
        <v>126</v>
      </c>
      <c r="AG9" s="982" t="s">
        <v>127</v>
      </c>
      <c r="AH9" s="982" t="s">
        <v>128</v>
      </c>
      <c r="AI9" s="982" t="s">
        <v>129</v>
      </c>
      <c r="AJ9" s="982" t="s">
        <v>130</v>
      </c>
      <c r="AK9" s="982" t="s">
        <v>131</v>
      </c>
      <c r="AL9" s="982" t="s">
        <v>132</v>
      </c>
      <c r="AM9" s="982" t="s">
        <v>133</v>
      </c>
      <c r="AN9" s="982" t="s">
        <v>132</v>
      </c>
      <c r="AO9" s="982" t="s">
        <v>133</v>
      </c>
      <c r="AP9" s="982" t="s">
        <v>132</v>
      </c>
      <c r="AQ9" s="982" t="s">
        <v>133</v>
      </c>
      <c r="AR9" s="982" t="s">
        <v>132</v>
      </c>
      <c r="AS9" s="982" t="s">
        <v>133</v>
      </c>
    </row>
    <row r="10" spans="1:45" s="13" customFormat="1" ht="14.4" x14ac:dyDescent="0.3">
      <c r="A10" s="281"/>
      <c r="B10" s="282" t="s">
        <v>134</v>
      </c>
      <c r="C10" s="283"/>
      <c r="D10" s="281"/>
      <c r="E10" s="284"/>
      <c r="F10" s="281"/>
      <c r="G10" s="283"/>
      <c r="H10" s="281"/>
      <c r="I10" s="283"/>
      <c r="J10" s="281"/>
      <c r="K10" s="283"/>
      <c r="L10" s="281"/>
      <c r="M10" s="283"/>
      <c r="N10" s="281"/>
      <c r="O10" s="283"/>
      <c r="P10" s="281"/>
      <c r="Q10" s="283"/>
      <c r="R10" s="69"/>
      <c r="S10" s="809"/>
      <c r="T10" s="809"/>
      <c r="U10" s="809"/>
      <c r="V10" s="809"/>
      <c r="W10" s="809"/>
      <c r="X10" s="809"/>
      <c r="Y10" s="808" t="s">
        <v>135</v>
      </c>
      <c r="Z10" s="949" t="s">
        <v>136</v>
      </c>
      <c r="AA10" s="949" t="s">
        <v>137</v>
      </c>
      <c r="AB10" s="949" t="s">
        <v>138</v>
      </c>
      <c r="AC10" s="949" t="s">
        <v>139</v>
      </c>
      <c r="AD10" s="949" t="s">
        <v>140</v>
      </c>
      <c r="AE10" s="949" t="s">
        <v>141</v>
      </c>
      <c r="AF10" s="949">
        <v>2126.0300000000002</v>
      </c>
      <c r="AG10" s="949">
        <v>18.452400000000001</v>
      </c>
      <c r="AH10" s="949" t="s">
        <v>142</v>
      </c>
      <c r="AI10" s="949" t="s">
        <v>143</v>
      </c>
      <c r="AJ10" s="949" t="s">
        <v>144</v>
      </c>
      <c r="AK10" s="949">
        <v>4.3999999999999997E-2</v>
      </c>
      <c r="AL10" s="949">
        <v>0.78</v>
      </c>
      <c r="AM10" s="949">
        <v>0.78</v>
      </c>
      <c r="AN10" s="949">
        <v>0.78</v>
      </c>
      <c r="AO10" s="949">
        <v>0.78</v>
      </c>
      <c r="AP10" s="949">
        <v>0.75</v>
      </c>
      <c r="AQ10" s="949">
        <v>0.75</v>
      </c>
      <c r="AR10" s="949">
        <v>0.25</v>
      </c>
      <c r="AS10" s="949">
        <v>0.25</v>
      </c>
    </row>
    <row r="11" spans="1:45" s="13" customFormat="1" x14ac:dyDescent="0.3">
      <c r="A11" s="27"/>
      <c r="B11" s="377" t="s">
        <v>145</v>
      </c>
      <c r="C11" s="96"/>
      <c r="D11" s="91"/>
      <c r="E11" s="92"/>
      <c r="F11" s="91"/>
      <c r="G11" s="30"/>
      <c r="H11" s="91"/>
      <c r="I11" s="92"/>
      <c r="J11" s="91"/>
      <c r="K11" s="92"/>
      <c r="L11" s="91"/>
      <c r="M11" s="92"/>
      <c r="N11" s="91"/>
      <c r="O11" s="84"/>
      <c r="P11" s="91"/>
      <c r="Q11" s="84"/>
      <c r="R11" s="69"/>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row>
    <row r="12" spans="1:45" s="13" customFormat="1" ht="14.4" x14ac:dyDescent="0.3">
      <c r="A12" s="93"/>
      <c r="B12" s="91" t="s">
        <v>146</v>
      </c>
      <c r="C12" s="96"/>
      <c r="D12" s="93"/>
      <c r="E12" s="25"/>
      <c r="F12" s="93"/>
      <c r="G12" s="96"/>
      <c r="H12" s="93"/>
      <c r="I12" s="96"/>
      <c r="J12" s="91"/>
      <c r="K12" s="96"/>
      <c r="L12" s="91"/>
      <c r="M12" s="96"/>
      <c r="N12" s="91"/>
      <c r="O12" s="84"/>
      <c r="P12" s="91"/>
      <c r="Q12" s="84"/>
      <c r="R12" s="69"/>
      <c r="S12" s="93"/>
      <c r="T12" s="93"/>
      <c r="U12" s="364"/>
      <c r="V12" s="89"/>
      <c r="W12" s="89"/>
      <c r="X12" s="89"/>
      <c r="Y12" s="89"/>
      <c r="Z12" s="369" t="s">
        <v>147</v>
      </c>
      <c r="AA12" s="982"/>
      <c r="AB12" s="982"/>
      <c r="AC12" s="982"/>
      <c r="AD12" s="982"/>
      <c r="AE12" s="982"/>
      <c r="AF12" s="982"/>
      <c r="AG12" s="982"/>
      <c r="AH12" s="982"/>
      <c r="AI12" s="982"/>
      <c r="AJ12" s="982"/>
      <c r="AK12" s="982"/>
      <c r="AL12" s="41"/>
      <c r="AM12" s="41"/>
      <c r="AN12" s="41"/>
      <c r="AO12" s="41"/>
      <c r="AP12" s="41"/>
      <c r="AQ12" s="41"/>
      <c r="AR12" s="41"/>
      <c r="AS12" s="41"/>
    </row>
    <row r="13" spans="1:45" s="41" customFormat="1" ht="41.4" x14ac:dyDescent="0.3">
      <c r="A13" s="91"/>
      <c r="B13" s="138" t="s">
        <v>148</v>
      </c>
      <c r="C13" s="120" t="s">
        <v>149</v>
      </c>
      <c r="D13" s="138"/>
      <c r="E13" s="148" t="s">
        <v>128</v>
      </c>
      <c r="F13" s="138"/>
      <c r="G13" s="148" t="s">
        <v>150</v>
      </c>
      <c r="H13" s="138"/>
      <c r="I13" s="148" t="s">
        <v>151</v>
      </c>
      <c r="J13" s="122"/>
      <c r="K13" s="120" t="s">
        <v>152</v>
      </c>
      <c r="L13" s="144"/>
      <c r="M13" s="148" t="s">
        <v>153</v>
      </c>
      <c r="N13" s="122"/>
      <c r="O13" s="123" t="s">
        <v>154</v>
      </c>
      <c r="P13" s="144"/>
      <c r="Q13" s="116" t="s">
        <v>155</v>
      </c>
      <c r="R13" s="69"/>
      <c r="U13" s="364"/>
      <c r="V13" s="84"/>
      <c r="W13" s="84"/>
      <c r="X13" s="84"/>
      <c r="Y13" s="84"/>
      <c r="Z13" s="982" t="s">
        <v>121</v>
      </c>
      <c r="AA13" s="982" t="s">
        <v>122</v>
      </c>
      <c r="AB13" s="982" t="s">
        <v>121</v>
      </c>
      <c r="AC13" s="982" t="s">
        <v>123</v>
      </c>
      <c r="AD13" s="982" t="s">
        <v>124</v>
      </c>
      <c r="AE13" s="982" t="s">
        <v>17</v>
      </c>
      <c r="AF13" s="982" t="s">
        <v>126</v>
      </c>
      <c r="AG13" s="982" t="s">
        <v>156</v>
      </c>
      <c r="AH13" s="982" t="s">
        <v>129</v>
      </c>
      <c r="AI13" s="982" t="s">
        <v>130</v>
      </c>
      <c r="AJ13" s="982" t="s">
        <v>157</v>
      </c>
      <c r="AK13" s="982" t="s">
        <v>158</v>
      </c>
      <c r="AL13" s="82"/>
      <c r="AM13" s="82"/>
      <c r="AN13" s="82"/>
      <c r="AO13" s="82"/>
      <c r="AP13" s="82"/>
      <c r="AQ13" s="82"/>
      <c r="AR13" s="82"/>
      <c r="AS13" s="82"/>
    </row>
    <row r="14" spans="1:45" s="82" customFormat="1" ht="15" thickBot="1" x14ac:dyDescent="0.35">
      <c r="A14" s="83"/>
      <c r="B14" s="132"/>
      <c r="C14" s="992" t="s">
        <v>159</v>
      </c>
      <c r="D14" s="139"/>
      <c r="E14" s="993" t="s">
        <v>160</v>
      </c>
      <c r="F14" s="139"/>
      <c r="G14" s="993" t="s">
        <v>161</v>
      </c>
      <c r="H14" s="145"/>
      <c r="I14" s="993" t="s">
        <v>162</v>
      </c>
      <c r="J14" s="125"/>
      <c r="K14" s="992" t="s">
        <v>163</v>
      </c>
      <c r="L14" s="145"/>
      <c r="M14" s="993" t="s">
        <v>164</v>
      </c>
      <c r="N14" s="125"/>
      <c r="O14" s="992" t="s">
        <v>165</v>
      </c>
      <c r="P14" s="132"/>
      <c r="Q14" s="993" t="s">
        <v>166</v>
      </c>
      <c r="R14" s="69"/>
      <c r="S14" s="809"/>
      <c r="T14" s="809"/>
      <c r="U14" s="809"/>
      <c r="V14" s="809"/>
      <c r="W14" s="809"/>
      <c r="X14" s="809"/>
      <c r="Y14" s="808" t="s">
        <v>167</v>
      </c>
      <c r="Z14" s="949" t="s">
        <v>168</v>
      </c>
      <c r="AA14" s="949" t="s">
        <v>137</v>
      </c>
      <c r="AB14" s="949" t="s">
        <v>169</v>
      </c>
      <c r="AC14" s="949" t="s">
        <v>139</v>
      </c>
      <c r="AD14" s="949" t="s">
        <v>170</v>
      </c>
      <c r="AE14" s="949" t="s">
        <v>141</v>
      </c>
      <c r="AF14" s="949">
        <v>909.06</v>
      </c>
      <c r="AG14" s="949">
        <v>180</v>
      </c>
      <c r="AH14" s="949" t="s">
        <v>171</v>
      </c>
      <c r="AI14" s="949" t="s">
        <v>172</v>
      </c>
      <c r="AJ14" s="949">
        <v>9.0999999999999998E-2</v>
      </c>
      <c r="AK14" s="949">
        <v>222.15</v>
      </c>
      <c r="AL14" s="69"/>
      <c r="AM14" s="69"/>
      <c r="AN14" s="69"/>
      <c r="AO14" s="69"/>
      <c r="AP14" s="69"/>
      <c r="AQ14" s="69"/>
      <c r="AR14" s="69"/>
      <c r="AS14" s="69"/>
    </row>
    <row r="15" spans="1:45" ht="15" thickTop="1" x14ac:dyDescent="0.3">
      <c r="A15" s="364"/>
      <c r="B15" s="129" t="s">
        <v>132</v>
      </c>
      <c r="C15" s="92" t="s">
        <v>143</v>
      </c>
      <c r="D15" s="958" t="str">
        <f>IF(E15=AH10,"x","")</f>
        <v>x</v>
      </c>
      <c r="E15" s="152" t="s">
        <v>142</v>
      </c>
      <c r="F15" s="958" t="str">
        <f>IF(G15=AJ10,"x","")</f>
        <v>x</v>
      </c>
      <c r="G15" s="152" t="s">
        <v>144</v>
      </c>
      <c r="H15" s="958" t="str">
        <f>IF(I15=AK10,"x","")</f>
        <v>x</v>
      </c>
      <c r="I15" s="150">
        <v>4.3999999999999997E-2</v>
      </c>
      <c r="J15" s="951" t="str">
        <f>IF(K15=AM10,"x","")</f>
        <v>x</v>
      </c>
      <c r="K15" s="32">
        <v>0.78</v>
      </c>
      <c r="L15" s="951" t="str">
        <f>IF(M15=AO10,"x","")</f>
        <v>x</v>
      </c>
      <c r="M15" s="225">
        <v>0.78</v>
      </c>
      <c r="N15" s="951" t="str">
        <f>IF(O15=AQ10,"x","")</f>
        <v>x</v>
      </c>
      <c r="O15" s="32">
        <v>0.75</v>
      </c>
      <c r="P15" s="951" t="str">
        <f>IF(Q15=AS10,"x","")</f>
        <v>x</v>
      </c>
      <c r="Q15" s="153">
        <v>0.25</v>
      </c>
      <c r="R15" s="69"/>
      <c r="S15" s="69"/>
      <c r="T15" s="69"/>
      <c r="U15" s="364"/>
      <c r="V15" s="364"/>
      <c r="W15" s="364"/>
      <c r="X15" s="364"/>
      <c r="Y15" s="364"/>
      <c r="Z15" s="982"/>
      <c r="AA15" s="982"/>
      <c r="AB15" s="982"/>
      <c r="AC15" s="982"/>
      <c r="AD15" s="982"/>
      <c r="AE15" s="982"/>
      <c r="AF15" s="982"/>
      <c r="AG15" s="982"/>
      <c r="AH15" s="982"/>
      <c r="AI15" s="982"/>
      <c r="AJ15" s="982"/>
      <c r="AK15" s="982"/>
      <c r="AL15" s="69"/>
      <c r="AM15" s="69"/>
      <c r="AN15" s="69"/>
      <c r="AO15" s="69"/>
      <c r="AP15" s="69"/>
      <c r="AQ15" s="69"/>
      <c r="AR15" s="69"/>
      <c r="AS15" s="69"/>
    </row>
    <row r="16" spans="1:45" ht="14.4" x14ac:dyDescent="0.3">
      <c r="A16" s="364"/>
      <c r="B16" s="129" t="s">
        <v>147</v>
      </c>
      <c r="C16" s="92" t="s">
        <v>171</v>
      </c>
      <c r="D16" s="135" t="s">
        <v>173</v>
      </c>
      <c r="E16" s="221" t="s">
        <v>173</v>
      </c>
      <c r="F16" s="958" t="str">
        <f>IF(G16=AI14,"x","")</f>
        <v>x</v>
      </c>
      <c r="G16" s="152" t="s">
        <v>172</v>
      </c>
      <c r="H16" s="958" t="str">
        <f>IF(I16=AJ14,"x","")</f>
        <v>x</v>
      </c>
      <c r="I16" s="152">
        <v>9.0999999999999998E-2</v>
      </c>
      <c r="J16" s="12" t="s">
        <v>173</v>
      </c>
      <c r="K16" s="12" t="s">
        <v>173</v>
      </c>
      <c r="L16" s="135" t="s">
        <v>173</v>
      </c>
      <c r="M16" s="154" t="s">
        <v>173</v>
      </c>
      <c r="N16" s="12"/>
      <c r="O16" s="24"/>
      <c r="P16" s="135"/>
      <c r="Q16" s="221"/>
      <c r="R16" s="69"/>
      <c r="S16" s="69"/>
      <c r="T16" s="69"/>
      <c r="U16" s="364"/>
      <c r="V16" s="364"/>
      <c r="W16" s="364"/>
      <c r="X16" s="364"/>
      <c r="Y16" s="364"/>
      <c r="Z16" s="369" t="s">
        <v>174</v>
      </c>
      <c r="AA16" s="982"/>
      <c r="AB16" s="982"/>
      <c r="AC16" s="982"/>
      <c r="AD16" s="982"/>
      <c r="AE16" s="982"/>
      <c r="AF16" s="982"/>
      <c r="AG16" s="982"/>
      <c r="AH16" s="982"/>
      <c r="AI16" s="982"/>
      <c r="AJ16" s="982"/>
      <c r="AK16" s="982"/>
      <c r="AL16" s="69"/>
      <c r="AM16" s="69"/>
      <c r="AN16" s="69"/>
      <c r="AO16" s="69"/>
      <c r="AP16" s="69"/>
      <c r="AQ16" s="69"/>
      <c r="AR16" s="69"/>
      <c r="AS16" s="69"/>
    </row>
    <row r="17" spans="1:42" ht="14.4" x14ac:dyDescent="0.3">
      <c r="A17" s="364"/>
      <c r="B17" s="128" t="s">
        <v>175</v>
      </c>
      <c r="C17" s="92" t="s">
        <v>176</v>
      </c>
      <c r="D17" s="135" t="s">
        <v>173</v>
      </c>
      <c r="E17" s="221" t="s">
        <v>173</v>
      </c>
      <c r="F17" s="958" t="str">
        <f>IF(G17=AH18,"x","")</f>
        <v>x</v>
      </c>
      <c r="G17" s="152" t="s">
        <v>177</v>
      </c>
      <c r="H17" s="958" t="str">
        <f>IF(I17=AI18,"x","")</f>
        <v>x</v>
      </c>
      <c r="I17" s="152">
        <v>3.9E-2</v>
      </c>
      <c r="J17" s="12" t="s">
        <v>173</v>
      </c>
      <c r="K17" s="12" t="s">
        <v>173</v>
      </c>
      <c r="L17" s="135" t="s">
        <v>173</v>
      </c>
      <c r="M17" s="154" t="s">
        <v>173</v>
      </c>
      <c r="N17" s="12"/>
      <c r="O17" s="24"/>
      <c r="P17" s="135"/>
      <c r="Q17" s="221"/>
      <c r="R17" s="69"/>
      <c r="S17" s="69"/>
      <c r="T17" s="69"/>
      <c r="U17" s="364"/>
      <c r="V17" s="373"/>
      <c r="W17" s="373"/>
      <c r="X17" s="373"/>
      <c r="Y17" s="373"/>
      <c r="Z17" s="982" t="s">
        <v>121</v>
      </c>
      <c r="AA17" s="982" t="s">
        <v>122</v>
      </c>
      <c r="AB17" s="982" t="s">
        <v>121</v>
      </c>
      <c r="AC17" s="982" t="s">
        <v>123</v>
      </c>
      <c r="AD17" s="982" t="s">
        <v>124</v>
      </c>
      <c r="AE17" s="982" t="s">
        <v>17</v>
      </c>
      <c r="AF17" s="982" t="s">
        <v>126</v>
      </c>
      <c r="AG17" s="982" t="s">
        <v>129</v>
      </c>
      <c r="AH17" s="982" t="s">
        <v>130</v>
      </c>
      <c r="AI17" s="982" t="s">
        <v>157</v>
      </c>
      <c r="AJ17" s="69"/>
      <c r="AK17" s="69"/>
      <c r="AL17" s="69"/>
      <c r="AM17" s="69"/>
      <c r="AN17" s="69"/>
      <c r="AO17" s="69"/>
      <c r="AP17" s="69"/>
    </row>
    <row r="18" spans="1:42" ht="14.4" x14ac:dyDescent="0.3">
      <c r="A18" s="364"/>
      <c r="B18" s="278" t="s">
        <v>175</v>
      </c>
      <c r="C18" s="156" t="s">
        <v>178</v>
      </c>
      <c r="D18" s="158" t="s">
        <v>173</v>
      </c>
      <c r="E18" s="222" t="s">
        <v>173</v>
      </c>
      <c r="F18" s="952" t="str">
        <f>IF(G18=AH19,"x","")</f>
        <v>x</v>
      </c>
      <c r="G18" s="172" t="s">
        <v>179</v>
      </c>
      <c r="H18" s="952" t="str">
        <f>IF(I18=AI19,"x","")</f>
        <v>x</v>
      </c>
      <c r="I18" s="272">
        <v>7.0000000000000007E-2</v>
      </c>
      <c r="J18" s="163" t="s">
        <v>173</v>
      </c>
      <c r="K18" s="163" t="s">
        <v>173</v>
      </c>
      <c r="L18" s="158" t="s">
        <v>173</v>
      </c>
      <c r="M18" s="164" t="s">
        <v>173</v>
      </c>
      <c r="N18" s="163"/>
      <c r="O18" s="159"/>
      <c r="P18" s="158"/>
      <c r="Q18" s="222"/>
      <c r="R18" s="69"/>
      <c r="S18" s="809"/>
      <c r="T18" s="809"/>
      <c r="U18" s="809"/>
      <c r="V18" s="809"/>
      <c r="W18" s="809"/>
      <c r="X18" s="809"/>
      <c r="Y18" s="808" t="s">
        <v>180</v>
      </c>
      <c r="Z18" s="949" t="s">
        <v>181</v>
      </c>
      <c r="AA18" s="949" t="s">
        <v>137</v>
      </c>
      <c r="AB18" s="949" t="s">
        <v>169</v>
      </c>
      <c r="AC18" s="949" t="s">
        <v>139</v>
      </c>
      <c r="AD18" s="949" t="s">
        <v>170</v>
      </c>
      <c r="AE18" s="949" t="s">
        <v>141</v>
      </c>
      <c r="AF18" s="949">
        <v>1221.17</v>
      </c>
      <c r="AG18" s="949" t="s">
        <v>176</v>
      </c>
      <c r="AH18" s="949" t="s">
        <v>177</v>
      </c>
      <c r="AI18" s="949">
        <v>3.9E-2</v>
      </c>
      <c r="AJ18" s="69"/>
      <c r="AK18" s="69"/>
      <c r="AL18" s="69"/>
      <c r="AM18" s="69"/>
      <c r="AN18" s="69"/>
      <c r="AO18" s="69"/>
      <c r="AP18" s="69"/>
    </row>
    <row r="19" spans="1:42" ht="14.4" x14ac:dyDescent="0.3">
      <c r="A19" s="364"/>
      <c r="B19" s="366"/>
      <c r="C19" s="92"/>
      <c r="D19" s="364"/>
      <c r="E19" s="92"/>
      <c r="F19" s="364"/>
      <c r="G19" s="366"/>
      <c r="H19" s="364"/>
      <c r="I19" s="34"/>
      <c r="J19" s="6"/>
      <c r="K19" s="34"/>
      <c r="L19" s="6"/>
      <c r="M19" s="34"/>
      <c r="N19" s="6"/>
      <c r="O19" s="31"/>
      <c r="P19" s="6"/>
      <c r="Q19" s="31"/>
      <c r="R19" s="69"/>
      <c r="S19" s="809"/>
      <c r="T19" s="809"/>
      <c r="U19" s="809"/>
      <c r="V19" s="809"/>
      <c r="W19" s="809"/>
      <c r="X19" s="809"/>
      <c r="Y19" s="808" t="s">
        <v>182</v>
      </c>
      <c r="Z19" s="949" t="s">
        <v>183</v>
      </c>
      <c r="AA19" s="949" t="s">
        <v>137</v>
      </c>
      <c r="AB19" s="949" t="s">
        <v>138</v>
      </c>
      <c r="AC19" s="949" t="s">
        <v>139</v>
      </c>
      <c r="AD19" s="949" t="s">
        <v>140</v>
      </c>
      <c r="AE19" s="949" t="s">
        <v>141</v>
      </c>
      <c r="AF19" s="949">
        <v>182.71</v>
      </c>
      <c r="AG19" s="949" t="s">
        <v>178</v>
      </c>
      <c r="AH19" s="949" t="s">
        <v>179</v>
      </c>
      <c r="AI19" s="949">
        <v>7.0000000000000007E-2</v>
      </c>
      <c r="AJ19" s="69"/>
      <c r="AK19" s="69"/>
      <c r="AL19" s="69"/>
      <c r="AM19" s="69"/>
      <c r="AN19" s="69"/>
      <c r="AO19" s="69"/>
      <c r="AP19" s="69"/>
    </row>
    <row r="20" spans="1:42" x14ac:dyDescent="0.3">
      <c r="A20" s="364"/>
      <c r="B20" s="91" t="s">
        <v>184</v>
      </c>
      <c r="C20" s="92"/>
      <c r="D20" s="364"/>
      <c r="E20" s="92"/>
      <c r="F20" s="364"/>
      <c r="G20" s="366"/>
      <c r="H20" s="364"/>
      <c r="I20" s="34"/>
      <c r="J20" s="6"/>
      <c r="K20" s="34"/>
      <c r="L20" s="6"/>
      <c r="M20" s="34"/>
      <c r="N20" s="6"/>
      <c r="O20" s="31"/>
      <c r="P20" s="6"/>
      <c r="Q20" s="31"/>
      <c r="R20" s="69"/>
      <c r="S20" s="69"/>
      <c r="T20" s="69"/>
      <c r="U20" s="364"/>
      <c r="V20" s="364"/>
      <c r="W20" s="364"/>
      <c r="X20" s="364"/>
      <c r="Y20" s="364"/>
      <c r="Z20" s="69"/>
      <c r="AA20" s="69"/>
      <c r="AB20" s="69"/>
      <c r="AC20" s="69"/>
      <c r="AD20" s="69"/>
      <c r="AE20" s="69"/>
      <c r="AF20" s="69"/>
      <c r="AG20" s="69"/>
      <c r="AH20" s="69"/>
      <c r="AI20" s="69"/>
      <c r="AJ20" s="69"/>
      <c r="AK20" s="69"/>
      <c r="AL20" s="69"/>
      <c r="AM20" s="69"/>
      <c r="AN20" s="69"/>
      <c r="AO20" s="69"/>
      <c r="AP20" s="69"/>
    </row>
    <row r="21" spans="1:42" s="41" customFormat="1" ht="27.6" x14ac:dyDescent="0.3">
      <c r="A21" s="91"/>
      <c r="B21" s="138" t="s">
        <v>148</v>
      </c>
      <c r="C21" s="120" t="s">
        <v>149</v>
      </c>
      <c r="D21" s="138"/>
      <c r="E21" s="148" t="s">
        <v>150</v>
      </c>
      <c r="F21" s="138"/>
      <c r="G21" s="148" t="s">
        <v>151</v>
      </c>
      <c r="H21" s="138"/>
      <c r="I21" s="148" t="s">
        <v>185</v>
      </c>
      <c r="J21" s="138"/>
      <c r="K21" s="148" t="s">
        <v>186</v>
      </c>
      <c r="L21" s="91"/>
      <c r="M21" s="38"/>
      <c r="N21" s="91"/>
      <c r="O21" s="38"/>
      <c r="P21" s="91"/>
      <c r="Q21" s="38"/>
      <c r="R21" s="69"/>
      <c r="U21" s="364"/>
      <c r="V21" s="364"/>
      <c r="W21" s="364"/>
      <c r="X21" s="364"/>
      <c r="Y21" s="364"/>
      <c r="Z21" s="369" t="s">
        <v>187</v>
      </c>
      <c r="AA21" s="982"/>
      <c r="AB21" s="982"/>
      <c r="AC21" s="982"/>
      <c r="AD21" s="982"/>
      <c r="AE21" s="982"/>
      <c r="AF21" s="982"/>
      <c r="AG21" s="982"/>
      <c r="AH21" s="982"/>
      <c r="AI21" s="982"/>
    </row>
    <row r="22" spans="1:42" s="82" customFormat="1" ht="15" thickBot="1" x14ac:dyDescent="0.35">
      <c r="A22" s="83"/>
      <c r="B22" s="132"/>
      <c r="C22" s="992" t="s">
        <v>188</v>
      </c>
      <c r="D22" s="139"/>
      <c r="E22" s="993" t="s">
        <v>189</v>
      </c>
      <c r="F22" s="139"/>
      <c r="G22" s="993" t="s">
        <v>190</v>
      </c>
      <c r="H22" s="145"/>
      <c r="I22" s="993" t="s">
        <v>191</v>
      </c>
      <c r="J22" s="145"/>
      <c r="K22" s="993" t="s">
        <v>192</v>
      </c>
      <c r="L22" s="83"/>
      <c r="M22" s="30"/>
      <c r="N22" s="83"/>
      <c r="O22" s="30"/>
      <c r="P22" s="30"/>
      <c r="Q22" s="30"/>
      <c r="R22" s="69"/>
      <c r="U22" s="364"/>
      <c r="V22" s="364"/>
      <c r="W22" s="364"/>
      <c r="X22" s="364"/>
      <c r="Y22" s="364"/>
      <c r="Z22" s="982" t="s">
        <v>121</v>
      </c>
      <c r="AA22" s="982" t="s">
        <v>122</v>
      </c>
      <c r="AB22" s="982" t="s">
        <v>123</v>
      </c>
      <c r="AC22" s="982" t="s">
        <v>124</v>
      </c>
      <c r="AD22" s="982" t="s">
        <v>121</v>
      </c>
      <c r="AE22" s="982" t="s">
        <v>126</v>
      </c>
      <c r="AF22" s="982" t="s">
        <v>156</v>
      </c>
      <c r="AG22" s="982" t="s">
        <v>193</v>
      </c>
      <c r="AH22" s="982" t="s">
        <v>194</v>
      </c>
      <c r="AI22" s="982" t="s">
        <v>129</v>
      </c>
      <c r="AJ22" s="982" t="s">
        <v>195</v>
      </c>
      <c r="AK22" s="982" t="s">
        <v>196</v>
      </c>
      <c r="AL22" s="982" t="s">
        <v>157</v>
      </c>
      <c r="AM22" s="982" t="s">
        <v>185</v>
      </c>
      <c r="AN22" s="982" t="s">
        <v>186</v>
      </c>
      <c r="AO22" s="982" t="s">
        <v>197</v>
      </c>
      <c r="AP22" s="982" t="s">
        <v>198</v>
      </c>
    </row>
    <row r="23" spans="1:42" ht="15" thickTop="1" x14ac:dyDescent="0.3">
      <c r="A23" s="364"/>
      <c r="B23" s="155" t="s">
        <v>187</v>
      </c>
      <c r="C23" s="167" t="s">
        <v>199</v>
      </c>
      <c r="D23" s="976" t="str">
        <f>IF(E23=AG23,"x","")</f>
        <v>x</v>
      </c>
      <c r="E23" s="472" t="s">
        <v>199</v>
      </c>
      <c r="F23" s="976" t="str">
        <f>IF(G23=AL23,"x","")</f>
        <v>x</v>
      </c>
      <c r="G23" s="255">
        <v>0.25</v>
      </c>
      <c r="H23" s="976" t="str">
        <f>IF(I23=AM23,"x","")</f>
        <v>x</v>
      </c>
      <c r="I23" s="955">
        <v>0.2</v>
      </c>
      <c r="J23" s="976" t="str">
        <f>IF(K23=AN23,"x","")</f>
        <v>x</v>
      </c>
      <c r="K23" s="955">
        <v>0.45</v>
      </c>
      <c r="L23" s="364"/>
      <c r="M23" s="32"/>
      <c r="N23" s="364"/>
      <c r="O23" s="92"/>
      <c r="P23" s="364"/>
      <c r="Q23" s="92"/>
      <c r="R23" s="69"/>
      <c r="S23" s="809"/>
      <c r="T23" s="809"/>
      <c r="U23" s="809"/>
      <c r="V23" s="809"/>
      <c r="W23" s="809"/>
      <c r="X23" s="809"/>
      <c r="Y23" s="808" t="s">
        <v>200</v>
      </c>
      <c r="Z23" s="949" t="s">
        <v>201</v>
      </c>
      <c r="AA23" s="949" t="s">
        <v>137</v>
      </c>
      <c r="AB23" s="949" t="s">
        <v>139</v>
      </c>
      <c r="AC23" s="949" t="s">
        <v>170</v>
      </c>
      <c r="AD23" s="949" t="s">
        <v>168</v>
      </c>
      <c r="AE23" s="949">
        <v>30.02</v>
      </c>
      <c r="AF23" s="949">
        <v>180</v>
      </c>
      <c r="AG23" s="949" t="s">
        <v>199</v>
      </c>
      <c r="AH23" s="949" t="s">
        <v>202</v>
      </c>
      <c r="AI23" s="949" t="s">
        <v>199</v>
      </c>
      <c r="AJ23" s="949" t="s">
        <v>203</v>
      </c>
      <c r="AK23" s="949" t="s">
        <v>203</v>
      </c>
      <c r="AL23" s="949">
        <v>0.25</v>
      </c>
      <c r="AM23" s="949">
        <v>0.2</v>
      </c>
      <c r="AN23" s="949">
        <v>0.45</v>
      </c>
      <c r="AO23" s="949">
        <v>0.25</v>
      </c>
      <c r="AP23" s="949">
        <v>-99996</v>
      </c>
    </row>
    <row r="24" spans="1:42" ht="14.4" x14ac:dyDescent="0.3">
      <c r="A24" s="364"/>
      <c r="B24" s="364"/>
      <c r="C24" s="366"/>
      <c r="D24" s="364"/>
      <c r="E24" s="366"/>
      <c r="F24" s="364"/>
      <c r="G24" s="92"/>
      <c r="H24" s="364"/>
      <c r="I24" s="92"/>
      <c r="J24" s="364"/>
      <c r="K24" s="92"/>
      <c r="L24" s="364"/>
      <c r="M24" s="92"/>
      <c r="N24" s="364"/>
      <c r="O24" s="92"/>
      <c r="P24" s="364"/>
      <c r="Q24" s="92"/>
      <c r="R24" s="69"/>
      <c r="S24" s="69"/>
      <c r="T24" s="69"/>
      <c r="U24" s="364"/>
      <c r="V24" s="82"/>
      <c r="W24" s="82"/>
      <c r="X24" s="82"/>
      <c r="Y24" s="364"/>
      <c r="Z24" s="358">
        <v>1</v>
      </c>
      <c r="AA24" s="358">
        <f>Z24+1</f>
        <v>2</v>
      </c>
      <c r="AB24" s="358">
        <f t="shared" ref="AB24:AE24" si="0">AA24+1</f>
        <v>3</v>
      </c>
      <c r="AC24" s="358">
        <f t="shared" si="0"/>
        <v>4</v>
      </c>
      <c r="AD24" s="358">
        <f t="shared" si="0"/>
        <v>5</v>
      </c>
      <c r="AE24" s="358">
        <f t="shared" si="0"/>
        <v>6</v>
      </c>
      <c r="AF24" s="358">
        <v>7</v>
      </c>
      <c r="AG24" s="69"/>
      <c r="AH24" s="982"/>
      <c r="AI24" s="982"/>
      <c r="AJ24" s="69"/>
      <c r="AK24" s="69"/>
      <c r="AL24" s="69"/>
      <c r="AM24" s="69"/>
      <c r="AN24" s="69"/>
      <c r="AO24" s="69"/>
      <c r="AP24" s="69"/>
    </row>
    <row r="25" spans="1:42" ht="14.4" x14ac:dyDescent="0.3">
      <c r="A25" s="27"/>
      <c r="B25" s="377" t="s">
        <v>204</v>
      </c>
      <c r="C25" s="39"/>
      <c r="D25" s="41"/>
      <c r="E25" s="39"/>
      <c r="F25" s="41"/>
      <c r="G25" s="39"/>
      <c r="H25" s="41"/>
      <c r="I25" s="39"/>
      <c r="J25" s="41"/>
      <c r="K25" s="39"/>
      <c r="L25" s="41"/>
      <c r="M25" s="39"/>
      <c r="N25" s="41"/>
      <c r="O25" s="39"/>
      <c r="P25" s="364"/>
      <c r="Q25" s="39"/>
      <c r="R25" s="69"/>
      <c r="S25" s="69"/>
      <c r="T25" s="69"/>
      <c r="U25" s="69"/>
      <c r="V25" s="69"/>
      <c r="W25" s="69"/>
      <c r="X25" s="69"/>
      <c r="Y25" s="69"/>
      <c r="Z25" s="369" t="s">
        <v>205</v>
      </c>
      <c r="AA25" s="982"/>
      <c r="AB25" s="982"/>
      <c r="AC25" s="982"/>
      <c r="AD25" s="982"/>
      <c r="AE25" s="982"/>
      <c r="AF25" s="982"/>
      <c r="AG25" s="982"/>
      <c r="AH25" s="982"/>
      <c r="AI25" s="82"/>
      <c r="AJ25" s="69"/>
      <c r="AK25" s="69"/>
      <c r="AL25" s="69"/>
      <c r="AM25" s="69"/>
      <c r="AN25" s="69"/>
      <c r="AO25" s="69"/>
      <c r="AP25" s="69"/>
    </row>
    <row r="26" spans="1:42" ht="14.4" x14ac:dyDescent="0.3">
      <c r="A26" s="364"/>
      <c r="B26" s="91" t="s">
        <v>146</v>
      </c>
      <c r="C26" s="948"/>
      <c r="D26" s="373">
        <f>AB24</f>
        <v>3</v>
      </c>
      <c r="E26" s="948"/>
      <c r="F26" s="373">
        <f>AC24</f>
        <v>4</v>
      </c>
      <c r="G26" s="948"/>
      <c r="H26" s="373">
        <f>AD24</f>
        <v>5</v>
      </c>
      <c r="I26" s="948"/>
      <c r="J26" s="373">
        <f>AE24</f>
        <v>6</v>
      </c>
      <c r="K26" s="948"/>
      <c r="L26" s="373">
        <f>AF24</f>
        <v>7</v>
      </c>
      <c r="M26" s="948"/>
      <c r="N26" s="373">
        <v>8</v>
      </c>
      <c r="O26" s="948"/>
      <c r="P26" s="373">
        <v>9</v>
      </c>
      <c r="Q26" s="92"/>
      <c r="R26" s="69"/>
      <c r="S26" s="69"/>
      <c r="T26" s="69"/>
      <c r="U26" s="364"/>
      <c r="V26" s="364"/>
      <c r="W26" s="364"/>
      <c r="X26" s="364"/>
      <c r="Y26" s="364"/>
      <c r="Z26" s="982" t="s">
        <v>121</v>
      </c>
      <c r="AA26" s="982" t="s">
        <v>206</v>
      </c>
      <c r="AB26" s="982" t="s">
        <v>207</v>
      </c>
      <c r="AC26" s="982" t="s">
        <v>208</v>
      </c>
      <c r="AD26" s="982" t="s">
        <v>209</v>
      </c>
      <c r="AE26" s="982" t="s">
        <v>210</v>
      </c>
      <c r="AF26" s="982" t="s">
        <v>211</v>
      </c>
      <c r="AG26" s="982" t="s">
        <v>212</v>
      </c>
      <c r="AH26" s="982" t="s">
        <v>213</v>
      </c>
      <c r="AI26" s="69"/>
      <c r="AJ26" s="69"/>
      <c r="AK26" s="69"/>
      <c r="AL26" s="69"/>
      <c r="AM26" s="69"/>
      <c r="AN26" s="69"/>
      <c r="AO26" s="69"/>
      <c r="AP26" s="69"/>
    </row>
    <row r="27" spans="1:42" s="41" customFormat="1" ht="14.4" x14ac:dyDescent="0.3">
      <c r="A27" s="91"/>
      <c r="B27" s="138" t="s">
        <v>148</v>
      </c>
      <c r="C27" s="120" t="s">
        <v>149</v>
      </c>
      <c r="D27" s="138"/>
      <c r="E27" s="117" t="s">
        <v>214</v>
      </c>
      <c r="F27" s="138"/>
      <c r="G27" s="117" t="s">
        <v>215</v>
      </c>
      <c r="H27" s="119"/>
      <c r="I27" s="117" t="s">
        <v>216</v>
      </c>
      <c r="J27" s="138"/>
      <c r="K27" s="117" t="s">
        <v>217</v>
      </c>
      <c r="L27" s="138"/>
      <c r="M27" s="117" t="s">
        <v>218</v>
      </c>
      <c r="N27" s="119"/>
      <c r="O27" s="117" t="s">
        <v>219</v>
      </c>
      <c r="P27" s="91"/>
      <c r="Q27" s="85"/>
      <c r="R27" s="69"/>
      <c r="S27" s="809"/>
      <c r="T27" s="809"/>
      <c r="U27" s="809"/>
      <c r="V27" s="809"/>
      <c r="W27" s="809"/>
      <c r="X27" s="809"/>
      <c r="Y27" s="808" t="s">
        <v>220</v>
      </c>
      <c r="Z27" s="949" t="s">
        <v>171</v>
      </c>
      <c r="AA27" s="949" t="s">
        <v>221</v>
      </c>
      <c r="AB27" s="949" t="s">
        <v>222</v>
      </c>
      <c r="AC27" s="949" t="s">
        <v>223</v>
      </c>
      <c r="AD27" s="949" t="s">
        <v>224</v>
      </c>
      <c r="AE27" s="949" t="s">
        <v>225</v>
      </c>
      <c r="AF27" s="949"/>
      <c r="AG27" s="949"/>
      <c r="AH27" s="949"/>
      <c r="AI27" s="69"/>
    </row>
    <row r="28" spans="1:42" s="82" customFormat="1" ht="14.4" thickBot="1" x14ac:dyDescent="0.35">
      <c r="A28" s="83"/>
      <c r="B28" s="132"/>
      <c r="C28" s="992" t="s">
        <v>159</v>
      </c>
      <c r="D28" s="139"/>
      <c r="E28" s="995" t="s">
        <v>226</v>
      </c>
      <c r="F28" s="139"/>
      <c r="G28" s="995" t="s">
        <v>226</v>
      </c>
      <c r="H28" s="125"/>
      <c r="I28" s="995" t="s">
        <v>226</v>
      </c>
      <c r="J28" s="145"/>
      <c r="K28" s="995" t="s">
        <v>226</v>
      </c>
      <c r="L28" s="145"/>
      <c r="M28" s="995" t="s">
        <v>226</v>
      </c>
      <c r="N28" s="125"/>
      <c r="O28" s="995" t="s">
        <v>226</v>
      </c>
      <c r="P28" s="30"/>
      <c r="Q28" s="30"/>
      <c r="R28" s="69"/>
      <c r="U28" s="364"/>
      <c r="V28" s="364"/>
      <c r="W28" s="364"/>
      <c r="X28" s="364"/>
      <c r="Y28" s="364"/>
      <c r="Z28" s="949" t="s">
        <v>143</v>
      </c>
      <c r="AA28" s="949" t="s">
        <v>132</v>
      </c>
      <c r="AB28" s="949" t="s">
        <v>227</v>
      </c>
      <c r="AC28" s="949" t="s">
        <v>228</v>
      </c>
      <c r="AD28" s="949" t="s">
        <v>229</v>
      </c>
      <c r="AE28" s="949"/>
      <c r="AF28" s="949"/>
      <c r="AG28" s="949"/>
      <c r="AH28" s="949"/>
      <c r="AI28" s="69"/>
    </row>
    <row r="29" spans="1:42" ht="14.4" thickTop="1" x14ac:dyDescent="0.3">
      <c r="A29" s="65"/>
      <c r="B29" s="129" t="s">
        <v>147</v>
      </c>
      <c r="C29" s="92" t="s">
        <v>171</v>
      </c>
      <c r="D29" s="958" t="str">
        <f>IF(E29=VLOOKUP($C29,$Z$27:$AF$32,D$26,FALSE),"x","")</f>
        <v>x</v>
      </c>
      <c r="E29" s="362" t="s">
        <v>222</v>
      </c>
      <c r="F29" s="958" t="str">
        <f>IF(G29=VLOOKUP($C29,$Z$27:$AF$32,F$26,FALSE),"x","")</f>
        <v>x</v>
      </c>
      <c r="G29" s="362" t="s">
        <v>223</v>
      </c>
      <c r="H29" s="959" t="str">
        <f>IF(I29=VLOOKUP($C29,$Z$27:$AF$32,H$26,FALSE),"x","")</f>
        <v>x</v>
      </c>
      <c r="I29" s="362" t="s">
        <v>224</v>
      </c>
      <c r="J29" s="958" t="str">
        <f>IF(K29=VLOOKUP($C29,$Z$27:$AF$32,J$26,FALSE),"x","")</f>
        <v>x</v>
      </c>
      <c r="K29" s="362" t="s">
        <v>225</v>
      </c>
      <c r="L29" s="135" t="s">
        <v>173</v>
      </c>
      <c r="M29" s="154" t="s">
        <v>173</v>
      </c>
      <c r="N29" s="12" t="s">
        <v>173</v>
      </c>
      <c r="O29" s="154" t="s">
        <v>173</v>
      </c>
      <c r="P29" s="364"/>
      <c r="Q29" s="72"/>
      <c r="R29" s="69"/>
      <c r="S29" s="69"/>
      <c r="T29" s="69"/>
      <c r="U29" s="364"/>
      <c r="V29" s="364"/>
      <c r="W29" s="364"/>
      <c r="X29" s="364"/>
      <c r="Y29" s="364"/>
      <c r="Z29" s="949" t="s">
        <v>230</v>
      </c>
      <c r="AA29" s="949" t="s">
        <v>231</v>
      </c>
      <c r="AB29" s="949" t="s">
        <v>232</v>
      </c>
      <c r="AC29" s="949" t="s">
        <v>232</v>
      </c>
      <c r="AD29" s="949"/>
      <c r="AE29" s="949"/>
      <c r="AF29" s="949"/>
      <c r="AG29" s="949"/>
      <c r="AH29" s="949"/>
      <c r="AI29" s="69"/>
      <c r="AJ29" s="69"/>
      <c r="AK29" s="69"/>
      <c r="AL29" s="69"/>
      <c r="AM29" s="69"/>
      <c r="AN29" s="69"/>
      <c r="AO29" s="69"/>
      <c r="AP29" s="69"/>
    </row>
    <row r="30" spans="1:42" ht="25.5" customHeight="1" x14ac:dyDescent="0.3">
      <c r="A30" s="65"/>
      <c r="B30" s="129" t="s">
        <v>132</v>
      </c>
      <c r="C30" s="92" t="s">
        <v>143</v>
      </c>
      <c r="D30" s="958" t="str">
        <f>IF(E30=VLOOKUP($C30,$Z$27:$AF$32,D$26,FALSE),"x","")</f>
        <v>x</v>
      </c>
      <c r="E30" s="362" t="s">
        <v>227</v>
      </c>
      <c r="F30" s="958" t="str">
        <f>IF(G30=VLOOKUP($C30,$Z$27:$AF$32,F$26,FALSE),"x","")</f>
        <v>x</v>
      </c>
      <c r="G30" s="362" t="s">
        <v>228</v>
      </c>
      <c r="H30" s="959" t="str">
        <f>IF(I30=VLOOKUP($C30,$Z$27:$AF$32,H$26,FALSE),"x","")</f>
        <v>x</v>
      </c>
      <c r="I30" s="362" t="s">
        <v>229</v>
      </c>
      <c r="J30" s="135" t="s">
        <v>173</v>
      </c>
      <c r="K30" s="154" t="s">
        <v>173</v>
      </c>
      <c r="L30" s="135" t="s">
        <v>173</v>
      </c>
      <c r="M30" s="154" t="s">
        <v>173</v>
      </c>
      <c r="N30" s="12" t="s">
        <v>173</v>
      </c>
      <c r="O30" s="154" t="s">
        <v>173</v>
      </c>
      <c r="P30" s="364"/>
      <c r="Q30" s="72"/>
      <c r="R30" s="69"/>
      <c r="S30" s="69"/>
      <c r="T30" s="69"/>
      <c r="U30" s="364"/>
      <c r="V30" s="364"/>
      <c r="W30" s="364"/>
      <c r="X30" s="364"/>
      <c r="Y30" s="364"/>
      <c r="Z30" s="949" t="s">
        <v>233</v>
      </c>
      <c r="AA30" s="949" t="s">
        <v>234</v>
      </c>
      <c r="AB30" s="949" t="s">
        <v>235</v>
      </c>
      <c r="AC30" s="949"/>
      <c r="AD30" s="949"/>
      <c r="AE30" s="949"/>
      <c r="AF30" s="949"/>
      <c r="AG30" s="949"/>
      <c r="AH30" s="949"/>
      <c r="AI30" s="69"/>
      <c r="AJ30" s="69"/>
      <c r="AK30" s="69"/>
      <c r="AL30" s="69"/>
      <c r="AM30" s="69"/>
      <c r="AN30" s="69"/>
      <c r="AO30" s="69"/>
      <c r="AP30" s="69"/>
    </row>
    <row r="31" spans="1:42" ht="27.6" x14ac:dyDescent="0.3">
      <c r="A31" s="65"/>
      <c r="B31" s="128" t="s">
        <v>175</v>
      </c>
      <c r="C31" s="92" t="s">
        <v>178</v>
      </c>
      <c r="D31" s="958" t="str">
        <f>IF(E31=VLOOKUP($C31,$Z$27:$AF$32,D$26,FALSE),"x","")</f>
        <v>x</v>
      </c>
      <c r="E31" s="362" t="s">
        <v>236</v>
      </c>
      <c r="F31" s="958" t="str">
        <f>IF(G31=VLOOKUP($C31,$Z$27:$AF$32,F$26,FALSE),"x","")</f>
        <v>x</v>
      </c>
      <c r="G31" s="362" t="s">
        <v>237</v>
      </c>
      <c r="H31" s="12" t="s">
        <v>173</v>
      </c>
      <c r="I31" s="154" t="s">
        <v>173</v>
      </c>
      <c r="J31" s="135" t="s">
        <v>173</v>
      </c>
      <c r="K31" s="154" t="s">
        <v>173</v>
      </c>
      <c r="L31" s="135" t="s">
        <v>173</v>
      </c>
      <c r="M31" s="154" t="s">
        <v>173</v>
      </c>
      <c r="N31" s="12" t="s">
        <v>173</v>
      </c>
      <c r="O31" s="154" t="s">
        <v>173</v>
      </c>
      <c r="P31" s="364"/>
      <c r="Q31" s="72"/>
      <c r="R31" s="69"/>
      <c r="S31" s="69"/>
      <c r="T31" s="69"/>
      <c r="U31" s="364"/>
      <c r="V31" s="364"/>
      <c r="W31" s="364"/>
      <c r="X31" s="364"/>
      <c r="Y31" s="364"/>
      <c r="Z31" s="949" t="s">
        <v>178</v>
      </c>
      <c r="AA31" s="949" t="s">
        <v>238</v>
      </c>
      <c r="AB31" s="949" t="s">
        <v>236</v>
      </c>
      <c r="AC31" s="949" t="s">
        <v>237</v>
      </c>
      <c r="AD31" s="949"/>
      <c r="AE31" s="949"/>
      <c r="AF31" s="949"/>
      <c r="AG31" s="949"/>
      <c r="AH31" s="949"/>
      <c r="AI31" s="93"/>
      <c r="AJ31" s="69"/>
      <c r="AK31" s="69"/>
      <c r="AL31" s="69"/>
      <c r="AM31" s="69"/>
      <c r="AN31" s="69"/>
      <c r="AO31" s="69"/>
      <c r="AP31" s="69"/>
    </row>
    <row r="32" spans="1:42" ht="14.25" customHeight="1" x14ac:dyDescent="0.3">
      <c r="A32" s="65"/>
      <c r="B32" s="278" t="s">
        <v>175</v>
      </c>
      <c r="C32" s="156" t="s">
        <v>176</v>
      </c>
      <c r="D32" s="952" t="str">
        <f>IF(E32=VLOOKUP($C32,$Z$27:$AF$32,D$26,FALSE),"x","")</f>
        <v>x</v>
      </c>
      <c r="E32" s="172" t="s">
        <v>229</v>
      </c>
      <c r="F32" s="952" t="str">
        <f>IF(G32=VLOOKUP($C32,$Z$27:$AF$32,F$26,FALSE),"x","")</f>
        <v>x</v>
      </c>
      <c r="G32" s="172" t="s">
        <v>239</v>
      </c>
      <c r="H32" s="960" t="str">
        <f>IF(I32=VLOOKUP($C32,$Z$27:$AF$32,H$26,FALSE),"x","")</f>
        <v>x</v>
      </c>
      <c r="I32" s="172" t="s">
        <v>240</v>
      </c>
      <c r="J32" s="952" t="str">
        <f>IF(K32=VLOOKUP($C32,$Z$27:$AF$32,J$26,FALSE),"x","")</f>
        <v>x</v>
      </c>
      <c r="K32" s="172" t="s">
        <v>241</v>
      </c>
      <c r="L32" s="952" t="str">
        <f>IF(M32=VLOOKUP($C32,$Z$27:$AF$32,L$26,FALSE),"x","")</f>
        <v>x</v>
      </c>
      <c r="M32" s="172" t="s">
        <v>242</v>
      </c>
      <c r="N32" s="163" t="s">
        <v>173</v>
      </c>
      <c r="O32" s="164" t="s">
        <v>173</v>
      </c>
      <c r="P32" s="364"/>
      <c r="Q32" s="72"/>
      <c r="R32" s="69"/>
      <c r="S32" s="69"/>
      <c r="T32" s="69"/>
      <c r="U32" s="364"/>
      <c r="V32" s="364"/>
      <c r="W32" s="364"/>
      <c r="X32" s="364"/>
      <c r="Y32" s="364"/>
      <c r="Z32" s="949" t="s">
        <v>176</v>
      </c>
      <c r="AA32" s="949" t="s">
        <v>238</v>
      </c>
      <c r="AB32" s="949" t="s">
        <v>229</v>
      </c>
      <c r="AC32" s="949" t="s">
        <v>239</v>
      </c>
      <c r="AD32" s="949" t="s">
        <v>240</v>
      </c>
      <c r="AE32" s="949" t="s">
        <v>241</v>
      </c>
      <c r="AF32" s="949" t="s">
        <v>242</v>
      </c>
      <c r="AG32" s="949"/>
      <c r="AH32" s="949"/>
      <c r="AI32" s="93"/>
      <c r="AJ32" s="69"/>
      <c r="AK32" s="69"/>
      <c r="AL32" s="69"/>
      <c r="AM32" s="69"/>
      <c r="AN32" s="69"/>
      <c r="AO32" s="69"/>
      <c r="AP32" s="69"/>
    </row>
    <row r="33" spans="1:45" s="69" customFormat="1" ht="14.25" customHeight="1" x14ac:dyDescent="0.3">
      <c r="A33" s="72"/>
      <c r="B33" s="72"/>
      <c r="C33" s="72"/>
      <c r="D33" s="72"/>
      <c r="E33" s="72"/>
      <c r="F33" s="72"/>
      <c r="G33" s="72"/>
      <c r="H33" s="72"/>
      <c r="I33" s="72"/>
      <c r="J33" s="72"/>
      <c r="K33" s="72"/>
      <c r="L33" s="72"/>
      <c r="M33" s="72"/>
      <c r="N33" s="72"/>
      <c r="O33" s="72"/>
      <c r="P33" s="72"/>
      <c r="Q33" s="72"/>
      <c r="U33" s="364"/>
      <c r="V33" s="364"/>
      <c r="W33" s="364"/>
      <c r="X33" s="364"/>
      <c r="Y33" s="364"/>
      <c r="Z33" s="982"/>
      <c r="AA33" s="982"/>
      <c r="AB33" s="982"/>
      <c r="AC33" s="982"/>
      <c r="AD33" s="982"/>
      <c r="AE33" s="982"/>
      <c r="AF33" s="982"/>
      <c r="AG33" s="982"/>
      <c r="AH33" s="982"/>
      <c r="AI33" s="93"/>
    </row>
    <row r="34" spans="1:45" s="69" customFormat="1" ht="14.4" x14ac:dyDescent="0.3">
      <c r="A34" s="364"/>
      <c r="B34" s="83"/>
      <c r="C34" s="30"/>
      <c r="D34" s="364"/>
      <c r="E34" s="366"/>
      <c r="F34" s="364"/>
      <c r="G34" s="92"/>
      <c r="H34" s="364"/>
      <c r="I34" s="92"/>
      <c r="J34" s="364"/>
      <c r="K34" s="92"/>
      <c r="L34" s="364"/>
      <c r="M34" s="92"/>
      <c r="N34" s="364"/>
      <c r="O34" s="92"/>
      <c r="P34" s="364"/>
      <c r="Q34" s="92"/>
      <c r="Z34" s="369" t="s">
        <v>116</v>
      </c>
      <c r="AA34" s="982"/>
      <c r="AB34" s="982"/>
      <c r="AC34" s="982"/>
      <c r="AD34" s="982"/>
      <c r="AE34" s="982"/>
      <c r="AF34" s="982"/>
      <c r="AG34" s="982"/>
      <c r="AH34" s="982"/>
      <c r="AI34" s="982"/>
      <c r="AJ34" s="982"/>
      <c r="AK34" s="982"/>
      <c r="AL34" s="982" t="s">
        <v>117</v>
      </c>
      <c r="AM34" s="982"/>
      <c r="AN34" s="982" t="s">
        <v>118</v>
      </c>
      <c r="AO34" s="982"/>
      <c r="AP34" s="982" t="s">
        <v>119</v>
      </c>
      <c r="AQ34" s="982"/>
      <c r="AR34" s="982" t="s">
        <v>120</v>
      </c>
      <c r="AS34" s="982"/>
    </row>
    <row r="35" spans="1:45" s="93" customFormat="1" ht="14.4" x14ac:dyDescent="0.3">
      <c r="R35" s="69"/>
      <c r="S35" s="69"/>
      <c r="T35" s="69"/>
      <c r="U35" s="69"/>
      <c r="V35" s="69"/>
      <c r="W35" s="69"/>
      <c r="X35" s="69"/>
      <c r="Y35" s="69"/>
      <c r="Z35" s="982" t="s">
        <v>121</v>
      </c>
      <c r="AA35" s="982" t="s">
        <v>122</v>
      </c>
      <c r="AB35" s="982" t="s">
        <v>121</v>
      </c>
      <c r="AC35" s="982" t="s">
        <v>123</v>
      </c>
      <c r="AD35" s="982" t="s">
        <v>124</v>
      </c>
      <c r="AE35" s="982" t="s">
        <v>125</v>
      </c>
      <c r="AF35" s="982" t="s">
        <v>126</v>
      </c>
      <c r="AG35" s="982" t="s">
        <v>127</v>
      </c>
      <c r="AH35" s="982" t="s">
        <v>128</v>
      </c>
      <c r="AI35" s="982" t="s">
        <v>129</v>
      </c>
      <c r="AJ35" s="982" t="s">
        <v>130</v>
      </c>
      <c r="AK35" s="982" t="s">
        <v>131</v>
      </c>
      <c r="AL35" s="982" t="s">
        <v>132</v>
      </c>
      <c r="AM35" s="982" t="s">
        <v>133</v>
      </c>
      <c r="AN35" s="982" t="s">
        <v>132</v>
      </c>
      <c r="AO35" s="982" t="s">
        <v>133</v>
      </c>
      <c r="AP35" s="982" t="s">
        <v>132</v>
      </c>
      <c r="AQ35" s="982" t="s">
        <v>133</v>
      </c>
      <c r="AR35" s="982" t="s">
        <v>132</v>
      </c>
      <c r="AS35" s="982" t="s">
        <v>133</v>
      </c>
    </row>
    <row r="36" spans="1:45" s="13" customFormat="1" ht="14.4" x14ac:dyDescent="0.3">
      <c r="A36" s="285"/>
      <c r="B36" s="286" t="s">
        <v>243</v>
      </c>
      <c r="C36" s="287"/>
      <c r="D36" s="285"/>
      <c r="E36" s="287"/>
      <c r="F36" s="285"/>
      <c r="G36" s="288"/>
      <c r="H36" s="285"/>
      <c r="I36" s="287"/>
      <c r="J36" s="285"/>
      <c r="K36" s="287"/>
      <c r="L36" s="285"/>
      <c r="M36" s="285"/>
      <c r="N36" s="285"/>
      <c r="O36" s="287"/>
      <c r="P36" s="285"/>
      <c r="Q36" s="287"/>
      <c r="R36" s="69"/>
      <c r="S36" s="812"/>
      <c r="T36" s="812"/>
      <c r="U36" s="812"/>
      <c r="V36" s="812"/>
      <c r="W36" s="812"/>
      <c r="X36" s="812"/>
      <c r="Y36" s="813" t="s">
        <v>244</v>
      </c>
      <c r="Z36" s="949" t="s">
        <v>136</v>
      </c>
      <c r="AA36" s="949" t="s">
        <v>137</v>
      </c>
      <c r="AB36" s="949" t="s">
        <v>138</v>
      </c>
      <c r="AC36" s="949" t="s">
        <v>139</v>
      </c>
      <c r="AD36" s="949" t="s">
        <v>140</v>
      </c>
      <c r="AE36" s="949" t="s">
        <v>141</v>
      </c>
      <c r="AF36" s="949">
        <v>2126.0300000000002</v>
      </c>
      <c r="AG36" s="949">
        <v>18.452400000000001</v>
      </c>
      <c r="AH36" s="949" t="s">
        <v>142</v>
      </c>
      <c r="AI36" s="949" t="s">
        <v>245</v>
      </c>
      <c r="AJ36" s="949" t="s">
        <v>144</v>
      </c>
      <c r="AK36" s="949">
        <v>-99996</v>
      </c>
      <c r="AL36" s="949">
        <v>0.85</v>
      </c>
      <c r="AM36" s="949">
        <v>0.85</v>
      </c>
      <c r="AN36" s="949">
        <v>0.85</v>
      </c>
      <c r="AO36" s="949">
        <v>0.85</v>
      </c>
      <c r="AP36" s="949">
        <v>0.2</v>
      </c>
      <c r="AQ36" s="949">
        <v>0.2</v>
      </c>
      <c r="AR36" s="949">
        <v>0.92</v>
      </c>
      <c r="AS36" s="949">
        <v>0.8</v>
      </c>
    </row>
    <row r="37" spans="1:45" s="13" customFormat="1" x14ac:dyDescent="0.3">
      <c r="A37" s="289"/>
      <c r="B37" s="46" t="s">
        <v>145</v>
      </c>
      <c r="C37" s="96"/>
      <c r="D37" s="91"/>
      <c r="E37" s="92"/>
      <c r="F37" s="91"/>
      <c r="G37" s="30"/>
      <c r="H37" s="91"/>
      <c r="I37" s="92"/>
      <c r="J37" s="91"/>
      <c r="K37" s="92"/>
      <c r="L37" s="91"/>
      <c r="M37" s="92"/>
      <c r="N37" s="91"/>
      <c r="O37" s="84"/>
      <c r="P37" s="91"/>
      <c r="Q37" s="84"/>
      <c r="R37" s="69"/>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row>
    <row r="38" spans="1:45" s="13" customFormat="1" ht="14.4" x14ac:dyDescent="0.3">
      <c r="A38" s="93"/>
      <c r="B38" s="90" t="s">
        <v>146</v>
      </c>
      <c r="C38" s="96"/>
      <c r="D38" s="93"/>
      <c r="E38" s="96"/>
      <c r="F38" s="93"/>
      <c r="G38" s="25"/>
      <c r="H38" s="93"/>
      <c r="I38" s="96"/>
      <c r="J38" s="91"/>
      <c r="K38" s="96"/>
      <c r="L38" s="91"/>
      <c r="M38" s="96"/>
      <c r="N38" s="91"/>
      <c r="O38" s="84"/>
      <c r="P38" s="91"/>
      <c r="Q38" s="84"/>
      <c r="R38" s="69"/>
      <c r="S38" s="93"/>
      <c r="T38" s="93"/>
      <c r="U38" s="364"/>
      <c r="V38" s="89"/>
      <c r="W38" s="89"/>
      <c r="X38" s="89"/>
      <c r="Y38" s="89"/>
      <c r="Z38" s="369" t="s">
        <v>147</v>
      </c>
      <c r="AA38" s="982"/>
      <c r="AB38" s="982"/>
      <c r="AC38" s="982"/>
      <c r="AD38" s="982"/>
      <c r="AE38" s="982"/>
      <c r="AF38" s="982"/>
      <c r="AG38" s="982"/>
      <c r="AH38" s="982"/>
      <c r="AI38" s="982"/>
      <c r="AJ38" s="982"/>
      <c r="AK38" s="982"/>
      <c r="AL38" s="41"/>
      <c r="AM38" s="41"/>
      <c r="AN38" s="41"/>
      <c r="AO38" s="41"/>
      <c r="AP38" s="41"/>
      <c r="AQ38" s="41"/>
      <c r="AR38" s="41"/>
      <c r="AS38" s="41"/>
    </row>
    <row r="39" spans="1:45" s="41" customFormat="1" ht="41.4" x14ac:dyDescent="0.3">
      <c r="A39" s="91"/>
      <c r="B39" s="138" t="s">
        <v>148</v>
      </c>
      <c r="C39" s="120" t="s">
        <v>149</v>
      </c>
      <c r="D39" s="138"/>
      <c r="E39" s="148" t="s">
        <v>128</v>
      </c>
      <c r="F39" s="138"/>
      <c r="G39" s="148" t="s">
        <v>150</v>
      </c>
      <c r="H39" s="138"/>
      <c r="I39" s="148" t="s">
        <v>151</v>
      </c>
      <c r="J39" s="144"/>
      <c r="K39" s="148" t="s">
        <v>152</v>
      </c>
      <c r="L39" s="144"/>
      <c r="M39" s="148" t="s">
        <v>153</v>
      </c>
      <c r="N39" s="144"/>
      <c r="O39" s="116" t="s">
        <v>154</v>
      </c>
      <c r="P39" s="122"/>
      <c r="Q39" s="116" t="s">
        <v>155</v>
      </c>
      <c r="R39" s="69"/>
      <c r="U39" s="364"/>
      <c r="V39" s="84"/>
      <c r="W39" s="84"/>
      <c r="X39" s="84"/>
      <c r="Y39" s="84"/>
      <c r="Z39" s="982" t="s">
        <v>121</v>
      </c>
      <c r="AA39" s="982" t="s">
        <v>122</v>
      </c>
      <c r="AB39" s="982" t="s">
        <v>121</v>
      </c>
      <c r="AC39" s="982" t="s">
        <v>123</v>
      </c>
      <c r="AD39" s="982" t="s">
        <v>124</v>
      </c>
      <c r="AE39" s="982" t="s">
        <v>17</v>
      </c>
      <c r="AF39" s="982" t="s">
        <v>126</v>
      </c>
      <c r="AG39" s="982" t="s">
        <v>156</v>
      </c>
      <c r="AH39" s="982" t="s">
        <v>129</v>
      </c>
      <c r="AI39" s="982" t="s">
        <v>130</v>
      </c>
      <c r="AJ39" s="982" t="s">
        <v>157</v>
      </c>
      <c r="AK39" s="982" t="s">
        <v>158</v>
      </c>
      <c r="AL39" s="82"/>
      <c r="AM39" s="82"/>
      <c r="AN39" s="82"/>
      <c r="AO39" s="82"/>
      <c r="AP39" s="82"/>
      <c r="AQ39" s="82"/>
      <c r="AR39" s="82"/>
      <c r="AS39" s="82"/>
    </row>
    <row r="40" spans="1:45" s="82" customFormat="1" ht="15" thickBot="1" x14ac:dyDescent="0.35">
      <c r="A40" s="83"/>
      <c r="B40" s="132"/>
      <c r="C40" s="992" t="s">
        <v>159</v>
      </c>
      <c r="D40" s="139"/>
      <c r="E40" s="993" t="s">
        <v>160</v>
      </c>
      <c r="F40" s="139"/>
      <c r="G40" s="993" t="s">
        <v>161</v>
      </c>
      <c r="H40" s="145"/>
      <c r="I40" s="993" t="s">
        <v>162</v>
      </c>
      <c r="J40" s="145"/>
      <c r="K40" s="993" t="s">
        <v>163</v>
      </c>
      <c r="L40" s="145"/>
      <c r="M40" s="993" t="s">
        <v>164</v>
      </c>
      <c r="N40" s="145"/>
      <c r="O40" s="993" t="s">
        <v>165</v>
      </c>
      <c r="P40" s="124"/>
      <c r="Q40" s="993" t="s">
        <v>166</v>
      </c>
      <c r="R40" s="69"/>
      <c r="S40" s="812"/>
      <c r="T40" s="812"/>
      <c r="U40" s="812"/>
      <c r="V40" s="812"/>
      <c r="W40" s="812"/>
      <c r="X40" s="812"/>
      <c r="Y40" s="813" t="s">
        <v>246</v>
      </c>
      <c r="Z40" s="949" t="s">
        <v>168</v>
      </c>
      <c r="AA40" s="949" t="s">
        <v>137</v>
      </c>
      <c r="AB40" s="949" t="s">
        <v>169</v>
      </c>
      <c r="AC40" s="949" t="s">
        <v>139</v>
      </c>
      <c r="AD40" s="949" t="s">
        <v>170</v>
      </c>
      <c r="AE40" s="949" t="s">
        <v>141</v>
      </c>
      <c r="AF40" s="949">
        <v>909.06</v>
      </c>
      <c r="AG40" s="949">
        <v>180</v>
      </c>
      <c r="AH40" s="949" t="s">
        <v>247</v>
      </c>
      <c r="AI40" s="949" t="s">
        <v>248</v>
      </c>
      <c r="AJ40" s="949">
        <v>-99996</v>
      </c>
      <c r="AK40" s="949">
        <v>222.15</v>
      </c>
      <c r="AL40" s="69"/>
      <c r="AM40" s="69"/>
      <c r="AN40" s="69"/>
      <c r="AO40" s="69"/>
      <c r="AP40" s="69"/>
      <c r="AQ40" s="69"/>
      <c r="AR40" s="69"/>
      <c r="AS40" s="69"/>
    </row>
    <row r="41" spans="1:45" ht="28.2" thickTop="1" x14ac:dyDescent="0.3">
      <c r="A41" s="364"/>
      <c r="B41" s="129" t="s">
        <v>132</v>
      </c>
      <c r="C41" s="92" t="s">
        <v>245</v>
      </c>
      <c r="D41" s="958" t="str">
        <f>IF(E41=AH36,"x","")</f>
        <v>x</v>
      </c>
      <c r="E41" s="152" t="s">
        <v>142</v>
      </c>
      <c r="F41" s="958" t="str">
        <f>IF(G41=AJ36,"x","")</f>
        <v>x</v>
      </c>
      <c r="G41" s="152" t="s">
        <v>144</v>
      </c>
      <c r="H41" s="224"/>
      <c r="I41" s="150">
        <v>4.9000000000000002E-2</v>
      </c>
      <c r="J41" s="958" t="str">
        <f>IF(K41=AM36,"x","")</f>
        <v>x</v>
      </c>
      <c r="K41" s="299">
        <v>0.85</v>
      </c>
      <c r="L41" s="958" t="str">
        <f>IF(M41=AO36,"x","")</f>
        <v>x</v>
      </c>
      <c r="M41" s="361">
        <v>0.85</v>
      </c>
      <c r="N41" s="958" t="str">
        <f>IF(O41=AQ36,"x","")</f>
        <v>x</v>
      </c>
      <c r="O41" s="299">
        <v>0.2</v>
      </c>
      <c r="P41" s="959" t="str">
        <f>IF(Q41=AS36,"x","")</f>
        <v>x</v>
      </c>
      <c r="Q41" s="299">
        <v>0.8</v>
      </c>
      <c r="R41" s="69"/>
      <c r="S41" s="69"/>
      <c r="T41" s="69"/>
      <c r="U41" s="364"/>
      <c r="V41" s="364"/>
      <c r="W41" s="364"/>
      <c r="X41" s="364"/>
      <c r="Y41" s="364"/>
      <c r="Z41" s="982"/>
      <c r="AA41" s="982"/>
      <c r="AB41" s="982"/>
      <c r="AC41" s="982"/>
      <c r="AD41" s="982"/>
      <c r="AE41" s="982"/>
      <c r="AF41" s="982"/>
      <c r="AG41" s="982"/>
      <c r="AH41" s="982"/>
      <c r="AI41" s="982"/>
      <c r="AJ41" s="982"/>
      <c r="AK41" s="982"/>
      <c r="AL41" s="69"/>
      <c r="AM41" s="69"/>
      <c r="AN41" s="69"/>
      <c r="AO41" s="69"/>
      <c r="AP41" s="69"/>
      <c r="AQ41" s="69"/>
      <c r="AR41" s="69"/>
      <c r="AS41" s="69"/>
    </row>
    <row r="42" spans="1:45" ht="14.4" x14ac:dyDescent="0.3">
      <c r="A42" s="364"/>
      <c r="B42" s="129" t="s">
        <v>147</v>
      </c>
      <c r="C42" s="92" t="s">
        <v>247</v>
      </c>
      <c r="D42" s="135" t="s">
        <v>173</v>
      </c>
      <c r="E42" s="221" t="s">
        <v>173</v>
      </c>
      <c r="F42" s="958" t="str">
        <f>IF(G42=AI40,"x","")</f>
        <v>x</v>
      </c>
      <c r="G42" s="152" t="s">
        <v>248</v>
      </c>
      <c r="H42" s="224"/>
      <c r="I42" s="152">
        <v>6.9000000000000006E-2</v>
      </c>
      <c r="J42" s="135" t="s">
        <v>173</v>
      </c>
      <c r="K42" s="154" t="s">
        <v>173</v>
      </c>
      <c r="L42" s="135" t="s">
        <v>173</v>
      </c>
      <c r="M42" s="154" t="s">
        <v>173</v>
      </c>
      <c r="N42" s="135" t="s">
        <v>173</v>
      </c>
      <c r="O42" s="154" t="s">
        <v>173</v>
      </c>
      <c r="P42" s="12" t="s">
        <v>173</v>
      </c>
      <c r="Q42" s="154" t="s">
        <v>173</v>
      </c>
      <c r="R42" s="69"/>
      <c r="S42" s="69"/>
      <c r="T42" s="69"/>
      <c r="U42" s="364"/>
      <c r="V42" s="364"/>
      <c r="W42" s="364"/>
      <c r="X42" s="364"/>
      <c r="Y42" s="364"/>
      <c r="Z42" s="369" t="s">
        <v>174</v>
      </c>
      <c r="AA42" s="982"/>
      <c r="AB42" s="982"/>
      <c r="AC42" s="982"/>
      <c r="AD42" s="982"/>
      <c r="AE42" s="982"/>
      <c r="AF42" s="982"/>
      <c r="AG42" s="982"/>
      <c r="AH42" s="982"/>
      <c r="AI42" s="982"/>
      <c r="AJ42" s="982"/>
      <c r="AK42" s="982"/>
      <c r="AL42" s="69"/>
      <c r="AM42" s="69"/>
      <c r="AN42" s="69"/>
      <c r="AO42" s="69"/>
      <c r="AP42" s="69"/>
      <c r="AQ42" s="69"/>
      <c r="AR42" s="69"/>
      <c r="AS42" s="69"/>
    </row>
    <row r="43" spans="1:45" ht="14.4" x14ac:dyDescent="0.3">
      <c r="A43" s="364"/>
      <c r="B43" s="278" t="s">
        <v>175</v>
      </c>
      <c r="C43" s="156" t="s">
        <v>249</v>
      </c>
      <c r="D43" s="158" t="s">
        <v>173</v>
      </c>
      <c r="E43" s="222" t="s">
        <v>173</v>
      </c>
      <c r="F43" s="952" t="str">
        <f>IF(G43=AH44,"x","")</f>
        <v>x</v>
      </c>
      <c r="G43" s="162" t="s">
        <v>179</v>
      </c>
      <c r="H43" s="271"/>
      <c r="I43" s="162">
        <v>7.0999999999999994E-2</v>
      </c>
      <c r="J43" s="158" t="s">
        <v>173</v>
      </c>
      <c r="K43" s="164" t="s">
        <v>173</v>
      </c>
      <c r="L43" s="158" t="s">
        <v>173</v>
      </c>
      <c r="M43" s="164" t="s">
        <v>173</v>
      </c>
      <c r="N43" s="158" t="s">
        <v>173</v>
      </c>
      <c r="O43" s="164" t="s">
        <v>173</v>
      </c>
      <c r="P43" s="163" t="s">
        <v>173</v>
      </c>
      <c r="Q43" s="164" t="s">
        <v>173</v>
      </c>
      <c r="R43" s="69"/>
      <c r="S43" s="69"/>
      <c r="T43" s="69"/>
      <c r="U43" s="364"/>
      <c r="V43" s="373"/>
      <c r="W43" s="373"/>
      <c r="X43" s="373"/>
      <c r="Y43" s="373"/>
      <c r="Z43" s="982" t="s">
        <v>121</v>
      </c>
      <c r="AA43" s="982" t="s">
        <v>122</v>
      </c>
      <c r="AB43" s="982" t="s">
        <v>121</v>
      </c>
      <c r="AC43" s="982" t="s">
        <v>123</v>
      </c>
      <c r="AD43" s="982" t="s">
        <v>124</v>
      </c>
      <c r="AE43" s="982" t="s">
        <v>17</v>
      </c>
      <c r="AF43" s="982" t="s">
        <v>126</v>
      </c>
      <c r="AG43" s="982" t="s">
        <v>129</v>
      </c>
      <c r="AH43" s="982" t="s">
        <v>130</v>
      </c>
      <c r="AI43" s="982" t="s">
        <v>157</v>
      </c>
      <c r="AJ43" s="69"/>
      <c r="AK43" s="69"/>
      <c r="AL43" s="69"/>
      <c r="AM43" s="69"/>
      <c r="AN43" s="69"/>
      <c r="AO43" s="69"/>
      <c r="AP43" s="69"/>
      <c r="AQ43" s="69"/>
      <c r="AR43" s="69"/>
      <c r="AS43" s="69"/>
    </row>
    <row r="44" spans="1:45" ht="14.4" x14ac:dyDescent="0.3">
      <c r="A44" s="364"/>
      <c r="B44" s="90"/>
      <c r="C44" s="92"/>
      <c r="E44" s="366"/>
      <c r="H44" s="364"/>
      <c r="I44" s="92"/>
      <c r="J44" s="364"/>
      <c r="K44" s="92"/>
      <c r="L44" s="364"/>
      <c r="M44" s="92"/>
      <c r="N44" s="364"/>
      <c r="O44" s="92"/>
      <c r="P44" s="364"/>
      <c r="Q44" s="92"/>
      <c r="R44" s="69"/>
      <c r="S44" s="812"/>
      <c r="T44" s="812"/>
      <c r="U44" s="812"/>
      <c r="V44" s="812"/>
      <c r="W44" s="812"/>
      <c r="X44" s="812"/>
      <c r="Y44" s="813" t="s">
        <v>250</v>
      </c>
      <c r="Z44" s="949" t="s">
        <v>181</v>
      </c>
      <c r="AA44" s="949" t="s">
        <v>137</v>
      </c>
      <c r="AB44" s="949" t="s">
        <v>169</v>
      </c>
      <c r="AC44" s="949" t="s">
        <v>139</v>
      </c>
      <c r="AD44" s="949" t="s">
        <v>170</v>
      </c>
      <c r="AE44" s="949" t="s">
        <v>141</v>
      </c>
      <c r="AF44" s="949">
        <v>1221.17</v>
      </c>
      <c r="AG44" s="949" t="s">
        <v>249</v>
      </c>
      <c r="AH44" s="949" t="s">
        <v>179</v>
      </c>
      <c r="AI44" s="949">
        <v>-99996</v>
      </c>
      <c r="AJ44" s="69"/>
      <c r="AK44" s="69"/>
      <c r="AL44" s="69"/>
      <c r="AM44" s="69"/>
      <c r="AN44" s="69"/>
      <c r="AO44" s="69"/>
      <c r="AP44" s="69"/>
      <c r="AQ44" s="69"/>
      <c r="AR44" s="69"/>
      <c r="AS44" s="69"/>
    </row>
    <row r="45" spans="1:45" ht="14.4" x14ac:dyDescent="0.3">
      <c r="A45" s="364"/>
      <c r="B45" s="90" t="s">
        <v>184</v>
      </c>
      <c r="C45" s="92"/>
      <c r="E45" s="366"/>
      <c r="H45" s="364"/>
      <c r="I45" s="92"/>
      <c r="J45" s="364"/>
      <c r="K45" s="92"/>
      <c r="L45" s="364"/>
      <c r="M45" s="92"/>
      <c r="N45" s="364"/>
      <c r="O45" s="92"/>
      <c r="P45" s="364"/>
      <c r="Q45" s="92"/>
      <c r="R45" s="69"/>
      <c r="S45" s="812"/>
      <c r="T45" s="812"/>
      <c r="U45" s="812"/>
      <c r="V45" s="812"/>
      <c r="W45" s="812"/>
      <c r="X45" s="812"/>
      <c r="Y45" s="813" t="s">
        <v>251</v>
      </c>
      <c r="Z45" s="949" t="s">
        <v>183</v>
      </c>
      <c r="AA45" s="949" t="s">
        <v>137</v>
      </c>
      <c r="AB45" s="949" t="s">
        <v>138</v>
      </c>
      <c r="AC45" s="949" t="s">
        <v>139</v>
      </c>
      <c r="AD45" s="949" t="s">
        <v>140</v>
      </c>
      <c r="AE45" s="949" t="s">
        <v>141</v>
      </c>
      <c r="AF45" s="949">
        <v>182.71</v>
      </c>
      <c r="AG45" s="949" t="s">
        <v>249</v>
      </c>
      <c r="AH45" s="949" t="s">
        <v>179</v>
      </c>
      <c r="AI45" s="949">
        <v>-99996</v>
      </c>
      <c r="AJ45" s="69"/>
      <c r="AK45" s="69"/>
      <c r="AL45" s="69"/>
      <c r="AM45" s="69"/>
      <c r="AN45" s="69"/>
      <c r="AO45" s="69"/>
      <c r="AP45" s="69"/>
      <c r="AQ45" s="69"/>
      <c r="AR45" s="69"/>
      <c r="AS45" s="69"/>
    </row>
    <row r="46" spans="1:45" s="41" customFormat="1" ht="27.6" x14ac:dyDescent="0.3">
      <c r="A46" s="91"/>
      <c r="B46" s="138" t="s">
        <v>148</v>
      </c>
      <c r="C46" s="120" t="s">
        <v>149</v>
      </c>
      <c r="D46" s="138"/>
      <c r="E46" s="148" t="s">
        <v>150</v>
      </c>
      <c r="F46" s="138"/>
      <c r="G46" s="148" t="s">
        <v>151</v>
      </c>
      <c r="H46" s="138"/>
      <c r="I46" s="148" t="s">
        <v>185</v>
      </c>
      <c r="J46" s="138"/>
      <c r="K46" s="148" t="s">
        <v>186</v>
      </c>
      <c r="L46" s="91"/>
      <c r="M46" s="38"/>
      <c r="N46" s="91"/>
      <c r="O46" s="38"/>
      <c r="P46" s="91"/>
      <c r="Q46" s="38"/>
      <c r="R46" s="69"/>
      <c r="S46" s="69"/>
      <c r="T46" s="69"/>
      <c r="U46" s="364"/>
      <c r="V46" s="364"/>
      <c r="W46" s="364"/>
      <c r="X46" s="364"/>
      <c r="Y46" s="364"/>
      <c r="Z46" s="69"/>
      <c r="AA46" s="69"/>
      <c r="AB46" s="69"/>
      <c r="AC46" s="69"/>
      <c r="AD46" s="69"/>
      <c r="AE46" s="69"/>
      <c r="AF46" s="69"/>
      <c r="AG46" s="69"/>
      <c r="AH46" s="69"/>
      <c r="AI46" s="69"/>
      <c r="AJ46" s="69"/>
      <c r="AK46" s="69"/>
      <c r="AL46" s="69"/>
      <c r="AM46" s="69"/>
      <c r="AN46" s="69"/>
      <c r="AO46" s="69"/>
      <c r="AP46" s="69"/>
      <c r="AQ46" s="69"/>
      <c r="AR46" s="69"/>
      <c r="AS46" s="69"/>
    </row>
    <row r="47" spans="1:45" s="82" customFormat="1" ht="15" thickBot="1" x14ac:dyDescent="0.35">
      <c r="A47" s="83"/>
      <c r="B47" s="132"/>
      <c r="C47" s="992" t="s">
        <v>188</v>
      </c>
      <c r="D47" s="139"/>
      <c r="E47" s="993" t="s">
        <v>189</v>
      </c>
      <c r="F47" s="139"/>
      <c r="G47" s="993" t="s">
        <v>190</v>
      </c>
      <c r="H47" s="139"/>
      <c r="I47" s="993" t="s">
        <v>191</v>
      </c>
      <c r="J47" s="139"/>
      <c r="K47" s="993" t="s">
        <v>192</v>
      </c>
      <c r="L47" s="83"/>
      <c r="M47" s="30"/>
      <c r="N47" s="83"/>
      <c r="O47" s="30"/>
      <c r="P47" s="30"/>
      <c r="Q47" s="30"/>
      <c r="R47" s="69"/>
      <c r="S47" s="41"/>
      <c r="T47" s="41"/>
      <c r="U47" s="364"/>
      <c r="V47" s="364"/>
      <c r="W47" s="364"/>
      <c r="X47" s="364"/>
      <c r="Y47" s="364"/>
      <c r="Z47" s="369" t="s">
        <v>187</v>
      </c>
      <c r="AA47" s="982"/>
      <c r="AB47" s="982"/>
      <c r="AC47" s="982"/>
      <c r="AD47" s="982"/>
      <c r="AE47" s="982"/>
      <c r="AF47" s="982"/>
      <c r="AG47" s="982"/>
      <c r="AH47" s="982"/>
      <c r="AI47" s="982"/>
      <c r="AJ47" s="41"/>
      <c r="AK47" s="41"/>
      <c r="AL47" s="41"/>
      <c r="AM47" s="41"/>
      <c r="AN47" s="41"/>
      <c r="AO47" s="41"/>
      <c r="AP47" s="41"/>
      <c r="AQ47" s="41"/>
      <c r="AR47" s="41"/>
      <c r="AS47" s="41"/>
    </row>
    <row r="48" spans="1:45" ht="15" thickTop="1" x14ac:dyDescent="0.3">
      <c r="A48" s="364"/>
      <c r="B48" s="155" t="s">
        <v>187</v>
      </c>
      <c r="C48" s="167" t="s">
        <v>199</v>
      </c>
      <c r="D48" s="976" t="str">
        <f>IF(E48=AG49,"x","")</f>
        <v>x</v>
      </c>
      <c r="E48" s="472" t="s">
        <v>199</v>
      </c>
      <c r="F48" s="976" t="str">
        <f>IF(G48=AL49,"x","")</f>
        <v>x</v>
      </c>
      <c r="G48" s="472">
        <v>0.36</v>
      </c>
      <c r="H48" s="976" t="str">
        <f>IF(I48=AM49,"x","")</f>
        <v>x</v>
      </c>
      <c r="I48" s="472">
        <v>0.25</v>
      </c>
      <c r="J48" s="976" t="str">
        <f>IF(K48=AN49,"x","")</f>
        <v>x</v>
      </c>
      <c r="K48" s="472">
        <v>0.42</v>
      </c>
      <c r="L48" s="364"/>
      <c r="M48" s="92"/>
      <c r="N48" s="364"/>
      <c r="O48" s="92"/>
      <c r="P48" s="364"/>
      <c r="Q48" s="92"/>
      <c r="R48" s="69"/>
      <c r="S48" s="82"/>
      <c r="T48" s="82"/>
      <c r="U48" s="364"/>
      <c r="V48" s="364"/>
      <c r="W48" s="364"/>
      <c r="X48" s="364"/>
      <c r="Y48" s="364"/>
      <c r="Z48" s="982" t="s">
        <v>121</v>
      </c>
      <c r="AA48" s="982" t="s">
        <v>122</v>
      </c>
      <c r="AB48" s="982" t="s">
        <v>123</v>
      </c>
      <c r="AC48" s="982" t="s">
        <v>124</v>
      </c>
      <c r="AD48" s="982" t="s">
        <v>121</v>
      </c>
      <c r="AE48" s="982" t="s">
        <v>126</v>
      </c>
      <c r="AF48" s="982" t="s">
        <v>156</v>
      </c>
      <c r="AG48" s="982" t="s">
        <v>193</v>
      </c>
      <c r="AH48" s="982" t="s">
        <v>194</v>
      </c>
      <c r="AI48" s="982" t="s">
        <v>129</v>
      </c>
      <c r="AJ48" s="982" t="s">
        <v>195</v>
      </c>
      <c r="AK48" s="982" t="s">
        <v>196</v>
      </c>
      <c r="AL48" s="982" t="s">
        <v>157</v>
      </c>
      <c r="AM48" s="982" t="s">
        <v>185</v>
      </c>
      <c r="AN48" s="982" t="s">
        <v>186</v>
      </c>
      <c r="AO48" s="982" t="s">
        <v>197</v>
      </c>
      <c r="AP48" s="982" t="s">
        <v>198</v>
      </c>
      <c r="AQ48" s="82"/>
      <c r="AR48" s="82"/>
      <c r="AS48" s="82"/>
    </row>
    <row r="49" spans="1:45" ht="14.4" x14ac:dyDescent="0.3">
      <c r="A49" s="364"/>
      <c r="B49" s="90"/>
      <c r="C49" s="92"/>
      <c r="E49" s="366"/>
      <c r="H49" s="364"/>
      <c r="I49" s="92"/>
      <c r="J49" s="364"/>
      <c r="K49" s="92"/>
      <c r="L49" s="364"/>
      <c r="M49" s="92"/>
      <c r="N49" s="364"/>
      <c r="O49" s="92"/>
      <c r="P49" s="364"/>
      <c r="Q49" s="92"/>
      <c r="R49" s="69"/>
      <c r="S49" s="812"/>
      <c r="T49" s="812"/>
      <c r="U49" s="812"/>
      <c r="V49" s="812"/>
      <c r="W49" s="812"/>
      <c r="X49" s="812"/>
      <c r="Y49" s="813" t="s">
        <v>252</v>
      </c>
      <c r="Z49" s="949" t="s">
        <v>201</v>
      </c>
      <c r="AA49" s="949" t="s">
        <v>137</v>
      </c>
      <c r="AB49" s="949" t="s">
        <v>139</v>
      </c>
      <c r="AC49" s="949" t="s">
        <v>170</v>
      </c>
      <c r="AD49" s="949" t="s">
        <v>168</v>
      </c>
      <c r="AE49" s="949">
        <v>30.02</v>
      </c>
      <c r="AF49" s="949">
        <v>180</v>
      </c>
      <c r="AG49" s="949" t="s">
        <v>199</v>
      </c>
      <c r="AH49" s="949" t="s">
        <v>202</v>
      </c>
      <c r="AI49" s="949" t="s">
        <v>199</v>
      </c>
      <c r="AJ49" s="949" t="s">
        <v>203</v>
      </c>
      <c r="AK49" s="949" t="s">
        <v>203</v>
      </c>
      <c r="AL49" s="949">
        <v>0.36</v>
      </c>
      <c r="AM49" s="949">
        <v>0.25</v>
      </c>
      <c r="AN49" s="949">
        <v>0.42</v>
      </c>
      <c r="AO49" s="949">
        <v>0.36</v>
      </c>
      <c r="AP49" s="949">
        <v>-99996</v>
      </c>
      <c r="AQ49" s="69"/>
      <c r="AR49" s="69"/>
      <c r="AS49" s="69"/>
    </row>
    <row r="50" spans="1:45" ht="14.4" x14ac:dyDescent="0.3">
      <c r="A50" s="289"/>
      <c r="B50" s="46" t="s">
        <v>204</v>
      </c>
      <c r="C50" s="39"/>
      <c r="D50" s="41"/>
      <c r="E50" s="39"/>
      <c r="F50" s="41"/>
      <c r="G50" s="39"/>
      <c r="H50" s="41"/>
      <c r="I50" s="39"/>
      <c r="J50" s="41"/>
      <c r="K50" s="39"/>
      <c r="L50" s="41"/>
      <c r="M50" s="39"/>
      <c r="N50" s="41"/>
      <c r="O50" s="39"/>
      <c r="P50" s="364"/>
      <c r="Q50" s="39"/>
      <c r="R50" s="69"/>
      <c r="S50" s="69"/>
      <c r="T50" s="69"/>
      <c r="U50" s="364"/>
      <c r="V50" s="82"/>
      <c r="W50" s="82"/>
      <c r="X50" s="82"/>
      <c r="Y50" s="364"/>
      <c r="Z50" s="358">
        <v>1</v>
      </c>
      <c r="AA50" s="358">
        <f>Z50+1</f>
        <v>2</v>
      </c>
      <c r="AB50" s="358">
        <f t="shared" ref="AB50:AI50" si="1">AA50+1</f>
        <v>3</v>
      </c>
      <c r="AC50" s="358">
        <f t="shared" si="1"/>
        <v>4</v>
      </c>
      <c r="AD50" s="358">
        <f t="shared" si="1"/>
        <v>5</v>
      </c>
      <c r="AE50" s="358">
        <f t="shared" si="1"/>
        <v>6</v>
      </c>
      <c r="AF50" s="358">
        <v>7</v>
      </c>
      <c r="AG50" s="358">
        <f t="shared" si="1"/>
        <v>8</v>
      </c>
      <c r="AH50" s="358">
        <v>8</v>
      </c>
      <c r="AI50" s="358">
        <f t="shared" si="1"/>
        <v>9</v>
      </c>
      <c r="AJ50" s="69"/>
      <c r="AK50" s="69"/>
      <c r="AL50" s="69"/>
      <c r="AM50" s="69"/>
      <c r="AN50" s="69"/>
      <c r="AO50" s="69"/>
      <c r="AP50" s="69"/>
      <c r="AQ50" s="69"/>
      <c r="AR50" s="69"/>
      <c r="AS50" s="69"/>
    </row>
    <row r="51" spans="1:45" ht="14.4" x14ac:dyDescent="0.3">
      <c r="A51" s="364"/>
      <c r="B51" s="90" t="s">
        <v>146</v>
      </c>
      <c r="C51" s="92"/>
      <c r="E51" s="366"/>
      <c r="H51" s="364"/>
      <c r="I51" s="92"/>
      <c r="J51" s="364"/>
      <c r="K51" s="92"/>
      <c r="L51" s="364"/>
      <c r="M51" s="92"/>
      <c r="N51" s="69"/>
      <c r="O51" s="92"/>
      <c r="P51" s="364"/>
      <c r="Q51" s="92"/>
      <c r="R51" s="69"/>
      <c r="S51" s="69"/>
      <c r="T51" s="69"/>
      <c r="U51" s="69"/>
      <c r="V51" s="69"/>
      <c r="W51" s="69"/>
      <c r="X51" s="69"/>
      <c r="Y51" s="69"/>
      <c r="Z51" s="369" t="s">
        <v>205</v>
      </c>
      <c r="AA51" s="982"/>
      <c r="AB51" s="982"/>
      <c r="AC51" s="982"/>
      <c r="AD51" s="982"/>
      <c r="AE51" s="982"/>
      <c r="AF51" s="982"/>
      <c r="AG51" s="982"/>
      <c r="AH51" s="982"/>
      <c r="AI51" s="82"/>
      <c r="AJ51" s="69"/>
      <c r="AK51" s="69"/>
      <c r="AL51" s="69"/>
      <c r="AM51" s="69"/>
      <c r="AN51" s="69"/>
      <c r="AO51" s="69"/>
      <c r="AP51" s="69"/>
      <c r="AQ51" s="69"/>
      <c r="AR51" s="69"/>
      <c r="AS51" s="69"/>
    </row>
    <row r="52" spans="1:45" s="14" customFormat="1" ht="14.4" x14ac:dyDescent="0.3">
      <c r="A52" s="90"/>
      <c r="B52" s="219" t="s">
        <v>148</v>
      </c>
      <c r="C52" s="123" t="s">
        <v>149</v>
      </c>
      <c r="D52" s="219"/>
      <c r="E52" s="280" t="s">
        <v>214</v>
      </c>
      <c r="F52" s="219"/>
      <c r="G52" s="280" t="s">
        <v>215</v>
      </c>
      <c r="H52" s="219"/>
      <c r="I52" s="280" t="s">
        <v>216</v>
      </c>
      <c r="J52" s="219"/>
      <c r="K52" s="280" t="s">
        <v>217</v>
      </c>
      <c r="L52" s="219"/>
      <c r="M52" s="280" t="s">
        <v>218</v>
      </c>
      <c r="N52" s="220"/>
      <c r="O52" s="116" t="s">
        <v>219</v>
      </c>
      <c r="P52" s="220"/>
      <c r="Q52" s="116" t="s">
        <v>253</v>
      </c>
      <c r="R52" s="69"/>
      <c r="S52" s="69"/>
      <c r="T52" s="69"/>
      <c r="U52" s="364"/>
      <c r="V52" s="364"/>
      <c r="W52" s="364"/>
      <c r="X52" s="364"/>
      <c r="Y52" s="364"/>
      <c r="Z52" s="982" t="s">
        <v>121</v>
      </c>
      <c r="AA52" s="982" t="s">
        <v>206</v>
      </c>
      <c r="AB52" s="982" t="s">
        <v>207</v>
      </c>
      <c r="AC52" s="982" t="s">
        <v>208</v>
      </c>
      <c r="AD52" s="982" t="s">
        <v>209</v>
      </c>
      <c r="AE52" s="982" t="s">
        <v>210</v>
      </c>
      <c r="AF52" s="982" t="s">
        <v>211</v>
      </c>
      <c r="AG52" s="982" t="s">
        <v>212</v>
      </c>
      <c r="AH52" s="982" t="s">
        <v>213</v>
      </c>
      <c r="AI52" s="69"/>
      <c r="AJ52" s="69"/>
      <c r="AK52" s="69"/>
      <c r="AL52" s="69"/>
      <c r="AM52" s="69"/>
      <c r="AN52" s="69"/>
      <c r="AO52" s="69"/>
      <c r="AP52" s="69"/>
      <c r="AQ52" s="69"/>
      <c r="AR52" s="69"/>
      <c r="AS52" s="69"/>
    </row>
    <row r="53" spans="1:45" ht="15" thickBot="1" x14ac:dyDescent="0.35">
      <c r="A53" s="364"/>
      <c r="B53" s="240"/>
      <c r="C53" s="992" t="s">
        <v>159</v>
      </c>
      <c r="D53" s="240"/>
      <c r="E53" s="995" t="s">
        <v>226</v>
      </c>
      <c r="F53" s="139"/>
      <c r="G53" s="995" t="s">
        <v>226</v>
      </c>
      <c r="H53" s="145"/>
      <c r="I53" s="995" t="s">
        <v>226</v>
      </c>
      <c r="J53" s="145"/>
      <c r="K53" s="995" t="s">
        <v>226</v>
      </c>
      <c r="L53" s="145"/>
      <c r="M53" s="995" t="s">
        <v>226</v>
      </c>
      <c r="N53" s="125"/>
      <c r="O53" s="995" t="s">
        <v>226</v>
      </c>
      <c r="P53" s="125"/>
      <c r="Q53" s="995" t="s">
        <v>226</v>
      </c>
      <c r="R53" s="69"/>
      <c r="S53" s="812"/>
      <c r="T53" s="812"/>
      <c r="U53" s="812"/>
      <c r="V53" s="812"/>
      <c r="W53" s="812"/>
      <c r="X53" s="812"/>
      <c r="Y53" s="813" t="s">
        <v>254</v>
      </c>
      <c r="Z53" s="949" t="s">
        <v>247</v>
      </c>
      <c r="AA53" s="949" t="s">
        <v>221</v>
      </c>
      <c r="AB53" s="949" t="s">
        <v>222</v>
      </c>
      <c r="AC53" s="949" t="s">
        <v>255</v>
      </c>
      <c r="AD53" s="949" t="s">
        <v>256</v>
      </c>
      <c r="AE53" s="949" t="s">
        <v>257</v>
      </c>
      <c r="AF53" s="949" t="s">
        <v>258</v>
      </c>
      <c r="AG53" s="949" t="s">
        <v>259</v>
      </c>
      <c r="AH53" s="949" t="s">
        <v>225</v>
      </c>
      <c r="AI53" s="982"/>
      <c r="AJ53" s="982"/>
      <c r="AK53" s="41"/>
      <c r="AL53" s="41"/>
      <c r="AM53" s="41"/>
      <c r="AN53" s="41"/>
      <c r="AO53" s="41"/>
      <c r="AP53" s="41"/>
      <c r="AQ53" s="41"/>
      <c r="AR53" s="41"/>
      <c r="AS53" s="41"/>
    </row>
    <row r="54" spans="1:45" ht="28.2" thickTop="1" x14ac:dyDescent="0.3">
      <c r="A54" s="364"/>
      <c r="B54" s="129" t="s">
        <v>147</v>
      </c>
      <c r="C54" s="92" t="s">
        <v>247</v>
      </c>
      <c r="D54" s="958" t="str">
        <f>IF(E54=VLOOKUP($C54,$Z$53:$AI$58,D$26,FALSE),"x","")</f>
        <v>x</v>
      </c>
      <c r="E54" s="192" t="s">
        <v>222</v>
      </c>
      <c r="F54" s="958" t="str">
        <f>IF(G54=VLOOKUP($C54,$Z$53:$AI$58,F$26,FALSE),"x","")</f>
        <v>x</v>
      </c>
      <c r="G54" s="192" t="s">
        <v>255</v>
      </c>
      <c r="H54" s="958" t="str">
        <f>IF(I54=VLOOKUP($C54,$Z$53:$AI$58,H$26,FALSE),"x","")</f>
        <v>x</v>
      </c>
      <c r="I54" s="152" t="s">
        <v>256</v>
      </c>
      <c r="J54" s="958" t="str">
        <f>IF(K54=VLOOKUP($C54,$Z$53:$AI$58,J$26,FALSE),"x","")</f>
        <v>x</v>
      </c>
      <c r="K54" s="192" t="s">
        <v>257</v>
      </c>
      <c r="L54" s="958" t="str">
        <f>IF(M54=VLOOKUP($C54,$Z$53:$AI$58,L$26,FALSE),"x","")</f>
        <v>x</v>
      </c>
      <c r="M54" s="192" t="s">
        <v>258</v>
      </c>
      <c r="N54" s="951" t="str">
        <f>IF(O54=VLOOKUP($C54,$Z$53:$AI$58,N$26,FALSE),"x","")</f>
        <v>x</v>
      </c>
      <c r="O54" s="192" t="s">
        <v>259</v>
      </c>
      <c r="P54" s="951" t="str">
        <f>IF(Q54=VLOOKUP($C54,$Z$53:$AI$58,P$26,FALSE),"x","")</f>
        <v>x</v>
      </c>
      <c r="Q54" s="192" t="s">
        <v>225</v>
      </c>
      <c r="R54" s="69"/>
      <c r="S54" s="82"/>
      <c r="T54" s="82"/>
      <c r="U54" s="364"/>
      <c r="V54" s="364"/>
      <c r="W54" s="364"/>
      <c r="X54" s="364"/>
      <c r="Y54" s="364"/>
      <c r="Z54" s="949" t="s">
        <v>260</v>
      </c>
      <c r="AA54" s="949" t="s">
        <v>231</v>
      </c>
      <c r="AB54" s="949" t="s">
        <v>232</v>
      </c>
      <c r="AC54" s="949" t="s">
        <v>259</v>
      </c>
      <c r="AD54" s="949" t="s">
        <v>232</v>
      </c>
      <c r="AE54" s="949"/>
      <c r="AF54" s="949"/>
      <c r="AG54" s="949"/>
      <c r="AH54" s="949"/>
      <c r="AI54" s="982"/>
      <c r="AJ54" s="982"/>
      <c r="AK54" s="82"/>
      <c r="AL54" s="82"/>
      <c r="AM54" s="82"/>
      <c r="AN54" s="82"/>
      <c r="AO54" s="82"/>
      <c r="AP54" s="82"/>
      <c r="AQ54" s="82"/>
      <c r="AR54" s="82"/>
      <c r="AS54" s="82"/>
    </row>
    <row r="55" spans="1:45" ht="27.6" x14ac:dyDescent="0.3">
      <c r="A55" s="364"/>
      <c r="B55" s="129" t="s">
        <v>132</v>
      </c>
      <c r="C55" s="92" t="s">
        <v>245</v>
      </c>
      <c r="D55" s="958" t="str">
        <f>IF(E55=VLOOKUP($C55,$Z$53:$AI$58,D$26,FALSE),"x","")</f>
        <v>x</v>
      </c>
      <c r="E55" s="360" t="s">
        <v>261</v>
      </c>
      <c r="F55" s="958" t="str">
        <f>IF(G55=VLOOKUP($C55,$Z$53:$AI$58,F$26,FALSE),"x","")</f>
        <v>x</v>
      </c>
      <c r="G55" s="152" t="s">
        <v>262</v>
      </c>
      <c r="H55" s="135" t="s">
        <v>173</v>
      </c>
      <c r="I55" s="221" t="s">
        <v>173</v>
      </c>
      <c r="J55" s="589" t="s">
        <v>173</v>
      </c>
      <c r="K55" s="221" t="s">
        <v>173</v>
      </c>
      <c r="L55" s="135" t="s">
        <v>173</v>
      </c>
      <c r="M55" s="221" t="s">
        <v>173</v>
      </c>
      <c r="N55" s="135" t="s">
        <v>173</v>
      </c>
      <c r="O55" s="221" t="s">
        <v>173</v>
      </c>
      <c r="P55" s="135" t="s">
        <v>173</v>
      </c>
      <c r="Q55" s="221" t="s">
        <v>173</v>
      </c>
      <c r="R55" s="69"/>
      <c r="S55" s="69"/>
      <c r="T55" s="69"/>
      <c r="U55" s="364"/>
      <c r="V55" s="364"/>
      <c r="W55" s="364"/>
      <c r="X55" s="364"/>
      <c r="Y55" s="364"/>
      <c r="Z55" s="949" t="s">
        <v>245</v>
      </c>
      <c r="AA55" s="949" t="s">
        <v>132</v>
      </c>
      <c r="AB55" s="949" t="s">
        <v>261</v>
      </c>
      <c r="AC55" s="949" t="s">
        <v>262</v>
      </c>
      <c r="AD55" s="949"/>
      <c r="AE55" s="949"/>
      <c r="AF55" s="949"/>
      <c r="AG55" s="949"/>
      <c r="AH55" s="949"/>
      <c r="AI55" s="982"/>
      <c r="AJ55" s="982"/>
      <c r="AK55" s="69"/>
      <c r="AL55" s="69"/>
      <c r="AM55" s="69"/>
      <c r="AN55" s="69"/>
      <c r="AO55" s="69"/>
      <c r="AP55" s="69"/>
      <c r="AQ55" s="69"/>
      <c r="AR55" s="69"/>
      <c r="AS55" s="69"/>
    </row>
    <row r="56" spans="1:45" ht="14.4" x14ac:dyDescent="0.3">
      <c r="A56" s="364"/>
      <c r="B56" s="278" t="s">
        <v>175</v>
      </c>
      <c r="C56" s="156" t="s">
        <v>249</v>
      </c>
      <c r="D56" s="952" t="str">
        <f>IF(E56=VLOOKUP($C56,$Z$53:$AI$58,D$26,FALSE),"x","")</f>
        <v>x</v>
      </c>
      <c r="E56" s="162" t="s">
        <v>263</v>
      </c>
      <c r="F56" s="952" t="str">
        <f>IF(G56=VLOOKUP($C56,$Z$53:$AI$58,F$26,FALSE),"x","")</f>
        <v>x</v>
      </c>
      <c r="G56" s="162" t="s">
        <v>264</v>
      </c>
      <c r="H56" s="952" t="str">
        <f>IF(I56=VLOOKUP($C56,$Z$53:$AI$58,H$26,FALSE),"x","")</f>
        <v>x</v>
      </c>
      <c r="I56" s="172" t="s">
        <v>242</v>
      </c>
      <c r="J56" s="158" t="s">
        <v>173</v>
      </c>
      <c r="K56" s="222" t="s">
        <v>173</v>
      </c>
      <c r="L56" s="158" t="s">
        <v>173</v>
      </c>
      <c r="M56" s="222" t="s">
        <v>173</v>
      </c>
      <c r="N56" s="158" t="s">
        <v>173</v>
      </c>
      <c r="O56" s="222" t="s">
        <v>173</v>
      </c>
      <c r="P56" s="158" t="s">
        <v>173</v>
      </c>
      <c r="Q56" s="222" t="s">
        <v>173</v>
      </c>
      <c r="R56" s="69"/>
      <c r="S56" s="69"/>
      <c r="T56" s="69"/>
      <c r="U56" s="364"/>
      <c r="V56" s="364"/>
      <c r="W56" s="364"/>
      <c r="X56" s="364"/>
      <c r="Y56" s="364"/>
      <c r="Z56" s="949" t="s">
        <v>249</v>
      </c>
      <c r="AA56" s="949" t="s">
        <v>238</v>
      </c>
      <c r="AB56" s="949" t="s">
        <v>263</v>
      </c>
      <c r="AC56" s="949" t="s">
        <v>264</v>
      </c>
      <c r="AD56" s="949" t="s">
        <v>242</v>
      </c>
      <c r="AE56" s="949"/>
      <c r="AF56" s="949"/>
      <c r="AG56" s="949"/>
      <c r="AH56" s="949"/>
      <c r="AI56" s="982"/>
      <c r="AJ56" s="982"/>
      <c r="AK56" s="69"/>
      <c r="AL56" s="69"/>
      <c r="AM56" s="69"/>
      <c r="AN56" s="69"/>
      <c r="AO56" s="69"/>
      <c r="AP56" s="69"/>
      <c r="AQ56" s="69"/>
      <c r="AR56" s="69"/>
      <c r="AS56" s="69"/>
    </row>
    <row r="57" spans="1:45" ht="14.4" x14ac:dyDescent="0.3">
      <c r="A57" s="364"/>
      <c r="B57" s="364"/>
      <c r="C57" s="92"/>
      <c r="E57" s="366"/>
      <c r="H57" s="364"/>
      <c r="I57" s="92"/>
      <c r="J57" s="364"/>
      <c r="K57" s="92"/>
      <c r="L57" s="364"/>
      <c r="M57" s="92"/>
      <c r="N57" s="364"/>
      <c r="O57" s="92"/>
      <c r="P57" s="364"/>
      <c r="Q57" s="92"/>
      <c r="R57" s="69"/>
      <c r="S57" s="69"/>
      <c r="T57" s="69"/>
      <c r="U57" s="364"/>
      <c r="V57" s="364"/>
      <c r="W57" s="364"/>
      <c r="X57" s="364"/>
      <c r="Y57" s="364"/>
      <c r="Z57" s="949" t="s">
        <v>265</v>
      </c>
      <c r="AA57" s="949" t="s">
        <v>234</v>
      </c>
      <c r="AB57" s="949" t="s">
        <v>235</v>
      </c>
      <c r="AC57" s="949"/>
      <c r="AD57" s="949"/>
      <c r="AE57" s="949"/>
      <c r="AF57" s="949"/>
      <c r="AG57" s="949"/>
      <c r="AH57" s="949"/>
      <c r="AI57" s="982"/>
      <c r="AJ57" s="982"/>
      <c r="AK57" s="69"/>
      <c r="AL57" s="69"/>
      <c r="AM57" s="69"/>
      <c r="AN57" s="69"/>
      <c r="AO57" s="69"/>
      <c r="AP57" s="69"/>
      <c r="AQ57" s="69"/>
      <c r="AR57" s="69"/>
      <c r="AS57" s="69"/>
    </row>
    <row r="58" spans="1:45" ht="14.4" x14ac:dyDescent="0.3">
      <c r="A58" s="364"/>
      <c r="B58" s="364"/>
      <c r="C58" s="92"/>
      <c r="E58" s="366"/>
      <c r="H58" s="364"/>
      <c r="I58" s="92"/>
      <c r="J58" s="364"/>
      <c r="K58" s="92"/>
      <c r="L58" s="364"/>
      <c r="M58" s="92"/>
      <c r="N58" s="364"/>
      <c r="O58" s="92"/>
      <c r="P58" s="364"/>
      <c r="Q58" s="92"/>
      <c r="R58" s="69"/>
      <c r="S58" s="69"/>
      <c r="T58" s="69"/>
      <c r="U58" s="364"/>
      <c r="V58" s="364"/>
      <c r="W58" s="364"/>
      <c r="X58" s="364"/>
      <c r="Y58" s="364"/>
      <c r="Z58" s="982"/>
      <c r="AA58" s="982"/>
      <c r="AB58" s="982"/>
      <c r="AC58" s="982"/>
      <c r="AD58" s="982"/>
      <c r="AE58" s="982"/>
      <c r="AF58" s="982"/>
      <c r="AG58" s="982"/>
      <c r="AH58" s="982"/>
      <c r="AI58" s="93"/>
      <c r="AJ58" s="69"/>
      <c r="AK58" s="69"/>
      <c r="AL58" s="69"/>
      <c r="AM58" s="69"/>
      <c r="AN58" s="69"/>
      <c r="AO58" s="69"/>
      <c r="AP58" s="69"/>
      <c r="AQ58" s="69"/>
      <c r="AR58" s="69"/>
      <c r="AS58" s="69"/>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Z69"/>
  <sheetViews>
    <sheetView topLeftCell="A6" zoomScale="85" zoomScaleNormal="85" workbookViewId="0">
      <selection activeCell="J8" sqref="J8"/>
    </sheetView>
  </sheetViews>
  <sheetFormatPr defaultColWidth="9.109375" defaultRowHeight="13.8" outlineLevelCol="1" x14ac:dyDescent="0.3"/>
  <cols>
    <col min="1" max="1" width="3.6640625" style="18" customWidth="1"/>
    <col min="2" max="2" width="20.6640625" style="9" customWidth="1"/>
    <col min="3" max="3" width="24.88671875" style="9" customWidth="1"/>
    <col min="4" max="4" width="2.6640625" style="113" customWidth="1"/>
    <col min="5" max="5" width="27.44140625" style="9" customWidth="1"/>
    <col min="6" max="6" width="2.6640625" style="113" customWidth="1"/>
    <col min="7" max="7" width="23" style="9" customWidth="1"/>
    <col min="8" max="8" width="2.6640625" style="109" customWidth="1"/>
    <col min="9" max="9" width="21.6640625" style="92" customWidth="1"/>
    <col min="10" max="10" width="2.6640625" style="109" customWidth="1"/>
    <col min="11" max="11" width="29.44140625" style="9" customWidth="1"/>
    <col min="12" max="12" width="2.6640625" style="109" customWidth="1"/>
    <col min="13" max="13" width="25.5546875" style="9" customWidth="1"/>
    <col min="14" max="14" width="2.6640625" style="109" customWidth="1"/>
    <col min="15" max="15" width="23.109375" style="9" customWidth="1"/>
    <col min="16" max="16" width="2.6640625" style="109" customWidth="1"/>
    <col min="17" max="17" width="23.109375" style="9" customWidth="1"/>
    <col min="18" max="18" width="2.6640625" style="109" customWidth="1"/>
    <col min="19" max="19" width="18.33203125" style="9" customWidth="1"/>
    <col min="20" max="20" width="2.6640625" style="109" customWidth="1"/>
    <col min="21" max="21" width="18" style="9" customWidth="1"/>
    <col min="22" max="22" width="2.6640625" style="109" customWidth="1"/>
    <col min="23" max="23" width="21.6640625" style="9" customWidth="1"/>
    <col min="24" max="24" width="9.109375" style="16"/>
    <col min="25" max="25" width="13.33203125" style="69" customWidth="1" outlineLevel="1"/>
    <col min="26" max="26" width="10" style="69" customWidth="1" outlineLevel="1"/>
    <col min="27" max="51" width="9.109375" style="69" outlineLevel="1"/>
    <col min="52" max="52" width="9.109375" style="16" outlineLevel="1"/>
    <col min="53" max="16384" width="9.109375" style="16"/>
  </cols>
  <sheetData>
    <row r="1" spans="1:51" s="69" customFormat="1" x14ac:dyDescent="0.3">
      <c r="A1" s="364"/>
      <c r="B1" s="92"/>
      <c r="C1" s="92"/>
      <c r="D1" s="373"/>
      <c r="E1" s="92"/>
      <c r="F1" s="373"/>
      <c r="G1" s="92"/>
      <c r="H1" s="364"/>
      <c r="I1" s="92"/>
      <c r="J1" s="364"/>
      <c r="K1" s="92"/>
      <c r="L1" s="364"/>
      <c r="M1" s="92"/>
      <c r="N1" s="364"/>
      <c r="O1" s="92"/>
      <c r="P1" s="364"/>
      <c r="Q1" s="92"/>
      <c r="R1" s="364"/>
      <c r="S1" s="92"/>
      <c r="T1" s="364"/>
      <c r="U1" s="92"/>
      <c r="V1" s="364"/>
      <c r="W1" s="92"/>
    </row>
    <row r="2" spans="1:51" x14ac:dyDescent="0.3">
      <c r="A2" s="364"/>
      <c r="B2" s="516" t="s">
        <v>0</v>
      </c>
      <c r="C2" s="516"/>
      <c r="D2" s="519"/>
      <c r="E2" s="516" t="s">
        <v>1</v>
      </c>
      <c r="F2" s="519"/>
      <c r="G2" s="516"/>
      <c r="H2" s="513"/>
      <c r="I2" s="516"/>
      <c r="J2" s="513"/>
      <c r="K2" s="516" t="s">
        <v>109</v>
      </c>
      <c r="L2" s="364"/>
      <c r="M2" s="92"/>
      <c r="N2" s="364"/>
      <c r="O2" s="92"/>
      <c r="P2" s="364"/>
      <c r="Q2" s="92"/>
      <c r="R2" s="364"/>
      <c r="S2" s="92"/>
      <c r="T2" s="364"/>
      <c r="U2" s="92"/>
      <c r="V2" s="364"/>
      <c r="W2" s="92"/>
      <c r="X2" s="69"/>
    </row>
    <row r="3" spans="1:51" x14ac:dyDescent="0.3">
      <c r="A3" s="364"/>
      <c r="B3" s="92" t="s">
        <v>2</v>
      </c>
      <c r="C3" s="530" t="s">
        <v>30</v>
      </c>
      <c r="D3" s="373"/>
      <c r="E3" s="92" t="s">
        <v>3</v>
      </c>
      <c r="F3" s="373"/>
      <c r="G3" s="950" t="str">
        <f>'Documentation Main Sheet'!I2</f>
        <v>r6055</v>
      </c>
      <c r="H3" s="364"/>
      <c r="J3" s="521"/>
      <c r="K3" s="364" t="s">
        <v>110</v>
      </c>
      <c r="L3" s="364"/>
      <c r="M3" s="92"/>
      <c r="N3" s="364"/>
      <c r="O3" s="92"/>
      <c r="P3" s="364"/>
      <c r="Q3" s="92"/>
      <c r="R3" s="364"/>
      <c r="S3" s="92"/>
      <c r="T3" s="364"/>
      <c r="U3" s="92"/>
      <c r="V3" s="364"/>
      <c r="W3" s="92"/>
      <c r="X3" s="69"/>
    </row>
    <row r="4" spans="1:51" ht="27.6" x14ac:dyDescent="0.3">
      <c r="A4" s="364"/>
      <c r="B4" s="92" t="s">
        <v>6</v>
      </c>
      <c r="C4" s="92" t="str">
        <f>C3&amp;".cibd19"</f>
        <v>020015-OffSml-Run02.cibd19</v>
      </c>
      <c r="D4" s="373"/>
      <c r="E4" s="92" t="s">
        <v>7</v>
      </c>
      <c r="F4" s="373"/>
      <c r="G4" s="92" t="str">
        <f>'Documentation Main Sheet'!I3</f>
        <v>Release package</v>
      </c>
      <c r="H4" s="364"/>
      <c r="J4" s="994">
        <v>1</v>
      </c>
      <c r="K4" s="373" t="s">
        <v>111</v>
      </c>
      <c r="L4" s="364"/>
      <c r="M4" s="92"/>
      <c r="N4" s="364"/>
      <c r="O4" s="92"/>
      <c r="P4" s="364"/>
      <c r="Q4" s="92"/>
      <c r="R4" s="364"/>
      <c r="S4" s="92"/>
      <c r="T4" s="364"/>
      <c r="U4" s="92"/>
      <c r="V4" s="364"/>
      <c r="W4" s="92"/>
      <c r="X4" s="69"/>
    </row>
    <row r="5" spans="1:51" ht="27.6" x14ac:dyDescent="0.3">
      <c r="A5" s="364"/>
      <c r="B5" s="92" t="s">
        <v>9</v>
      </c>
      <c r="C5" s="92" t="s">
        <v>266</v>
      </c>
      <c r="D5" s="373"/>
      <c r="E5" s="92" t="s">
        <v>10</v>
      </c>
      <c r="F5" s="373"/>
      <c r="G5" s="92" t="str">
        <f>'Documentation Main Sheet'!I4</f>
        <v>CBECC-Com 2019.1.2 Release</v>
      </c>
      <c r="H5" s="68"/>
      <c r="J5" s="991">
        <v>1</v>
      </c>
      <c r="K5" s="373" t="s">
        <v>111</v>
      </c>
      <c r="L5" s="364"/>
      <c r="M5" s="92"/>
      <c r="N5" s="364"/>
      <c r="O5" s="92"/>
      <c r="P5" s="364"/>
      <c r="Q5" s="92"/>
      <c r="R5" s="364"/>
      <c r="S5" s="92"/>
      <c r="T5" s="364"/>
      <c r="U5" s="92"/>
      <c r="V5" s="364"/>
      <c r="W5" s="92"/>
      <c r="X5" s="69"/>
    </row>
    <row r="6" spans="1:51" x14ac:dyDescent="0.3">
      <c r="A6" s="364"/>
      <c r="B6" s="364" t="s">
        <v>17</v>
      </c>
      <c r="C6" s="92" t="s">
        <v>25</v>
      </c>
      <c r="D6" s="373"/>
      <c r="E6" s="92" t="s">
        <v>12</v>
      </c>
      <c r="F6" s="373"/>
      <c r="G6" s="387">
        <f>'Documentation Main Sheet'!I5</f>
        <v>43754</v>
      </c>
      <c r="H6" s="364"/>
      <c r="J6" s="524">
        <v>1</v>
      </c>
      <c r="K6" s="376" t="s">
        <v>113</v>
      </c>
      <c r="L6" s="364"/>
      <c r="M6" s="92"/>
      <c r="N6" s="364"/>
      <c r="O6" s="92"/>
      <c r="P6" s="364"/>
      <c r="Q6" s="92"/>
      <c r="R6" s="364"/>
      <c r="S6" s="92"/>
      <c r="T6" s="364"/>
      <c r="U6" s="92"/>
      <c r="V6" s="364"/>
      <c r="W6" s="92"/>
      <c r="X6" s="69"/>
    </row>
    <row r="7" spans="1:51" ht="14.4" x14ac:dyDescent="0.3">
      <c r="A7" s="364"/>
      <c r="B7" s="364" t="s">
        <v>20</v>
      </c>
      <c r="C7" s="92" t="s">
        <v>28</v>
      </c>
      <c r="D7" s="373"/>
      <c r="E7" s="92" t="s">
        <v>13</v>
      </c>
      <c r="F7" s="373"/>
      <c r="G7" s="92" t="str">
        <f>'Documentation Main Sheet'!I6</f>
        <v>Jireh Peng</v>
      </c>
      <c r="H7" s="364"/>
      <c r="J7" s="525">
        <v>1</v>
      </c>
      <c r="K7" s="373" t="s">
        <v>114</v>
      </c>
      <c r="L7" s="364"/>
      <c r="M7" s="92"/>
      <c r="N7" s="364"/>
      <c r="O7" s="92"/>
      <c r="P7" s="364"/>
      <c r="Q7" s="92"/>
      <c r="R7" s="364"/>
      <c r="S7" s="92"/>
      <c r="T7" s="364"/>
      <c r="U7" s="92"/>
      <c r="V7" s="364"/>
      <c r="W7" s="92"/>
      <c r="X7" s="69"/>
      <c r="AF7" s="982"/>
      <c r="AG7" s="982"/>
      <c r="AH7" s="982"/>
      <c r="AI7" s="982"/>
      <c r="AJ7" s="982"/>
      <c r="AK7" s="982"/>
      <c r="AL7" s="982"/>
      <c r="AM7" s="982"/>
      <c r="AN7" s="982"/>
      <c r="AO7" s="982"/>
      <c r="AP7" s="982"/>
      <c r="AQ7" s="982"/>
      <c r="AR7" s="982"/>
      <c r="AS7" s="982"/>
      <c r="AT7" s="982"/>
      <c r="AU7" s="982"/>
      <c r="AV7" s="982"/>
      <c r="AW7" s="982"/>
      <c r="AX7" s="982"/>
      <c r="AY7" s="982"/>
    </row>
    <row r="8" spans="1:51" ht="14.4" x14ac:dyDescent="0.3">
      <c r="A8" s="364"/>
      <c r="B8" s="364" t="s">
        <v>19</v>
      </c>
      <c r="C8" s="92" t="s">
        <v>27</v>
      </c>
      <c r="D8" s="373"/>
      <c r="E8" s="92"/>
      <c r="F8" s="373"/>
      <c r="G8" s="92"/>
      <c r="H8" s="364"/>
      <c r="J8" s="996">
        <v>1</v>
      </c>
      <c r="K8" s="364" t="s">
        <v>115</v>
      </c>
      <c r="L8" s="364"/>
      <c r="M8" s="92"/>
      <c r="N8" s="364"/>
      <c r="O8" s="92"/>
      <c r="P8" s="364"/>
      <c r="Q8" s="92"/>
      <c r="R8" s="364"/>
      <c r="S8" s="92"/>
      <c r="T8" s="364"/>
      <c r="U8" s="92"/>
      <c r="V8" s="364"/>
      <c r="W8" s="92"/>
      <c r="X8" s="69"/>
      <c r="AF8" s="369" t="s">
        <v>116</v>
      </c>
      <c r="AG8" s="982"/>
      <c r="AH8" s="982"/>
      <c r="AI8" s="982"/>
      <c r="AJ8" s="982"/>
      <c r="AK8" s="982"/>
      <c r="AL8" s="982"/>
      <c r="AM8" s="982"/>
      <c r="AN8" s="982"/>
      <c r="AO8" s="982"/>
      <c r="AP8" s="982"/>
      <c r="AQ8" s="982"/>
      <c r="AR8" s="982" t="s">
        <v>117</v>
      </c>
      <c r="AS8" s="982"/>
      <c r="AT8" s="982" t="s">
        <v>118</v>
      </c>
      <c r="AU8" s="982"/>
      <c r="AV8" s="982" t="s">
        <v>119</v>
      </c>
      <c r="AW8" s="982"/>
      <c r="AX8" s="982" t="s">
        <v>120</v>
      </c>
      <c r="AY8" s="982"/>
    </row>
    <row r="9" spans="1:51" ht="14.4" x14ac:dyDescent="0.3">
      <c r="A9" s="364"/>
      <c r="B9" s="92"/>
      <c r="C9" s="90"/>
      <c r="D9" s="373"/>
      <c r="E9" s="92"/>
      <c r="F9" s="373"/>
      <c r="G9" s="92"/>
      <c r="H9" s="364"/>
      <c r="J9" s="364"/>
      <c r="K9" s="92"/>
      <c r="L9" s="364"/>
      <c r="M9" s="92"/>
      <c r="N9" s="364"/>
      <c r="O9" s="92"/>
      <c r="P9" s="364"/>
      <c r="Q9" s="92"/>
      <c r="R9" s="364"/>
      <c r="S9" s="92"/>
      <c r="T9" s="364"/>
      <c r="U9" s="92"/>
      <c r="V9" s="364"/>
      <c r="W9" s="92"/>
      <c r="X9" s="69"/>
      <c r="AF9" s="982" t="s">
        <v>121</v>
      </c>
      <c r="AG9" s="982" t="s">
        <v>122</v>
      </c>
      <c r="AH9" s="982" t="s">
        <v>121</v>
      </c>
      <c r="AI9" s="982" t="s">
        <v>123</v>
      </c>
      <c r="AJ9" s="982" t="s">
        <v>124</v>
      </c>
      <c r="AK9" s="982" t="s">
        <v>125</v>
      </c>
      <c r="AL9" s="982" t="s">
        <v>126</v>
      </c>
      <c r="AM9" s="982" t="s">
        <v>127</v>
      </c>
      <c r="AN9" s="982" t="s">
        <v>128</v>
      </c>
      <c r="AO9" s="982" t="s">
        <v>129</v>
      </c>
      <c r="AP9" s="982" t="s">
        <v>130</v>
      </c>
      <c r="AQ9" s="982" t="s">
        <v>131</v>
      </c>
      <c r="AR9" s="982" t="s">
        <v>132</v>
      </c>
      <c r="AS9" s="982" t="s">
        <v>133</v>
      </c>
      <c r="AT9" s="982" t="s">
        <v>132</v>
      </c>
      <c r="AU9" s="982" t="s">
        <v>133</v>
      </c>
      <c r="AV9" s="982" t="s">
        <v>132</v>
      </c>
      <c r="AW9" s="982" t="s">
        <v>133</v>
      </c>
      <c r="AX9" s="982" t="s">
        <v>132</v>
      </c>
      <c r="AY9" s="982" t="s">
        <v>133</v>
      </c>
    </row>
    <row r="10" spans="1:51" s="13" customFormat="1" ht="14.4" x14ac:dyDescent="0.3">
      <c r="A10" s="281"/>
      <c r="B10" s="282" t="s">
        <v>134</v>
      </c>
      <c r="C10" s="283"/>
      <c r="D10" s="295"/>
      <c r="E10" s="284"/>
      <c r="F10" s="295"/>
      <c r="G10" s="283"/>
      <c r="H10" s="281"/>
      <c r="I10" s="283"/>
      <c r="J10" s="281"/>
      <c r="K10" s="283"/>
      <c r="L10" s="281"/>
      <c r="M10" s="283"/>
      <c r="N10" s="281"/>
      <c r="O10" s="283"/>
      <c r="P10" s="283"/>
      <c r="Q10" s="283"/>
      <c r="R10" s="281"/>
      <c r="S10" s="283"/>
      <c r="T10" s="281"/>
      <c r="U10" s="283"/>
      <c r="V10" s="281"/>
      <c r="W10" s="283"/>
      <c r="X10" s="93"/>
      <c r="Y10" s="809"/>
      <c r="Z10" s="809"/>
      <c r="AA10" s="809"/>
      <c r="AB10" s="809"/>
      <c r="AC10" s="809"/>
      <c r="AD10" s="809"/>
      <c r="AE10" s="808" t="s">
        <v>267</v>
      </c>
      <c r="AF10" s="949" t="s">
        <v>136</v>
      </c>
      <c r="AG10" s="949" t="s">
        <v>137</v>
      </c>
      <c r="AH10" s="949" t="s">
        <v>138</v>
      </c>
      <c r="AI10" s="949" t="s">
        <v>139</v>
      </c>
      <c r="AJ10" s="949" t="s">
        <v>140</v>
      </c>
      <c r="AK10" s="949" t="s">
        <v>141</v>
      </c>
      <c r="AL10" s="949">
        <v>2126.0300000000002</v>
      </c>
      <c r="AM10" s="949">
        <v>18.452400000000001</v>
      </c>
      <c r="AN10" s="949" t="s">
        <v>142</v>
      </c>
      <c r="AO10" s="949" t="s">
        <v>143</v>
      </c>
      <c r="AP10" s="949" t="s">
        <v>144</v>
      </c>
      <c r="AQ10" s="949">
        <v>5.2999999999999999E-2</v>
      </c>
      <c r="AR10" s="949">
        <v>0.7</v>
      </c>
      <c r="AS10" s="949">
        <v>0.7</v>
      </c>
      <c r="AT10" s="949">
        <v>0.7</v>
      </c>
      <c r="AU10" s="949">
        <v>0.7</v>
      </c>
      <c r="AV10" s="949">
        <v>0.6</v>
      </c>
      <c r="AW10" s="949">
        <v>0.6</v>
      </c>
      <c r="AX10" s="949">
        <v>0.4</v>
      </c>
      <c r="AY10" s="949">
        <v>0.4</v>
      </c>
    </row>
    <row r="11" spans="1:51" s="13" customFormat="1" x14ac:dyDescent="0.3">
      <c r="A11" s="27"/>
      <c r="B11" s="45" t="s">
        <v>145</v>
      </c>
      <c r="C11" s="96"/>
      <c r="D11" s="91"/>
      <c r="E11" s="84"/>
      <c r="F11" s="91"/>
      <c r="G11" s="84"/>
      <c r="H11" s="91"/>
      <c r="I11" s="84"/>
      <c r="J11" s="91"/>
      <c r="K11" s="84"/>
      <c r="L11" s="91"/>
      <c r="M11" s="84"/>
      <c r="N11" s="91"/>
      <c r="O11" s="84"/>
      <c r="P11" s="91"/>
      <c r="Q11" s="84"/>
      <c r="R11" s="91"/>
      <c r="S11" s="84"/>
      <c r="T11" s="91"/>
      <c r="U11" s="84"/>
      <c r="V11" s="91"/>
      <c r="W11" s="84"/>
      <c r="X11" s="42"/>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row>
    <row r="12" spans="1:51" s="13" customFormat="1" ht="14.4" x14ac:dyDescent="0.3">
      <c r="A12" s="93"/>
      <c r="B12" s="84" t="s">
        <v>146</v>
      </c>
      <c r="C12" s="96"/>
      <c r="D12" s="91"/>
      <c r="E12" s="84"/>
      <c r="F12" s="91"/>
      <c r="G12" s="84"/>
      <c r="H12" s="91"/>
      <c r="I12" s="84"/>
      <c r="J12" s="91"/>
      <c r="K12" s="84"/>
      <c r="L12" s="91"/>
      <c r="M12" s="84"/>
      <c r="N12" s="91"/>
      <c r="O12" s="84"/>
      <c r="P12" s="84"/>
      <c r="Q12" s="84"/>
      <c r="R12" s="91"/>
      <c r="S12" s="84"/>
      <c r="T12" s="91"/>
      <c r="U12" s="84"/>
      <c r="V12" s="91"/>
      <c r="W12" s="84"/>
      <c r="X12" s="42"/>
      <c r="Y12" s="93"/>
      <c r="Z12" s="93"/>
      <c r="AA12" s="364"/>
      <c r="AB12" s="89"/>
      <c r="AC12" s="89"/>
      <c r="AD12" s="89"/>
      <c r="AE12" s="89"/>
      <c r="AF12" s="369" t="s">
        <v>147</v>
      </c>
      <c r="AG12" s="982"/>
      <c r="AH12" s="982"/>
      <c r="AI12" s="982"/>
      <c r="AJ12" s="982"/>
      <c r="AK12" s="982"/>
      <c r="AL12" s="982"/>
      <c r="AM12" s="982"/>
      <c r="AN12" s="982"/>
      <c r="AO12" s="982"/>
      <c r="AP12" s="982"/>
      <c r="AQ12" s="982"/>
      <c r="AR12" s="41"/>
      <c r="AS12" s="41"/>
      <c r="AT12" s="41"/>
      <c r="AU12" s="41"/>
      <c r="AV12" s="41"/>
      <c r="AW12" s="41"/>
      <c r="AX12" s="41"/>
      <c r="AY12" s="41"/>
    </row>
    <row r="13" spans="1:51" ht="41.4" x14ac:dyDescent="0.3">
      <c r="A13" s="364"/>
      <c r="B13" s="220" t="s">
        <v>148</v>
      </c>
      <c r="C13" s="123" t="s">
        <v>149</v>
      </c>
      <c r="D13" s="293"/>
      <c r="E13" s="116" t="s">
        <v>128</v>
      </c>
      <c r="F13" s="293"/>
      <c r="G13" s="116" t="s">
        <v>150</v>
      </c>
      <c r="H13" s="144"/>
      <c r="I13" s="116" t="s">
        <v>151</v>
      </c>
      <c r="J13" s="144"/>
      <c r="K13" s="116" t="s">
        <v>152</v>
      </c>
      <c r="L13" s="144"/>
      <c r="M13" s="116" t="s">
        <v>153</v>
      </c>
      <c r="N13" s="144"/>
      <c r="O13" s="116" t="s">
        <v>154</v>
      </c>
      <c r="P13" s="144"/>
      <c r="Q13" s="116" t="s">
        <v>155</v>
      </c>
      <c r="R13" s="144"/>
      <c r="S13" s="116" t="s">
        <v>268</v>
      </c>
      <c r="T13" s="144"/>
      <c r="U13" s="116" t="s">
        <v>269</v>
      </c>
      <c r="V13" s="144"/>
      <c r="W13" s="116" t="s">
        <v>270</v>
      </c>
      <c r="X13" s="42"/>
      <c r="Y13" s="41"/>
      <c r="Z13" s="41"/>
      <c r="AA13" s="364"/>
      <c r="AB13" s="84"/>
      <c r="AC13" s="84"/>
      <c r="AD13" s="84"/>
      <c r="AE13" s="84"/>
      <c r="AF13" s="982" t="s">
        <v>121</v>
      </c>
      <c r="AG13" s="982" t="s">
        <v>122</v>
      </c>
      <c r="AH13" s="982" t="s">
        <v>121</v>
      </c>
      <c r="AI13" s="982" t="s">
        <v>123</v>
      </c>
      <c r="AJ13" s="982" t="s">
        <v>124</v>
      </c>
      <c r="AK13" s="982" t="s">
        <v>17</v>
      </c>
      <c r="AL13" s="982" t="s">
        <v>126</v>
      </c>
      <c r="AM13" s="982" t="s">
        <v>156</v>
      </c>
      <c r="AN13" s="982" t="s">
        <v>129</v>
      </c>
      <c r="AO13" s="982" t="s">
        <v>130</v>
      </c>
      <c r="AP13" s="982" t="s">
        <v>157</v>
      </c>
      <c r="AQ13" s="982" t="s">
        <v>158</v>
      </c>
      <c r="AR13" s="82"/>
      <c r="AS13" s="82"/>
      <c r="AT13" s="82"/>
      <c r="AU13" s="82"/>
      <c r="AV13" s="82"/>
      <c r="AW13" s="82"/>
      <c r="AX13" s="82"/>
      <c r="AY13" s="82"/>
    </row>
    <row r="14" spans="1:51" s="82" customFormat="1" ht="15" thickBot="1" x14ac:dyDescent="0.35">
      <c r="A14" s="83"/>
      <c r="B14" s="132"/>
      <c r="C14" s="992" t="s">
        <v>159</v>
      </c>
      <c r="D14" s="139"/>
      <c r="E14" s="993" t="s">
        <v>160</v>
      </c>
      <c r="F14" s="139"/>
      <c r="G14" s="993" t="s">
        <v>161</v>
      </c>
      <c r="H14" s="145"/>
      <c r="I14" s="993" t="s">
        <v>162</v>
      </c>
      <c r="J14" s="145"/>
      <c r="K14" s="993" t="s">
        <v>163</v>
      </c>
      <c r="L14" s="145"/>
      <c r="M14" s="993" t="s">
        <v>164</v>
      </c>
      <c r="N14" s="145"/>
      <c r="O14" s="993" t="s">
        <v>165</v>
      </c>
      <c r="P14" s="145"/>
      <c r="Q14" s="993" t="s">
        <v>166</v>
      </c>
      <c r="R14" s="240"/>
      <c r="S14" s="993" t="s">
        <v>271</v>
      </c>
      <c r="T14" s="240"/>
      <c r="U14" s="993" t="s">
        <v>272</v>
      </c>
      <c r="V14" s="240"/>
      <c r="W14" s="993" t="s">
        <v>273</v>
      </c>
      <c r="Y14" s="809"/>
      <c r="Z14" s="809"/>
      <c r="AA14" s="809"/>
      <c r="AB14" s="809"/>
      <c r="AC14" s="809"/>
      <c r="AD14" s="809"/>
      <c r="AE14" s="808" t="s">
        <v>274</v>
      </c>
      <c r="AF14" s="949" t="s">
        <v>168</v>
      </c>
      <c r="AG14" s="949" t="s">
        <v>137</v>
      </c>
      <c r="AH14" s="949" t="s">
        <v>169</v>
      </c>
      <c r="AI14" s="949" t="s">
        <v>139</v>
      </c>
      <c r="AJ14" s="949" t="s">
        <v>170</v>
      </c>
      <c r="AK14" s="949" t="s">
        <v>141</v>
      </c>
      <c r="AL14" s="949">
        <v>909.06</v>
      </c>
      <c r="AM14" s="949">
        <v>180</v>
      </c>
      <c r="AN14" s="949" t="s">
        <v>275</v>
      </c>
      <c r="AO14" s="949" t="s">
        <v>248</v>
      </c>
      <c r="AP14" s="949">
        <v>5.6000000000000001E-2</v>
      </c>
      <c r="AQ14" s="949">
        <v>222.15</v>
      </c>
      <c r="AR14" s="69"/>
      <c r="AS14" s="69"/>
      <c r="AT14" s="69"/>
      <c r="AU14" s="69"/>
      <c r="AV14" s="69"/>
      <c r="AW14" s="69"/>
      <c r="AX14" s="69"/>
      <c r="AY14" s="69"/>
    </row>
    <row r="15" spans="1:51" ht="28.2" thickTop="1" x14ac:dyDescent="0.3">
      <c r="A15" s="364"/>
      <c r="B15" s="130" t="s">
        <v>132</v>
      </c>
      <c r="C15" s="92" t="s">
        <v>143</v>
      </c>
      <c r="D15" s="958" t="str">
        <f>IF(E15=AN10,"x","")</f>
        <v>x</v>
      </c>
      <c r="E15" s="152" t="s">
        <v>142</v>
      </c>
      <c r="F15" s="958" t="str">
        <f>IF(G15=AP10,"x","")</f>
        <v>x</v>
      </c>
      <c r="G15" s="152" t="s">
        <v>144</v>
      </c>
      <c r="H15" s="958" t="str">
        <f>IF(I15=AQ10,"x","")</f>
        <v>x</v>
      </c>
      <c r="I15" s="150">
        <v>5.2999999999999999E-2</v>
      </c>
      <c r="J15" s="958" t="str">
        <f>IF(K15=AS10,"x","")</f>
        <v>x</v>
      </c>
      <c r="K15" s="153">
        <v>0.7</v>
      </c>
      <c r="L15" s="958" t="str">
        <f>IF(M15=AU10,"x","")</f>
        <v>x</v>
      </c>
      <c r="M15" s="153">
        <v>0.7</v>
      </c>
      <c r="N15" s="958" t="str">
        <f>IF(O15=AW10,"x","")</f>
        <v>x</v>
      </c>
      <c r="O15" s="153">
        <v>0.6</v>
      </c>
      <c r="P15" s="958" t="str">
        <f>IF(Q15=AY10,"x","")</f>
        <v>x</v>
      </c>
      <c r="Q15" s="153">
        <v>0.4</v>
      </c>
      <c r="R15" s="129" t="s">
        <v>173</v>
      </c>
      <c r="S15" s="152" t="s">
        <v>173</v>
      </c>
      <c r="T15" s="129" t="s">
        <v>173</v>
      </c>
      <c r="U15" s="152" t="s">
        <v>173</v>
      </c>
      <c r="V15" s="129" t="s">
        <v>173</v>
      </c>
      <c r="W15" s="152" t="s">
        <v>173</v>
      </c>
      <c r="X15" s="42"/>
      <c r="AA15" s="364"/>
      <c r="AB15" s="364"/>
      <c r="AC15" s="364"/>
      <c r="AD15" s="364"/>
      <c r="AE15" s="364"/>
      <c r="AF15" s="982"/>
      <c r="AG15" s="982"/>
      <c r="AH15" s="982"/>
      <c r="AI15" s="982"/>
      <c r="AJ15" s="982"/>
      <c r="AK15" s="982"/>
      <c r="AL15" s="982"/>
      <c r="AM15" s="982"/>
      <c r="AN15" s="982"/>
      <c r="AO15" s="982"/>
      <c r="AP15" s="982"/>
      <c r="AQ15" s="982"/>
    </row>
    <row r="16" spans="1:51" ht="14.4" x14ac:dyDescent="0.3">
      <c r="A16" s="364"/>
      <c r="B16" s="130" t="s">
        <v>147</v>
      </c>
      <c r="C16" s="92" t="s">
        <v>275</v>
      </c>
      <c r="D16" s="261" t="s">
        <v>173</v>
      </c>
      <c r="E16" s="154" t="s">
        <v>173</v>
      </c>
      <c r="F16" s="958" t="str">
        <f>IF(G16=AO14,"x","")</f>
        <v>x</v>
      </c>
      <c r="G16" s="152" t="s">
        <v>248</v>
      </c>
      <c r="H16" s="958" t="str">
        <f>IF(I16=AP14,"x","")</f>
        <v>x</v>
      </c>
      <c r="I16" s="150">
        <v>5.6000000000000001E-2</v>
      </c>
      <c r="J16" s="135" t="s">
        <v>173</v>
      </c>
      <c r="K16" s="154" t="s">
        <v>173</v>
      </c>
      <c r="L16" s="135" t="s">
        <v>173</v>
      </c>
      <c r="M16" s="154" t="s">
        <v>173</v>
      </c>
      <c r="N16" s="135" t="s">
        <v>173</v>
      </c>
      <c r="O16" s="154" t="s">
        <v>173</v>
      </c>
      <c r="P16" s="135" t="s">
        <v>173</v>
      </c>
      <c r="Q16" s="154" t="s">
        <v>173</v>
      </c>
      <c r="R16" s="135" t="s">
        <v>173</v>
      </c>
      <c r="S16" s="154" t="s">
        <v>173</v>
      </c>
      <c r="T16" s="135" t="s">
        <v>173</v>
      </c>
      <c r="U16" s="154" t="s">
        <v>173</v>
      </c>
      <c r="V16" s="135" t="s">
        <v>173</v>
      </c>
      <c r="W16" s="154" t="s">
        <v>173</v>
      </c>
      <c r="X16" s="42"/>
      <c r="AA16" s="364"/>
      <c r="AB16" s="364"/>
      <c r="AC16" s="364"/>
      <c r="AD16" s="364"/>
      <c r="AE16" s="364"/>
      <c r="AF16" s="369" t="s">
        <v>174</v>
      </c>
      <c r="AG16" s="982"/>
      <c r="AH16" s="982"/>
      <c r="AI16" s="982"/>
      <c r="AJ16" s="982"/>
      <c r="AK16" s="982"/>
      <c r="AL16" s="982"/>
      <c r="AM16" s="982"/>
      <c r="AN16" s="982"/>
      <c r="AO16" s="982"/>
      <c r="AP16" s="982"/>
      <c r="AQ16" s="982"/>
    </row>
    <row r="17" spans="1:51" ht="14.4" x14ac:dyDescent="0.3">
      <c r="A17" s="364"/>
      <c r="B17" s="128" t="s">
        <v>175</v>
      </c>
      <c r="C17" s="366" t="s">
        <v>178</v>
      </c>
      <c r="D17" s="261" t="s">
        <v>173</v>
      </c>
      <c r="E17" s="154" t="s">
        <v>173</v>
      </c>
      <c r="F17" s="958" t="str">
        <f>IF(G17=AN18,"x","")</f>
        <v>x</v>
      </c>
      <c r="G17" s="362" t="s">
        <v>179</v>
      </c>
      <c r="H17" s="958" t="str">
        <f>IF(I17=AO18,"x","")</f>
        <v>x</v>
      </c>
      <c r="I17" s="150">
        <v>7.0000000000000007E-2</v>
      </c>
      <c r="J17" s="135" t="s">
        <v>173</v>
      </c>
      <c r="K17" s="154" t="s">
        <v>173</v>
      </c>
      <c r="L17" s="135" t="s">
        <v>173</v>
      </c>
      <c r="M17" s="154" t="s">
        <v>173</v>
      </c>
      <c r="N17" s="135" t="s">
        <v>173</v>
      </c>
      <c r="O17" s="154" t="s">
        <v>173</v>
      </c>
      <c r="P17" s="135" t="s">
        <v>173</v>
      </c>
      <c r="Q17" s="154" t="s">
        <v>173</v>
      </c>
      <c r="R17" s="135" t="s">
        <v>173</v>
      </c>
      <c r="S17" s="154" t="s">
        <v>173</v>
      </c>
      <c r="T17" s="135" t="s">
        <v>173</v>
      </c>
      <c r="U17" s="154" t="s">
        <v>173</v>
      </c>
      <c r="V17" s="135" t="s">
        <v>173</v>
      </c>
      <c r="W17" s="154" t="s">
        <v>173</v>
      </c>
      <c r="X17" s="42"/>
      <c r="AA17" s="364"/>
      <c r="AB17" s="373"/>
      <c r="AC17" s="373"/>
      <c r="AD17" s="373"/>
      <c r="AE17" s="373"/>
      <c r="AF17" s="982" t="s">
        <v>121</v>
      </c>
      <c r="AG17" s="982" t="s">
        <v>122</v>
      </c>
      <c r="AH17" s="982" t="s">
        <v>121</v>
      </c>
      <c r="AI17" s="982" t="s">
        <v>123</v>
      </c>
      <c r="AJ17" s="982" t="s">
        <v>124</v>
      </c>
      <c r="AK17" s="982" t="s">
        <v>17</v>
      </c>
      <c r="AL17" s="982" t="s">
        <v>126</v>
      </c>
      <c r="AM17" s="982" t="s">
        <v>129</v>
      </c>
      <c r="AN17" s="982" t="s">
        <v>130</v>
      </c>
      <c r="AO17" s="982" t="s">
        <v>157</v>
      </c>
    </row>
    <row r="18" spans="1:51" ht="14.4" x14ac:dyDescent="0.3">
      <c r="A18" s="364"/>
      <c r="B18" s="278" t="s">
        <v>276</v>
      </c>
      <c r="C18" s="167" t="s">
        <v>277</v>
      </c>
      <c r="D18" s="294" t="s">
        <v>173</v>
      </c>
      <c r="E18" s="164" t="s">
        <v>173</v>
      </c>
      <c r="F18" s="294" t="s">
        <v>173</v>
      </c>
      <c r="G18" s="164" t="s">
        <v>278</v>
      </c>
      <c r="H18" s="158" t="s">
        <v>173</v>
      </c>
      <c r="I18" s="164" t="s">
        <v>173</v>
      </c>
      <c r="J18" s="158" t="s">
        <v>173</v>
      </c>
      <c r="K18" s="164" t="s">
        <v>173</v>
      </c>
      <c r="L18" s="158" t="s">
        <v>173</v>
      </c>
      <c r="M18" s="164" t="s">
        <v>173</v>
      </c>
      <c r="N18" s="158" t="s">
        <v>173</v>
      </c>
      <c r="O18" s="164" t="s">
        <v>173</v>
      </c>
      <c r="P18" s="158" t="s">
        <v>173</v>
      </c>
      <c r="Q18" s="164" t="s">
        <v>173</v>
      </c>
      <c r="R18" s="952" t="str">
        <f>IF(S18=AP22,"x","")</f>
        <v>x</v>
      </c>
      <c r="S18" s="172">
        <v>0.7</v>
      </c>
      <c r="T18" s="952" t="str">
        <f>IF(U18=SUM(AL22:AL25),"x","")</f>
        <v>x</v>
      </c>
      <c r="U18" s="172">
        <v>3891.16</v>
      </c>
      <c r="V18" s="952" t="str">
        <f>IF(W18=SUM(AM22:AM25),"x","")</f>
        <v>x</v>
      </c>
      <c r="W18" s="172">
        <v>302.82</v>
      </c>
      <c r="X18" s="42"/>
      <c r="Y18" s="809"/>
      <c r="Z18" s="809"/>
      <c r="AA18" s="809"/>
      <c r="AB18" s="809"/>
      <c r="AC18" s="809"/>
      <c r="AD18" s="809"/>
      <c r="AE18" s="808" t="s">
        <v>279</v>
      </c>
      <c r="AF18" s="949" t="s">
        <v>183</v>
      </c>
      <c r="AG18" s="949" t="s">
        <v>137</v>
      </c>
      <c r="AH18" s="949" t="s">
        <v>138</v>
      </c>
      <c r="AI18" s="949" t="s">
        <v>139</v>
      </c>
      <c r="AJ18" s="949" t="s">
        <v>140</v>
      </c>
      <c r="AK18" s="949" t="s">
        <v>141</v>
      </c>
      <c r="AL18" s="949">
        <v>182.71</v>
      </c>
      <c r="AM18" s="949" t="s">
        <v>178</v>
      </c>
      <c r="AN18" s="949" t="s">
        <v>179</v>
      </c>
      <c r="AO18" s="949">
        <v>7.0000000000000007E-2</v>
      </c>
    </row>
    <row r="19" spans="1:51" x14ac:dyDescent="0.3">
      <c r="A19" s="364"/>
      <c r="B19" s="366"/>
      <c r="C19" s="366"/>
      <c r="D19" s="373"/>
      <c r="E19" s="366"/>
      <c r="F19" s="373"/>
      <c r="G19" s="366"/>
      <c r="H19" s="364"/>
      <c r="I19" s="366"/>
      <c r="J19" s="6"/>
      <c r="K19" s="366"/>
      <c r="L19" s="364"/>
      <c r="M19" s="366"/>
      <c r="N19" s="364"/>
      <c r="O19" s="366"/>
      <c r="P19" s="364"/>
      <c r="Q19" s="366"/>
      <c r="R19" s="364"/>
      <c r="S19" s="366"/>
      <c r="T19" s="364"/>
      <c r="U19" s="366"/>
      <c r="V19" s="364"/>
      <c r="W19" s="366"/>
      <c r="X19" s="69"/>
    </row>
    <row r="20" spans="1:51" ht="14.4" x14ac:dyDescent="0.3">
      <c r="A20" s="364"/>
      <c r="B20" s="90" t="s">
        <v>184</v>
      </c>
      <c r="C20" s="366"/>
      <c r="D20" s="373"/>
      <c r="E20" s="366"/>
      <c r="F20" s="373"/>
      <c r="G20" s="366"/>
      <c r="H20" s="364"/>
      <c r="I20" s="366"/>
      <c r="J20" s="6"/>
      <c r="K20" s="366"/>
      <c r="L20" s="364"/>
      <c r="M20" s="366"/>
      <c r="N20" s="364"/>
      <c r="O20" s="366"/>
      <c r="P20" s="364"/>
      <c r="Q20" s="366"/>
      <c r="R20" s="364"/>
      <c r="S20" s="366"/>
      <c r="T20" s="364"/>
      <c r="U20" s="366"/>
      <c r="V20" s="364"/>
      <c r="W20" s="366"/>
      <c r="X20" s="69"/>
      <c r="AA20" s="364"/>
      <c r="AB20" s="364"/>
      <c r="AC20" s="364"/>
      <c r="AD20" s="364"/>
      <c r="AE20" s="364"/>
      <c r="AF20" s="369" t="s">
        <v>280</v>
      </c>
    </row>
    <row r="21" spans="1:51" s="41" customFormat="1" ht="27.6" x14ac:dyDescent="0.3">
      <c r="A21" s="91"/>
      <c r="B21" s="138" t="s">
        <v>148</v>
      </c>
      <c r="C21" s="120" t="s">
        <v>149</v>
      </c>
      <c r="D21" s="138"/>
      <c r="E21" s="148" t="s">
        <v>150</v>
      </c>
      <c r="F21" s="138"/>
      <c r="G21" s="148" t="s">
        <v>151</v>
      </c>
      <c r="H21" s="138"/>
      <c r="I21" s="148" t="s">
        <v>185</v>
      </c>
      <c r="J21" s="119"/>
      <c r="K21" s="148" t="s">
        <v>186</v>
      </c>
      <c r="L21" s="91"/>
      <c r="M21" s="38"/>
      <c r="N21" s="91"/>
      <c r="O21" s="38"/>
      <c r="P21" s="91"/>
      <c r="Q21" s="38"/>
      <c r="AF21" s="982" t="s">
        <v>121</v>
      </c>
      <c r="AG21" s="982" t="s">
        <v>122</v>
      </c>
      <c r="AH21" s="982" t="s">
        <v>121</v>
      </c>
      <c r="AI21" s="982" t="s">
        <v>123</v>
      </c>
      <c r="AJ21" s="982" t="s">
        <v>124</v>
      </c>
      <c r="AK21" s="982" t="s">
        <v>281</v>
      </c>
      <c r="AL21" s="982" t="s">
        <v>126</v>
      </c>
      <c r="AM21" s="982" t="s">
        <v>282</v>
      </c>
      <c r="AN21" s="982" t="s">
        <v>129</v>
      </c>
      <c r="AO21" s="982" t="s">
        <v>283</v>
      </c>
      <c r="AP21" s="982" t="s">
        <v>284</v>
      </c>
    </row>
    <row r="22" spans="1:51" s="82" customFormat="1" ht="15" thickBot="1" x14ac:dyDescent="0.35">
      <c r="A22" s="83"/>
      <c r="B22" s="132"/>
      <c r="C22" s="992" t="s">
        <v>188</v>
      </c>
      <c r="D22" s="139"/>
      <c r="E22" s="993" t="s">
        <v>189</v>
      </c>
      <c r="F22" s="139"/>
      <c r="G22" s="993" t="s">
        <v>190</v>
      </c>
      <c r="H22" s="145"/>
      <c r="I22" s="993" t="s">
        <v>191</v>
      </c>
      <c r="J22" s="125"/>
      <c r="K22" s="993" t="s">
        <v>192</v>
      </c>
      <c r="L22" s="83"/>
      <c r="M22" s="30"/>
      <c r="N22" s="83"/>
      <c r="O22" s="30"/>
      <c r="P22" s="30"/>
      <c r="Q22" s="30"/>
      <c r="R22" s="83"/>
      <c r="S22" s="364"/>
      <c r="T22" s="30"/>
      <c r="U22" s="83"/>
      <c r="V22" s="83"/>
      <c r="W22" s="30"/>
      <c r="Y22" s="809"/>
      <c r="Z22" s="809"/>
      <c r="AA22" s="809"/>
      <c r="AB22" s="809"/>
      <c r="AC22" s="809"/>
      <c r="AD22" s="809"/>
      <c r="AE22" s="808" t="s">
        <v>285</v>
      </c>
      <c r="AF22" s="97" t="s">
        <v>181</v>
      </c>
      <c r="AG22" s="97" t="s">
        <v>137</v>
      </c>
      <c r="AH22" s="97" t="s">
        <v>169</v>
      </c>
      <c r="AI22" s="97" t="s">
        <v>139</v>
      </c>
      <c r="AJ22" s="97" t="s">
        <v>170</v>
      </c>
      <c r="AK22" s="97" t="s">
        <v>286</v>
      </c>
      <c r="AL22" s="97">
        <v>1221.17</v>
      </c>
      <c r="AM22" s="97">
        <v>90.85</v>
      </c>
      <c r="AN22" s="97" t="s">
        <v>277</v>
      </c>
      <c r="AO22" s="97" t="s">
        <v>287</v>
      </c>
      <c r="AP22" s="97">
        <v>0.7</v>
      </c>
    </row>
    <row r="23" spans="1:51" s="69" customFormat="1" ht="14.4" thickTop="1" x14ac:dyDescent="0.3">
      <c r="A23" s="364"/>
      <c r="B23" s="155" t="s">
        <v>187</v>
      </c>
      <c r="C23" s="167" t="s">
        <v>199</v>
      </c>
      <c r="D23" s="976" t="str">
        <f>IF(E23=AM29,"x","")</f>
        <v>x</v>
      </c>
      <c r="E23" s="472" t="s">
        <v>199</v>
      </c>
      <c r="F23" s="954" t="str">
        <f>IF(G23=AR29,"x","")</f>
        <v>x</v>
      </c>
      <c r="G23" s="255">
        <v>0.25</v>
      </c>
      <c r="H23" s="954" t="str">
        <f>IF(I23=AS29,"x","")</f>
        <v>x</v>
      </c>
      <c r="I23" s="955">
        <v>0.2</v>
      </c>
      <c r="J23" s="954" t="str">
        <f>IF(K23=AT29,"x","")</f>
        <v>x</v>
      </c>
      <c r="K23" s="955">
        <v>0.45</v>
      </c>
      <c r="L23" s="364"/>
      <c r="M23" s="32"/>
      <c r="N23" s="364"/>
      <c r="O23" s="92"/>
      <c r="P23" s="364"/>
      <c r="Q23" s="92"/>
      <c r="X23" s="41"/>
      <c r="AF23" s="97" t="s">
        <v>288</v>
      </c>
      <c r="AG23" s="97" t="s">
        <v>137</v>
      </c>
      <c r="AH23" s="97" t="s">
        <v>289</v>
      </c>
      <c r="AI23" s="97" t="s">
        <v>139</v>
      </c>
      <c r="AJ23" s="97" t="s">
        <v>170</v>
      </c>
      <c r="AK23" s="97" t="s">
        <v>286</v>
      </c>
      <c r="AL23" s="97">
        <v>724.41</v>
      </c>
      <c r="AM23" s="97">
        <v>60.56</v>
      </c>
      <c r="AN23" s="97" t="s">
        <v>277</v>
      </c>
      <c r="AO23" s="97" t="s">
        <v>287</v>
      </c>
      <c r="AP23" s="97">
        <v>0.7</v>
      </c>
    </row>
    <row r="24" spans="1:51" x14ac:dyDescent="0.3">
      <c r="A24" s="364"/>
      <c r="B24" s="92"/>
      <c r="C24" s="92"/>
      <c r="D24" s="373"/>
      <c r="E24" s="92"/>
      <c r="F24" s="373"/>
      <c r="G24" s="92"/>
      <c r="H24" s="364"/>
      <c r="J24" s="364"/>
      <c r="K24" s="92"/>
      <c r="L24" s="364"/>
      <c r="M24" s="92"/>
      <c r="N24" s="364"/>
      <c r="O24" s="92"/>
      <c r="P24" s="364"/>
      <c r="Q24" s="92"/>
      <c r="R24" s="364"/>
      <c r="S24" s="92"/>
      <c r="T24" s="364"/>
      <c r="U24" s="92"/>
      <c r="V24" s="364"/>
      <c r="W24" s="92"/>
      <c r="X24" s="83"/>
      <c r="AF24" s="97" t="s">
        <v>290</v>
      </c>
      <c r="AG24" s="97" t="s">
        <v>137</v>
      </c>
      <c r="AH24" s="97" t="s">
        <v>291</v>
      </c>
      <c r="AI24" s="97" t="s">
        <v>139</v>
      </c>
      <c r="AJ24" s="97" t="s">
        <v>170</v>
      </c>
      <c r="AK24" s="97" t="s">
        <v>286</v>
      </c>
      <c r="AL24" s="97">
        <v>1221.17</v>
      </c>
      <c r="AM24" s="97">
        <v>90.85</v>
      </c>
      <c r="AN24" s="97" t="s">
        <v>277</v>
      </c>
      <c r="AO24" s="97" t="s">
        <v>287</v>
      </c>
      <c r="AP24" s="97">
        <v>0.7</v>
      </c>
    </row>
    <row r="25" spans="1:51" x14ac:dyDescent="0.3">
      <c r="A25" s="27"/>
      <c r="B25" s="45" t="s">
        <v>204</v>
      </c>
      <c r="C25" s="39"/>
      <c r="D25" s="41"/>
      <c r="E25" s="39"/>
      <c r="F25" s="41"/>
      <c r="G25" s="39"/>
      <c r="H25" s="41"/>
      <c r="I25" s="39"/>
      <c r="J25" s="41"/>
      <c r="K25" s="39"/>
      <c r="L25" s="41"/>
      <c r="M25" s="41"/>
      <c r="N25" s="41"/>
      <c r="O25" s="41"/>
      <c r="P25" s="364"/>
      <c r="Q25" s="41"/>
      <c r="R25" s="41"/>
      <c r="S25" s="41"/>
      <c r="T25" s="41"/>
      <c r="U25" s="41"/>
      <c r="V25" s="41"/>
      <c r="W25" s="41"/>
      <c r="X25" s="69"/>
      <c r="AF25" s="97" t="s">
        <v>292</v>
      </c>
      <c r="AG25" s="97" t="s">
        <v>137</v>
      </c>
      <c r="AH25" s="97" t="s">
        <v>293</v>
      </c>
      <c r="AI25" s="97" t="s">
        <v>139</v>
      </c>
      <c r="AJ25" s="97" t="s">
        <v>170</v>
      </c>
      <c r="AK25" s="97" t="s">
        <v>286</v>
      </c>
      <c r="AL25" s="97">
        <v>724.41</v>
      </c>
      <c r="AM25" s="97">
        <v>60.56</v>
      </c>
      <c r="AN25" s="97" t="s">
        <v>277</v>
      </c>
      <c r="AO25" s="97" t="s">
        <v>287</v>
      </c>
      <c r="AP25" s="97">
        <v>0.7</v>
      </c>
    </row>
    <row r="26" spans="1:51" x14ac:dyDescent="0.3">
      <c r="A26" s="364"/>
      <c r="B26" s="84" t="s">
        <v>146</v>
      </c>
      <c r="C26" s="84"/>
      <c r="D26" s="373">
        <v>3</v>
      </c>
      <c r="E26" s="956"/>
      <c r="F26" s="373">
        <f>D26+1</f>
        <v>4</v>
      </c>
      <c r="G26" s="956"/>
      <c r="H26" s="373">
        <f>F26+1</f>
        <v>5</v>
      </c>
      <c r="I26" s="956"/>
      <c r="J26" s="373">
        <f>H26+1</f>
        <v>6</v>
      </c>
      <c r="K26" s="956"/>
      <c r="L26" s="373">
        <f>J26+1</f>
        <v>7</v>
      </c>
      <c r="M26" s="956"/>
      <c r="N26" s="373">
        <f>L26+1</f>
        <v>8</v>
      </c>
      <c r="O26" s="956"/>
      <c r="P26" s="364"/>
      <c r="Q26" s="84"/>
      <c r="R26" s="364"/>
      <c r="S26" s="84"/>
      <c r="T26" s="364"/>
      <c r="U26" s="84"/>
      <c r="V26" s="364"/>
      <c r="W26" s="84"/>
      <c r="X26" s="69"/>
    </row>
    <row r="27" spans="1:51" ht="14.4" x14ac:dyDescent="0.3">
      <c r="A27" s="364"/>
      <c r="B27" s="219" t="s">
        <v>148</v>
      </c>
      <c r="C27" s="123" t="s">
        <v>149</v>
      </c>
      <c r="D27" s="293"/>
      <c r="E27" s="116" t="s">
        <v>214</v>
      </c>
      <c r="F27" s="293"/>
      <c r="G27" s="116" t="s">
        <v>215</v>
      </c>
      <c r="H27" s="121"/>
      <c r="I27" s="116" t="s">
        <v>216</v>
      </c>
      <c r="J27" s="210"/>
      <c r="K27" s="123" t="s">
        <v>217</v>
      </c>
      <c r="L27" s="210"/>
      <c r="M27" s="116" t="s">
        <v>218</v>
      </c>
      <c r="N27" s="121"/>
      <c r="O27" s="116" t="s">
        <v>219</v>
      </c>
      <c r="P27" s="364"/>
      <c r="Q27" s="84"/>
      <c r="R27" s="364"/>
      <c r="S27" s="84"/>
      <c r="T27" s="364"/>
      <c r="U27" s="84"/>
      <c r="V27" s="364"/>
      <c r="W27" s="84"/>
      <c r="X27" s="41"/>
      <c r="Y27" s="41"/>
      <c r="Z27" s="41"/>
      <c r="AA27" s="364"/>
      <c r="AB27" s="364"/>
      <c r="AC27" s="364"/>
      <c r="AD27" s="364"/>
      <c r="AE27" s="364"/>
      <c r="AF27" s="369" t="s">
        <v>187</v>
      </c>
      <c r="AG27" s="982"/>
      <c r="AH27" s="982"/>
      <c r="AI27" s="982"/>
      <c r="AJ27" s="982"/>
      <c r="AK27" s="982"/>
      <c r="AL27" s="982"/>
      <c r="AM27" s="982"/>
      <c r="AN27" s="982"/>
      <c r="AO27" s="982"/>
      <c r="AP27" s="41"/>
      <c r="AQ27" s="41"/>
      <c r="AR27" s="41"/>
      <c r="AS27" s="41"/>
      <c r="AT27" s="41"/>
      <c r="AU27" s="41"/>
      <c r="AV27" s="41"/>
      <c r="AW27" s="41"/>
      <c r="AX27" s="41"/>
      <c r="AY27" s="41"/>
    </row>
    <row r="28" spans="1:51" ht="15" thickBot="1" x14ac:dyDescent="0.35">
      <c r="A28" s="364"/>
      <c r="B28" s="297"/>
      <c r="C28" s="992" t="s">
        <v>159</v>
      </c>
      <c r="D28" s="139"/>
      <c r="E28" s="995" t="s">
        <v>226</v>
      </c>
      <c r="F28" s="240"/>
      <c r="G28" s="995" t="s">
        <v>226</v>
      </c>
      <c r="H28" s="227"/>
      <c r="I28" s="997" t="s">
        <v>226</v>
      </c>
      <c r="J28" s="240"/>
      <c r="K28" s="997" t="s">
        <v>226</v>
      </c>
      <c r="L28" s="240"/>
      <c r="M28" s="997" t="s">
        <v>226</v>
      </c>
      <c r="N28" s="240"/>
      <c r="O28" s="995" t="s">
        <v>226</v>
      </c>
      <c r="P28" s="364"/>
      <c r="Q28" s="92"/>
      <c r="R28" s="364"/>
      <c r="S28" s="92"/>
      <c r="T28" s="364"/>
      <c r="U28" s="92"/>
      <c r="V28" s="364"/>
      <c r="W28" s="92"/>
      <c r="X28" s="69"/>
      <c r="Y28" s="82"/>
      <c r="Z28" s="82"/>
      <c r="AA28" s="364"/>
      <c r="AB28" s="364"/>
      <c r="AC28" s="364"/>
      <c r="AD28" s="364"/>
      <c r="AE28" s="364"/>
      <c r="AF28" s="982" t="s">
        <v>121</v>
      </c>
      <c r="AG28" s="982" t="s">
        <v>122</v>
      </c>
      <c r="AH28" s="982" t="s">
        <v>123</v>
      </c>
      <c r="AI28" s="982" t="s">
        <v>124</v>
      </c>
      <c r="AJ28" s="982" t="s">
        <v>121</v>
      </c>
      <c r="AK28" s="982" t="s">
        <v>126</v>
      </c>
      <c r="AL28" s="982" t="s">
        <v>156</v>
      </c>
      <c r="AM28" s="982" t="s">
        <v>193</v>
      </c>
      <c r="AN28" s="982" t="s">
        <v>194</v>
      </c>
      <c r="AO28" s="982" t="s">
        <v>129</v>
      </c>
      <c r="AP28" s="982" t="s">
        <v>195</v>
      </c>
      <c r="AQ28" s="982" t="s">
        <v>196</v>
      </c>
      <c r="AR28" s="982" t="s">
        <v>157</v>
      </c>
      <c r="AS28" s="982" t="s">
        <v>185</v>
      </c>
      <c r="AT28" s="982" t="s">
        <v>186</v>
      </c>
      <c r="AU28" s="982" t="s">
        <v>197</v>
      </c>
      <c r="AV28" s="982" t="s">
        <v>198</v>
      </c>
      <c r="AW28" s="82"/>
      <c r="AX28" s="82"/>
      <c r="AY28" s="82"/>
    </row>
    <row r="29" spans="1:51" s="69" customFormat="1" ht="25.5" customHeight="1" thickTop="1" x14ac:dyDescent="0.3">
      <c r="A29" s="364"/>
      <c r="B29" s="130" t="s">
        <v>147</v>
      </c>
      <c r="C29" s="92" t="s">
        <v>275</v>
      </c>
      <c r="D29" s="958" t="str">
        <f>IF(E29=VLOOKUP($C29,$AF$33:$AN$38,D$26,FALSE),"x","")</f>
        <v>x</v>
      </c>
      <c r="E29" s="152" t="s">
        <v>222</v>
      </c>
      <c r="F29" s="958" t="str">
        <f t="shared" ref="F29:F31" si="0">IF(G29=VLOOKUP($C29,$AF$33:$AN$38,F$26,FALSE),"x","")</f>
        <v>x</v>
      </c>
      <c r="G29" s="152" t="s">
        <v>223</v>
      </c>
      <c r="H29" s="959" t="str">
        <f t="shared" ref="H29:H30" si="1">IF(I29=VLOOKUP($C29,$AF$33:$AN$38,H$26,FALSE),"x","")</f>
        <v>x</v>
      </c>
      <c r="I29" s="152" t="s">
        <v>294</v>
      </c>
      <c r="J29" s="951" t="str">
        <f>IF(K29=VLOOKUP($C29,$AF$33:$AN$38,J$26,FALSE),"x","")</f>
        <v>x</v>
      </c>
      <c r="K29" s="152" t="s">
        <v>295</v>
      </c>
      <c r="L29" s="951" t="str">
        <f>IF(M29=VLOOKUP($C29,$AF$33:$AN$38,L$26,FALSE),"x","")</f>
        <v>x</v>
      </c>
      <c r="M29" s="152" t="s">
        <v>225</v>
      </c>
      <c r="N29" s="12" t="s">
        <v>173</v>
      </c>
      <c r="O29" s="154" t="s">
        <v>173</v>
      </c>
      <c r="P29" s="364"/>
      <c r="Q29" s="92"/>
      <c r="R29" s="364"/>
      <c r="S29" s="92"/>
      <c r="T29" s="364"/>
      <c r="U29" s="92"/>
      <c r="V29" s="364"/>
      <c r="W29" s="92"/>
      <c r="Y29" s="809"/>
      <c r="Z29" s="809"/>
      <c r="AA29" s="809"/>
      <c r="AB29" s="809"/>
      <c r="AC29" s="809"/>
      <c r="AD29" s="809"/>
      <c r="AE29" s="808" t="s">
        <v>296</v>
      </c>
      <c r="AF29" s="949" t="s">
        <v>201</v>
      </c>
      <c r="AG29" s="949" t="s">
        <v>137</v>
      </c>
      <c r="AH29" s="949" t="s">
        <v>139</v>
      </c>
      <c r="AI29" s="949" t="s">
        <v>170</v>
      </c>
      <c r="AJ29" s="949" t="s">
        <v>168</v>
      </c>
      <c r="AK29" s="949">
        <v>30.02</v>
      </c>
      <c r="AL29" s="949">
        <v>180</v>
      </c>
      <c r="AM29" s="949" t="s">
        <v>199</v>
      </c>
      <c r="AN29" s="949" t="s">
        <v>202</v>
      </c>
      <c r="AO29" s="949" t="s">
        <v>199</v>
      </c>
      <c r="AP29" s="949" t="s">
        <v>203</v>
      </c>
      <c r="AQ29" s="949" t="s">
        <v>203</v>
      </c>
      <c r="AR29" s="949">
        <v>0.25</v>
      </c>
      <c r="AS29" s="949">
        <v>0.2</v>
      </c>
      <c r="AT29" s="949">
        <v>0.45</v>
      </c>
      <c r="AU29" s="949">
        <v>0.25</v>
      </c>
      <c r="AV29" s="949">
        <v>-99996</v>
      </c>
    </row>
    <row r="30" spans="1:51" ht="27.6" x14ac:dyDescent="0.3">
      <c r="A30" s="364"/>
      <c r="B30" s="130" t="s">
        <v>132</v>
      </c>
      <c r="C30" s="92" t="s">
        <v>143</v>
      </c>
      <c r="D30" s="958" t="str">
        <f t="shared" ref="D30:D31" si="2">IF(E30=VLOOKUP($C30,$AF$33:$AN$38,D$26,FALSE),"x","")</f>
        <v>x</v>
      </c>
      <c r="E30" s="152" t="s">
        <v>227</v>
      </c>
      <c r="F30" s="958" t="str">
        <f t="shared" si="0"/>
        <v>x</v>
      </c>
      <c r="G30" s="152" t="s">
        <v>228</v>
      </c>
      <c r="H30" s="959" t="str">
        <f t="shared" si="1"/>
        <v>x</v>
      </c>
      <c r="I30" s="152" t="s">
        <v>297</v>
      </c>
      <c r="J30" s="12" t="s">
        <v>173</v>
      </c>
      <c r="K30" s="12" t="s">
        <v>173</v>
      </c>
      <c r="L30" s="135" t="s">
        <v>173</v>
      </c>
      <c r="M30" s="154" t="s">
        <v>173</v>
      </c>
      <c r="N30" s="12" t="s">
        <v>173</v>
      </c>
      <c r="O30" s="154" t="s">
        <v>173</v>
      </c>
      <c r="P30" s="364"/>
      <c r="Q30" s="92"/>
      <c r="R30" s="364"/>
      <c r="S30" s="92"/>
      <c r="T30" s="364"/>
      <c r="U30" s="92"/>
      <c r="V30" s="364"/>
      <c r="W30" s="92"/>
      <c r="X30" s="69"/>
      <c r="AA30" s="364"/>
      <c r="AB30" s="82"/>
      <c r="AC30" s="82"/>
      <c r="AD30" s="82"/>
      <c r="AE30" s="364"/>
      <c r="AF30" s="358">
        <v>1</v>
      </c>
      <c r="AG30" s="358">
        <f>AF30+1</f>
        <v>2</v>
      </c>
      <c r="AH30" s="358">
        <f t="shared" ref="AH30:AK30" si="3">AG30+1</f>
        <v>3</v>
      </c>
      <c r="AI30" s="358">
        <f t="shared" si="3"/>
        <v>4</v>
      </c>
      <c r="AJ30" s="358">
        <f t="shared" si="3"/>
        <v>5</v>
      </c>
      <c r="AK30" s="358">
        <f t="shared" si="3"/>
        <v>6</v>
      </c>
      <c r="AL30" s="358">
        <v>7</v>
      </c>
      <c r="AN30" s="982"/>
      <c r="AO30" s="982"/>
    </row>
    <row r="31" spans="1:51" ht="27.6" x14ac:dyDescent="0.3">
      <c r="A31" s="364"/>
      <c r="B31" s="278" t="s">
        <v>175</v>
      </c>
      <c r="C31" s="167" t="s">
        <v>178</v>
      </c>
      <c r="D31" s="952" t="str">
        <f t="shared" si="2"/>
        <v>x</v>
      </c>
      <c r="E31" s="172" t="s">
        <v>236</v>
      </c>
      <c r="F31" s="952" t="str">
        <f t="shared" si="0"/>
        <v>x</v>
      </c>
      <c r="G31" s="172" t="s">
        <v>237</v>
      </c>
      <c r="H31" s="163" t="s">
        <v>173</v>
      </c>
      <c r="I31" s="164" t="s">
        <v>173</v>
      </c>
      <c r="J31" s="163" t="s">
        <v>173</v>
      </c>
      <c r="K31" s="163" t="s">
        <v>173</v>
      </c>
      <c r="L31" s="158" t="s">
        <v>173</v>
      </c>
      <c r="M31" s="164" t="s">
        <v>173</v>
      </c>
      <c r="N31" s="163" t="s">
        <v>173</v>
      </c>
      <c r="O31" s="164" t="s">
        <v>173</v>
      </c>
      <c r="P31" s="364"/>
      <c r="Q31" s="366"/>
      <c r="R31" s="364"/>
      <c r="S31" s="366"/>
      <c r="T31" s="364"/>
      <c r="U31" s="366"/>
      <c r="V31" s="364"/>
      <c r="W31" s="366"/>
      <c r="X31" s="69"/>
      <c r="AF31" s="369" t="s">
        <v>205</v>
      </c>
      <c r="AG31" s="982"/>
      <c r="AH31" s="982"/>
      <c r="AI31" s="982"/>
      <c r="AJ31" s="982"/>
      <c r="AK31" s="982"/>
      <c r="AL31" s="982"/>
      <c r="AM31" s="982"/>
      <c r="AN31" s="982"/>
      <c r="AO31" s="82"/>
    </row>
    <row r="32" spans="1:51" ht="14.4" x14ac:dyDescent="0.3">
      <c r="A32" s="364"/>
      <c r="B32" s="366"/>
      <c r="C32" s="366"/>
      <c r="D32" s="366"/>
      <c r="E32" s="366"/>
      <c r="F32" s="366"/>
      <c r="G32" s="366"/>
      <c r="H32" s="364"/>
      <c r="I32" s="366"/>
      <c r="J32" s="364"/>
      <c r="K32" s="366"/>
      <c r="L32" s="364"/>
      <c r="M32" s="366"/>
      <c r="N32" s="364"/>
      <c r="O32" s="366"/>
      <c r="P32" s="364"/>
      <c r="Q32" s="366"/>
      <c r="R32" s="364"/>
      <c r="S32" s="366"/>
      <c r="T32" s="364"/>
      <c r="U32" s="366"/>
      <c r="V32" s="364"/>
      <c r="W32" s="366"/>
      <c r="X32" s="69"/>
      <c r="AA32" s="364"/>
      <c r="AB32" s="364"/>
      <c r="AC32" s="364"/>
      <c r="AD32" s="364"/>
      <c r="AE32" s="364"/>
      <c r="AF32" s="982" t="s">
        <v>121</v>
      </c>
      <c r="AG32" s="982" t="s">
        <v>206</v>
      </c>
      <c r="AH32" s="982" t="s">
        <v>207</v>
      </c>
      <c r="AI32" s="982" t="s">
        <v>208</v>
      </c>
      <c r="AJ32" s="982" t="s">
        <v>209</v>
      </c>
      <c r="AK32" s="982" t="s">
        <v>210</v>
      </c>
      <c r="AL32" s="982" t="s">
        <v>211</v>
      </c>
      <c r="AM32" s="982" t="s">
        <v>212</v>
      </c>
      <c r="AN32" s="982" t="s">
        <v>213</v>
      </c>
    </row>
    <row r="33" spans="1:51" ht="14.4" x14ac:dyDescent="0.3">
      <c r="A33" s="364"/>
      <c r="B33" s="69"/>
      <c r="C33" s="366"/>
      <c r="D33" s="293"/>
      <c r="E33" s="116" t="s">
        <v>298</v>
      </c>
      <c r="F33" s="366"/>
      <c r="G33" s="366"/>
      <c r="H33" s="364"/>
      <c r="I33" s="366"/>
      <c r="J33" s="364"/>
      <c r="K33" s="366"/>
      <c r="L33" s="364"/>
      <c r="M33" s="366"/>
      <c r="N33" s="364"/>
      <c r="O33" s="366"/>
      <c r="P33" s="364"/>
      <c r="Q33" s="366"/>
      <c r="R33" s="364"/>
      <c r="S33" s="366"/>
      <c r="T33" s="364"/>
      <c r="U33" s="366"/>
      <c r="V33" s="364"/>
      <c r="W33" s="366"/>
      <c r="X33" s="69"/>
      <c r="Y33" s="809"/>
      <c r="Z33" s="809"/>
      <c r="AA33" s="809"/>
      <c r="AB33" s="809"/>
      <c r="AC33" s="809"/>
      <c r="AD33" s="809"/>
      <c r="AE33" s="808" t="s">
        <v>220</v>
      </c>
      <c r="AF33" s="949" t="s">
        <v>275</v>
      </c>
      <c r="AG33" s="949" t="s">
        <v>221</v>
      </c>
      <c r="AH33" s="949" t="s">
        <v>222</v>
      </c>
      <c r="AI33" s="949" t="s">
        <v>223</v>
      </c>
      <c r="AJ33" s="949" t="s">
        <v>294</v>
      </c>
      <c r="AK33" s="949" t="s">
        <v>295</v>
      </c>
      <c r="AL33" s="949" t="s">
        <v>225</v>
      </c>
      <c r="AM33" s="949"/>
      <c r="AN33" s="949"/>
      <c r="AO33" s="41"/>
      <c r="AP33" s="41"/>
      <c r="AQ33" s="41"/>
      <c r="AR33" s="41"/>
      <c r="AS33" s="41"/>
      <c r="AT33" s="41"/>
      <c r="AU33" s="41"/>
      <c r="AV33" s="41"/>
      <c r="AW33" s="41"/>
      <c r="AX33" s="41"/>
    </row>
    <row r="34" spans="1:51" s="69" customFormat="1" ht="14.4" thickBot="1" x14ac:dyDescent="0.35">
      <c r="A34" s="364"/>
      <c r="C34" s="366"/>
      <c r="D34" s="139"/>
      <c r="E34" s="995" t="s">
        <v>299</v>
      </c>
      <c r="F34" s="366"/>
      <c r="G34" s="366"/>
      <c r="H34" s="364"/>
      <c r="I34" s="366"/>
      <c r="J34" s="364"/>
      <c r="K34" s="366"/>
      <c r="L34" s="364"/>
      <c r="M34" s="366"/>
      <c r="N34" s="364"/>
      <c r="O34" s="366"/>
      <c r="P34" s="364"/>
      <c r="Q34" s="366"/>
      <c r="R34" s="364"/>
      <c r="S34" s="366"/>
      <c r="T34" s="364"/>
      <c r="U34" s="366"/>
      <c r="V34" s="364"/>
      <c r="W34" s="366"/>
      <c r="Y34" s="82"/>
      <c r="Z34" s="82"/>
      <c r="AA34" s="364"/>
      <c r="AB34" s="364"/>
      <c r="AC34" s="364"/>
      <c r="AD34" s="364"/>
      <c r="AE34" s="364"/>
      <c r="AF34" s="949" t="s">
        <v>143</v>
      </c>
      <c r="AG34" s="949" t="s">
        <v>132</v>
      </c>
      <c r="AH34" s="949" t="s">
        <v>227</v>
      </c>
      <c r="AI34" s="949" t="s">
        <v>228</v>
      </c>
      <c r="AJ34" s="949" t="s">
        <v>297</v>
      </c>
      <c r="AK34" s="949"/>
      <c r="AL34" s="949"/>
      <c r="AM34" s="949"/>
      <c r="AN34" s="949"/>
      <c r="AO34" s="82"/>
      <c r="AP34" s="82"/>
      <c r="AQ34" s="82"/>
      <c r="AR34" s="82"/>
      <c r="AS34" s="82"/>
      <c r="AT34" s="82"/>
      <c r="AU34" s="82"/>
      <c r="AV34" s="82"/>
      <c r="AW34" s="82"/>
      <c r="AX34" s="82"/>
    </row>
    <row r="35" spans="1:51" ht="14.4" thickTop="1" x14ac:dyDescent="0.3">
      <c r="A35" s="364"/>
      <c r="B35" s="366"/>
      <c r="C35" s="366"/>
      <c r="D35" s="171" t="s">
        <v>300</v>
      </c>
      <c r="E35" s="198" t="s">
        <v>301</v>
      </c>
      <c r="F35" s="366"/>
      <c r="G35" s="366"/>
      <c r="H35" s="364"/>
      <c r="I35" s="366"/>
      <c r="J35" s="364"/>
      <c r="K35" s="366"/>
      <c r="L35" s="364"/>
      <c r="M35" s="366"/>
      <c r="N35" s="364"/>
      <c r="O35" s="366"/>
      <c r="P35" s="364"/>
      <c r="Q35" s="366"/>
      <c r="R35" s="364"/>
      <c r="S35" s="366"/>
      <c r="T35" s="364"/>
      <c r="U35" s="366"/>
      <c r="V35" s="364"/>
      <c r="W35" s="366"/>
      <c r="X35" s="69"/>
      <c r="AA35" s="364"/>
      <c r="AB35" s="364"/>
      <c r="AC35" s="364"/>
      <c r="AD35" s="364"/>
      <c r="AE35" s="364"/>
      <c r="AF35" s="949" t="s">
        <v>230</v>
      </c>
      <c r="AG35" s="949" t="s">
        <v>231</v>
      </c>
      <c r="AH35" s="949" t="s">
        <v>232</v>
      </c>
      <c r="AI35" s="949" t="s">
        <v>232</v>
      </c>
      <c r="AJ35" s="949"/>
      <c r="AK35" s="949"/>
      <c r="AL35" s="949"/>
      <c r="AM35" s="949"/>
      <c r="AN35" s="949"/>
    </row>
    <row r="36" spans="1:51" s="69" customFormat="1" x14ac:dyDescent="0.3">
      <c r="A36" s="364"/>
      <c r="B36" s="366"/>
      <c r="C36" s="366"/>
      <c r="D36" s="366"/>
      <c r="E36" s="366"/>
      <c r="F36" s="366"/>
      <c r="G36" s="366"/>
      <c r="H36" s="364"/>
      <c r="I36" s="366"/>
      <c r="J36" s="364"/>
      <c r="K36" s="366"/>
      <c r="L36" s="364"/>
      <c r="M36" s="366"/>
      <c r="N36" s="364"/>
      <c r="O36" s="366"/>
      <c r="P36" s="364"/>
      <c r="Q36" s="366"/>
      <c r="R36" s="364"/>
      <c r="S36" s="366"/>
      <c r="T36" s="364"/>
      <c r="U36" s="366"/>
      <c r="V36" s="364"/>
      <c r="W36" s="366"/>
      <c r="AA36" s="364"/>
      <c r="AB36" s="364"/>
      <c r="AC36" s="364"/>
      <c r="AD36" s="364"/>
      <c r="AE36" s="364"/>
      <c r="AF36" s="949" t="s">
        <v>277</v>
      </c>
      <c r="AG36" s="949" t="s">
        <v>302</v>
      </c>
      <c r="AH36" s="949"/>
      <c r="AI36" s="949"/>
      <c r="AJ36" s="949"/>
      <c r="AK36" s="949"/>
      <c r="AL36" s="949"/>
      <c r="AM36" s="949"/>
      <c r="AN36" s="949"/>
    </row>
    <row r="37" spans="1:51" s="69" customFormat="1" x14ac:dyDescent="0.3">
      <c r="A37" s="364"/>
      <c r="B37" s="366"/>
      <c r="C37" s="366"/>
      <c r="D37" s="366"/>
      <c r="E37" s="366"/>
      <c r="F37" s="366"/>
      <c r="G37" s="366"/>
      <c r="H37" s="364"/>
      <c r="I37" s="366"/>
      <c r="J37" s="364"/>
      <c r="K37" s="366"/>
      <c r="L37" s="364"/>
      <c r="M37" s="366"/>
      <c r="N37" s="364"/>
      <c r="O37" s="366"/>
      <c r="P37" s="364"/>
      <c r="Q37" s="366"/>
      <c r="R37" s="364"/>
      <c r="S37" s="366"/>
      <c r="T37" s="364"/>
      <c r="U37" s="366"/>
      <c r="V37" s="364"/>
      <c r="W37" s="366"/>
      <c r="AA37" s="364"/>
      <c r="AB37" s="364"/>
      <c r="AC37" s="364"/>
      <c r="AD37" s="364"/>
      <c r="AE37" s="364"/>
      <c r="AF37" s="949" t="s">
        <v>233</v>
      </c>
      <c r="AG37" s="949" t="s">
        <v>234</v>
      </c>
      <c r="AH37" s="949" t="s">
        <v>235</v>
      </c>
      <c r="AI37" s="949"/>
      <c r="AJ37" s="949"/>
      <c r="AK37" s="949"/>
      <c r="AL37" s="949"/>
      <c r="AM37" s="949"/>
      <c r="AN37" s="949"/>
    </row>
    <row r="38" spans="1:51" s="69" customFormat="1" x14ac:dyDescent="0.3">
      <c r="A38" s="364"/>
      <c r="B38" s="366"/>
      <c r="C38" s="366"/>
      <c r="D38" s="366"/>
      <c r="E38" s="366"/>
      <c r="F38" s="366"/>
      <c r="G38" s="366"/>
      <c r="H38" s="364"/>
      <c r="I38" s="366"/>
      <c r="J38" s="364"/>
      <c r="K38" s="366"/>
      <c r="L38" s="364"/>
      <c r="M38" s="366"/>
      <c r="N38" s="364"/>
      <c r="O38" s="366"/>
      <c r="P38" s="364"/>
      <c r="Q38" s="366"/>
      <c r="R38" s="364"/>
      <c r="S38" s="366"/>
      <c r="T38" s="364"/>
      <c r="U38" s="366"/>
      <c r="V38" s="364"/>
      <c r="W38" s="366"/>
      <c r="AA38" s="364"/>
      <c r="AB38" s="364"/>
      <c r="AC38" s="364"/>
      <c r="AD38" s="364"/>
      <c r="AE38" s="364"/>
      <c r="AF38" s="949" t="s">
        <v>178</v>
      </c>
      <c r="AG38" s="949" t="s">
        <v>238</v>
      </c>
      <c r="AH38" s="949" t="s">
        <v>236</v>
      </c>
      <c r="AI38" s="949" t="s">
        <v>237</v>
      </c>
      <c r="AJ38" s="949"/>
      <c r="AK38" s="949"/>
      <c r="AL38" s="949"/>
      <c r="AM38" s="949"/>
      <c r="AN38" s="949"/>
    </row>
    <row r="39" spans="1:51" s="69" customFormat="1" x14ac:dyDescent="0.3">
      <c r="A39" s="364"/>
      <c r="B39" s="366"/>
      <c r="C39" s="366"/>
      <c r="D39" s="366"/>
      <c r="E39" s="366"/>
      <c r="F39" s="366"/>
      <c r="G39" s="366"/>
      <c r="H39" s="364"/>
      <c r="I39" s="366"/>
      <c r="J39" s="364"/>
      <c r="K39" s="366"/>
      <c r="L39" s="364"/>
      <c r="M39" s="366"/>
      <c r="N39" s="364"/>
      <c r="O39" s="366"/>
      <c r="P39" s="364"/>
      <c r="Q39" s="366"/>
      <c r="R39" s="364"/>
      <c r="S39" s="366"/>
      <c r="T39" s="364"/>
      <c r="U39" s="366"/>
      <c r="V39" s="364"/>
      <c r="W39" s="366"/>
    </row>
    <row r="40" spans="1:51" s="69" customFormat="1" ht="14.4" x14ac:dyDescent="0.3">
      <c r="A40" s="364"/>
      <c r="B40" s="366"/>
      <c r="C40" s="366"/>
      <c r="D40" s="373"/>
      <c r="E40" s="366"/>
      <c r="F40" s="373"/>
      <c r="G40" s="366"/>
      <c r="H40" s="364"/>
      <c r="I40" s="366"/>
      <c r="J40" s="364"/>
      <c r="K40" s="366"/>
      <c r="L40" s="364"/>
      <c r="M40" s="366"/>
      <c r="N40" s="364"/>
      <c r="O40" s="366"/>
      <c r="P40" s="364"/>
      <c r="Q40" s="366"/>
      <c r="R40" s="364"/>
      <c r="S40" s="366"/>
      <c r="T40" s="364"/>
      <c r="U40" s="366"/>
      <c r="V40" s="364"/>
      <c r="W40" s="366"/>
      <c r="AF40" s="369" t="s">
        <v>116</v>
      </c>
      <c r="AG40" s="982"/>
      <c r="AH40" s="982"/>
      <c r="AI40" s="982"/>
      <c r="AJ40" s="982"/>
      <c r="AK40" s="982"/>
      <c r="AL40" s="982"/>
      <c r="AM40" s="982"/>
      <c r="AN40" s="982"/>
      <c r="AO40" s="982"/>
      <c r="AP40" s="982"/>
      <c r="AQ40" s="982"/>
      <c r="AR40" s="982" t="s">
        <v>117</v>
      </c>
      <c r="AS40" s="982"/>
      <c r="AT40" s="982" t="s">
        <v>118</v>
      </c>
      <c r="AU40" s="982"/>
      <c r="AV40" s="982" t="s">
        <v>119</v>
      </c>
      <c r="AW40" s="982"/>
      <c r="AX40" s="982" t="s">
        <v>120</v>
      </c>
      <c r="AY40" s="982"/>
    </row>
    <row r="41" spans="1:51" ht="14.4" x14ac:dyDescent="0.3">
      <c r="A41" s="364"/>
      <c r="B41" s="92"/>
      <c r="C41" s="90"/>
      <c r="D41" s="373"/>
      <c r="E41" s="92"/>
      <c r="F41" s="373"/>
      <c r="G41" s="92"/>
      <c r="H41" s="364"/>
      <c r="J41" s="364"/>
      <c r="K41" s="92"/>
      <c r="L41" s="364"/>
      <c r="M41" s="92"/>
      <c r="N41" s="364"/>
      <c r="O41" s="92"/>
      <c r="P41" s="364"/>
      <c r="Q41" s="92"/>
      <c r="R41" s="364"/>
      <c r="S41" s="92"/>
      <c r="T41" s="364"/>
      <c r="U41" s="92"/>
      <c r="V41" s="364"/>
      <c r="W41" s="92"/>
      <c r="X41" s="69"/>
      <c r="AF41" s="982" t="s">
        <v>121</v>
      </c>
      <c r="AG41" s="982" t="s">
        <v>122</v>
      </c>
      <c r="AH41" s="982" t="s">
        <v>121</v>
      </c>
      <c r="AI41" s="982" t="s">
        <v>123</v>
      </c>
      <c r="AJ41" s="982" t="s">
        <v>124</v>
      </c>
      <c r="AK41" s="982" t="s">
        <v>125</v>
      </c>
      <c r="AL41" s="982" t="s">
        <v>126</v>
      </c>
      <c r="AM41" s="982" t="s">
        <v>127</v>
      </c>
      <c r="AN41" s="982" t="s">
        <v>128</v>
      </c>
      <c r="AO41" s="982" t="s">
        <v>129</v>
      </c>
      <c r="AP41" s="982" t="s">
        <v>130</v>
      </c>
      <c r="AQ41" s="982" t="s">
        <v>131</v>
      </c>
      <c r="AR41" s="982" t="s">
        <v>132</v>
      </c>
      <c r="AS41" s="982" t="s">
        <v>133</v>
      </c>
      <c r="AT41" s="982" t="s">
        <v>132</v>
      </c>
      <c r="AU41" s="982" t="s">
        <v>133</v>
      </c>
      <c r="AV41" s="982" t="s">
        <v>132</v>
      </c>
      <c r="AW41" s="982" t="s">
        <v>133</v>
      </c>
      <c r="AX41" s="982" t="s">
        <v>132</v>
      </c>
      <c r="AY41" s="982" t="s">
        <v>133</v>
      </c>
    </row>
    <row r="42" spans="1:51" s="13" customFormat="1" ht="14.4" x14ac:dyDescent="0.3">
      <c r="A42" s="285"/>
      <c r="B42" s="286" t="s">
        <v>243</v>
      </c>
      <c r="C42" s="287"/>
      <c r="D42" s="296"/>
      <c r="E42" s="287"/>
      <c r="F42" s="296"/>
      <c r="G42" s="288"/>
      <c r="H42" s="285"/>
      <c r="I42" s="287"/>
      <c r="J42" s="285"/>
      <c r="K42" s="287"/>
      <c r="L42" s="287"/>
      <c r="M42" s="287"/>
      <c r="N42" s="285"/>
      <c r="O42" s="285"/>
      <c r="P42" s="285"/>
      <c r="Q42" s="285"/>
      <c r="R42" s="285"/>
      <c r="S42" s="285"/>
      <c r="T42" s="285"/>
      <c r="U42" s="285"/>
      <c r="V42" s="285"/>
      <c r="W42" s="285"/>
      <c r="X42" s="93"/>
      <c r="Y42" s="812"/>
      <c r="Z42" s="812"/>
      <c r="AA42" s="812"/>
      <c r="AB42" s="812"/>
      <c r="AC42" s="812"/>
      <c r="AD42" s="812"/>
      <c r="AE42" s="813" t="s">
        <v>303</v>
      </c>
      <c r="AF42" s="949" t="s">
        <v>136</v>
      </c>
      <c r="AG42" s="949" t="s">
        <v>137</v>
      </c>
      <c r="AH42" s="949" t="s">
        <v>138</v>
      </c>
      <c r="AI42" s="949" t="s">
        <v>139</v>
      </c>
      <c r="AJ42" s="949" t="s">
        <v>140</v>
      </c>
      <c r="AK42" s="949" t="s">
        <v>141</v>
      </c>
      <c r="AL42" s="949">
        <v>2126.0300000000002</v>
      </c>
      <c r="AM42" s="949">
        <v>18.452400000000001</v>
      </c>
      <c r="AN42" s="949" t="s">
        <v>142</v>
      </c>
      <c r="AO42" s="949" t="s">
        <v>304</v>
      </c>
      <c r="AP42" s="949" t="s">
        <v>144</v>
      </c>
      <c r="AQ42" s="949">
        <v>-99996</v>
      </c>
      <c r="AR42" s="949">
        <v>0.85</v>
      </c>
      <c r="AS42" s="949">
        <v>0.85</v>
      </c>
      <c r="AT42" s="949">
        <v>0.85</v>
      </c>
      <c r="AU42" s="949">
        <v>0.85</v>
      </c>
      <c r="AV42" s="949">
        <v>0.2</v>
      </c>
      <c r="AW42" s="949">
        <v>0.2</v>
      </c>
      <c r="AX42" s="949">
        <v>0.92</v>
      </c>
      <c r="AY42" s="949">
        <v>0.8</v>
      </c>
    </row>
    <row r="43" spans="1:51" s="13" customFormat="1" x14ac:dyDescent="0.3">
      <c r="A43" s="78"/>
      <c r="B43" s="46" t="s">
        <v>145</v>
      </c>
      <c r="C43" s="96"/>
      <c r="D43" s="91"/>
      <c r="E43" s="84"/>
      <c r="F43" s="91"/>
      <c r="G43" s="84"/>
      <c r="H43" s="91"/>
      <c r="I43" s="84"/>
      <c r="J43" s="91"/>
      <c r="K43" s="84"/>
      <c r="L43" s="84"/>
      <c r="M43" s="84"/>
      <c r="N43" s="91"/>
      <c r="O43" s="84"/>
      <c r="P43" s="93"/>
      <c r="Q43" s="93"/>
      <c r="R43" s="91"/>
      <c r="S43" s="84"/>
      <c r="T43" s="91"/>
      <c r="U43" s="84"/>
      <c r="V43" s="91"/>
      <c r="W43" s="84"/>
      <c r="X43" s="69"/>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row>
    <row r="44" spans="1:51" s="13" customFormat="1" ht="14.4" x14ac:dyDescent="0.3">
      <c r="A44" s="93"/>
      <c r="B44" s="84" t="s">
        <v>146</v>
      </c>
      <c r="C44" s="96"/>
      <c r="D44" s="365"/>
      <c r="E44" s="96"/>
      <c r="F44" s="365"/>
      <c r="G44" s="25"/>
      <c r="H44" s="93"/>
      <c r="I44" s="96"/>
      <c r="J44" s="93"/>
      <c r="K44" s="96"/>
      <c r="L44" s="96"/>
      <c r="M44" s="96"/>
      <c r="N44" s="93"/>
      <c r="O44" s="93"/>
      <c r="P44" s="93"/>
      <c r="Q44" s="93"/>
      <c r="R44" s="93"/>
      <c r="S44" s="93"/>
      <c r="T44" s="93"/>
      <c r="U44" s="93"/>
      <c r="V44" s="93"/>
      <c r="W44" s="93"/>
      <c r="X44" s="93"/>
      <c r="Y44" s="93"/>
      <c r="Z44" s="93"/>
      <c r="AA44" s="364"/>
      <c r="AB44" s="89"/>
      <c r="AC44" s="89"/>
      <c r="AD44" s="89"/>
      <c r="AE44" s="89"/>
      <c r="AF44" s="369" t="s">
        <v>147</v>
      </c>
      <c r="AG44" s="982"/>
      <c r="AH44" s="982"/>
      <c r="AI44" s="982"/>
      <c r="AJ44" s="982"/>
      <c r="AK44" s="982"/>
      <c r="AL44" s="982"/>
      <c r="AM44" s="982"/>
      <c r="AN44" s="982"/>
      <c r="AO44" s="982"/>
      <c r="AP44" s="982"/>
      <c r="AQ44" s="982"/>
      <c r="AR44" s="41"/>
      <c r="AS44" s="41"/>
      <c r="AT44" s="41"/>
      <c r="AU44" s="41"/>
      <c r="AV44" s="41"/>
      <c r="AW44" s="41"/>
      <c r="AX44" s="41"/>
      <c r="AY44" s="41"/>
    </row>
    <row r="45" spans="1:51" s="69" customFormat="1" ht="41.4" x14ac:dyDescent="0.3">
      <c r="A45" s="364"/>
      <c r="B45" s="220" t="s">
        <v>148</v>
      </c>
      <c r="C45" s="123" t="s">
        <v>149</v>
      </c>
      <c r="D45" s="293"/>
      <c r="E45" s="116" t="s">
        <v>128</v>
      </c>
      <c r="F45" s="291"/>
      <c r="G45" s="123" t="s">
        <v>150</v>
      </c>
      <c r="H45" s="144"/>
      <c r="I45" s="116" t="s">
        <v>151</v>
      </c>
      <c r="J45" s="144"/>
      <c r="K45" s="116" t="s">
        <v>152</v>
      </c>
      <c r="L45" s="144"/>
      <c r="M45" s="116" t="s">
        <v>153</v>
      </c>
      <c r="N45" s="144"/>
      <c r="O45" s="116" t="s">
        <v>154</v>
      </c>
      <c r="P45" s="115"/>
      <c r="Q45" s="116" t="s">
        <v>155</v>
      </c>
      <c r="R45" s="122"/>
      <c r="S45" s="123" t="s">
        <v>268</v>
      </c>
      <c r="T45" s="144"/>
      <c r="U45" s="116" t="s">
        <v>269</v>
      </c>
      <c r="V45" s="122"/>
      <c r="W45" s="116" t="s">
        <v>270</v>
      </c>
      <c r="X45" s="42"/>
      <c r="Y45" s="41"/>
      <c r="Z45" s="41"/>
      <c r="AA45" s="364"/>
      <c r="AB45" s="84"/>
      <c r="AC45" s="84"/>
      <c r="AD45" s="84"/>
      <c r="AE45" s="84"/>
      <c r="AF45" s="982" t="s">
        <v>121</v>
      </c>
      <c r="AG45" s="982" t="s">
        <v>122</v>
      </c>
      <c r="AH45" s="982" t="s">
        <v>121</v>
      </c>
      <c r="AI45" s="982" t="s">
        <v>123</v>
      </c>
      <c r="AJ45" s="982" t="s">
        <v>124</v>
      </c>
      <c r="AK45" s="982" t="s">
        <v>17</v>
      </c>
      <c r="AL45" s="982" t="s">
        <v>126</v>
      </c>
      <c r="AM45" s="982" t="s">
        <v>156</v>
      </c>
      <c r="AN45" s="982" t="s">
        <v>129</v>
      </c>
      <c r="AO45" s="982" t="s">
        <v>130</v>
      </c>
      <c r="AP45" s="982" t="s">
        <v>157</v>
      </c>
      <c r="AQ45" s="982" t="s">
        <v>158</v>
      </c>
      <c r="AR45" s="82"/>
      <c r="AS45" s="82"/>
      <c r="AT45" s="82"/>
      <c r="AU45" s="82"/>
      <c r="AV45" s="82"/>
      <c r="AW45" s="82"/>
      <c r="AX45" s="82"/>
      <c r="AY45" s="82"/>
    </row>
    <row r="46" spans="1:51" s="82" customFormat="1" ht="15" thickBot="1" x14ac:dyDescent="0.35">
      <c r="A46" s="83"/>
      <c r="B46" s="132"/>
      <c r="C46" s="992" t="s">
        <v>159</v>
      </c>
      <c r="D46" s="139"/>
      <c r="E46" s="993" t="s">
        <v>160</v>
      </c>
      <c r="F46" s="126"/>
      <c r="G46" s="992" t="s">
        <v>161</v>
      </c>
      <c r="H46" s="145"/>
      <c r="I46" s="993" t="s">
        <v>162</v>
      </c>
      <c r="J46" s="145"/>
      <c r="K46" s="993" t="s">
        <v>163</v>
      </c>
      <c r="L46" s="145"/>
      <c r="M46" s="993" t="s">
        <v>164</v>
      </c>
      <c r="N46" s="145"/>
      <c r="O46" s="993" t="s">
        <v>165</v>
      </c>
      <c r="P46" s="132"/>
      <c r="Q46" s="993" t="s">
        <v>166</v>
      </c>
      <c r="R46" s="227"/>
      <c r="S46" s="992" t="s">
        <v>271</v>
      </c>
      <c r="T46" s="145"/>
      <c r="U46" s="993" t="s">
        <v>272</v>
      </c>
      <c r="V46" s="125"/>
      <c r="W46" s="993" t="s">
        <v>273</v>
      </c>
      <c r="Y46" s="812"/>
      <c r="Z46" s="812"/>
      <c r="AA46" s="812"/>
      <c r="AB46" s="812"/>
      <c r="AC46" s="812"/>
      <c r="AD46" s="812"/>
      <c r="AE46" s="813" t="s">
        <v>305</v>
      </c>
      <c r="AF46" s="949" t="s">
        <v>168</v>
      </c>
      <c r="AG46" s="949" t="s">
        <v>137</v>
      </c>
      <c r="AH46" s="949" t="s">
        <v>169</v>
      </c>
      <c r="AI46" s="949" t="s">
        <v>139</v>
      </c>
      <c r="AJ46" s="949" t="s">
        <v>170</v>
      </c>
      <c r="AK46" s="949" t="s">
        <v>141</v>
      </c>
      <c r="AL46" s="949">
        <v>909.06</v>
      </c>
      <c r="AM46" s="949">
        <v>180</v>
      </c>
      <c r="AN46" s="949" t="s">
        <v>306</v>
      </c>
      <c r="AO46" s="949" t="s">
        <v>248</v>
      </c>
      <c r="AP46" s="949">
        <v>-99996</v>
      </c>
      <c r="AQ46" s="949">
        <v>222.15</v>
      </c>
      <c r="AR46" s="69"/>
      <c r="AS46" s="69"/>
      <c r="AT46" s="69"/>
      <c r="AU46" s="69"/>
      <c r="AV46" s="69"/>
      <c r="AW46" s="69"/>
      <c r="AX46" s="69"/>
      <c r="AY46" s="69"/>
    </row>
    <row r="47" spans="1:51" ht="28.2" thickTop="1" x14ac:dyDescent="0.3">
      <c r="A47" s="364"/>
      <c r="B47" s="130" t="s">
        <v>132</v>
      </c>
      <c r="C47" s="92" t="s">
        <v>304</v>
      </c>
      <c r="D47" s="958" t="str">
        <f>IF(E47=AN42,"x","")</f>
        <v>x</v>
      </c>
      <c r="E47" s="152" t="s">
        <v>142</v>
      </c>
      <c r="F47" s="951" t="str">
        <f>IF(G47=AP42,"x","")</f>
        <v>x</v>
      </c>
      <c r="G47" s="92" t="s">
        <v>144</v>
      </c>
      <c r="H47" s="224"/>
      <c r="I47" s="152">
        <v>3.4000000000000002E-2</v>
      </c>
      <c r="J47" s="958" t="str">
        <f>IF(K47=AS42,"x","")</f>
        <v>x</v>
      </c>
      <c r="K47" s="152">
        <v>0.85</v>
      </c>
      <c r="L47" s="958" t="str">
        <f>IF(M47=AU42,"x","")</f>
        <v>x</v>
      </c>
      <c r="M47" s="152">
        <v>0.85</v>
      </c>
      <c r="N47" s="958" t="str">
        <f>IF(O47=AW42,"x","")</f>
        <v>x</v>
      </c>
      <c r="O47" s="152">
        <v>0.2</v>
      </c>
      <c r="P47" s="951" t="str">
        <f>IF(Q47=AY42,"x","")</f>
        <v>x</v>
      </c>
      <c r="Q47" s="299">
        <v>0.8</v>
      </c>
      <c r="R47" s="12" t="s">
        <v>173</v>
      </c>
      <c r="S47" s="12" t="s">
        <v>173</v>
      </c>
      <c r="T47" s="135" t="s">
        <v>173</v>
      </c>
      <c r="U47" s="154" t="s">
        <v>173</v>
      </c>
      <c r="V47" s="12" t="s">
        <v>173</v>
      </c>
      <c r="W47" s="154" t="s">
        <v>173</v>
      </c>
      <c r="X47" s="69"/>
      <c r="AA47" s="364"/>
      <c r="AB47" s="364"/>
      <c r="AC47" s="364"/>
      <c r="AD47" s="364"/>
      <c r="AE47" s="364"/>
      <c r="AF47" s="982"/>
      <c r="AG47" s="982"/>
      <c r="AH47" s="982"/>
      <c r="AI47" s="982"/>
      <c r="AJ47" s="982"/>
      <c r="AK47" s="982"/>
      <c r="AL47" s="982"/>
      <c r="AM47" s="982"/>
      <c r="AN47" s="982"/>
      <c r="AO47" s="982"/>
      <c r="AP47" s="982"/>
      <c r="AQ47" s="982"/>
    </row>
    <row r="48" spans="1:51" ht="14.4" x14ac:dyDescent="0.3">
      <c r="A48" s="364"/>
      <c r="B48" s="130" t="s">
        <v>147</v>
      </c>
      <c r="C48" s="92" t="s">
        <v>306</v>
      </c>
      <c r="D48" s="261" t="s">
        <v>173</v>
      </c>
      <c r="E48" s="154" t="s">
        <v>173</v>
      </c>
      <c r="F48" s="951" t="str">
        <f>IF(G48=AO46,"x","")</f>
        <v>x</v>
      </c>
      <c r="G48" s="92" t="s">
        <v>248</v>
      </c>
      <c r="H48" s="224"/>
      <c r="I48" s="152">
        <v>6.2E-2</v>
      </c>
      <c r="J48" s="135" t="s">
        <v>173</v>
      </c>
      <c r="K48" s="154" t="s">
        <v>173</v>
      </c>
      <c r="L48" s="135" t="s">
        <v>173</v>
      </c>
      <c r="M48" s="154" t="s">
        <v>173</v>
      </c>
      <c r="N48" s="135" t="s">
        <v>173</v>
      </c>
      <c r="O48" s="154" t="s">
        <v>173</v>
      </c>
      <c r="P48" s="135" t="s">
        <v>173</v>
      </c>
      <c r="Q48" s="154" t="s">
        <v>173</v>
      </c>
      <c r="R48" s="12" t="s">
        <v>173</v>
      </c>
      <c r="S48" s="12" t="s">
        <v>173</v>
      </c>
      <c r="T48" s="135" t="s">
        <v>173</v>
      </c>
      <c r="U48" s="154" t="s">
        <v>173</v>
      </c>
      <c r="V48" s="12" t="s">
        <v>173</v>
      </c>
      <c r="W48" s="154" t="s">
        <v>173</v>
      </c>
      <c r="X48" s="69"/>
      <c r="AA48" s="364"/>
      <c r="AB48" s="364"/>
      <c r="AC48" s="364"/>
      <c r="AD48" s="364"/>
      <c r="AE48" s="364"/>
      <c r="AF48" s="369" t="s">
        <v>174</v>
      </c>
      <c r="AG48" s="982"/>
      <c r="AH48" s="982"/>
      <c r="AI48" s="982"/>
      <c r="AJ48" s="982"/>
      <c r="AK48" s="982"/>
      <c r="AL48" s="982"/>
      <c r="AM48" s="982"/>
      <c r="AN48" s="982"/>
      <c r="AO48" s="982"/>
      <c r="AP48" s="982"/>
      <c r="AQ48" s="982"/>
    </row>
    <row r="49" spans="1:51" ht="14.4" x14ac:dyDescent="0.3">
      <c r="A49" s="364"/>
      <c r="B49" s="128" t="s">
        <v>175</v>
      </c>
      <c r="C49" s="92" t="s">
        <v>307</v>
      </c>
      <c r="D49" s="261" t="s">
        <v>173</v>
      </c>
      <c r="E49" s="154" t="s">
        <v>173</v>
      </c>
      <c r="F49" s="951" t="str">
        <f>IF(G49=AN50,"x","")</f>
        <v>x</v>
      </c>
      <c r="G49" s="366" t="s">
        <v>179</v>
      </c>
      <c r="H49" s="224"/>
      <c r="I49" s="152">
        <v>3.9E-2</v>
      </c>
      <c r="J49" s="135" t="s">
        <v>173</v>
      </c>
      <c r="K49" s="154" t="s">
        <v>173</v>
      </c>
      <c r="L49" s="135" t="s">
        <v>173</v>
      </c>
      <c r="M49" s="154" t="s">
        <v>173</v>
      </c>
      <c r="N49" s="135" t="s">
        <v>173</v>
      </c>
      <c r="O49" s="154" t="s">
        <v>173</v>
      </c>
      <c r="P49" s="135" t="s">
        <v>173</v>
      </c>
      <c r="Q49" s="154" t="s">
        <v>173</v>
      </c>
      <c r="R49" s="12" t="s">
        <v>173</v>
      </c>
      <c r="S49" s="12" t="s">
        <v>173</v>
      </c>
      <c r="T49" s="135" t="s">
        <v>173</v>
      </c>
      <c r="U49" s="154" t="s">
        <v>173</v>
      </c>
      <c r="V49" s="12" t="s">
        <v>173</v>
      </c>
      <c r="W49" s="154" t="s">
        <v>173</v>
      </c>
      <c r="X49" s="69"/>
      <c r="AA49" s="364"/>
      <c r="AB49" s="373"/>
      <c r="AC49" s="373"/>
      <c r="AD49" s="373"/>
      <c r="AE49" s="373"/>
      <c r="AF49" s="982" t="s">
        <v>121</v>
      </c>
      <c r="AG49" s="982" t="s">
        <v>122</v>
      </c>
      <c r="AH49" s="982" t="s">
        <v>121</v>
      </c>
      <c r="AI49" s="982" t="s">
        <v>123</v>
      </c>
      <c r="AJ49" s="982" t="s">
        <v>124</v>
      </c>
      <c r="AK49" s="982" t="s">
        <v>17</v>
      </c>
      <c r="AL49" s="982" t="s">
        <v>126</v>
      </c>
      <c r="AM49" s="982" t="s">
        <v>129</v>
      </c>
      <c r="AN49" s="982" t="s">
        <v>130</v>
      </c>
      <c r="AO49" s="982" t="s">
        <v>157</v>
      </c>
    </row>
    <row r="50" spans="1:51" ht="14.4" x14ac:dyDescent="0.3">
      <c r="A50" s="364"/>
      <c r="B50" s="278" t="s">
        <v>276</v>
      </c>
      <c r="C50" s="167" t="s">
        <v>308</v>
      </c>
      <c r="D50" s="294" t="s">
        <v>173</v>
      </c>
      <c r="E50" s="164" t="s">
        <v>173</v>
      </c>
      <c r="F50" s="292" t="s">
        <v>173</v>
      </c>
      <c r="G50" s="163" t="s">
        <v>278</v>
      </c>
      <c r="H50" s="158" t="s">
        <v>173</v>
      </c>
      <c r="I50" s="164" t="s">
        <v>173</v>
      </c>
      <c r="J50" s="158" t="s">
        <v>173</v>
      </c>
      <c r="K50" s="164" t="s">
        <v>173</v>
      </c>
      <c r="L50" s="158" t="s">
        <v>173</v>
      </c>
      <c r="M50" s="164" t="s">
        <v>173</v>
      </c>
      <c r="N50" s="158" t="s">
        <v>173</v>
      </c>
      <c r="O50" s="164" t="s">
        <v>173</v>
      </c>
      <c r="P50" s="158" t="s">
        <v>173</v>
      </c>
      <c r="Q50" s="164" t="s">
        <v>173</v>
      </c>
      <c r="R50" s="952" t="str">
        <f>IF(S50=AP54,"x","")</f>
        <v>x</v>
      </c>
      <c r="S50" s="167">
        <v>0.73</v>
      </c>
      <c r="T50" s="952" t="str">
        <f>IF(U50=SUM(AL54:AL57),"x","")</f>
        <v>x</v>
      </c>
      <c r="U50" s="172">
        <v>3891.16</v>
      </c>
      <c r="V50" s="953" t="str">
        <f>IF(W50=SUM(AM54:AM57),"x","")</f>
        <v>x</v>
      </c>
      <c r="W50" s="172">
        <v>302.82</v>
      </c>
      <c r="X50" s="69"/>
      <c r="Y50" s="812"/>
      <c r="Z50" s="812"/>
      <c r="AA50" s="812"/>
      <c r="AB50" s="812"/>
      <c r="AC50" s="812"/>
      <c r="AD50" s="812"/>
      <c r="AE50" s="813" t="s">
        <v>309</v>
      </c>
      <c r="AF50" s="949" t="s">
        <v>183</v>
      </c>
      <c r="AG50" s="949" t="s">
        <v>137</v>
      </c>
      <c r="AH50" s="949" t="s">
        <v>138</v>
      </c>
      <c r="AI50" s="949" t="s">
        <v>139</v>
      </c>
      <c r="AJ50" s="949" t="s">
        <v>140</v>
      </c>
      <c r="AK50" s="949" t="s">
        <v>141</v>
      </c>
      <c r="AL50" s="949">
        <v>182.71</v>
      </c>
      <c r="AM50" s="949" t="s">
        <v>307</v>
      </c>
      <c r="AN50" s="949" t="s">
        <v>179</v>
      </c>
      <c r="AO50" s="949">
        <v>-99996</v>
      </c>
    </row>
    <row r="51" spans="1:51" x14ac:dyDescent="0.3">
      <c r="A51" s="69"/>
      <c r="B51" s="363"/>
      <c r="C51" s="363"/>
      <c r="D51" s="75"/>
      <c r="E51" s="37"/>
      <c r="F51" s="75"/>
      <c r="G51" s="37"/>
      <c r="H51" s="37"/>
      <c r="I51" s="37"/>
      <c r="J51" s="37"/>
      <c r="K51" s="37"/>
      <c r="L51" s="37"/>
      <c r="M51" s="37"/>
      <c r="N51" s="69"/>
      <c r="O51" s="363"/>
      <c r="P51" s="69"/>
      <c r="Q51" s="69"/>
      <c r="R51" s="69"/>
      <c r="S51" s="363"/>
      <c r="T51" s="69"/>
      <c r="U51" s="363"/>
      <c r="V51" s="69"/>
      <c r="W51" s="363"/>
      <c r="X51" s="69"/>
    </row>
    <row r="52" spans="1:51" ht="14.4" x14ac:dyDescent="0.3">
      <c r="A52" s="364"/>
      <c r="B52" s="84" t="s">
        <v>184</v>
      </c>
      <c r="C52" s="366"/>
      <c r="D52" s="373"/>
      <c r="E52" s="366"/>
      <c r="F52" s="373"/>
      <c r="G52" s="366"/>
      <c r="H52" s="364"/>
      <c r="I52" s="366"/>
      <c r="J52" s="366"/>
      <c r="K52" s="366"/>
      <c r="L52" s="366"/>
      <c r="M52" s="366"/>
      <c r="N52" s="6"/>
      <c r="O52" s="366"/>
      <c r="P52" s="364"/>
      <c r="Q52" s="366"/>
      <c r="R52" s="364"/>
      <c r="S52" s="366"/>
      <c r="T52" s="364"/>
      <c r="U52" s="366"/>
      <c r="V52" s="364"/>
      <c r="W52" s="366"/>
      <c r="X52" s="69"/>
      <c r="AA52" s="364"/>
      <c r="AB52" s="364"/>
      <c r="AC52" s="364"/>
      <c r="AD52" s="364"/>
      <c r="AE52" s="364"/>
      <c r="AF52" s="369" t="s">
        <v>280</v>
      </c>
    </row>
    <row r="53" spans="1:51" s="41" customFormat="1" ht="27.6" x14ac:dyDescent="0.3">
      <c r="A53" s="91"/>
      <c r="B53" s="138" t="s">
        <v>148</v>
      </c>
      <c r="C53" s="120" t="s">
        <v>149</v>
      </c>
      <c r="D53" s="138"/>
      <c r="E53" s="148" t="s">
        <v>150</v>
      </c>
      <c r="F53" s="138"/>
      <c r="G53" s="148" t="s">
        <v>151</v>
      </c>
      <c r="H53" s="138"/>
      <c r="I53" s="148" t="s">
        <v>185</v>
      </c>
      <c r="J53" s="119"/>
      <c r="K53" s="148" t="s">
        <v>186</v>
      </c>
      <c r="L53" s="91"/>
      <c r="M53" s="38"/>
      <c r="N53" s="91"/>
      <c r="O53" s="38"/>
      <c r="P53" s="91"/>
      <c r="Q53" s="38"/>
      <c r="AF53" s="982" t="s">
        <v>121</v>
      </c>
      <c r="AG53" s="982" t="s">
        <v>122</v>
      </c>
      <c r="AH53" s="982" t="s">
        <v>121</v>
      </c>
      <c r="AI53" s="982" t="s">
        <v>123</v>
      </c>
      <c r="AJ53" s="982" t="s">
        <v>124</v>
      </c>
      <c r="AK53" s="982" t="s">
        <v>281</v>
      </c>
      <c r="AL53" s="982" t="s">
        <v>126</v>
      </c>
      <c r="AM53" s="982" t="s">
        <v>282</v>
      </c>
      <c r="AN53" s="982" t="s">
        <v>129</v>
      </c>
      <c r="AO53" s="982" t="s">
        <v>283</v>
      </c>
      <c r="AP53" s="982" t="s">
        <v>284</v>
      </c>
    </row>
    <row r="54" spans="1:51" s="82" customFormat="1" ht="15" thickBot="1" x14ac:dyDescent="0.35">
      <c r="A54" s="83"/>
      <c r="B54" s="132"/>
      <c r="C54" s="992" t="s">
        <v>188</v>
      </c>
      <c r="D54" s="139"/>
      <c r="E54" s="993" t="s">
        <v>189</v>
      </c>
      <c r="F54" s="139"/>
      <c r="G54" s="993" t="s">
        <v>190</v>
      </c>
      <c r="H54" s="145"/>
      <c r="I54" s="993" t="s">
        <v>191</v>
      </c>
      <c r="J54" s="125"/>
      <c r="K54" s="993" t="s">
        <v>192</v>
      </c>
      <c r="L54" s="83"/>
      <c r="M54" s="30"/>
      <c r="N54" s="83"/>
      <c r="O54" s="30"/>
      <c r="P54" s="30"/>
      <c r="Q54" s="30"/>
      <c r="R54" s="83"/>
      <c r="S54" s="364"/>
      <c r="T54" s="30"/>
      <c r="U54" s="83"/>
      <c r="V54" s="83"/>
      <c r="W54" s="30"/>
      <c r="X54" s="83"/>
      <c r="Y54" s="812"/>
      <c r="Z54" s="812"/>
      <c r="AA54" s="812"/>
      <c r="AB54" s="812"/>
      <c r="AC54" s="812"/>
      <c r="AD54" s="812"/>
      <c r="AE54" s="813" t="s">
        <v>310</v>
      </c>
      <c r="AF54" s="97" t="s">
        <v>181</v>
      </c>
      <c r="AG54" s="97" t="s">
        <v>137</v>
      </c>
      <c r="AH54" s="97" t="s">
        <v>169</v>
      </c>
      <c r="AI54" s="97" t="s">
        <v>139</v>
      </c>
      <c r="AJ54" s="97" t="s">
        <v>170</v>
      </c>
      <c r="AK54" s="97" t="s">
        <v>311</v>
      </c>
      <c r="AL54" s="97">
        <v>1221.17</v>
      </c>
      <c r="AM54" s="97">
        <v>90.85</v>
      </c>
      <c r="AN54" s="97" t="s">
        <v>308</v>
      </c>
      <c r="AO54" s="97" t="s">
        <v>312</v>
      </c>
      <c r="AP54" s="97">
        <v>0.73</v>
      </c>
    </row>
    <row r="55" spans="1:51" s="69" customFormat="1" ht="14.4" thickTop="1" x14ac:dyDescent="0.3">
      <c r="A55" s="364"/>
      <c r="B55" s="155" t="s">
        <v>187</v>
      </c>
      <c r="C55" s="167" t="s">
        <v>199</v>
      </c>
      <c r="D55" s="976" t="str">
        <f>IF(E55=AM61,"x","")</f>
        <v>x</v>
      </c>
      <c r="E55" s="172" t="s">
        <v>199</v>
      </c>
      <c r="F55" s="954" t="str">
        <f>IF(G55=AR61,"x","")</f>
        <v>x</v>
      </c>
      <c r="G55" s="162">
        <v>0.36</v>
      </c>
      <c r="H55" s="954" t="str">
        <f>IF(I55=AS61,"x","")</f>
        <v>x</v>
      </c>
      <c r="I55" s="169">
        <v>0.25</v>
      </c>
      <c r="J55" s="954" t="str">
        <f>IF(K55=AT61,"x","")</f>
        <v>x</v>
      </c>
      <c r="K55" s="169">
        <v>0.42</v>
      </c>
      <c r="L55" s="364"/>
      <c r="M55" s="32"/>
      <c r="N55" s="364"/>
      <c r="O55" s="92"/>
      <c r="P55" s="364"/>
      <c r="Q55" s="92"/>
      <c r="AF55" s="97" t="s">
        <v>288</v>
      </c>
      <c r="AG55" s="97" t="s">
        <v>137</v>
      </c>
      <c r="AH55" s="97" t="s">
        <v>289</v>
      </c>
      <c r="AI55" s="97" t="s">
        <v>139</v>
      </c>
      <c r="AJ55" s="97" t="s">
        <v>170</v>
      </c>
      <c r="AK55" s="97" t="s">
        <v>311</v>
      </c>
      <c r="AL55" s="97">
        <v>724.41</v>
      </c>
      <c r="AM55" s="97">
        <v>60.56</v>
      </c>
      <c r="AN55" s="97" t="s">
        <v>308</v>
      </c>
      <c r="AO55" s="97" t="s">
        <v>312</v>
      </c>
      <c r="AP55" s="97">
        <v>0.73</v>
      </c>
    </row>
    <row r="56" spans="1:51" x14ac:dyDescent="0.3">
      <c r="A56" s="364"/>
      <c r="B56" s="84"/>
      <c r="C56" s="84"/>
      <c r="D56" s="373"/>
      <c r="E56" s="84"/>
      <c r="F56" s="373"/>
      <c r="G56" s="84"/>
      <c r="H56" s="364"/>
      <c r="I56" s="84"/>
      <c r="J56" s="364"/>
      <c r="K56" s="84"/>
      <c r="L56" s="364"/>
      <c r="M56" s="84"/>
      <c r="N56" s="364"/>
      <c r="O56" s="84"/>
      <c r="P56" s="364"/>
      <c r="Q56" s="84"/>
      <c r="R56" s="364"/>
      <c r="S56" s="84"/>
      <c r="T56" s="364"/>
      <c r="U56" s="84"/>
      <c r="V56" s="364"/>
      <c r="W56" s="84"/>
      <c r="X56" s="69"/>
      <c r="AF56" s="97" t="s">
        <v>290</v>
      </c>
      <c r="AG56" s="97" t="s">
        <v>137</v>
      </c>
      <c r="AH56" s="97" t="s">
        <v>291</v>
      </c>
      <c r="AI56" s="97" t="s">
        <v>139</v>
      </c>
      <c r="AJ56" s="97" t="s">
        <v>170</v>
      </c>
      <c r="AK56" s="97" t="s">
        <v>311</v>
      </c>
      <c r="AL56" s="97">
        <v>1221.17</v>
      </c>
      <c r="AM56" s="97">
        <v>90.85</v>
      </c>
      <c r="AN56" s="97" t="s">
        <v>308</v>
      </c>
      <c r="AO56" s="97" t="s">
        <v>312</v>
      </c>
      <c r="AP56" s="97">
        <v>0.73</v>
      </c>
    </row>
    <row r="57" spans="1:51" x14ac:dyDescent="0.3">
      <c r="A57" s="289"/>
      <c r="B57" s="46" t="s">
        <v>204</v>
      </c>
      <c r="C57" s="39"/>
      <c r="D57" s="41"/>
      <c r="E57" s="39"/>
      <c r="F57" s="41"/>
      <c r="G57" s="39"/>
      <c r="H57" s="41"/>
      <c r="I57" s="39"/>
      <c r="J57" s="41"/>
      <c r="K57" s="39"/>
      <c r="L57" s="41"/>
      <c r="M57" s="41"/>
      <c r="N57" s="41"/>
      <c r="O57" s="41"/>
      <c r="P57" s="364"/>
      <c r="Q57" s="41"/>
      <c r="R57" s="41"/>
      <c r="S57" s="41"/>
      <c r="T57" s="41"/>
      <c r="U57" s="41"/>
      <c r="V57" s="41"/>
      <c r="W57" s="41"/>
      <c r="X57" s="41"/>
      <c r="AF57" s="97" t="s">
        <v>292</v>
      </c>
      <c r="AG57" s="97" t="s">
        <v>137</v>
      </c>
      <c r="AH57" s="97" t="s">
        <v>293</v>
      </c>
      <c r="AI57" s="97" t="s">
        <v>139</v>
      </c>
      <c r="AJ57" s="97" t="s">
        <v>170</v>
      </c>
      <c r="AK57" s="97" t="s">
        <v>311</v>
      </c>
      <c r="AL57" s="97">
        <v>724.41</v>
      </c>
      <c r="AM57" s="97">
        <v>60.56</v>
      </c>
      <c r="AN57" s="97" t="s">
        <v>308</v>
      </c>
      <c r="AO57" s="97" t="s">
        <v>312</v>
      </c>
      <c r="AP57" s="97">
        <v>0.73</v>
      </c>
    </row>
    <row r="58" spans="1:51" x14ac:dyDescent="0.3">
      <c r="A58" s="364"/>
      <c r="B58" s="84" t="s">
        <v>146</v>
      </c>
      <c r="C58" s="84"/>
      <c r="D58" s="373"/>
      <c r="E58" s="84"/>
      <c r="F58" s="373"/>
      <c r="G58" s="84"/>
      <c r="H58" s="364"/>
      <c r="I58" s="84"/>
      <c r="J58" s="364"/>
      <c r="K58" s="84"/>
      <c r="L58" s="364"/>
      <c r="M58" s="84"/>
      <c r="N58" s="364"/>
      <c r="O58" s="84"/>
      <c r="P58" s="41"/>
      <c r="Q58" s="84"/>
      <c r="R58" s="364"/>
      <c r="S58" s="84"/>
      <c r="T58" s="364"/>
      <c r="U58" s="84"/>
      <c r="V58" s="364"/>
      <c r="W58" s="84"/>
      <c r="X58" s="69"/>
    </row>
    <row r="59" spans="1:51" ht="14.4" x14ac:dyDescent="0.3">
      <c r="A59" s="364"/>
      <c r="B59" s="219" t="s">
        <v>148</v>
      </c>
      <c r="C59" s="123" t="s">
        <v>149</v>
      </c>
      <c r="D59" s="293"/>
      <c r="E59" s="116" t="s">
        <v>214</v>
      </c>
      <c r="F59" s="293"/>
      <c r="G59" s="116" t="s">
        <v>215</v>
      </c>
      <c r="H59" s="121"/>
      <c r="I59" s="116" t="s">
        <v>216</v>
      </c>
      <c r="J59" s="121"/>
      <c r="K59" s="123" t="s">
        <v>217</v>
      </c>
      <c r="L59" s="210"/>
      <c r="M59" s="116" t="s">
        <v>218</v>
      </c>
      <c r="N59" s="121"/>
      <c r="O59" s="116" t="s">
        <v>219</v>
      </c>
      <c r="P59" s="364"/>
      <c r="Q59" s="84"/>
      <c r="R59" s="364"/>
      <c r="S59" s="84"/>
      <c r="T59" s="364"/>
      <c r="U59" s="84"/>
      <c r="V59" s="364"/>
      <c r="W59" s="84"/>
      <c r="X59" s="69"/>
      <c r="Y59" s="41"/>
      <c r="Z59" s="41"/>
      <c r="AA59" s="364"/>
      <c r="AB59" s="364"/>
      <c r="AC59" s="364"/>
      <c r="AD59" s="364"/>
      <c r="AE59" s="364"/>
      <c r="AF59" s="369" t="s">
        <v>187</v>
      </c>
      <c r="AG59" s="982"/>
      <c r="AH59" s="982"/>
      <c r="AI59" s="982"/>
      <c r="AJ59" s="982"/>
      <c r="AK59" s="982"/>
      <c r="AL59" s="982"/>
      <c r="AM59" s="982"/>
      <c r="AN59" s="982"/>
      <c r="AO59" s="982"/>
      <c r="AP59" s="41"/>
      <c r="AQ59" s="41"/>
      <c r="AR59" s="41"/>
      <c r="AS59" s="41"/>
      <c r="AT59" s="41"/>
      <c r="AU59" s="41"/>
      <c r="AV59" s="41"/>
      <c r="AW59" s="41"/>
      <c r="AX59" s="41"/>
      <c r="AY59" s="41"/>
    </row>
    <row r="60" spans="1:51" ht="15" thickBot="1" x14ac:dyDescent="0.35">
      <c r="A60" s="364"/>
      <c r="B60" s="297"/>
      <c r="C60" s="992" t="s">
        <v>159</v>
      </c>
      <c r="D60" s="139"/>
      <c r="E60" s="995" t="s">
        <v>226</v>
      </c>
      <c r="F60" s="240"/>
      <c r="G60" s="995" t="s">
        <v>226</v>
      </c>
      <c r="H60" s="227"/>
      <c r="I60" s="997" t="s">
        <v>226</v>
      </c>
      <c r="J60" s="240"/>
      <c r="K60" s="997" t="s">
        <v>226</v>
      </c>
      <c r="L60" s="240"/>
      <c r="M60" s="997" t="s">
        <v>226</v>
      </c>
      <c r="N60" s="240"/>
      <c r="O60" s="995" t="s">
        <v>226</v>
      </c>
      <c r="P60" s="364"/>
      <c r="Q60" s="92"/>
      <c r="R60" s="364"/>
      <c r="S60" s="92"/>
      <c r="T60" s="364"/>
      <c r="U60" s="92"/>
      <c r="V60" s="364"/>
      <c r="W60" s="92"/>
      <c r="X60" s="69"/>
      <c r="Y60" s="82"/>
      <c r="Z60" s="82"/>
      <c r="AA60" s="364"/>
      <c r="AB60" s="364"/>
      <c r="AC60" s="364"/>
      <c r="AD60" s="364"/>
      <c r="AE60" s="364"/>
      <c r="AF60" s="982" t="s">
        <v>121</v>
      </c>
      <c r="AG60" s="982" t="s">
        <v>122</v>
      </c>
      <c r="AH60" s="982" t="s">
        <v>123</v>
      </c>
      <c r="AI60" s="982" t="s">
        <v>124</v>
      </c>
      <c r="AJ60" s="982" t="s">
        <v>121</v>
      </c>
      <c r="AK60" s="982" t="s">
        <v>126</v>
      </c>
      <c r="AL60" s="982" t="s">
        <v>156</v>
      </c>
      <c r="AM60" s="982" t="s">
        <v>193</v>
      </c>
      <c r="AN60" s="982" t="s">
        <v>194</v>
      </c>
      <c r="AO60" s="982" t="s">
        <v>129</v>
      </c>
      <c r="AP60" s="982" t="s">
        <v>195</v>
      </c>
      <c r="AQ60" s="982" t="s">
        <v>196</v>
      </c>
      <c r="AR60" s="982" t="s">
        <v>157</v>
      </c>
      <c r="AS60" s="982" t="s">
        <v>185</v>
      </c>
      <c r="AT60" s="982" t="s">
        <v>186</v>
      </c>
      <c r="AU60" s="982" t="s">
        <v>197</v>
      </c>
      <c r="AV60" s="982" t="s">
        <v>198</v>
      </c>
      <c r="AW60" s="82"/>
      <c r="AX60" s="82"/>
      <c r="AY60" s="82"/>
    </row>
    <row r="61" spans="1:51" ht="28.2" thickTop="1" x14ac:dyDescent="0.3">
      <c r="A61" s="364"/>
      <c r="B61" s="130" t="s">
        <v>147</v>
      </c>
      <c r="C61" s="92" t="s">
        <v>306</v>
      </c>
      <c r="D61" s="958" t="str">
        <f>IF(E61=VLOOKUP($C61,$AF$65:$AN$70,D$26,FALSE),"x","")</f>
        <v>x</v>
      </c>
      <c r="E61" s="152" t="s">
        <v>222</v>
      </c>
      <c r="F61" s="958" t="str">
        <f t="shared" ref="F61:F63" si="4">IF(G61=VLOOKUP($C61,$AF$65:$AN$70,F$26,FALSE),"x","")</f>
        <v>x</v>
      </c>
      <c r="G61" s="152" t="s">
        <v>313</v>
      </c>
      <c r="H61" s="959" t="str">
        <f>IF(I61=VLOOKUP($C61,$AF$65:$AN$70,H$26,FALSE),"x","")</f>
        <v>x</v>
      </c>
      <c r="I61" s="152" t="s">
        <v>259</v>
      </c>
      <c r="J61" s="951" t="str">
        <f>IF(K61=VLOOKUP($C61,$AF$65:$AN$70,J$26,FALSE),"x","")</f>
        <v>x</v>
      </c>
      <c r="K61" s="92" t="s">
        <v>225</v>
      </c>
      <c r="L61" s="135" t="s">
        <v>173</v>
      </c>
      <c r="M61" s="154" t="s">
        <v>173</v>
      </c>
      <c r="N61" s="12" t="s">
        <v>173</v>
      </c>
      <c r="O61" s="154" t="s">
        <v>173</v>
      </c>
      <c r="P61" s="364"/>
      <c r="Q61" s="92"/>
      <c r="R61" s="364"/>
      <c r="S61" s="92"/>
      <c r="T61" s="364"/>
      <c r="U61" s="92"/>
      <c r="V61" s="364"/>
      <c r="W61" s="92"/>
      <c r="X61" s="69"/>
      <c r="Y61" s="812"/>
      <c r="Z61" s="812"/>
      <c r="AA61" s="812"/>
      <c r="AB61" s="812"/>
      <c r="AC61" s="812"/>
      <c r="AD61" s="812"/>
      <c r="AE61" s="813" t="s">
        <v>314</v>
      </c>
      <c r="AF61" s="949" t="s">
        <v>201</v>
      </c>
      <c r="AG61" s="949" t="s">
        <v>137</v>
      </c>
      <c r="AH61" s="949" t="s">
        <v>139</v>
      </c>
      <c r="AI61" s="949" t="s">
        <v>170</v>
      </c>
      <c r="AJ61" s="949" t="s">
        <v>168</v>
      </c>
      <c r="AK61" s="949">
        <v>30.02</v>
      </c>
      <c r="AL61" s="949">
        <v>180</v>
      </c>
      <c r="AM61" s="949" t="s">
        <v>199</v>
      </c>
      <c r="AN61" s="949" t="s">
        <v>202</v>
      </c>
      <c r="AO61" s="949" t="s">
        <v>199</v>
      </c>
      <c r="AP61" s="949" t="s">
        <v>203</v>
      </c>
      <c r="AQ61" s="949" t="s">
        <v>203</v>
      </c>
      <c r="AR61" s="949">
        <v>0.36</v>
      </c>
      <c r="AS61" s="949">
        <v>0.25</v>
      </c>
      <c r="AT61" s="949">
        <v>0.42</v>
      </c>
      <c r="AU61" s="949">
        <v>0.36</v>
      </c>
      <c r="AV61" s="949">
        <v>-99996</v>
      </c>
    </row>
    <row r="62" spans="1:51" ht="27.6" x14ac:dyDescent="0.3">
      <c r="A62" s="364"/>
      <c r="B62" s="130" t="s">
        <v>132</v>
      </c>
      <c r="C62" s="92" t="s">
        <v>304</v>
      </c>
      <c r="D62" s="958" t="str">
        <f t="shared" ref="D62:D63" si="5">IF(E62=VLOOKUP($C62,$AF$65:$AN$70,D$26,FALSE),"x","")</f>
        <v>x</v>
      </c>
      <c r="E62" s="152" t="s">
        <v>261</v>
      </c>
      <c r="F62" s="958" t="str">
        <f t="shared" si="4"/>
        <v>x</v>
      </c>
      <c r="G62" s="152" t="s">
        <v>315</v>
      </c>
      <c r="H62" s="12" t="s">
        <v>173</v>
      </c>
      <c r="I62" s="154" t="s">
        <v>173</v>
      </c>
      <c r="J62" s="12" t="s">
        <v>173</v>
      </c>
      <c r="K62" s="12" t="s">
        <v>173</v>
      </c>
      <c r="L62" s="135" t="s">
        <v>173</v>
      </c>
      <c r="M62" s="154" t="s">
        <v>173</v>
      </c>
      <c r="N62" s="12" t="s">
        <v>173</v>
      </c>
      <c r="O62" s="154" t="s">
        <v>173</v>
      </c>
      <c r="P62" s="364"/>
      <c r="Q62" s="92"/>
      <c r="R62" s="364"/>
      <c r="S62" s="92"/>
      <c r="T62" s="364"/>
      <c r="U62" s="92"/>
      <c r="V62" s="364"/>
      <c r="W62" s="92"/>
      <c r="X62" s="69"/>
      <c r="AA62" s="364"/>
      <c r="AB62" s="82"/>
      <c r="AC62" s="82"/>
      <c r="AD62" s="82"/>
      <c r="AE62" s="364"/>
      <c r="AF62" s="358">
        <v>1</v>
      </c>
      <c r="AG62" s="358">
        <f>AF62+1</f>
        <v>2</v>
      </c>
      <c r="AH62" s="358">
        <f t="shared" ref="AH62:AO62" si="6">AG62+1</f>
        <v>3</v>
      </c>
      <c r="AI62" s="358">
        <f t="shared" si="6"/>
        <v>4</v>
      </c>
      <c r="AJ62" s="358">
        <f t="shared" si="6"/>
        <v>5</v>
      </c>
      <c r="AK62" s="358">
        <f t="shared" si="6"/>
        <v>6</v>
      </c>
      <c r="AL62" s="358">
        <v>7</v>
      </c>
      <c r="AM62" s="358">
        <f t="shared" si="6"/>
        <v>8</v>
      </c>
      <c r="AN62" s="358">
        <v>8</v>
      </c>
      <c r="AO62" s="358">
        <f t="shared" si="6"/>
        <v>9</v>
      </c>
    </row>
    <row r="63" spans="1:51" ht="13.5" customHeight="1" x14ac:dyDescent="0.3">
      <c r="A63" s="364"/>
      <c r="B63" s="278" t="s">
        <v>175</v>
      </c>
      <c r="C63" s="167" t="s">
        <v>307</v>
      </c>
      <c r="D63" s="952" t="str">
        <f t="shared" si="5"/>
        <v>x</v>
      </c>
      <c r="E63" s="172" t="s">
        <v>316</v>
      </c>
      <c r="F63" s="952" t="str">
        <f t="shared" si="4"/>
        <v>x</v>
      </c>
      <c r="G63" s="172" t="s">
        <v>264</v>
      </c>
      <c r="H63" s="960" t="str">
        <f>IF(I63=VLOOKUP($C63,$AF$65:$AN$70,H$26,FALSE),"x","")</f>
        <v>x</v>
      </c>
      <c r="I63" s="172" t="s">
        <v>242</v>
      </c>
      <c r="J63" s="163" t="s">
        <v>173</v>
      </c>
      <c r="K63" s="163" t="s">
        <v>173</v>
      </c>
      <c r="L63" s="158" t="s">
        <v>173</v>
      </c>
      <c r="M63" s="164" t="s">
        <v>173</v>
      </c>
      <c r="N63" s="163" t="s">
        <v>173</v>
      </c>
      <c r="O63" s="164" t="s">
        <v>173</v>
      </c>
      <c r="P63" s="364"/>
      <c r="Q63" s="92"/>
      <c r="R63" s="364"/>
      <c r="S63" s="366"/>
      <c r="T63" s="364"/>
      <c r="U63" s="366"/>
      <c r="V63" s="364"/>
      <c r="W63" s="366"/>
      <c r="X63" s="69"/>
      <c r="AF63" s="369" t="s">
        <v>205</v>
      </c>
      <c r="AG63" s="982"/>
      <c r="AH63" s="982"/>
      <c r="AI63" s="982"/>
      <c r="AJ63" s="982"/>
      <c r="AK63" s="982"/>
      <c r="AL63" s="982"/>
      <c r="AM63" s="982"/>
      <c r="AN63" s="982"/>
      <c r="AO63" s="82"/>
    </row>
    <row r="64" spans="1:51" ht="14.4" x14ac:dyDescent="0.3">
      <c r="A64" s="364"/>
      <c r="B64" s="366"/>
      <c r="C64" s="366"/>
      <c r="D64" s="367"/>
      <c r="E64" s="366"/>
      <c r="F64" s="62"/>
      <c r="G64" s="366"/>
      <c r="H64" s="376"/>
      <c r="I64" s="366"/>
      <c r="J64" s="364"/>
      <c r="K64" s="366"/>
      <c r="L64" s="364"/>
      <c r="M64" s="366"/>
      <c r="N64" s="364"/>
      <c r="O64" s="366"/>
      <c r="P64" s="364"/>
      <c r="Q64" s="92"/>
      <c r="R64" s="364"/>
      <c r="S64" s="366"/>
      <c r="T64" s="364"/>
      <c r="U64" s="366"/>
      <c r="V64" s="364"/>
      <c r="W64" s="366"/>
      <c r="X64" s="69"/>
      <c r="AA64" s="364"/>
      <c r="AB64" s="364"/>
      <c r="AC64" s="364"/>
      <c r="AD64" s="364"/>
      <c r="AE64" s="364"/>
      <c r="AF64" s="982" t="s">
        <v>121</v>
      </c>
      <c r="AG64" s="982" t="s">
        <v>206</v>
      </c>
      <c r="AH64" s="982" t="s">
        <v>207</v>
      </c>
      <c r="AI64" s="982" t="s">
        <v>208</v>
      </c>
      <c r="AJ64" s="982" t="s">
        <v>209</v>
      </c>
      <c r="AK64" s="982" t="s">
        <v>210</v>
      </c>
      <c r="AL64" s="982" t="s">
        <v>211</v>
      </c>
      <c r="AM64" s="982" t="s">
        <v>212</v>
      </c>
      <c r="AN64" s="982" t="s">
        <v>213</v>
      </c>
    </row>
    <row r="65" spans="1:50" ht="14.4" x14ac:dyDescent="0.3">
      <c r="A65" s="364"/>
      <c r="B65" s="69"/>
      <c r="C65" s="69"/>
      <c r="D65" s="293"/>
      <c r="E65" s="116" t="s">
        <v>298</v>
      </c>
      <c r="F65" s="366"/>
      <c r="G65" s="366"/>
      <c r="H65" s="364"/>
      <c r="I65" s="366"/>
      <c r="J65" s="364"/>
      <c r="K65" s="366"/>
      <c r="L65" s="364"/>
      <c r="M65" s="366"/>
      <c r="N65" s="364"/>
      <c r="O65" s="366"/>
      <c r="P65" s="364"/>
      <c r="Q65" s="366"/>
      <c r="R65" s="364"/>
      <c r="S65" s="366"/>
      <c r="T65" s="364"/>
      <c r="U65" s="366"/>
      <c r="V65" s="364"/>
      <c r="W65" s="366"/>
      <c r="X65" s="69"/>
      <c r="Y65" s="812"/>
      <c r="Z65" s="812"/>
      <c r="AA65" s="812"/>
      <c r="AB65" s="812"/>
      <c r="AC65" s="812"/>
      <c r="AD65" s="812"/>
      <c r="AE65" s="813" t="s">
        <v>254</v>
      </c>
      <c r="AF65" s="949" t="s">
        <v>306</v>
      </c>
      <c r="AG65" s="949" t="s">
        <v>221</v>
      </c>
      <c r="AH65" s="949" t="s">
        <v>222</v>
      </c>
      <c r="AI65" s="949" t="s">
        <v>313</v>
      </c>
      <c r="AJ65" s="949" t="s">
        <v>259</v>
      </c>
      <c r="AK65" s="949" t="s">
        <v>225</v>
      </c>
      <c r="AL65" s="949"/>
      <c r="AM65" s="949"/>
      <c r="AN65" s="949"/>
      <c r="AO65" s="41"/>
      <c r="AP65" s="41"/>
      <c r="AQ65" s="41"/>
      <c r="AR65" s="41"/>
      <c r="AS65" s="41"/>
      <c r="AT65" s="41"/>
      <c r="AU65" s="41"/>
      <c r="AV65" s="41"/>
      <c r="AW65" s="41"/>
      <c r="AX65" s="41"/>
    </row>
    <row r="66" spans="1:50" s="69" customFormat="1" ht="14.4" thickBot="1" x14ac:dyDescent="0.35">
      <c r="A66" s="364"/>
      <c r="D66" s="139"/>
      <c r="E66" s="995" t="s">
        <v>299</v>
      </c>
      <c r="F66" s="366"/>
      <c r="G66" s="366"/>
      <c r="H66" s="364"/>
      <c r="I66" s="366"/>
      <c r="J66" s="364"/>
      <c r="K66" s="366"/>
      <c r="L66" s="364"/>
      <c r="M66" s="366"/>
      <c r="N66" s="364"/>
      <c r="O66" s="366"/>
      <c r="P66" s="364"/>
      <c r="Q66" s="366"/>
      <c r="R66" s="364"/>
      <c r="S66" s="366"/>
      <c r="T66" s="364"/>
      <c r="U66" s="366"/>
      <c r="V66" s="364"/>
      <c r="W66" s="366"/>
      <c r="Y66" s="82"/>
      <c r="Z66" s="82"/>
      <c r="AA66" s="364"/>
      <c r="AB66" s="364"/>
      <c r="AC66" s="364"/>
      <c r="AD66" s="364"/>
      <c r="AE66" s="364"/>
      <c r="AF66" s="949" t="s">
        <v>260</v>
      </c>
      <c r="AG66" s="949" t="s">
        <v>231</v>
      </c>
      <c r="AH66" s="949" t="s">
        <v>232</v>
      </c>
      <c r="AI66" s="949" t="s">
        <v>259</v>
      </c>
      <c r="AJ66" s="949" t="s">
        <v>232</v>
      </c>
      <c r="AK66" s="949"/>
      <c r="AL66" s="949"/>
      <c r="AM66" s="949"/>
      <c r="AN66" s="949"/>
      <c r="AO66" s="82"/>
      <c r="AP66" s="82"/>
      <c r="AQ66" s="82"/>
      <c r="AR66" s="82"/>
      <c r="AS66" s="82"/>
      <c r="AT66" s="82"/>
      <c r="AU66" s="82"/>
      <c r="AV66" s="82"/>
      <c r="AW66" s="82"/>
      <c r="AX66" s="82"/>
    </row>
    <row r="67" spans="1:50" ht="13.5" customHeight="1" thickTop="1" x14ac:dyDescent="0.3">
      <c r="A67" s="364"/>
      <c r="B67" s="366"/>
      <c r="C67" s="366"/>
      <c r="D67" s="171" t="s">
        <v>300</v>
      </c>
      <c r="E67" s="198" t="s">
        <v>317</v>
      </c>
      <c r="F67" s="366"/>
      <c r="G67" s="366"/>
      <c r="H67" s="364"/>
      <c r="I67" s="366"/>
      <c r="J67" s="364"/>
      <c r="K67" s="366"/>
      <c r="L67" s="364"/>
      <c r="M67" s="366"/>
      <c r="N67" s="364"/>
      <c r="O67" s="366"/>
      <c r="P67" s="364"/>
      <c r="Q67" s="366"/>
      <c r="R67" s="364"/>
      <c r="S67" s="366"/>
      <c r="T67" s="364"/>
      <c r="U67" s="366"/>
      <c r="V67" s="364"/>
      <c r="W67" s="366"/>
      <c r="X67" s="69"/>
      <c r="AA67" s="364"/>
      <c r="AB67" s="364"/>
      <c r="AC67" s="364"/>
      <c r="AD67" s="364"/>
      <c r="AE67" s="364"/>
      <c r="AF67" s="949" t="s">
        <v>304</v>
      </c>
      <c r="AG67" s="949" t="s">
        <v>132</v>
      </c>
      <c r="AH67" s="949" t="s">
        <v>261</v>
      </c>
      <c r="AI67" s="949" t="s">
        <v>315</v>
      </c>
      <c r="AJ67" s="949"/>
      <c r="AK67" s="949"/>
      <c r="AL67" s="949"/>
      <c r="AM67" s="949"/>
      <c r="AN67" s="949"/>
      <c r="AO67" s="982"/>
      <c r="AP67" s="982"/>
    </row>
    <row r="68" spans="1:50" ht="14.4" x14ac:dyDescent="0.3">
      <c r="A68" s="364"/>
      <c r="B68" s="92"/>
      <c r="C68" s="92"/>
      <c r="D68" s="373"/>
      <c r="E68" s="92"/>
      <c r="F68" s="373"/>
      <c r="G68" s="92"/>
      <c r="H68" s="364"/>
      <c r="J68" s="364"/>
      <c r="K68" s="92"/>
      <c r="L68" s="364"/>
      <c r="M68" s="92"/>
      <c r="N68" s="364"/>
      <c r="O68" s="92"/>
      <c r="P68" s="364"/>
      <c r="Q68" s="92"/>
      <c r="R68" s="364"/>
      <c r="S68" s="92"/>
      <c r="T68" s="364"/>
      <c r="U68" s="92"/>
      <c r="V68" s="364"/>
      <c r="W68" s="92"/>
      <c r="X68" s="69"/>
      <c r="AA68" s="364"/>
      <c r="AB68" s="364"/>
      <c r="AC68" s="364"/>
      <c r="AD68" s="364"/>
      <c r="AE68" s="364"/>
      <c r="AF68" s="949" t="s">
        <v>307</v>
      </c>
      <c r="AG68" s="949" t="s">
        <v>238</v>
      </c>
      <c r="AH68" s="949" t="s">
        <v>316</v>
      </c>
      <c r="AI68" s="949" t="s">
        <v>264</v>
      </c>
      <c r="AJ68" s="949" t="s">
        <v>242</v>
      </c>
      <c r="AK68" s="949"/>
      <c r="AL68" s="949"/>
      <c r="AM68" s="949"/>
      <c r="AN68" s="949"/>
      <c r="AO68" s="982"/>
      <c r="AP68" s="982"/>
    </row>
    <row r="69" spans="1:50" ht="14.4" x14ac:dyDescent="0.3">
      <c r="A69" s="364"/>
      <c r="B69" s="92"/>
      <c r="C69" s="92"/>
      <c r="D69" s="373"/>
      <c r="E69" s="92"/>
      <c r="F69" s="373"/>
      <c r="G69" s="92"/>
      <c r="H69" s="364"/>
      <c r="J69" s="364"/>
      <c r="K69" s="92"/>
      <c r="L69" s="364"/>
      <c r="M69" s="92"/>
      <c r="N69" s="364"/>
      <c r="O69" s="92"/>
      <c r="P69" s="364"/>
      <c r="Q69" s="92"/>
      <c r="R69" s="364"/>
      <c r="S69" s="92"/>
      <c r="T69" s="364"/>
      <c r="U69" s="92"/>
      <c r="V69" s="364"/>
      <c r="W69" s="92"/>
      <c r="X69" s="69"/>
      <c r="AA69" s="364"/>
      <c r="AB69" s="364"/>
      <c r="AC69" s="364"/>
      <c r="AD69" s="364"/>
      <c r="AE69" s="364"/>
      <c r="AF69" s="949" t="s">
        <v>265</v>
      </c>
      <c r="AG69" s="949" t="s">
        <v>234</v>
      </c>
      <c r="AH69" s="949" t="s">
        <v>235</v>
      </c>
      <c r="AI69" s="949"/>
      <c r="AJ69" s="949"/>
      <c r="AK69" s="949"/>
      <c r="AL69" s="949"/>
      <c r="AM69" s="949"/>
      <c r="AN69" s="949"/>
      <c r="AO69" s="982"/>
      <c r="AP69" s="982"/>
    </row>
  </sheetData>
  <pageMargins left="0.7" right="0.7" top="0.75" bottom="0.75" header="0.3" footer="0.3"/>
  <pageSetup orientation="portrait" r:id="rId1"/>
  <ignoredErrors>
    <ignoredError sqref="F16"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D444"/>
  <sheetViews>
    <sheetView topLeftCell="D1" zoomScale="70" zoomScaleNormal="70" workbookViewId="0">
      <selection activeCell="R454" sqref="R454"/>
    </sheetView>
  </sheetViews>
  <sheetFormatPr defaultColWidth="9.109375" defaultRowHeight="13.8" x14ac:dyDescent="0.3"/>
  <cols>
    <col min="1" max="1" width="3.6640625" style="18" customWidth="1"/>
    <col min="2" max="2" width="29.6640625" style="9" bestFit="1" customWidth="1"/>
    <col min="3" max="3" width="27.33203125" style="9" customWidth="1"/>
    <col min="4" max="4" width="8.6640625" style="92" customWidth="1"/>
    <col min="5" max="5" width="2.6640625" style="83" customWidth="1"/>
    <col min="6" max="6" width="31" style="7" customWidth="1"/>
    <col min="7" max="7" width="2.6640625" style="83" customWidth="1"/>
    <col min="8" max="8" width="32.44140625" style="30" customWidth="1"/>
    <col min="9" max="9" width="2.6640625" style="109" customWidth="1"/>
    <col min="10" max="10" width="24.6640625" style="9" customWidth="1"/>
    <col min="11" max="11" width="2.6640625" style="109" customWidth="1"/>
    <col min="12" max="12" width="23.88671875" style="9" customWidth="1"/>
    <col min="13" max="13" width="2.6640625" style="109" customWidth="1"/>
    <col min="14" max="14" width="28" style="9" customWidth="1"/>
    <col min="15" max="15" width="2.6640625" style="109" customWidth="1"/>
    <col min="16" max="16" width="18.6640625" style="9" customWidth="1"/>
    <col min="17" max="17" width="2.6640625" style="109" customWidth="1"/>
    <col min="18" max="18" width="18.6640625" style="9" customWidth="1"/>
    <col min="19" max="19" width="2.6640625" style="16" customWidth="1"/>
    <col min="20" max="20" width="17.33203125" style="16" customWidth="1"/>
    <col min="21" max="21" width="2.6640625" style="16" customWidth="1"/>
    <col min="22" max="22" width="17" style="16" customWidth="1"/>
    <col min="23" max="23" width="2.6640625" style="16" customWidth="1"/>
    <col min="24" max="24" width="16.6640625" style="16" customWidth="1"/>
    <col min="25" max="25" width="2.6640625" style="16" customWidth="1"/>
    <col min="26" max="26" width="26.33203125" style="16" bestFit="1" customWidth="1"/>
    <col min="27" max="27" width="2.6640625" style="16" customWidth="1"/>
    <col min="28" max="28" width="15.109375" style="16" customWidth="1"/>
    <col min="29" max="29" width="2.6640625" style="16" customWidth="1"/>
    <col min="30" max="30" width="23.6640625" style="16" customWidth="1"/>
    <col min="31" max="31" width="2.6640625" style="16" customWidth="1"/>
    <col min="32" max="32" width="17.6640625" style="16" bestFit="1" customWidth="1"/>
    <col min="33" max="33" width="2.6640625" style="16" customWidth="1"/>
    <col min="34" max="34" width="18.109375" style="16" bestFit="1" customWidth="1"/>
    <col min="35" max="35" width="2.6640625" style="16" customWidth="1"/>
    <col min="36" max="36" width="22.44140625" style="16" customWidth="1"/>
    <col min="37" max="37" width="2.6640625" style="16" customWidth="1"/>
    <col min="38" max="38" width="23.6640625" style="16" customWidth="1"/>
    <col min="39" max="16384" width="9.109375" style="16"/>
  </cols>
  <sheetData>
    <row r="1" spans="1:38" x14ac:dyDescent="0.3">
      <c r="A1" s="364"/>
      <c r="B1" s="105"/>
      <c r="C1" s="92"/>
      <c r="F1" s="366"/>
      <c r="I1" s="364"/>
      <c r="J1" s="92"/>
      <c r="K1" s="364"/>
      <c r="L1" s="92"/>
      <c r="M1" s="364"/>
      <c r="N1" s="92"/>
      <c r="O1" s="364"/>
      <c r="P1" s="92"/>
      <c r="Q1" s="364"/>
      <c r="R1" s="92"/>
      <c r="S1" s="69"/>
      <c r="T1" s="69"/>
      <c r="U1" s="69"/>
      <c r="V1" s="69"/>
      <c r="W1" s="69"/>
      <c r="X1" s="69"/>
      <c r="Y1" s="69"/>
      <c r="Z1" s="69"/>
      <c r="AA1" s="69"/>
      <c r="AB1" s="69"/>
      <c r="AC1" s="69"/>
      <c r="AD1" s="69"/>
      <c r="AE1" s="69"/>
      <c r="AF1" s="69"/>
      <c r="AG1" s="69"/>
      <c r="AH1" s="69"/>
      <c r="AI1" s="69"/>
      <c r="AJ1" s="69"/>
      <c r="AK1" s="69"/>
      <c r="AL1" s="69"/>
    </row>
    <row r="2" spans="1:38" x14ac:dyDescent="0.3">
      <c r="A2" s="364"/>
      <c r="B2" s="516" t="s">
        <v>0</v>
      </c>
      <c r="C2" s="516"/>
      <c r="D2" s="516"/>
      <c r="E2" s="520"/>
      <c r="F2" s="516" t="s">
        <v>1</v>
      </c>
      <c r="G2" s="364"/>
      <c r="H2" s="92"/>
      <c r="I2" s="364"/>
      <c r="J2" s="92"/>
      <c r="K2" s="513"/>
      <c r="L2" s="516" t="s">
        <v>109</v>
      </c>
      <c r="M2" s="364"/>
      <c r="N2" s="92"/>
      <c r="O2" s="364"/>
      <c r="P2" s="92"/>
      <c r="Q2" s="364"/>
      <c r="R2" s="92"/>
      <c r="S2" s="69"/>
      <c r="T2" s="69"/>
      <c r="U2" s="69"/>
      <c r="V2" s="69"/>
      <c r="W2" s="69"/>
      <c r="X2" s="69"/>
      <c r="Y2" s="69"/>
      <c r="Z2" s="69"/>
      <c r="AA2" s="69"/>
      <c r="AB2" s="69"/>
      <c r="AC2" s="69"/>
      <c r="AD2" s="69"/>
      <c r="AE2" s="69"/>
      <c r="AF2" s="69"/>
      <c r="AG2" s="69"/>
      <c r="AH2" s="69"/>
      <c r="AI2" s="69"/>
      <c r="AJ2" s="69"/>
      <c r="AK2" s="69"/>
      <c r="AL2" s="69"/>
    </row>
    <row r="3" spans="1:38" x14ac:dyDescent="0.3">
      <c r="A3" s="364"/>
      <c r="B3" s="92" t="s">
        <v>2</v>
      </c>
      <c r="C3" s="71" t="s">
        <v>32</v>
      </c>
      <c r="D3" s="516"/>
      <c r="F3" s="92" t="s">
        <v>3</v>
      </c>
      <c r="G3" s="364"/>
      <c r="H3" s="71" t="str">
        <f>'Documentation Main Sheet'!I2</f>
        <v>r6055</v>
      </c>
      <c r="I3" s="364"/>
      <c r="J3" s="92"/>
      <c r="K3" s="142"/>
      <c r="L3" s="364" t="s">
        <v>318</v>
      </c>
      <c r="M3" s="364"/>
      <c r="N3" s="92"/>
      <c r="O3" s="364"/>
      <c r="P3" s="92"/>
      <c r="Q3" s="364"/>
      <c r="R3" s="92"/>
      <c r="S3" s="69"/>
      <c r="T3" s="69"/>
      <c r="U3" s="69"/>
      <c r="V3" s="69"/>
      <c r="W3" s="69"/>
      <c r="X3" s="69"/>
      <c r="Y3" s="69"/>
      <c r="Z3" s="69"/>
      <c r="AA3" s="69"/>
      <c r="AB3" s="69"/>
      <c r="AC3" s="69"/>
      <c r="AD3" s="69"/>
      <c r="AE3" s="69"/>
      <c r="AF3" s="69"/>
      <c r="AG3" s="69"/>
      <c r="AH3" s="69"/>
      <c r="AI3" s="69"/>
      <c r="AJ3" s="69"/>
      <c r="AK3" s="69"/>
      <c r="AL3" s="69"/>
    </row>
    <row r="4" spans="1:38" ht="12.75" customHeight="1" x14ac:dyDescent="0.3">
      <c r="A4" s="364"/>
      <c r="B4" s="92" t="s">
        <v>6</v>
      </c>
      <c r="C4" s="92" t="str">
        <f>C3&amp;".cibd19"</f>
        <v>070015-HotSml-Run03.cibd19</v>
      </c>
      <c r="D4" s="516"/>
      <c r="F4" s="92" t="s">
        <v>7</v>
      </c>
      <c r="H4" s="366" t="str">
        <f>'Documentation Main Sheet'!I3</f>
        <v>Release package</v>
      </c>
      <c r="I4" s="68"/>
      <c r="J4" s="92"/>
      <c r="K4" s="521"/>
      <c r="L4" s="364" t="s">
        <v>110</v>
      </c>
      <c r="M4" s="68"/>
      <c r="N4" s="92"/>
      <c r="O4" s="68"/>
      <c r="P4" s="92"/>
      <c r="Q4" s="68"/>
      <c r="R4" s="92"/>
      <c r="S4" s="69"/>
      <c r="T4" s="69"/>
      <c r="U4" s="69"/>
      <c r="V4" s="69"/>
      <c r="W4" s="69"/>
      <c r="X4" s="69"/>
      <c r="Y4" s="69"/>
      <c r="Z4" s="69"/>
      <c r="AA4" s="69"/>
      <c r="AB4" s="69"/>
      <c r="AC4" s="69"/>
      <c r="AD4" s="69"/>
      <c r="AE4" s="69"/>
      <c r="AF4" s="69"/>
      <c r="AG4" s="69"/>
      <c r="AH4" s="69"/>
      <c r="AI4" s="69"/>
      <c r="AJ4" s="69"/>
      <c r="AK4" s="69"/>
      <c r="AL4" s="69"/>
    </row>
    <row r="5" spans="1:38" x14ac:dyDescent="0.3">
      <c r="A5" s="364"/>
      <c r="B5" s="92" t="s">
        <v>9</v>
      </c>
      <c r="C5" s="92" t="s">
        <v>266</v>
      </c>
      <c r="F5" s="92" t="s">
        <v>10</v>
      </c>
      <c r="H5" s="366" t="str">
        <f>'Documentation Main Sheet'!I4</f>
        <v>CBECC-Com 2019.1.2 Release</v>
      </c>
      <c r="I5" s="68"/>
      <c r="J5" s="92"/>
      <c r="K5" s="523">
        <v>1</v>
      </c>
      <c r="L5" s="373" t="s">
        <v>111</v>
      </c>
      <c r="M5" s="68"/>
      <c r="N5" s="92"/>
      <c r="O5" s="68"/>
      <c r="P5" s="92"/>
      <c r="Q5" s="68"/>
      <c r="R5" s="92"/>
      <c r="S5" s="69"/>
      <c r="T5" s="69"/>
      <c r="U5" s="69"/>
      <c r="V5" s="69"/>
      <c r="W5" s="69"/>
      <c r="X5" s="69"/>
      <c r="Y5" s="69"/>
      <c r="Z5" s="69"/>
      <c r="AA5" s="69"/>
      <c r="AB5" s="69"/>
      <c r="AC5" s="69"/>
      <c r="AD5" s="69"/>
      <c r="AE5" s="69"/>
      <c r="AF5" s="69"/>
      <c r="AG5" s="69"/>
      <c r="AH5" s="69"/>
      <c r="AI5" s="69"/>
      <c r="AJ5" s="69"/>
      <c r="AK5" s="69"/>
      <c r="AL5" s="69"/>
    </row>
    <row r="6" spans="1:38" x14ac:dyDescent="0.3">
      <c r="A6" s="364"/>
      <c r="B6" s="364" t="s">
        <v>17</v>
      </c>
      <c r="C6" s="92" t="s">
        <v>31</v>
      </c>
      <c r="F6" s="92" t="s">
        <v>12</v>
      </c>
      <c r="H6" s="387">
        <f>'Documentation Main Sheet'!I5</f>
        <v>43754</v>
      </c>
      <c r="I6" s="364"/>
      <c r="J6" s="92"/>
      <c r="K6" s="526">
        <v>1</v>
      </c>
      <c r="L6" s="376" t="s">
        <v>113</v>
      </c>
      <c r="M6" s="364"/>
      <c r="N6" s="92"/>
      <c r="O6" s="364"/>
      <c r="P6" s="92"/>
      <c r="Q6" s="364"/>
      <c r="R6" s="92"/>
      <c r="S6" s="69"/>
      <c r="T6" s="69"/>
      <c r="U6" s="69"/>
      <c r="V6" s="69"/>
      <c r="W6" s="69"/>
      <c r="X6" s="69"/>
      <c r="Y6" s="69"/>
      <c r="Z6" s="69"/>
      <c r="AA6" s="69"/>
      <c r="AB6" s="69"/>
      <c r="AC6" s="69"/>
      <c r="AD6" s="69"/>
      <c r="AE6" s="69"/>
      <c r="AF6" s="69"/>
      <c r="AG6" s="69"/>
      <c r="AH6" s="69"/>
      <c r="AI6" s="69"/>
      <c r="AJ6" s="69"/>
      <c r="AK6" s="69"/>
      <c r="AL6" s="69"/>
    </row>
    <row r="7" spans="1:38" x14ac:dyDescent="0.3">
      <c r="A7" s="364"/>
      <c r="B7" s="364" t="s">
        <v>20</v>
      </c>
      <c r="C7" s="92" t="s">
        <v>28</v>
      </c>
      <c r="F7" s="92" t="s">
        <v>13</v>
      </c>
      <c r="H7" s="366" t="str">
        <f>'Documentation Main Sheet'!I6</f>
        <v>Jireh Peng</v>
      </c>
      <c r="I7" s="364"/>
      <c r="J7" s="92"/>
      <c r="K7" s="527">
        <v>1</v>
      </c>
      <c r="L7" s="373" t="s">
        <v>114</v>
      </c>
      <c r="M7" s="364"/>
      <c r="N7" s="92"/>
      <c r="O7" s="364"/>
      <c r="P7" s="92"/>
      <c r="Q7" s="364"/>
      <c r="R7" s="92"/>
      <c r="S7" s="69"/>
      <c r="T7" s="69"/>
      <c r="U7" s="69"/>
      <c r="V7" s="69"/>
      <c r="W7" s="69"/>
      <c r="X7" s="69"/>
      <c r="Y7" s="69"/>
      <c r="Z7" s="69"/>
      <c r="AA7" s="69"/>
      <c r="AB7" s="69"/>
      <c r="AC7" s="69"/>
      <c r="AD7" s="69"/>
      <c r="AE7" s="69"/>
      <c r="AF7" s="69"/>
      <c r="AG7" s="69"/>
      <c r="AH7" s="69"/>
      <c r="AI7" s="69"/>
      <c r="AJ7" s="69"/>
      <c r="AK7" s="69"/>
      <c r="AL7" s="69"/>
    </row>
    <row r="8" spans="1:38" x14ac:dyDescent="0.3">
      <c r="A8" s="364"/>
      <c r="B8" s="364" t="s">
        <v>19</v>
      </c>
      <c r="C8" s="92" t="s">
        <v>27</v>
      </c>
      <c r="F8" s="364"/>
      <c r="G8" s="364"/>
      <c r="H8" s="364"/>
      <c r="I8" s="364"/>
      <c r="J8" s="92"/>
      <c r="K8" s="702">
        <v>1</v>
      </c>
      <c r="L8" s="364" t="s">
        <v>115</v>
      </c>
      <c r="M8" s="364"/>
      <c r="N8" s="92"/>
      <c r="O8" s="364"/>
      <c r="P8" s="92"/>
      <c r="Q8" s="364"/>
      <c r="R8" s="92"/>
      <c r="S8" s="69"/>
      <c r="T8" s="69"/>
      <c r="U8" s="69"/>
      <c r="V8" s="69"/>
      <c r="W8" s="69"/>
      <c r="X8" s="69"/>
      <c r="Y8" s="69"/>
      <c r="Z8" s="69"/>
      <c r="AA8" s="69"/>
      <c r="AB8" s="69"/>
      <c r="AC8" s="69"/>
      <c r="AD8" s="69"/>
      <c r="AE8" s="69"/>
      <c r="AF8" s="69"/>
      <c r="AG8" s="69"/>
      <c r="AH8" s="69"/>
      <c r="AI8" s="69"/>
      <c r="AJ8" s="69"/>
      <c r="AK8" s="69"/>
      <c r="AL8" s="69"/>
    </row>
    <row r="9" spans="1:38" x14ac:dyDescent="0.3">
      <c r="A9" s="364"/>
      <c r="B9" s="92"/>
      <c r="C9" s="90"/>
      <c r="D9" s="90"/>
      <c r="E9" s="89"/>
      <c r="F9" s="92"/>
      <c r="H9" s="92"/>
      <c r="I9" s="364"/>
      <c r="J9" s="92"/>
      <c r="K9" s="364"/>
      <c r="L9" s="364"/>
      <c r="M9" s="364"/>
      <c r="N9" s="92"/>
      <c r="O9" s="364"/>
      <c r="P9" s="92"/>
      <c r="Q9" s="364"/>
      <c r="R9" s="92"/>
      <c r="S9" s="69"/>
      <c r="T9" s="69"/>
      <c r="U9" s="69"/>
      <c r="V9" s="69"/>
      <c r="W9" s="69"/>
      <c r="X9" s="69"/>
      <c r="Y9" s="69"/>
      <c r="Z9" s="69"/>
      <c r="AA9" s="69"/>
      <c r="AB9" s="69"/>
      <c r="AC9" s="69"/>
      <c r="AD9" s="69"/>
      <c r="AE9" s="69"/>
      <c r="AF9" s="69"/>
      <c r="AG9" s="69"/>
      <c r="AH9" s="69"/>
      <c r="AI9" s="69"/>
      <c r="AJ9" s="69"/>
      <c r="AK9" s="69"/>
      <c r="AL9" s="69"/>
    </row>
    <row r="10" spans="1:38" s="13" customFormat="1" x14ac:dyDescent="0.3">
      <c r="A10" s="281"/>
      <c r="B10" s="302" t="s">
        <v>134</v>
      </c>
      <c r="C10" s="283"/>
      <c r="D10" s="283"/>
      <c r="E10" s="281"/>
      <c r="F10" s="284"/>
      <c r="G10" s="281"/>
      <c r="H10" s="283"/>
      <c r="I10" s="281"/>
      <c r="J10" s="283"/>
      <c r="K10" s="281"/>
      <c r="L10" s="283"/>
      <c r="M10" s="281"/>
      <c r="N10" s="283"/>
      <c r="O10" s="281"/>
      <c r="P10" s="283"/>
      <c r="Q10" s="281"/>
      <c r="R10" s="283"/>
      <c r="S10" s="283"/>
      <c r="T10" s="283"/>
      <c r="U10" s="283"/>
      <c r="V10" s="283"/>
      <c r="W10" s="283"/>
      <c r="X10" s="283"/>
      <c r="Y10" s="283"/>
      <c r="Z10" s="283"/>
      <c r="AA10" s="283"/>
      <c r="AB10" s="283"/>
      <c r="AC10" s="283"/>
      <c r="AD10" s="283"/>
      <c r="AE10" s="283"/>
      <c r="AF10" s="283"/>
      <c r="AG10" s="283"/>
      <c r="AH10" s="283"/>
      <c r="AI10" s="283"/>
      <c r="AJ10" s="283"/>
      <c r="AK10" s="283"/>
      <c r="AL10" s="283"/>
    </row>
    <row r="11" spans="1:38" s="13" customFormat="1" x14ac:dyDescent="0.3">
      <c r="A11" s="27"/>
      <c r="B11" s="45" t="s">
        <v>145</v>
      </c>
      <c r="C11" s="96"/>
      <c r="D11" s="96"/>
      <c r="E11" s="91"/>
      <c r="F11" s="84"/>
      <c r="G11" s="91"/>
      <c r="H11" s="84"/>
      <c r="I11" s="91"/>
      <c r="J11" s="38"/>
      <c r="K11" s="91"/>
      <c r="L11" s="38"/>
      <c r="M11" s="91"/>
      <c r="N11" s="38"/>
      <c r="O11" s="91"/>
      <c r="P11" s="38"/>
      <c r="Q11" s="91"/>
      <c r="R11" s="38"/>
      <c r="S11" s="69"/>
      <c r="T11" s="93"/>
      <c r="U11" s="93"/>
      <c r="V11" s="93"/>
      <c r="W11" s="93"/>
      <c r="X11" s="93"/>
      <c r="Y11" s="93"/>
      <c r="Z11" s="93"/>
      <c r="AA11" s="93"/>
      <c r="AB11" s="93"/>
      <c r="AC11" s="93"/>
      <c r="AD11" s="93"/>
      <c r="AE11" s="93"/>
      <c r="AF11" s="93"/>
      <c r="AG11" s="93"/>
      <c r="AH11" s="93"/>
      <c r="AI11" s="93"/>
      <c r="AJ11" s="93"/>
      <c r="AK11" s="93"/>
      <c r="AL11" s="93"/>
    </row>
    <row r="12" spans="1:38" s="13" customFormat="1" x14ac:dyDescent="0.3">
      <c r="A12" s="93"/>
      <c r="B12" s="84" t="s">
        <v>146</v>
      </c>
      <c r="C12" s="96"/>
      <c r="D12" s="96"/>
      <c r="E12" s="91"/>
      <c r="F12" s="84"/>
      <c r="G12" s="91"/>
      <c r="H12" s="84"/>
      <c r="I12" s="91"/>
      <c r="J12" s="38"/>
      <c r="K12" s="91"/>
      <c r="L12" s="30"/>
      <c r="M12" s="70"/>
      <c r="N12" s="30"/>
      <c r="O12" s="70"/>
      <c r="P12" s="30"/>
      <c r="Q12" s="70"/>
      <c r="R12" s="30"/>
      <c r="S12" s="69"/>
      <c r="T12" s="93"/>
      <c r="U12" s="93"/>
      <c r="V12" s="93"/>
      <c r="W12" s="93"/>
      <c r="X12" s="93"/>
      <c r="Y12" s="93"/>
      <c r="Z12" s="93"/>
      <c r="AA12" s="93"/>
      <c r="AB12" s="93"/>
      <c r="AC12" s="93"/>
      <c r="AD12" s="93"/>
      <c r="AE12" s="93"/>
      <c r="AF12" s="93"/>
      <c r="AG12" s="93"/>
      <c r="AH12" s="93"/>
      <c r="AI12" s="93"/>
      <c r="AJ12" s="93"/>
      <c r="AK12" s="93"/>
      <c r="AL12" s="93"/>
    </row>
    <row r="13" spans="1:38" s="41" customFormat="1" ht="55.2" x14ac:dyDescent="0.3">
      <c r="A13" s="91"/>
      <c r="B13" s="138" t="s">
        <v>148</v>
      </c>
      <c r="C13" s="120" t="s">
        <v>149</v>
      </c>
      <c r="D13" s="120"/>
      <c r="E13" s="138"/>
      <c r="F13" s="148" t="s">
        <v>128</v>
      </c>
      <c r="G13" s="119"/>
      <c r="H13" s="120" t="s">
        <v>150</v>
      </c>
      <c r="I13" s="138"/>
      <c r="J13" s="148" t="s">
        <v>151</v>
      </c>
      <c r="K13" s="122"/>
      <c r="L13" s="120" t="s">
        <v>152</v>
      </c>
      <c r="M13" s="144"/>
      <c r="N13" s="148" t="s">
        <v>153</v>
      </c>
      <c r="O13" s="122"/>
      <c r="P13" s="123" t="s">
        <v>154</v>
      </c>
      <c r="Q13" s="144"/>
      <c r="R13" s="116" t="s">
        <v>155</v>
      </c>
    </row>
    <row r="14" spans="1:38" s="82" customFormat="1" ht="28.2" thickBot="1" x14ac:dyDescent="0.35">
      <c r="A14" s="83"/>
      <c r="B14" s="132"/>
      <c r="C14" s="124" t="s">
        <v>159</v>
      </c>
      <c r="D14" s="124"/>
      <c r="E14" s="139"/>
      <c r="F14" s="149" t="s">
        <v>160</v>
      </c>
      <c r="G14" s="126"/>
      <c r="H14" s="124" t="s">
        <v>161</v>
      </c>
      <c r="I14" s="145"/>
      <c r="J14" s="149" t="s">
        <v>162</v>
      </c>
      <c r="K14" s="125"/>
      <c r="L14" s="124" t="s">
        <v>163</v>
      </c>
      <c r="M14" s="145"/>
      <c r="N14" s="149" t="s">
        <v>164</v>
      </c>
      <c r="O14" s="125"/>
      <c r="P14" s="124" t="s">
        <v>165</v>
      </c>
      <c r="Q14" s="132"/>
      <c r="R14" s="149" t="s">
        <v>166</v>
      </c>
      <c r="S14" s="83"/>
    </row>
    <row r="15" spans="1:38" ht="14.4" thickTop="1" x14ac:dyDescent="0.3">
      <c r="A15" s="364"/>
      <c r="B15" s="130" t="s">
        <v>132</v>
      </c>
      <c r="C15" s="92" t="s">
        <v>143</v>
      </c>
      <c r="E15" s="345" t="s">
        <v>300</v>
      </c>
      <c r="F15" s="362" t="s">
        <v>319</v>
      </c>
      <c r="G15" s="181" t="s">
        <v>300</v>
      </c>
      <c r="H15" s="363" t="s">
        <v>144</v>
      </c>
      <c r="I15" s="142" t="s">
        <v>300</v>
      </c>
      <c r="J15" s="150">
        <v>5.5E-2</v>
      </c>
      <c r="K15" s="181" t="s">
        <v>300</v>
      </c>
      <c r="L15" s="20">
        <v>0.7</v>
      </c>
      <c r="M15" s="142" t="s">
        <v>300</v>
      </c>
      <c r="N15" s="298">
        <v>0.7</v>
      </c>
      <c r="O15" s="181" t="s">
        <v>300</v>
      </c>
      <c r="P15" s="20">
        <v>0.6</v>
      </c>
      <c r="Q15" s="142" t="s">
        <v>300</v>
      </c>
      <c r="R15" s="298">
        <v>0.4</v>
      </c>
      <c r="S15" s="69"/>
      <c r="T15" s="69"/>
      <c r="U15" s="69"/>
      <c r="V15" s="69"/>
      <c r="W15" s="69"/>
      <c r="X15" s="69"/>
      <c r="Y15" s="69"/>
      <c r="Z15" s="69"/>
      <c r="AA15" s="69"/>
      <c r="AB15" s="69"/>
      <c r="AC15" s="69"/>
      <c r="AD15" s="69"/>
      <c r="AE15" s="69"/>
      <c r="AF15" s="69"/>
      <c r="AG15" s="69"/>
      <c r="AH15" s="69"/>
      <c r="AI15" s="69"/>
      <c r="AJ15" s="69"/>
      <c r="AK15" s="69"/>
      <c r="AL15" s="69"/>
    </row>
    <row r="16" spans="1:38" x14ac:dyDescent="0.3">
      <c r="A16" s="364"/>
      <c r="B16" s="130" t="s">
        <v>147</v>
      </c>
      <c r="C16" s="92" t="s">
        <v>320</v>
      </c>
      <c r="E16" s="403"/>
      <c r="F16" s="447" t="s">
        <v>173</v>
      </c>
      <c r="G16" s="181" t="s">
        <v>300</v>
      </c>
      <c r="H16" s="92" t="s">
        <v>248</v>
      </c>
      <c r="I16" s="142" t="s">
        <v>300</v>
      </c>
      <c r="J16" s="152">
        <v>8.2000000000000003E-2</v>
      </c>
      <c r="K16" s="415" t="s">
        <v>173</v>
      </c>
      <c r="L16" s="449" t="s">
        <v>173</v>
      </c>
      <c r="M16" s="403" t="s">
        <v>173</v>
      </c>
      <c r="N16" s="447" t="s">
        <v>173</v>
      </c>
      <c r="O16" s="415" t="s">
        <v>173</v>
      </c>
      <c r="P16" s="449" t="s">
        <v>173</v>
      </c>
      <c r="Q16" s="403" t="s">
        <v>173</v>
      </c>
      <c r="R16" s="447" t="s">
        <v>173</v>
      </c>
      <c r="S16" s="69"/>
      <c r="T16" s="69"/>
      <c r="U16" s="69"/>
      <c r="V16" s="69"/>
      <c r="W16" s="69"/>
      <c r="X16" s="69"/>
      <c r="Y16" s="69"/>
      <c r="Z16" s="69"/>
      <c r="AA16" s="69"/>
      <c r="AB16" s="69"/>
      <c r="AC16" s="69"/>
      <c r="AD16" s="69"/>
      <c r="AE16" s="69"/>
      <c r="AF16" s="69"/>
      <c r="AG16" s="69"/>
      <c r="AH16" s="69"/>
      <c r="AI16" s="69"/>
      <c r="AJ16" s="69"/>
      <c r="AK16" s="69"/>
      <c r="AL16" s="69"/>
    </row>
    <row r="17" spans="1:19" x14ac:dyDescent="0.3">
      <c r="A17" s="364"/>
      <c r="B17" s="278" t="s">
        <v>175</v>
      </c>
      <c r="C17" s="156" t="s">
        <v>321</v>
      </c>
      <c r="D17" s="156"/>
      <c r="E17" s="405"/>
      <c r="F17" s="448" t="s">
        <v>173</v>
      </c>
      <c r="G17" s="174" t="s">
        <v>300</v>
      </c>
      <c r="H17" s="156" t="s">
        <v>177</v>
      </c>
      <c r="I17" s="160" t="s">
        <v>300</v>
      </c>
      <c r="J17" s="162">
        <v>5.8000000000000003E-2</v>
      </c>
      <c r="K17" s="419" t="s">
        <v>173</v>
      </c>
      <c r="L17" s="450" t="s">
        <v>173</v>
      </c>
      <c r="M17" s="405" t="s">
        <v>173</v>
      </c>
      <c r="N17" s="448" t="s">
        <v>173</v>
      </c>
      <c r="O17" s="419" t="s">
        <v>173</v>
      </c>
      <c r="P17" s="450" t="s">
        <v>173</v>
      </c>
      <c r="Q17" s="405" t="s">
        <v>173</v>
      </c>
      <c r="R17" s="448" t="s">
        <v>173</v>
      </c>
      <c r="S17" s="69"/>
    </row>
    <row r="18" spans="1:19" x14ac:dyDescent="0.3">
      <c r="A18" s="364"/>
      <c r="B18" s="366"/>
      <c r="C18" s="92"/>
      <c r="E18" s="364"/>
      <c r="F18" s="92"/>
      <c r="G18" s="364"/>
      <c r="H18" s="366"/>
      <c r="I18" s="364"/>
      <c r="J18" s="34"/>
      <c r="K18" s="364"/>
      <c r="L18" s="34"/>
      <c r="M18" s="364"/>
      <c r="N18" s="34"/>
      <c r="O18" s="364"/>
      <c r="P18" s="34"/>
      <c r="Q18" s="364"/>
      <c r="R18" s="34"/>
      <c r="S18" s="69"/>
    </row>
    <row r="19" spans="1:19" s="69" customFormat="1" x14ac:dyDescent="0.3">
      <c r="A19" s="364"/>
      <c r="B19" s="84" t="s">
        <v>184</v>
      </c>
      <c r="C19" s="92"/>
      <c r="D19" s="92"/>
      <c r="E19" s="364"/>
      <c r="F19" s="92"/>
      <c r="G19" s="364"/>
      <c r="H19" s="366"/>
      <c r="I19" s="364"/>
      <c r="J19" s="34"/>
      <c r="K19" s="364"/>
      <c r="L19" s="34"/>
      <c r="M19" s="364"/>
      <c r="N19" s="34"/>
      <c r="O19" s="364"/>
      <c r="P19" s="34"/>
      <c r="Q19" s="364"/>
      <c r="R19" s="34"/>
    </row>
    <row r="20" spans="1:19" s="41" customFormat="1" ht="27.6" x14ac:dyDescent="0.3">
      <c r="A20" s="91"/>
      <c r="B20" s="138" t="s">
        <v>148</v>
      </c>
      <c r="C20" s="120" t="s">
        <v>149</v>
      </c>
      <c r="D20" s="120"/>
      <c r="E20" s="138"/>
      <c r="F20" s="148" t="s">
        <v>150</v>
      </c>
      <c r="G20" s="119"/>
      <c r="H20" s="120" t="s">
        <v>151</v>
      </c>
      <c r="I20" s="138"/>
      <c r="J20" s="148" t="s">
        <v>185</v>
      </c>
      <c r="K20" s="119"/>
      <c r="L20" s="148" t="s">
        <v>186</v>
      </c>
      <c r="M20" s="91"/>
      <c r="N20" s="38"/>
      <c r="O20" s="91"/>
      <c r="P20" s="38"/>
      <c r="Q20" s="91"/>
      <c r="R20" s="38"/>
    </row>
    <row r="21" spans="1:19" s="82" customFormat="1" ht="14.4" thickBot="1" x14ac:dyDescent="0.35">
      <c r="A21" s="83"/>
      <c r="B21" s="132"/>
      <c r="C21" s="124" t="s">
        <v>188</v>
      </c>
      <c r="D21" s="124"/>
      <c r="E21" s="139"/>
      <c r="F21" s="149" t="s">
        <v>189</v>
      </c>
      <c r="G21" s="126"/>
      <c r="H21" s="124" t="s">
        <v>190</v>
      </c>
      <c r="I21" s="145"/>
      <c r="J21" s="149" t="s">
        <v>191</v>
      </c>
      <c r="K21" s="125"/>
      <c r="L21" s="149" t="s">
        <v>192</v>
      </c>
      <c r="M21" s="83"/>
      <c r="N21" s="30"/>
      <c r="O21" s="83"/>
      <c r="P21" s="30"/>
      <c r="Q21" s="30"/>
      <c r="R21" s="30"/>
      <c r="S21" s="83"/>
    </row>
    <row r="22" spans="1:19" ht="14.4" thickTop="1" x14ac:dyDescent="0.3">
      <c r="A22" s="364"/>
      <c r="B22" s="136"/>
      <c r="C22" s="92" t="s">
        <v>322</v>
      </c>
      <c r="E22" s="142" t="s">
        <v>300</v>
      </c>
      <c r="F22" s="152" t="s">
        <v>199</v>
      </c>
      <c r="G22" s="181" t="s">
        <v>300</v>
      </c>
      <c r="H22" s="366">
        <v>0.25</v>
      </c>
      <c r="I22" s="142" t="s">
        <v>300</v>
      </c>
      <c r="J22" s="299">
        <v>0.2</v>
      </c>
      <c r="K22" s="181" t="s">
        <v>300</v>
      </c>
      <c r="L22" s="299">
        <v>0.47</v>
      </c>
      <c r="M22" s="373"/>
      <c r="N22" s="28"/>
      <c r="O22" s="373"/>
      <c r="P22" s="28"/>
      <c r="Q22" s="373"/>
      <c r="R22" s="28"/>
      <c r="S22" s="69"/>
    </row>
    <row r="23" spans="1:19" x14ac:dyDescent="0.3">
      <c r="A23" s="364"/>
      <c r="B23" s="300"/>
      <c r="C23" s="156" t="s">
        <v>323</v>
      </c>
      <c r="D23" s="156"/>
      <c r="E23" s="160" t="s">
        <v>300</v>
      </c>
      <c r="F23" s="162" t="s">
        <v>324</v>
      </c>
      <c r="G23" s="174" t="s">
        <v>300</v>
      </c>
      <c r="H23" s="167">
        <v>0.42</v>
      </c>
      <c r="I23" s="160" t="s">
        <v>300</v>
      </c>
      <c r="J23" s="301">
        <v>0.18</v>
      </c>
      <c r="K23" s="174" t="s">
        <v>300</v>
      </c>
      <c r="L23" s="301">
        <v>0.35</v>
      </c>
      <c r="M23" s="373"/>
      <c r="N23" s="28"/>
      <c r="O23" s="373"/>
      <c r="P23" s="28"/>
      <c r="Q23" s="373"/>
      <c r="R23" s="28"/>
      <c r="S23" s="69"/>
    </row>
    <row r="24" spans="1:19" x14ac:dyDescent="0.3">
      <c r="A24" s="364"/>
      <c r="B24" s="92"/>
      <c r="C24" s="366"/>
      <c r="D24" s="366"/>
      <c r="E24" s="364"/>
      <c r="F24" s="366"/>
      <c r="G24" s="364"/>
      <c r="H24" s="92"/>
      <c r="I24" s="364"/>
      <c r="J24" s="32"/>
      <c r="K24" s="364"/>
      <c r="L24" s="32"/>
      <c r="M24" s="364"/>
      <c r="N24" s="32"/>
      <c r="O24" s="364"/>
      <c r="P24" s="32"/>
      <c r="Q24" s="373"/>
      <c r="R24" s="32"/>
      <c r="S24" s="69"/>
    </row>
    <row r="25" spans="1:19" s="69" customFormat="1" x14ac:dyDescent="0.3">
      <c r="A25" s="364"/>
      <c r="B25" s="92"/>
      <c r="C25" s="366"/>
      <c r="D25" s="366"/>
      <c r="E25" s="364"/>
      <c r="F25" s="366"/>
      <c r="G25" s="364"/>
      <c r="H25" s="92"/>
      <c r="I25" s="364"/>
      <c r="J25" s="32"/>
      <c r="K25" s="364"/>
      <c r="L25" s="32"/>
      <c r="M25" s="364"/>
      <c r="N25" s="32"/>
      <c r="O25" s="364"/>
      <c r="P25" s="32"/>
      <c r="Q25" s="373"/>
      <c r="R25" s="32"/>
    </row>
    <row r="26" spans="1:19" x14ac:dyDescent="0.3">
      <c r="A26" s="27"/>
      <c r="B26" s="45" t="s">
        <v>204</v>
      </c>
      <c r="C26" s="39"/>
      <c r="D26" s="39"/>
      <c r="E26" s="41"/>
      <c r="F26" s="39"/>
      <c r="G26" s="41"/>
      <c r="H26" s="39"/>
      <c r="I26" s="41"/>
      <c r="J26" s="39"/>
      <c r="K26" s="41"/>
      <c r="L26" s="39"/>
      <c r="M26" s="41"/>
      <c r="N26" s="39"/>
      <c r="O26" s="41"/>
      <c r="P26" s="39"/>
      <c r="Q26" s="373"/>
      <c r="R26" s="39"/>
      <c r="S26" s="69"/>
    </row>
    <row r="27" spans="1:19" x14ac:dyDescent="0.3">
      <c r="A27" s="364"/>
      <c r="B27" s="84" t="s">
        <v>146</v>
      </c>
      <c r="C27" s="92"/>
      <c r="F27" s="366"/>
      <c r="I27" s="364"/>
      <c r="J27" s="92"/>
      <c r="K27" s="364"/>
      <c r="L27" s="92"/>
      <c r="M27" s="364"/>
      <c r="N27" s="92"/>
      <c r="O27" s="364"/>
      <c r="P27" s="92"/>
      <c r="Q27" s="373"/>
      <c r="R27" s="92"/>
      <c r="S27" s="69"/>
    </row>
    <row r="28" spans="1:19" s="14" customFormat="1" x14ac:dyDescent="0.3">
      <c r="A28" s="90"/>
      <c r="B28" s="304" t="s">
        <v>148</v>
      </c>
      <c r="C28" s="123" t="s">
        <v>149</v>
      </c>
      <c r="D28" s="119" t="s">
        <v>122</v>
      </c>
      <c r="E28" s="305"/>
      <c r="F28" s="280" t="s">
        <v>214</v>
      </c>
      <c r="G28" s="303"/>
      <c r="H28" s="269" t="s">
        <v>215</v>
      </c>
      <c r="I28" s="219"/>
      <c r="J28" s="280" t="s">
        <v>216</v>
      </c>
      <c r="K28" s="216"/>
      <c r="L28" s="269" t="s">
        <v>217</v>
      </c>
      <c r="M28" s="219"/>
      <c r="N28" s="280" t="s">
        <v>218</v>
      </c>
      <c r="O28" s="216"/>
      <c r="P28" s="280" t="s">
        <v>219</v>
      </c>
      <c r="Q28" s="373"/>
      <c r="R28" s="35"/>
    </row>
    <row r="29" spans="1:19" ht="14.4" thickBot="1" x14ac:dyDescent="0.35">
      <c r="A29" s="364"/>
      <c r="B29" s="297"/>
      <c r="C29" s="124" t="s">
        <v>159</v>
      </c>
      <c r="D29" s="124"/>
      <c r="E29" s="145"/>
      <c r="F29" s="473" t="s">
        <v>226</v>
      </c>
      <c r="G29" s="126"/>
      <c r="H29" s="473" t="s">
        <v>226</v>
      </c>
      <c r="I29" s="145"/>
      <c r="J29" s="473" t="s">
        <v>226</v>
      </c>
      <c r="K29" s="125"/>
      <c r="L29" s="473" t="s">
        <v>226</v>
      </c>
      <c r="M29" s="145"/>
      <c r="N29" s="473" t="s">
        <v>226</v>
      </c>
      <c r="O29" s="125"/>
      <c r="P29" s="473" t="s">
        <v>226</v>
      </c>
      <c r="Q29" s="373"/>
      <c r="R29" s="72"/>
      <c r="S29" s="69"/>
    </row>
    <row r="30" spans="1:19" ht="28.2" thickTop="1" x14ac:dyDescent="0.3">
      <c r="A30" s="364"/>
      <c r="B30" s="130" t="s">
        <v>132</v>
      </c>
      <c r="C30" s="92" t="s">
        <v>143</v>
      </c>
      <c r="D30" s="373" t="s">
        <v>137</v>
      </c>
      <c r="E30" s="140" t="s">
        <v>300</v>
      </c>
      <c r="F30" s="152" t="s">
        <v>261</v>
      </c>
      <c r="G30" s="147" t="s">
        <v>300</v>
      </c>
      <c r="H30" s="92" t="s">
        <v>297</v>
      </c>
      <c r="I30" s="140" t="s">
        <v>300</v>
      </c>
      <c r="J30" s="152" t="s">
        <v>225</v>
      </c>
      <c r="K30" s="415" t="s">
        <v>173</v>
      </c>
      <c r="L30" s="449" t="s">
        <v>173</v>
      </c>
      <c r="M30" s="403" t="s">
        <v>173</v>
      </c>
      <c r="N30" s="447" t="s">
        <v>173</v>
      </c>
      <c r="O30" s="415" t="s">
        <v>173</v>
      </c>
      <c r="P30" s="447" t="s">
        <v>173</v>
      </c>
      <c r="Q30" s="364"/>
      <c r="R30" s="92"/>
      <c r="S30" s="69"/>
    </row>
    <row r="31" spans="1:19" s="43" customFormat="1" ht="27.6" x14ac:dyDescent="0.3">
      <c r="A31" s="92"/>
      <c r="B31" s="130" t="s">
        <v>147</v>
      </c>
      <c r="C31" s="366" t="s">
        <v>320</v>
      </c>
      <c r="D31" s="373" t="s">
        <v>137</v>
      </c>
      <c r="E31" s="142" t="s">
        <v>300</v>
      </c>
      <c r="F31" s="152" t="s">
        <v>222</v>
      </c>
      <c r="G31" s="181" t="s">
        <v>300</v>
      </c>
      <c r="H31" s="92" t="s">
        <v>325</v>
      </c>
      <c r="I31" s="142" t="s">
        <v>300</v>
      </c>
      <c r="J31" s="152" t="s">
        <v>259</v>
      </c>
      <c r="K31" s="181" t="s">
        <v>300</v>
      </c>
      <c r="L31" s="92" t="s">
        <v>326</v>
      </c>
      <c r="M31" s="403" t="s">
        <v>173</v>
      </c>
      <c r="N31" s="447" t="s">
        <v>173</v>
      </c>
      <c r="O31" s="415" t="s">
        <v>173</v>
      </c>
      <c r="P31" s="447" t="s">
        <v>173</v>
      </c>
      <c r="Q31" s="92"/>
      <c r="R31" s="92"/>
    </row>
    <row r="32" spans="1:19" ht="27.6" x14ac:dyDescent="0.3">
      <c r="A32" s="364"/>
      <c r="B32" s="278" t="s">
        <v>175</v>
      </c>
      <c r="C32" s="167" t="s">
        <v>321</v>
      </c>
      <c r="D32" s="204" t="s">
        <v>137</v>
      </c>
      <c r="E32" s="410" t="s">
        <v>300</v>
      </c>
      <c r="F32" s="198" t="s">
        <v>240</v>
      </c>
      <c r="G32" s="174" t="s">
        <v>300</v>
      </c>
      <c r="H32" s="156" t="s">
        <v>239</v>
      </c>
      <c r="I32" s="160" t="s">
        <v>300</v>
      </c>
      <c r="J32" s="172" t="s">
        <v>327</v>
      </c>
      <c r="K32" s="174" t="s">
        <v>300</v>
      </c>
      <c r="L32" s="167" t="s">
        <v>328</v>
      </c>
      <c r="M32" s="160" t="s">
        <v>300</v>
      </c>
      <c r="N32" s="172" t="s">
        <v>242</v>
      </c>
      <c r="O32" s="419" t="s">
        <v>173</v>
      </c>
      <c r="P32" s="448" t="s">
        <v>173</v>
      </c>
      <c r="Q32" s="364"/>
      <c r="R32" s="366"/>
      <c r="S32" s="69"/>
    </row>
    <row r="33" spans="1:26" s="69" customFormat="1" x14ac:dyDescent="0.3">
      <c r="A33" s="364"/>
      <c r="B33" s="366"/>
      <c r="C33" s="92"/>
      <c r="D33" s="92"/>
      <c r="E33" s="83"/>
      <c r="F33" s="92"/>
      <c r="G33" s="83"/>
      <c r="H33" s="72"/>
      <c r="I33" s="364"/>
      <c r="J33" s="72"/>
      <c r="K33" s="364"/>
      <c r="L33" s="72"/>
      <c r="M33" s="364"/>
      <c r="N33" s="72"/>
      <c r="O33" s="364"/>
      <c r="P33" s="72"/>
      <c r="Q33" s="364"/>
      <c r="R33" s="72"/>
    </row>
    <row r="34" spans="1:26" s="69" customFormat="1" x14ac:dyDescent="0.3">
      <c r="A34" s="364"/>
      <c r="B34" s="366"/>
      <c r="C34" s="92"/>
      <c r="D34" s="92"/>
      <c r="E34" s="83"/>
      <c r="F34" s="92"/>
      <c r="G34" s="83"/>
      <c r="H34" s="72"/>
      <c r="I34" s="364"/>
      <c r="J34" s="72"/>
      <c r="K34" s="364"/>
      <c r="L34" s="72"/>
      <c r="M34" s="364"/>
      <c r="N34" s="72"/>
      <c r="O34" s="364"/>
      <c r="P34" s="72"/>
      <c r="Q34" s="364"/>
      <c r="R34" s="72"/>
    </row>
    <row r="35" spans="1:26" s="391" customFormat="1" ht="14.4" x14ac:dyDescent="0.3">
      <c r="A35" s="27"/>
      <c r="B35" s="29" t="s">
        <v>329</v>
      </c>
      <c r="C35" s="90"/>
      <c r="D35" s="982"/>
      <c r="E35" s="364"/>
      <c r="F35" s="364"/>
      <c r="G35" s="364"/>
      <c r="H35" s="364"/>
      <c r="I35" s="364"/>
      <c r="J35" s="364"/>
      <c r="K35" s="364"/>
      <c r="L35" s="72"/>
      <c r="M35" s="364"/>
      <c r="N35" s="72"/>
      <c r="O35" s="364"/>
      <c r="P35" s="72"/>
      <c r="Q35" s="364"/>
      <c r="R35" s="72"/>
      <c r="S35" s="364"/>
      <c r="T35" s="72"/>
      <c r="U35" s="364"/>
      <c r="V35" s="92"/>
      <c r="W35" s="364"/>
      <c r="X35" s="92"/>
      <c r="Y35" s="982"/>
      <c r="Z35" s="982"/>
    </row>
    <row r="36" spans="1:26" s="391" customFormat="1" ht="55.2" x14ac:dyDescent="0.3">
      <c r="A36" s="89"/>
      <c r="B36" s="115" t="s">
        <v>330</v>
      </c>
      <c r="C36" s="123" t="s">
        <v>331</v>
      </c>
      <c r="D36" s="119" t="s">
        <v>122</v>
      </c>
      <c r="E36" s="182"/>
      <c r="F36" s="120" t="s">
        <v>332</v>
      </c>
      <c r="G36" s="182"/>
      <c r="H36" s="123" t="s">
        <v>148</v>
      </c>
      <c r="I36" s="182"/>
      <c r="J36" s="123" t="s">
        <v>333</v>
      </c>
      <c r="K36" s="182"/>
      <c r="L36" s="116" t="s">
        <v>334</v>
      </c>
      <c r="M36" s="131"/>
      <c r="N36" s="148" t="s">
        <v>335</v>
      </c>
      <c r="O36" s="120"/>
      <c r="P36" s="120" t="s">
        <v>336</v>
      </c>
      <c r="Q36" s="210"/>
      <c r="R36" s="148" t="s">
        <v>337</v>
      </c>
      <c r="S36" s="131"/>
      <c r="T36" s="148" t="s">
        <v>338</v>
      </c>
      <c r="U36" s="131"/>
      <c r="V36" s="148" t="s">
        <v>339</v>
      </c>
      <c r="W36" s="131"/>
      <c r="X36" s="148" t="s">
        <v>340</v>
      </c>
      <c r="Y36" s="364"/>
      <c r="Z36" s="92"/>
    </row>
    <row r="37" spans="1:26" s="391" customFormat="1" ht="15" thickBot="1" x14ac:dyDescent="0.35">
      <c r="A37" s="89"/>
      <c r="B37" s="178" t="s">
        <v>341</v>
      </c>
      <c r="C37" s="176" t="s">
        <v>342</v>
      </c>
      <c r="D37" s="371"/>
      <c r="E37" s="183"/>
      <c r="F37" s="371"/>
      <c r="G37" s="370"/>
      <c r="H37" s="176" t="s">
        <v>343</v>
      </c>
      <c r="I37" s="370"/>
      <c r="J37" s="176" t="s">
        <v>344</v>
      </c>
      <c r="K37" s="183"/>
      <c r="L37" s="179" t="s">
        <v>345</v>
      </c>
      <c r="M37" s="211"/>
      <c r="N37" s="179" t="s">
        <v>346</v>
      </c>
      <c r="O37" s="208"/>
      <c r="P37" s="176" t="s">
        <v>347</v>
      </c>
      <c r="Q37" s="211"/>
      <c r="R37" s="176" t="s">
        <v>348</v>
      </c>
      <c r="S37" s="233"/>
      <c r="T37" s="179" t="s">
        <v>349</v>
      </c>
      <c r="U37" s="233"/>
      <c r="V37" s="179" t="s">
        <v>350</v>
      </c>
      <c r="W37" s="233"/>
      <c r="X37" s="372"/>
      <c r="Y37" s="364"/>
      <c r="Z37" s="92"/>
    </row>
    <row r="38" spans="1:26" s="359" customFormat="1" ht="14.4" thickTop="1" x14ac:dyDescent="0.3">
      <c r="A38" s="373"/>
      <c r="B38" s="141" t="s">
        <v>312</v>
      </c>
      <c r="C38" s="373" t="s">
        <v>351</v>
      </c>
      <c r="D38" s="373" t="s">
        <v>137</v>
      </c>
      <c r="E38" s="137"/>
      <c r="F38" s="422" t="s">
        <v>352</v>
      </c>
      <c r="G38" s="345" t="s">
        <v>300</v>
      </c>
      <c r="H38" s="373" t="s">
        <v>353</v>
      </c>
      <c r="I38" s="345" t="s">
        <v>300</v>
      </c>
      <c r="J38" s="373" t="s">
        <v>353</v>
      </c>
      <c r="K38" s="345" t="s">
        <v>300</v>
      </c>
      <c r="L38" s="373" t="s">
        <v>354</v>
      </c>
      <c r="M38" s="345" t="s">
        <v>300</v>
      </c>
      <c r="N38" s="373">
        <v>55</v>
      </c>
      <c r="O38" s="345" t="s">
        <v>300</v>
      </c>
      <c r="P38" s="373">
        <v>60</v>
      </c>
      <c r="Q38" s="345" t="s">
        <v>300</v>
      </c>
      <c r="R38" s="373" t="s">
        <v>355</v>
      </c>
      <c r="S38" s="345" t="s">
        <v>300</v>
      </c>
      <c r="T38" s="364">
        <v>60</v>
      </c>
      <c r="U38" s="345" t="s">
        <v>300</v>
      </c>
      <c r="V38" s="209">
        <v>55</v>
      </c>
      <c r="W38" s="324" t="s">
        <v>173</v>
      </c>
      <c r="X38" s="262" t="s">
        <v>173</v>
      </c>
      <c r="Y38" s="364"/>
      <c r="Z38" s="92"/>
    </row>
    <row r="39" spans="1:26" s="359" customFormat="1" x14ac:dyDescent="0.3">
      <c r="A39" s="373"/>
      <c r="B39" s="141" t="s">
        <v>312</v>
      </c>
      <c r="C39" s="373" t="s">
        <v>356</v>
      </c>
      <c r="D39" s="373" t="s">
        <v>137</v>
      </c>
      <c r="E39" s="137"/>
      <c r="F39" s="366" t="s">
        <v>357</v>
      </c>
      <c r="G39" s="142" t="s">
        <v>300</v>
      </c>
      <c r="H39" s="373" t="s">
        <v>353</v>
      </c>
      <c r="I39" s="142" t="s">
        <v>300</v>
      </c>
      <c r="J39" s="373" t="s">
        <v>353</v>
      </c>
      <c r="K39" s="142" t="s">
        <v>300</v>
      </c>
      <c r="L39" s="373" t="s">
        <v>354</v>
      </c>
      <c r="M39" s="142" t="s">
        <v>300</v>
      </c>
      <c r="N39" s="373">
        <v>55</v>
      </c>
      <c r="O39" s="142" t="s">
        <v>300</v>
      </c>
      <c r="P39" s="373">
        <v>60</v>
      </c>
      <c r="Q39" s="142" t="s">
        <v>300</v>
      </c>
      <c r="R39" s="373" t="s">
        <v>355</v>
      </c>
      <c r="S39" s="142" t="s">
        <v>300</v>
      </c>
      <c r="T39" s="364">
        <v>60</v>
      </c>
      <c r="U39" s="142" t="s">
        <v>300</v>
      </c>
      <c r="V39" s="209">
        <v>55</v>
      </c>
      <c r="W39" s="324" t="s">
        <v>173</v>
      </c>
      <c r="X39" s="262" t="s">
        <v>173</v>
      </c>
      <c r="Y39" s="364"/>
      <c r="Z39" s="92"/>
    </row>
    <row r="40" spans="1:26" s="357" customFormat="1" x14ac:dyDescent="0.3">
      <c r="A40" s="89"/>
      <c r="B40" s="141" t="s">
        <v>312</v>
      </c>
      <c r="C40" s="373" t="s">
        <v>358</v>
      </c>
      <c r="D40" s="373" t="s">
        <v>137</v>
      </c>
      <c r="E40" s="137"/>
      <c r="F40" s="366" t="s">
        <v>359</v>
      </c>
      <c r="G40" s="142" t="s">
        <v>300</v>
      </c>
      <c r="H40" s="373" t="s">
        <v>353</v>
      </c>
      <c r="I40" s="142" t="s">
        <v>300</v>
      </c>
      <c r="J40" s="373" t="s">
        <v>353</v>
      </c>
      <c r="K40" s="142" t="s">
        <v>300</v>
      </c>
      <c r="L40" s="373" t="s">
        <v>354</v>
      </c>
      <c r="M40" s="142" t="s">
        <v>300</v>
      </c>
      <c r="N40" s="373">
        <v>55</v>
      </c>
      <c r="O40" s="142" t="s">
        <v>300</v>
      </c>
      <c r="P40" s="373">
        <v>60</v>
      </c>
      <c r="Q40" s="142" t="s">
        <v>300</v>
      </c>
      <c r="R40" s="373" t="s">
        <v>355</v>
      </c>
      <c r="S40" s="142" t="s">
        <v>300</v>
      </c>
      <c r="T40" s="364">
        <v>60</v>
      </c>
      <c r="U40" s="142" t="s">
        <v>300</v>
      </c>
      <c r="V40" s="209">
        <v>55</v>
      </c>
      <c r="W40" s="324" t="s">
        <v>173</v>
      </c>
      <c r="X40" s="262" t="s">
        <v>173</v>
      </c>
      <c r="Y40" s="364"/>
      <c r="Z40" s="92"/>
    </row>
    <row r="41" spans="1:26" s="357" customFormat="1" x14ac:dyDescent="0.3">
      <c r="A41" s="89"/>
      <c r="B41" s="141" t="s">
        <v>312</v>
      </c>
      <c r="C41" s="373" t="s">
        <v>360</v>
      </c>
      <c r="D41" s="373" t="s">
        <v>137</v>
      </c>
      <c r="E41" s="137"/>
      <c r="F41" s="366" t="s">
        <v>361</v>
      </c>
      <c r="G41" s="142" t="s">
        <v>300</v>
      </c>
      <c r="H41" s="373" t="s">
        <v>353</v>
      </c>
      <c r="I41" s="142" t="s">
        <v>300</v>
      </c>
      <c r="J41" s="373" t="s">
        <v>353</v>
      </c>
      <c r="K41" s="142" t="s">
        <v>300</v>
      </c>
      <c r="L41" s="373" t="s">
        <v>354</v>
      </c>
      <c r="M41" s="142" t="s">
        <v>300</v>
      </c>
      <c r="N41" s="373">
        <v>55</v>
      </c>
      <c r="O41" s="142" t="s">
        <v>300</v>
      </c>
      <c r="P41" s="373">
        <v>60</v>
      </c>
      <c r="Q41" s="142" t="s">
        <v>300</v>
      </c>
      <c r="R41" s="373" t="s">
        <v>355</v>
      </c>
      <c r="S41" s="142" t="s">
        <v>300</v>
      </c>
      <c r="T41" s="364">
        <v>60</v>
      </c>
      <c r="U41" s="142" t="s">
        <v>300</v>
      </c>
      <c r="V41" s="209">
        <v>55</v>
      </c>
      <c r="W41" s="324" t="s">
        <v>173</v>
      </c>
      <c r="X41" s="262" t="s">
        <v>173</v>
      </c>
      <c r="Y41" s="364"/>
      <c r="Z41" s="92"/>
    </row>
    <row r="42" spans="1:26" s="357" customFormat="1" x14ac:dyDescent="0.3">
      <c r="A42" s="89"/>
      <c r="B42" s="278" t="s">
        <v>362</v>
      </c>
      <c r="C42" s="165" t="s">
        <v>363</v>
      </c>
      <c r="D42" s="165" t="s">
        <v>137</v>
      </c>
      <c r="E42" s="236"/>
      <c r="F42" s="167" t="s">
        <v>364</v>
      </c>
      <c r="G42" s="160" t="s">
        <v>300</v>
      </c>
      <c r="H42" s="165" t="s">
        <v>365</v>
      </c>
      <c r="I42" s="160" t="s">
        <v>300</v>
      </c>
      <c r="J42" s="165" t="s">
        <v>365</v>
      </c>
      <c r="K42" s="160" t="s">
        <v>300</v>
      </c>
      <c r="L42" s="165" t="s">
        <v>366</v>
      </c>
      <c r="M42" s="405" t="s">
        <v>173</v>
      </c>
      <c r="N42" s="419" t="s">
        <v>173</v>
      </c>
      <c r="O42" s="405" t="s">
        <v>173</v>
      </c>
      <c r="P42" s="406" t="s">
        <v>173</v>
      </c>
      <c r="Q42" s="160" t="s">
        <v>300</v>
      </c>
      <c r="R42" s="165" t="s">
        <v>367</v>
      </c>
      <c r="S42" s="405" t="s">
        <v>173</v>
      </c>
      <c r="T42" s="419" t="s">
        <v>173</v>
      </c>
      <c r="U42" s="405" t="s">
        <v>173</v>
      </c>
      <c r="V42" s="406" t="s">
        <v>173</v>
      </c>
      <c r="W42" s="160" t="s">
        <v>300</v>
      </c>
      <c r="X42" s="250">
        <v>72</v>
      </c>
      <c r="Y42" s="364"/>
      <c r="Z42" s="92"/>
    </row>
    <row r="43" spans="1:26" s="391" customFormat="1" ht="14.4" x14ac:dyDescent="0.3">
      <c r="A43" s="89"/>
      <c r="B43" s="90"/>
      <c r="C43" s="82"/>
      <c r="D43" s="30"/>
      <c r="E43" s="364"/>
      <c r="F43" s="364"/>
      <c r="G43" s="364"/>
      <c r="H43" s="364"/>
      <c r="I43" s="364"/>
      <c r="J43" s="364"/>
      <c r="K43" s="91"/>
      <c r="L43" s="373"/>
      <c r="M43" s="373"/>
      <c r="N43" s="373"/>
      <c r="O43" s="364"/>
      <c r="P43" s="364"/>
      <c r="Q43" s="364"/>
      <c r="R43" s="364"/>
      <c r="S43" s="364"/>
      <c r="T43" s="364"/>
      <c r="U43" s="364"/>
      <c r="V43" s="92"/>
      <c r="W43" s="364"/>
      <c r="X43" s="92"/>
      <c r="Y43" s="982"/>
      <c r="Z43" s="982"/>
    </row>
    <row r="44" spans="1:26" s="391" customFormat="1" ht="14.4" x14ac:dyDescent="0.3">
      <c r="A44" s="89"/>
      <c r="B44" s="84"/>
      <c r="C44" s="82"/>
      <c r="D44" s="30"/>
      <c r="E44" s="364"/>
      <c r="F44" s="364"/>
      <c r="G44" s="364"/>
      <c r="H44" s="364"/>
      <c r="I44" s="364"/>
      <c r="J44" s="364"/>
      <c r="K44" s="91"/>
      <c r="L44" s="89"/>
      <c r="M44" s="364"/>
      <c r="N44" s="364"/>
      <c r="O44" s="364"/>
      <c r="P44" s="364"/>
      <c r="Q44" s="364"/>
      <c r="R44" s="364"/>
      <c r="S44" s="364"/>
      <c r="T44" s="364"/>
      <c r="U44" s="364"/>
      <c r="V44" s="92"/>
      <c r="W44" s="364"/>
      <c r="X44" s="92"/>
      <c r="Y44" s="982"/>
      <c r="Z44" s="982"/>
    </row>
    <row r="45" spans="1:26" s="358" customFormat="1" ht="55.2" x14ac:dyDescent="0.3">
      <c r="A45" s="373"/>
      <c r="B45" s="131" t="s">
        <v>330</v>
      </c>
      <c r="C45" s="120" t="s">
        <v>368</v>
      </c>
      <c r="D45" s="119" t="s">
        <v>122</v>
      </c>
      <c r="E45" s="571"/>
      <c r="F45" s="120" t="s">
        <v>332</v>
      </c>
      <c r="G45" s="571"/>
      <c r="H45" s="120" t="s">
        <v>148</v>
      </c>
      <c r="I45" s="571"/>
      <c r="J45" s="120" t="s">
        <v>333</v>
      </c>
      <c r="K45" s="571"/>
      <c r="L45" s="148" t="s">
        <v>334</v>
      </c>
      <c r="M45" s="131"/>
      <c r="N45" s="148" t="s">
        <v>335</v>
      </c>
      <c r="O45" s="120"/>
      <c r="P45" s="120" t="s">
        <v>336</v>
      </c>
      <c r="Q45" s="293"/>
      <c r="R45" s="148" t="s">
        <v>337</v>
      </c>
      <c r="S45" s="131"/>
      <c r="T45" s="148" t="s">
        <v>338</v>
      </c>
      <c r="U45" s="131"/>
      <c r="V45" s="148" t="s">
        <v>339</v>
      </c>
      <c r="W45" s="373"/>
      <c r="X45" s="366"/>
      <c r="Y45" s="373"/>
      <c r="Z45" s="366"/>
    </row>
    <row r="46" spans="1:26" s="391" customFormat="1" ht="15" thickBot="1" x14ac:dyDescent="0.35">
      <c r="A46" s="89"/>
      <c r="B46" s="178" t="s">
        <v>369</v>
      </c>
      <c r="C46" s="176"/>
      <c r="D46" s="371"/>
      <c r="E46" s="183"/>
      <c r="F46" s="371"/>
      <c r="G46" s="370"/>
      <c r="H46" s="176" t="s">
        <v>370</v>
      </c>
      <c r="I46" s="370"/>
      <c r="J46" s="176" t="s">
        <v>371</v>
      </c>
      <c r="K46" s="183"/>
      <c r="L46" s="179" t="s">
        <v>345</v>
      </c>
      <c r="M46" s="211"/>
      <c r="N46" s="179" t="s">
        <v>346</v>
      </c>
      <c r="O46" s="208"/>
      <c r="P46" s="176" t="s">
        <v>347</v>
      </c>
      <c r="Q46" s="211"/>
      <c r="R46" s="179" t="s">
        <v>372</v>
      </c>
      <c r="S46" s="233"/>
      <c r="T46" s="372"/>
      <c r="U46" s="233"/>
      <c r="V46" s="372"/>
      <c r="W46" s="397"/>
      <c r="X46" s="401"/>
      <c r="Y46" s="364"/>
      <c r="Z46" s="92"/>
    </row>
    <row r="47" spans="1:26" s="358" customFormat="1" ht="15" thickTop="1" x14ac:dyDescent="0.3">
      <c r="A47" s="373"/>
      <c r="B47" s="128" t="s">
        <v>373</v>
      </c>
      <c r="C47" s="366" t="s">
        <v>374</v>
      </c>
      <c r="D47" s="373" t="s">
        <v>137</v>
      </c>
      <c r="E47" s="137"/>
      <c r="F47" s="366" t="s">
        <v>375</v>
      </c>
      <c r="G47" s="411" t="s">
        <v>300</v>
      </c>
      <c r="H47" s="373" t="s">
        <v>376</v>
      </c>
      <c r="I47" s="411" t="s">
        <v>300</v>
      </c>
      <c r="J47" s="373" t="s">
        <v>376</v>
      </c>
      <c r="K47" s="411" t="s">
        <v>300</v>
      </c>
      <c r="L47" s="373" t="s">
        <v>366</v>
      </c>
      <c r="M47" s="411" t="s">
        <v>300</v>
      </c>
      <c r="N47" s="373">
        <v>58</v>
      </c>
      <c r="O47" s="411" t="s">
        <v>300</v>
      </c>
      <c r="P47" s="373">
        <v>95</v>
      </c>
      <c r="Q47" s="411" t="s">
        <v>300</v>
      </c>
      <c r="R47" s="373" t="s">
        <v>377</v>
      </c>
      <c r="S47" s="605" t="s">
        <v>173</v>
      </c>
      <c r="T47" s="695" t="s">
        <v>173</v>
      </c>
      <c r="U47" s="605" t="s">
        <v>173</v>
      </c>
      <c r="V47" s="695" t="s">
        <v>173</v>
      </c>
      <c r="W47" s="397"/>
      <c r="X47" s="401"/>
      <c r="Y47" s="373"/>
      <c r="Z47" s="366"/>
    </row>
    <row r="48" spans="1:26" s="358" customFormat="1" ht="27.6" x14ac:dyDescent="0.3">
      <c r="A48" s="373"/>
      <c r="B48" s="278" t="s">
        <v>378</v>
      </c>
      <c r="C48" s="167" t="s">
        <v>379</v>
      </c>
      <c r="D48" s="165" t="s">
        <v>137</v>
      </c>
      <c r="E48" s="236"/>
      <c r="F48" s="167" t="s">
        <v>380</v>
      </c>
      <c r="G48" s="410" t="s">
        <v>300</v>
      </c>
      <c r="H48" s="165" t="s">
        <v>381</v>
      </c>
      <c r="I48" s="410" t="s">
        <v>300</v>
      </c>
      <c r="J48" s="165" t="s">
        <v>381</v>
      </c>
      <c r="K48" s="410" t="s">
        <v>300</v>
      </c>
      <c r="L48" s="165" t="s">
        <v>366</v>
      </c>
      <c r="M48" s="325" t="s">
        <v>173</v>
      </c>
      <c r="N48" s="265" t="s">
        <v>173</v>
      </c>
      <c r="O48" s="325" t="s">
        <v>173</v>
      </c>
      <c r="P48" s="265" t="s">
        <v>173</v>
      </c>
      <c r="Q48" s="410" t="s">
        <v>300</v>
      </c>
      <c r="R48" s="165" t="s">
        <v>377</v>
      </c>
      <c r="S48" s="325" t="s">
        <v>173</v>
      </c>
      <c r="T48" s="265" t="s">
        <v>173</v>
      </c>
      <c r="U48" s="325" t="s">
        <v>173</v>
      </c>
      <c r="V48" s="265" t="s">
        <v>173</v>
      </c>
      <c r="W48" s="373"/>
      <c r="X48" s="366"/>
      <c r="Y48" s="373"/>
      <c r="Z48" s="366"/>
    </row>
    <row r="49" spans="1:26" s="534" customFormat="1" ht="14.4" x14ac:dyDescent="0.3">
      <c r="A49" s="397"/>
      <c r="B49" s="565"/>
      <c r="C49" s="74"/>
      <c r="D49" s="397"/>
      <c r="E49" s="74"/>
      <c r="F49" s="397"/>
      <c r="G49" s="397"/>
      <c r="H49" s="397"/>
      <c r="I49" s="74"/>
      <c r="J49" s="397"/>
      <c r="K49" s="74"/>
      <c r="L49" s="397"/>
      <c r="M49" s="397"/>
      <c r="N49" s="397"/>
      <c r="O49" s="397"/>
      <c r="P49" s="397"/>
      <c r="Q49" s="397"/>
      <c r="R49" s="397"/>
      <c r="S49" s="397"/>
      <c r="T49" s="397"/>
      <c r="U49" s="397"/>
      <c r="V49" s="401"/>
      <c r="W49" s="397"/>
      <c r="X49" s="401"/>
    </row>
    <row r="50" spans="1:26" s="534" customFormat="1" ht="14.4" x14ac:dyDescent="0.3">
      <c r="A50" s="397"/>
      <c r="B50" s="565"/>
      <c r="C50" s="74"/>
      <c r="D50" s="397"/>
      <c r="E50" s="74"/>
      <c r="F50" s="397"/>
      <c r="G50" s="74"/>
      <c r="H50" s="397"/>
      <c r="I50" s="74"/>
      <c r="J50" s="397"/>
      <c r="K50" s="397"/>
      <c r="L50" s="397"/>
      <c r="M50" s="397"/>
      <c r="N50" s="397"/>
      <c r="O50" s="397"/>
      <c r="P50" s="397"/>
      <c r="Q50" s="397"/>
      <c r="R50" s="397"/>
      <c r="S50" s="397"/>
      <c r="T50" s="397"/>
      <c r="U50" s="397"/>
      <c r="V50" s="401"/>
      <c r="W50" s="397"/>
      <c r="X50" s="401"/>
    </row>
    <row r="51" spans="1:26" s="358" customFormat="1" ht="41.4" x14ac:dyDescent="0.3">
      <c r="A51" s="373"/>
      <c r="B51" s="131" t="s">
        <v>331</v>
      </c>
      <c r="C51" s="120" t="s">
        <v>382</v>
      </c>
      <c r="D51" s="119" t="s">
        <v>122</v>
      </c>
      <c r="E51" s="571"/>
      <c r="F51" s="117" t="s">
        <v>148</v>
      </c>
      <c r="G51" s="572"/>
      <c r="H51" s="173" t="s">
        <v>383</v>
      </c>
      <c r="I51" s="571"/>
      <c r="J51" s="173" t="s">
        <v>384</v>
      </c>
      <c r="K51" s="194"/>
      <c r="L51" s="117" t="s">
        <v>385</v>
      </c>
      <c r="M51" s="187"/>
      <c r="N51" s="117" t="s">
        <v>386</v>
      </c>
      <c r="O51" s="290"/>
      <c r="P51" s="117" t="s">
        <v>387</v>
      </c>
      <c r="Q51" s="573"/>
      <c r="R51" s="117" t="s">
        <v>388</v>
      </c>
      <c r="S51" s="373"/>
      <c r="T51" s="373"/>
      <c r="U51" s="373"/>
      <c r="V51" s="373"/>
      <c r="W51" s="373"/>
      <c r="X51" s="373"/>
      <c r="Y51" s="373"/>
      <c r="Z51" s="373"/>
    </row>
    <row r="52" spans="1:26" s="391" customFormat="1" ht="15" thickBot="1" x14ac:dyDescent="0.35">
      <c r="A52" s="89"/>
      <c r="B52" s="178" t="s">
        <v>389</v>
      </c>
      <c r="C52" s="176" t="s">
        <v>390</v>
      </c>
      <c r="D52" s="371"/>
      <c r="E52" s="183"/>
      <c r="F52" s="371" t="s">
        <v>391</v>
      </c>
      <c r="G52" s="370"/>
      <c r="H52" s="176" t="s">
        <v>392</v>
      </c>
      <c r="I52" s="370"/>
      <c r="J52" s="176" t="s">
        <v>393</v>
      </c>
      <c r="K52" s="183"/>
      <c r="L52" s="179" t="s">
        <v>394</v>
      </c>
      <c r="M52" s="211"/>
      <c r="N52" s="179" t="s">
        <v>395</v>
      </c>
      <c r="O52" s="208"/>
      <c r="P52" s="176" t="s">
        <v>396</v>
      </c>
      <c r="Q52" s="211"/>
      <c r="R52" s="179" t="s">
        <v>397</v>
      </c>
      <c r="S52" s="373"/>
      <c r="T52" s="373"/>
      <c r="U52" s="373"/>
      <c r="V52" s="373"/>
      <c r="W52" s="373"/>
      <c r="X52" s="373"/>
      <c r="Y52" s="364"/>
      <c r="Z52" s="92"/>
    </row>
    <row r="53" spans="1:26" s="533" customFormat="1" ht="28.2" thickTop="1" x14ac:dyDescent="0.3">
      <c r="A53" s="397"/>
      <c r="B53" s="141" t="s">
        <v>351</v>
      </c>
      <c r="C53" s="373" t="s">
        <v>398</v>
      </c>
      <c r="D53" s="373" t="s">
        <v>137</v>
      </c>
      <c r="E53" s="412" t="s">
        <v>300</v>
      </c>
      <c r="F53" s="373" t="s">
        <v>399</v>
      </c>
      <c r="G53" s="411" t="s">
        <v>300</v>
      </c>
      <c r="H53" s="814">
        <v>9.8000000000000007</v>
      </c>
      <c r="I53" s="411" t="s">
        <v>300</v>
      </c>
      <c r="J53" s="373">
        <v>11.4</v>
      </c>
      <c r="K53" s="605" t="s">
        <v>173</v>
      </c>
      <c r="L53" s="695" t="s">
        <v>173</v>
      </c>
      <c r="M53" s="411" t="s">
        <v>300</v>
      </c>
      <c r="N53" s="590" t="s">
        <v>400</v>
      </c>
      <c r="O53" s="411" t="s">
        <v>300</v>
      </c>
      <c r="P53" s="734" t="s">
        <v>401</v>
      </c>
      <c r="Q53" s="411" t="s">
        <v>300</v>
      </c>
      <c r="R53" s="637" t="s">
        <v>402</v>
      </c>
      <c r="S53" s="373"/>
      <c r="T53" s="373"/>
      <c r="U53" s="373"/>
      <c r="V53" s="373"/>
      <c r="W53" s="373"/>
      <c r="X53" s="373"/>
      <c r="Y53" s="397"/>
      <c r="Z53" s="397"/>
    </row>
    <row r="54" spans="1:26" s="533" customFormat="1" ht="27.6" x14ac:dyDescent="0.3">
      <c r="A54" s="397"/>
      <c r="B54" s="141" t="s">
        <v>356</v>
      </c>
      <c r="C54" s="373" t="s">
        <v>403</v>
      </c>
      <c r="D54" s="373" t="s">
        <v>137</v>
      </c>
      <c r="E54" s="412" t="s">
        <v>300</v>
      </c>
      <c r="F54" s="373" t="s">
        <v>399</v>
      </c>
      <c r="G54" s="411" t="s">
        <v>300</v>
      </c>
      <c r="H54" s="814">
        <v>10.8446</v>
      </c>
      <c r="I54" s="324" t="s">
        <v>173</v>
      </c>
      <c r="J54" s="262" t="s">
        <v>173</v>
      </c>
      <c r="K54" s="324" t="s">
        <v>173</v>
      </c>
      <c r="L54" s="262" t="s">
        <v>173</v>
      </c>
      <c r="M54" s="411" t="s">
        <v>300</v>
      </c>
      <c r="N54" s="590" t="s">
        <v>404</v>
      </c>
      <c r="O54" s="411" t="s">
        <v>300</v>
      </c>
      <c r="P54" s="590" t="s">
        <v>405</v>
      </c>
      <c r="Q54" s="411" t="s">
        <v>300</v>
      </c>
      <c r="R54" s="637" t="s">
        <v>402</v>
      </c>
      <c r="S54" s="397"/>
      <c r="T54" s="373"/>
      <c r="U54" s="373"/>
      <c r="V54" s="373"/>
      <c r="W54" s="373"/>
      <c r="X54" s="373"/>
      <c r="Y54" s="397"/>
      <c r="Z54" s="397"/>
    </row>
    <row r="55" spans="1:26" s="533" customFormat="1" ht="27.6" x14ac:dyDescent="0.3">
      <c r="A55" s="397"/>
      <c r="B55" s="141" t="s">
        <v>358</v>
      </c>
      <c r="C55" s="373" t="s">
        <v>406</v>
      </c>
      <c r="D55" s="373" t="s">
        <v>137</v>
      </c>
      <c r="E55" s="412" t="s">
        <v>300</v>
      </c>
      <c r="F55" s="373" t="s">
        <v>399</v>
      </c>
      <c r="G55" s="411" t="s">
        <v>300</v>
      </c>
      <c r="H55" s="814">
        <v>10.8446</v>
      </c>
      <c r="I55" s="324" t="s">
        <v>173</v>
      </c>
      <c r="J55" s="262" t="s">
        <v>173</v>
      </c>
      <c r="K55" s="324" t="s">
        <v>173</v>
      </c>
      <c r="L55" s="262" t="s">
        <v>173</v>
      </c>
      <c r="M55" s="411" t="s">
        <v>300</v>
      </c>
      <c r="N55" s="590" t="s">
        <v>407</v>
      </c>
      <c r="O55" s="411" t="s">
        <v>300</v>
      </c>
      <c r="P55" s="590" t="s">
        <v>405</v>
      </c>
      <c r="Q55" s="411" t="s">
        <v>300</v>
      </c>
      <c r="R55" s="637" t="s">
        <v>402</v>
      </c>
      <c r="S55" s="397"/>
      <c r="T55" s="373"/>
      <c r="U55" s="373"/>
      <c r="V55" s="373"/>
      <c r="W55" s="373"/>
      <c r="X55" s="373"/>
      <c r="Y55" s="397"/>
      <c r="Z55" s="397"/>
    </row>
    <row r="56" spans="1:26" s="533" customFormat="1" ht="27.6" x14ac:dyDescent="0.3">
      <c r="A56" s="397"/>
      <c r="B56" s="141" t="s">
        <v>360</v>
      </c>
      <c r="C56" s="373" t="s">
        <v>408</v>
      </c>
      <c r="D56" s="373" t="s">
        <v>137</v>
      </c>
      <c r="E56" s="412" t="s">
        <v>300</v>
      </c>
      <c r="F56" s="373" t="s">
        <v>399</v>
      </c>
      <c r="G56" s="411" t="s">
        <v>300</v>
      </c>
      <c r="H56" s="814">
        <v>11</v>
      </c>
      <c r="I56" s="411" t="s">
        <v>300</v>
      </c>
      <c r="J56" s="373">
        <v>12.7</v>
      </c>
      <c r="K56" s="324" t="s">
        <v>173</v>
      </c>
      <c r="L56" s="262" t="s">
        <v>173</v>
      </c>
      <c r="M56" s="411" t="s">
        <v>300</v>
      </c>
      <c r="N56" s="590" t="s">
        <v>400</v>
      </c>
      <c r="O56" s="411" t="s">
        <v>300</v>
      </c>
      <c r="P56" s="590" t="s">
        <v>401</v>
      </c>
      <c r="Q56" s="411" t="s">
        <v>300</v>
      </c>
      <c r="R56" s="637" t="s">
        <v>402</v>
      </c>
      <c r="S56" s="397"/>
      <c r="T56" s="397"/>
      <c r="U56" s="397"/>
      <c r="V56" s="397"/>
      <c r="W56" s="397"/>
      <c r="X56" s="397"/>
      <c r="Y56" s="397"/>
      <c r="Z56" s="397"/>
    </row>
    <row r="57" spans="1:26" s="533" customFormat="1" ht="27.6" x14ac:dyDescent="0.3">
      <c r="A57" s="397"/>
      <c r="B57" s="141" t="s">
        <v>374</v>
      </c>
      <c r="C57" s="366" t="s">
        <v>409</v>
      </c>
      <c r="D57" s="373" t="s">
        <v>137</v>
      </c>
      <c r="E57" s="412" t="s">
        <v>300</v>
      </c>
      <c r="F57" s="373" t="s">
        <v>410</v>
      </c>
      <c r="G57" s="324" t="s">
        <v>173</v>
      </c>
      <c r="H57" s="262" t="s">
        <v>173</v>
      </c>
      <c r="I57" s="261" t="s">
        <v>173</v>
      </c>
      <c r="J57" s="262" t="s">
        <v>173</v>
      </c>
      <c r="K57" s="324" t="s">
        <v>173</v>
      </c>
      <c r="L57" s="262" t="s">
        <v>173</v>
      </c>
      <c r="M57" s="324" t="s">
        <v>173</v>
      </c>
      <c r="N57" s="262" t="s">
        <v>173</v>
      </c>
      <c r="O57" s="324" t="s">
        <v>173</v>
      </c>
      <c r="P57" s="694" t="s">
        <v>173</v>
      </c>
      <c r="Q57" s="324" t="s">
        <v>173</v>
      </c>
      <c r="R57" s="694" t="s">
        <v>173</v>
      </c>
      <c r="S57" s="397"/>
      <c r="T57" s="397"/>
      <c r="U57" s="397"/>
      <c r="V57" s="397"/>
      <c r="W57" s="397"/>
      <c r="X57" s="397"/>
      <c r="Y57" s="397"/>
      <c r="Z57" s="397"/>
    </row>
    <row r="58" spans="1:26" s="533" customFormat="1" ht="27.6" x14ac:dyDescent="0.3">
      <c r="A58" s="397"/>
      <c r="B58" s="309" t="s">
        <v>363</v>
      </c>
      <c r="C58" s="165" t="s">
        <v>411</v>
      </c>
      <c r="D58" s="165" t="s">
        <v>137</v>
      </c>
      <c r="E58" s="410" t="s">
        <v>300</v>
      </c>
      <c r="F58" s="165" t="s">
        <v>399</v>
      </c>
      <c r="G58" s="410" t="s">
        <v>300</v>
      </c>
      <c r="H58" s="815">
        <v>10.8446</v>
      </c>
      <c r="I58" s="294" t="s">
        <v>173</v>
      </c>
      <c r="J58" s="265" t="s">
        <v>173</v>
      </c>
      <c r="K58" s="325" t="s">
        <v>173</v>
      </c>
      <c r="L58" s="265" t="s">
        <v>173</v>
      </c>
      <c r="M58" s="410" t="s">
        <v>300</v>
      </c>
      <c r="N58" s="816" t="s">
        <v>412</v>
      </c>
      <c r="O58" s="410" t="s">
        <v>300</v>
      </c>
      <c r="P58" s="636" t="s">
        <v>405</v>
      </c>
      <c r="Q58" s="410" t="s">
        <v>300</v>
      </c>
      <c r="R58" s="638" t="s">
        <v>402</v>
      </c>
      <c r="S58" s="397"/>
      <c r="T58" s="397"/>
      <c r="U58" s="397"/>
      <c r="V58" s="397"/>
      <c r="W58" s="397"/>
      <c r="X58" s="397"/>
      <c r="Y58" s="397"/>
      <c r="Z58" s="397"/>
    </row>
    <row r="59" spans="1:26" s="534" customFormat="1" ht="14.4" x14ac:dyDescent="0.3">
      <c r="A59" s="397"/>
      <c r="B59" s="565"/>
      <c r="C59" s="17"/>
      <c r="D59" s="397"/>
      <c r="E59" s="74"/>
      <c r="F59" s="397"/>
      <c r="G59" s="74"/>
      <c r="H59" s="397"/>
      <c r="I59" s="74"/>
      <c r="J59" s="397"/>
      <c r="K59" s="401"/>
      <c r="L59" s="397"/>
      <c r="M59" s="397"/>
      <c r="N59" s="397"/>
      <c r="O59" s="397"/>
      <c r="P59" s="397"/>
      <c r="Q59" s="397"/>
      <c r="R59" s="397"/>
      <c r="S59" s="397"/>
      <c r="T59" s="397"/>
      <c r="U59" s="397"/>
      <c r="V59" s="397"/>
      <c r="W59" s="397"/>
      <c r="X59" s="397"/>
    </row>
    <row r="60" spans="1:26" s="534" customFormat="1" ht="14.4" x14ac:dyDescent="0.3">
      <c r="A60" s="397"/>
      <c r="B60" s="397"/>
      <c r="C60" s="401"/>
      <c r="D60" s="397"/>
      <c r="E60" s="397"/>
      <c r="F60" s="401"/>
      <c r="G60" s="397"/>
      <c r="H60" s="401"/>
      <c r="I60" s="397"/>
      <c r="J60" s="401"/>
      <c r="K60" s="397"/>
      <c r="L60" s="401"/>
      <c r="M60" s="397"/>
      <c r="N60" s="401"/>
      <c r="O60" s="397"/>
      <c r="P60" s="401"/>
      <c r="Q60" s="397"/>
      <c r="R60" s="397"/>
      <c r="S60" s="397"/>
      <c r="T60" s="397"/>
    </row>
    <row r="61" spans="1:26" s="358" customFormat="1" ht="27.6" x14ac:dyDescent="0.3">
      <c r="A61" s="373"/>
      <c r="B61" s="131" t="s">
        <v>331</v>
      </c>
      <c r="C61" s="120" t="s">
        <v>413</v>
      </c>
      <c r="D61" s="119" t="s">
        <v>122</v>
      </c>
      <c r="E61" s="571"/>
      <c r="F61" s="117" t="s">
        <v>414</v>
      </c>
      <c r="G61" s="173"/>
      <c r="H61" s="173" t="s">
        <v>415</v>
      </c>
      <c r="I61" s="194"/>
      <c r="J61" s="117" t="s">
        <v>385</v>
      </c>
      <c r="K61" s="187"/>
      <c r="L61" s="117" t="s">
        <v>416</v>
      </c>
      <c r="M61" s="373"/>
      <c r="O61" s="373"/>
      <c r="P61" s="373"/>
      <c r="Q61" s="373"/>
      <c r="R61" s="373"/>
    </row>
    <row r="62" spans="1:26" s="534" customFormat="1" ht="15" thickBot="1" x14ac:dyDescent="0.35">
      <c r="A62" s="397"/>
      <c r="B62" s="178" t="s">
        <v>417</v>
      </c>
      <c r="C62" s="176" t="s">
        <v>418</v>
      </c>
      <c r="D62" s="176"/>
      <c r="E62" s="574"/>
      <c r="F62" s="179" t="s">
        <v>419</v>
      </c>
      <c r="G62" s="575"/>
      <c r="H62" s="176" t="s">
        <v>420</v>
      </c>
      <c r="I62" s="574"/>
      <c r="J62" s="179"/>
      <c r="K62" s="338"/>
      <c r="L62" s="179" t="s">
        <v>421</v>
      </c>
      <c r="M62" s="397"/>
      <c r="N62" s="397"/>
      <c r="O62" s="397"/>
      <c r="P62" s="397"/>
      <c r="Q62" s="397"/>
      <c r="R62" s="397"/>
    </row>
    <row r="63" spans="1:26" s="359" customFormat="1" ht="14.4" thickTop="1" x14ac:dyDescent="0.3">
      <c r="A63" s="373"/>
      <c r="B63" s="141" t="s">
        <v>351</v>
      </c>
      <c r="C63" s="373" t="s">
        <v>422</v>
      </c>
      <c r="D63" s="373" t="s">
        <v>137</v>
      </c>
      <c r="E63" s="413" t="s">
        <v>300</v>
      </c>
      <c r="F63" s="266" t="s">
        <v>423</v>
      </c>
      <c r="G63" s="690" t="s">
        <v>173</v>
      </c>
      <c r="H63" s="691" t="s">
        <v>173</v>
      </c>
      <c r="I63" s="690" t="s">
        <v>173</v>
      </c>
      <c r="J63" s="691" t="s">
        <v>173</v>
      </c>
      <c r="K63" s="690" t="s">
        <v>173</v>
      </c>
      <c r="L63" s="691" t="s">
        <v>173</v>
      </c>
      <c r="M63" s="373"/>
      <c r="N63" s="373"/>
      <c r="O63" s="373"/>
      <c r="P63" s="373"/>
      <c r="Q63" s="373"/>
      <c r="R63" s="373"/>
    </row>
    <row r="64" spans="1:26" s="359" customFormat="1" x14ac:dyDescent="0.3">
      <c r="A64" s="373"/>
      <c r="B64" s="141" t="s">
        <v>356</v>
      </c>
      <c r="C64" s="373" t="s">
        <v>424</v>
      </c>
      <c r="D64" s="373" t="s">
        <v>137</v>
      </c>
      <c r="E64" s="409" t="s">
        <v>300</v>
      </c>
      <c r="F64" s="266" t="s">
        <v>423</v>
      </c>
      <c r="G64" s="690" t="s">
        <v>173</v>
      </c>
      <c r="H64" s="691" t="s">
        <v>173</v>
      </c>
      <c r="I64" s="690" t="s">
        <v>173</v>
      </c>
      <c r="J64" s="691" t="s">
        <v>173</v>
      </c>
      <c r="K64" s="690" t="s">
        <v>173</v>
      </c>
      <c r="L64" s="691" t="s">
        <v>173</v>
      </c>
      <c r="M64" s="373"/>
      <c r="N64" s="373"/>
      <c r="O64" s="373"/>
      <c r="P64" s="373"/>
      <c r="Q64" s="373"/>
      <c r="R64" s="373"/>
    </row>
    <row r="65" spans="1:24" s="359" customFormat="1" x14ac:dyDescent="0.3">
      <c r="A65" s="373"/>
      <c r="B65" s="141" t="s">
        <v>358</v>
      </c>
      <c r="C65" s="373" t="s">
        <v>425</v>
      </c>
      <c r="D65" s="373" t="s">
        <v>137</v>
      </c>
      <c r="E65" s="409" t="s">
        <v>300</v>
      </c>
      <c r="F65" s="266" t="s">
        <v>423</v>
      </c>
      <c r="G65" s="690" t="s">
        <v>173</v>
      </c>
      <c r="H65" s="691" t="s">
        <v>173</v>
      </c>
      <c r="I65" s="690" t="s">
        <v>173</v>
      </c>
      <c r="J65" s="691" t="s">
        <v>173</v>
      </c>
      <c r="K65" s="690" t="s">
        <v>173</v>
      </c>
      <c r="L65" s="691" t="s">
        <v>173</v>
      </c>
      <c r="M65" s="373"/>
      <c r="N65" s="373"/>
      <c r="O65" s="373"/>
      <c r="P65" s="373"/>
      <c r="Q65" s="373"/>
      <c r="R65" s="373"/>
    </row>
    <row r="66" spans="1:24" s="359" customFormat="1" x14ac:dyDescent="0.3">
      <c r="A66" s="373"/>
      <c r="B66" s="141" t="s">
        <v>360</v>
      </c>
      <c r="C66" s="373" t="s">
        <v>426</v>
      </c>
      <c r="D66" s="373" t="s">
        <v>137</v>
      </c>
      <c r="E66" s="409" t="s">
        <v>300</v>
      </c>
      <c r="F66" s="266" t="s">
        <v>423</v>
      </c>
      <c r="G66" s="690" t="s">
        <v>173</v>
      </c>
      <c r="H66" s="691" t="s">
        <v>173</v>
      </c>
      <c r="I66" s="690" t="s">
        <v>173</v>
      </c>
      <c r="J66" s="691" t="s">
        <v>173</v>
      </c>
      <c r="K66" s="690" t="s">
        <v>173</v>
      </c>
      <c r="L66" s="691" t="s">
        <v>173</v>
      </c>
      <c r="M66" s="373"/>
      <c r="N66" s="373"/>
      <c r="O66" s="373"/>
      <c r="P66" s="373"/>
      <c r="Q66" s="373"/>
      <c r="R66" s="373"/>
    </row>
    <row r="67" spans="1:24" s="359" customFormat="1" x14ac:dyDescent="0.3">
      <c r="A67" s="373"/>
      <c r="B67" s="141" t="s">
        <v>351</v>
      </c>
      <c r="C67" s="373" t="s">
        <v>427</v>
      </c>
      <c r="D67" s="373" t="s">
        <v>137</v>
      </c>
      <c r="E67" s="409" t="s">
        <v>300</v>
      </c>
      <c r="F67" s="266" t="s">
        <v>423</v>
      </c>
      <c r="G67" s="690" t="s">
        <v>173</v>
      </c>
      <c r="H67" s="691" t="s">
        <v>173</v>
      </c>
      <c r="I67" s="690" t="s">
        <v>173</v>
      </c>
      <c r="J67" s="691" t="s">
        <v>173</v>
      </c>
      <c r="K67" s="690" t="s">
        <v>173</v>
      </c>
      <c r="L67" s="691" t="s">
        <v>173</v>
      </c>
      <c r="M67" s="373"/>
      <c r="N67" s="373"/>
      <c r="O67" s="373"/>
      <c r="P67" s="373"/>
      <c r="Q67" s="373"/>
      <c r="R67" s="373"/>
    </row>
    <row r="68" spans="1:24" s="359" customFormat="1" x14ac:dyDescent="0.3">
      <c r="A68" s="373"/>
      <c r="B68" s="141" t="s">
        <v>356</v>
      </c>
      <c r="C68" s="373" t="s">
        <v>427</v>
      </c>
      <c r="D68" s="373" t="s">
        <v>137</v>
      </c>
      <c r="E68" s="409" t="s">
        <v>300</v>
      </c>
      <c r="F68" s="266" t="s">
        <v>423</v>
      </c>
      <c r="G68" s="690" t="s">
        <v>173</v>
      </c>
      <c r="H68" s="691" t="s">
        <v>173</v>
      </c>
      <c r="I68" s="690" t="s">
        <v>173</v>
      </c>
      <c r="J68" s="691" t="s">
        <v>173</v>
      </c>
      <c r="K68" s="690" t="s">
        <v>173</v>
      </c>
      <c r="L68" s="691" t="s">
        <v>173</v>
      </c>
      <c r="M68" s="373"/>
      <c r="N68" s="373"/>
      <c r="O68" s="373"/>
      <c r="P68" s="373"/>
      <c r="Q68" s="373"/>
      <c r="R68" s="373"/>
    </row>
    <row r="69" spans="1:24" s="359" customFormat="1" x14ac:dyDescent="0.3">
      <c r="A69" s="373"/>
      <c r="B69" s="141" t="s">
        <v>358</v>
      </c>
      <c r="C69" s="373" t="s">
        <v>427</v>
      </c>
      <c r="D69" s="373" t="s">
        <v>137</v>
      </c>
      <c r="E69" s="409" t="s">
        <v>300</v>
      </c>
      <c r="F69" s="266" t="s">
        <v>423</v>
      </c>
      <c r="G69" s="690" t="s">
        <v>173</v>
      </c>
      <c r="H69" s="691" t="s">
        <v>173</v>
      </c>
      <c r="I69" s="690" t="s">
        <v>173</v>
      </c>
      <c r="J69" s="691" t="s">
        <v>173</v>
      </c>
      <c r="K69" s="690" t="s">
        <v>173</v>
      </c>
      <c r="L69" s="691" t="s">
        <v>173</v>
      </c>
      <c r="M69" s="373"/>
      <c r="N69" s="373"/>
      <c r="O69" s="373"/>
      <c r="P69" s="373"/>
      <c r="Q69" s="373"/>
      <c r="R69" s="373"/>
    </row>
    <row r="70" spans="1:24" s="359" customFormat="1" x14ac:dyDescent="0.3">
      <c r="A70" s="373"/>
      <c r="B70" s="141" t="s">
        <v>360</v>
      </c>
      <c r="C70" s="373" t="s">
        <v>427</v>
      </c>
      <c r="D70" s="373" t="s">
        <v>137</v>
      </c>
      <c r="E70" s="409" t="s">
        <v>300</v>
      </c>
      <c r="F70" s="202" t="s">
        <v>423</v>
      </c>
      <c r="G70" s="690" t="s">
        <v>173</v>
      </c>
      <c r="H70" s="691" t="s">
        <v>173</v>
      </c>
      <c r="I70" s="690" t="s">
        <v>173</v>
      </c>
      <c r="J70" s="691" t="s">
        <v>173</v>
      </c>
      <c r="K70" s="690" t="s">
        <v>173</v>
      </c>
      <c r="L70" s="691" t="s">
        <v>173</v>
      </c>
      <c r="M70" s="373"/>
      <c r="N70" s="373"/>
      <c r="O70" s="373"/>
      <c r="P70" s="373"/>
      <c r="Q70" s="373"/>
      <c r="R70" s="373"/>
    </row>
    <row r="71" spans="1:24" s="359" customFormat="1" ht="27.6" x14ac:dyDescent="0.3">
      <c r="A71" s="373"/>
      <c r="B71" s="141" t="s">
        <v>374</v>
      </c>
      <c r="C71" s="366" t="s">
        <v>428</v>
      </c>
      <c r="D71" s="373" t="s">
        <v>137</v>
      </c>
      <c r="E71" s="409" t="s">
        <v>300</v>
      </c>
      <c r="F71" s="202" t="s">
        <v>423</v>
      </c>
      <c r="G71" s="690" t="s">
        <v>173</v>
      </c>
      <c r="H71" s="691" t="s">
        <v>173</v>
      </c>
      <c r="I71" s="690" t="s">
        <v>173</v>
      </c>
      <c r="J71" s="691" t="s">
        <v>173</v>
      </c>
      <c r="K71" s="690" t="s">
        <v>173</v>
      </c>
      <c r="L71" s="691" t="s">
        <v>173</v>
      </c>
      <c r="M71" s="373"/>
      <c r="N71" s="373"/>
      <c r="O71" s="373"/>
      <c r="P71" s="373"/>
      <c r="Q71" s="373"/>
      <c r="R71" s="373"/>
    </row>
    <row r="72" spans="1:24" s="359" customFormat="1" x14ac:dyDescent="0.3">
      <c r="A72" s="373"/>
      <c r="B72" s="278" t="s">
        <v>363</v>
      </c>
      <c r="C72" s="167" t="s">
        <v>429</v>
      </c>
      <c r="D72" s="452" t="s">
        <v>137</v>
      </c>
      <c r="E72" s="410" t="s">
        <v>300</v>
      </c>
      <c r="F72" s="198" t="s">
        <v>430</v>
      </c>
      <c r="G72" s="576" t="s">
        <v>300</v>
      </c>
      <c r="H72" s="856">
        <f>0.0051427*(81)+0.3989</f>
        <v>0.81545869999999998</v>
      </c>
      <c r="I72" s="692" t="s">
        <v>173</v>
      </c>
      <c r="J72" s="693" t="s">
        <v>173</v>
      </c>
      <c r="K72" s="414" t="s">
        <v>300</v>
      </c>
      <c r="L72" s="172" t="s">
        <v>431</v>
      </c>
      <c r="M72" s="373"/>
      <c r="N72" s="373"/>
      <c r="O72" s="373"/>
      <c r="P72" s="373"/>
      <c r="Q72" s="373"/>
      <c r="R72" s="373"/>
    </row>
    <row r="73" spans="1:24" s="534" customFormat="1" ht="14.4" x14ac:dyDescent="0.3">
      <c r="A73" s="397"/>
      <c r="B73" s="566"/>
      <c r="C73" s="566"/>
      <c r="E73" s="533"/>
      <c r="G73" s="533"/>
      <c r="I73" s="533"/>
      <c r="K73" s="533"/>
      <c r="M73" s="397"/>
      <c r="N73" s="397"/>
      <c r="O73" s="397"/>
      <c r="P73" s="397"/>
      <c r="Q73" s="397"/>
      <c r="R73" s="397"/>
      <c r="S73" s="397"/>
      <c r="T73" s="397"/>
    </row>
    <row r="74" spans="1:24" s="534" customFormat="1" ht="14.4" x14ac:dyDescent="0.3">
      <c r="A74" s="397"/>
      <c r="B74" s="74"/>
      <c r="C74" s="17"/>
      <c r="D74" s="397"/>
      <c r="E74" s="74"/>
      <c r="F74" s="397"/>
      <c r="G74" s="74"/>
      <c r="H74" s="397"/>
      <c r="I74" s="74"/>
      <c r="J74" s="397"/>
      <c r="K74" s="74"/>
      <c r="L74" s="397"/>
      <c r="M74" s="74"/>
      <c r="N74" s="397"/>
      <c r="O74" s="74"/>
      <c r="P74" s="397"/>
      <c r="Q74" s="74"/>
      <c r="R74" s="397"/>
      <c r="S74" s="74"/>
      <c r="T74" s="397"/>
    </row>
    <row r="75" spans="1:24" s="358" customFormat="1" ht="27.6" x14ac:dyDescent="0.3">
      <c r="A75" s="373"/>
      <c r="B75" s="131" t="s">
        <v>330</v>
      </c>
      <c r="C75" s="120" t="s">
        <v>432</v>
      </c>
      <c r="D75" s="120" t="s">
        <v>122</v>
      </c>
      <c r="E75" s="571"/>
      <c r="F75" s="117" t="s">
        <v>433</v>
      </c>
      <c r="G75" s="120"/>
      <c r="H75" s="173" t="s">
        <v>434</v>
      </c>
      <c r="I75" s="131"/>
      <c r="J75" s="117" t="s">
        <v>435</v>
      </c>
      <c r="K75" s="131"/>
      <c r="L75" s="117" t="s">
        <v>436</v>
      </c>
      <c r="M75" s="173"/>
      <c r="N75" s="120" t="s">
        <v>437</v>
      </c>
      <c r="O75" s="194"/>
      <c r="P75" s="117" t="s">
        <v>438</v>
      </c>
      <c r="Q75" s="173"/>
      <c r="R75" s="173" t="s">
        <v>439</v>
      </c>
      <c r="S75" s="194"/>
      <c r="T75" s="117" t="s">
        <v>440</v>
      </c>
    </row>
    <row r="76" spans="1:24" s="101" customFormat="1" ht="15" thickBot="1" x14ac:dyDescent="0.35">
      <c r="A76" s="89"/>
      <c r="B76" s="178" t="s">
        <v>441</v>
      </c>
      <c r="C76" s="176" t="s">
        <v>442</v>
      </c>
      <c r="D76" s="176"/>
      <c r="E76" s="574"/>
      <c r="F76" s="179" t="s">
        <v>443</v>
      </c>
      <c r="G76" s="575"/>
      <c r="H76" s="176" t="s">
        <v>444</v>
      </c>
      <c r="I76" s="574"/>
      <c r="J76" s="179"/>
      <c r="K76" s="574"/>
      <c r="L76" s="179" t="s">
        <v>445</v>
      </c>
      <c r="M76" s="575"/>
      <c r="N76" s="176" t="s">
        <v>446</v>
      </c>
      <c r="O76" s="574"/>
      <c r="P76" s="179" t="s">
        <v>447</v>
      </c>
      <c r="Q76" s="575"/>
      <c r="R76" s="176" t="s">
        <v>448</v>
      </c>
      <c r="S76" s="574"/>
      <c r="T76" s="179" t="s">
        <v>449</v>
      </c>
    </row>
    <row r="77" spans="1:24" s="359" customFormat="1" ht="15" thickTop="1" x14ac:dyDescent="0.3">
      <c r="A77" s="373"/>
      <c r="B77" s="141" t="s">
        <v>352</v>
      </c>
      <c r="C77" s="373" t="s">
        <v>450</v>
      </c>
      <c r="D77" s="373" t="s">
        <v>137</v>
      </c>
      <c r="E77" s="409" t="s">
        <v>300</v>
      </c>
      <c r="F77" s="373" t="s">
        <v>451</v>
      </c>
      <c r="G77" s="409"/>
      <c r="H77" s="365" t="s">
        <v>452</v>
      </c>
      <c r="I77" s="458" t="s">
        <v>173</v>
      </c>
      <c r="J77" s="463">
        <v>14146.3</v>
      </c>
      <c r="K77" s="459" t="s">
        <v>173</v>
      </c>
      <c r="L77" s="428">
        <f>0.0013*J77</f>
        <v>18.390189999999997</v>
      </c>
      <c r="M77" s="412"/>
      <c r="N77" s="858">
        <v>0.65</v>
      </c>
      <c r="O77" s="412"/>
      <c r="P77" s="858">
        <v>5.3619700000000003</v>
      </c>
      <c r="Q77" s="412"/>
      <c r="R77" s="861">
        <v>20</v>
      </c>
      <c r="S77" s="412"/>
      <c r="T77" s="863">
        <v>0.93</v>
      </c>
      <c r="V77" s="358"/>
      <c r="X77" s="482"/>
    </row>
    <row r="78" spans="1:24" s="359" customFormat="1" ht="14.4" x14ac:dyDescent="0.3">
      <c r="A78" s="373"/>
      <c r="B78" s="141" t="s">
        <v>357</v>
      </c>
      <c r="C78" s="373" t="s">
        <v>453</v>
      </c>
      <c r="D78" s="373" t="s">
        <v>137</v>
      </c>
      <c r="E78" s="409" t="s">
        <v>300</v>
      </c>
      <c r="F78" s="373" t="s">
        <v>451</v>
      </c>
      <c r="G78" s="409"/>
      <c r="H78" s="365" t="s">
        <v>452</v>
      </c>
      <c r="I78" s="459" t="s">
        <v>173</v>
      </c>
      <c r="J78" s="463">
        <v>1646.78</v>
      </c>
      <c r="K78" s="459" t="s">
        <v>173</v>
      </c>
      <c r="L78" s="428">
        <f t="shared" ref="L78:L80" si="0">0.0013*J78</f>
        <v>2.1408139999999998</v>
      </c>
      <c r="M78" s="412"/>
      <c r="N78" s="20">
        <v>0.65</v>
      </c>
      <c r="O78" s="412"/>
      <c r="P78" s="20">
        <v>5.3619700000000003</v>
      </c>
      <c r="Q78" s="412"/>
      <c r="R78" s="489">
        <v>3</v>
      </c>
      <c r="S78" s="412"/>
      <c r="T78" s="861">
        <v>0.89500000000000002</v>
      </c>
      <c r="V78" s="358"/>
      <c r="X78" s="482"/>
    </row>
    <row r="79" spans="1:24" s="359" customFormat="1" ht="14.4" x14ac:dyDescent="0.3">
      <c r="A79" s="373"/>
      <c r="B79" s="141" t="s">
        <v>359</v>
      </c>
      <c r="C79" s="373" t="s">
        <v>454</v>
      </c>
      <c r="D79" s="373" t="s">
        <v>137</v>
      </c>
      <c r="E79" s="409" t="s">
        <v>300</v>
      </c>
      <c r="F79" s="373" t="s">
        <v>451</v>
      </c>
      <c r="G79" s="409"/>
      <c r="H79" s="365" t="s">
        <v>452</v>
      </c>
      <c r="I79" s="459" t="s">
        <v>173</v>
      </c>
      <c r="J79" s="463">
        <v>1674.51</v>
      </c>
      <c r="K79" s="459" t="s">
        <v>173</v>
      </c>
      <c r="L79" s="428">
        <f t="shared" si="0"/>
        <v>2.176863</v>
      </c>
      <c r="M79" s="412"/>
      <c r="N79" s="20">
        <v>0.65</v>
      </c>
      <c r="O79" s="412"/>
      <c r="P79" s="20">
        <v>5.3619700000000003</v>
      </c>
      <c r="Q79" s="412"/>
      <c r="R79" s="489">
        <v>3</v>
      </c>
      <c r="S79" s="412"/>
      <c r="T79" s="861">
        <v>0.89500000000000002</v>
      </c>
      <c r="V79" s="358"/>
      <c r="X79" s="482"/>
    </row>
    <row r="80" spans="1:24" s="359" customFormat="1" ht="14.4" x14ac:dyDescent="0.3">
      <c r="A80" s="373"/>
      <c r="B80" s="141" t="s">
        <v>361</v>
      </c>
      <c r="C80" s="373" t="s">
        <v>455</v>
      </c>
      <c r="D80" s="373" t="s">
        <v>137</v>
      </c>
      <c r="E80" s="409" t="s">
        <v>300</v>
      </c>
      <c r="F80" s="373" t="s">
        <v>451</v>
      </c>
      <c r="G80" s="409"/>
      <c r="H80" s="365" t="s">
        <v>452</v>
      </c>
      <c r="I80" s="459" t="s">
        <v>173</v>
      </c>
      <c r="J80" s="463">
        <v>1721.44</v>
      </c>
      <c r="K80" s="459" t="s">
        <v>173</v>
      </c>
      <c r="L80" s="428">
        <f t="shared" si="0"/>
        <v>2.2378719999999999</v>
      </c>
      <c r="M80" s="412"/>
      <c r="N80" s="20">
        <v>0.65</v>
      </c>
      <c r="O80" s="412"/>
      <c r="P80" s="20">
        <v>5.3619700000000003</v>
      </c>
      <c r="Q80" s="412"/>
      <c r="R80" s="489">
        <v>3</v>
      </c>
      <c r="S80" s="412"/>
      <c r="T80" s="861">
        <v>0.89500000000000002</v>
      </c>
      <c r="V80" s="358"/>
      <c r="X80" s="482"/>
    </row>
    <row r="81" spans="1:24" s="359" customFormat="1" ht="14.4" x14ac:dyDescent="0.3">
      <c r="A81" s="373"/>
      <c r="B81" s="141" t="s">
        <v>456</v>
      </c>
      <c r="C81" s="373" t="s">
        <v>457</v>
      </c>
      <c r="D81" s="373" t="s">
        <v>137</v>
      </c>
      <c r="E81" s="409" t="s">
        <v>300</v>
      </c>
      <c r="F81" s="373" t="s">
        <v>458</v>
      </c>
      <c r="G81" s="409"/>
      <c r="H81" s="365" t="s">
        <v>452</v>
      </c>
      <c r="I81" s="459" t="s">
        <v>173</v>
      </c>
      <c r="J81" s="463">
        <v>351.02600000000001</v>
      </c>
      <c r="K81" s="459" t="s">
        <v>173</v>
      </c>
      <c r="L81" s="646">
        <v>0.14088600000000001</v>
      </c>
      <c r="M81" s="412"/>
      <c r="N81" s="20">
        <v>0.5</v>
      </c>
      <c r="O81" s="412" t="s">
        <v>300</v>
      </c>
      <c r="P81" s="841">
        <f>L81*N81/J81/(0.1175/745.6)</f>
        <v>1.2734051172302083</v>
      </c>
      <c r="Q81" s="412" t="s">
        <v>300</v>
      </c>
      <c r="R81" s="489">
        <v>0.25</v>
      </c>
      <c r="S81" s="412" t="s">
        <v>300</v>
      </c>
      <c r="T81" s="861">
        <v>0.85499999999999998</v>
      </c>
      <c r="V81" s="577"/>
      <c r="X81" s="482"/>
    </row>
    <row r="82" spans="1:24" s="359" customFormat="1" ht="14.4" x14ac:dyDescent="0.3">
      <c r="A82" s="373"/>
      <c r="B82" s="141" t="s">
        <v>456</v>
      </c>
      <c r="C82" s="373" t="s">
        <v>459</v>
      </c>
      <c r="D82" s="373" t="s">
        <v>137</v>
      </c>
      <c r="E82" s="409" t="s">
        <v>300</v>
      </c>
      <c r="F82" s="373" t="s">
        <v>458</v>
      </c>
      <c r="G82" s="409"/>
      <c r="H82" s="365" t="s">
        <v>452</v>
      </c>
      <c r="I82" s="459" t="s">
        <v>173</v>
      </c>
      <c r="J82" s="463">
        <v>351.02600000000001</v>
      </c>
      <c r="K82" s="459" t="s">
        <v>173</v>
      </c>
      <c r="L82" s="646">
        <v>0.14088600000000001</v>
      </c>
      <c r="M82" s="412"/>
      <c r="N82" s="20">
        <v>0.5</v>
      </c>
      <c r="O82" s="412" t="s">
        <v>300</v>
      </c>
      <c r="P82" s="841">
        <f t="shared" ref="P82:P126" si="1">L82*N82/J82/(0.1175/745.6)</f>
        <v>1.2734051172302083</v>
      </c>
      <c r="Q82" s="412" t="s">
        <v>300</v>
      </c>
      <c r="R82" s="489">
        <v>0.25</v>
      </c>
      <c r="S82" s="412" t="s">
        <v>300</v>
      </c>
      <c r="T82" s="861">
        <v>0.85499999999999998</v>
      </c>
      <c r="V82" s="358"/>
      <c r="X82" s="482"/>
    </row>
    <row r="83" spans="1:24" s="359" customFormat="1" ht="14.4" x14ac:dyDescent="0.3">
      <c r="A83" s="373"/>
      <c r="B83" s="141" t="s">
        <v>456</v>
      </c>
      <c r="C83" s="373" t="s">
        <v>460</v>
      </c>
      <c r="D83" s="373" t="s">
        <v>137</v>
      </c>
      <c r="E83" s="409" t="s">
        <v>300</v>
      </c>
      <c r="F83" s="373" t="s">
        <v>458</v>
      </c>
      <c r="G83" s="409"/>
      <c r="H83" s="365" t="s">
        <v>452</v>
      </c>
      <c r="I83" s="459" t="s">
        <v>173</v>
      </c>
      <c r="J83" s="463">
        <v>351.02600000000001</v>
      </c>
      <c r="K83" s="459" t="s">
        <v>173</v>
      </c>
      <c r="L83" s="646">
        <v>0.14088600000000001</v>
      </c>
      <c r="M83" s="412"/>
      <c r="N83" s="20">
        <v>0.5</v>
      </c>
      <c r="O83" s="412" t="s">
        <v>300</v>
      </c>
      <c r="P83" s="841">
        <f t="shared" si="1"/>
        <v>1.2734051172302083</v>
      </c>
      <c r="Q83" s="412" t="s">
        <v>300</v>
      </c>
      <c r="R83" s="489">
        <v>0.25</v>
      </c>
      <c r="S83" s="412" t="s">
        <v>300</v>
      </c>
      <c r="T83" s="861">
        <v>0.85499999999999998</v>
      </c>
      <c r="V83" s="358"/>
      <c r="X83" s="482"/>
    </row>
    <row r="84" spans="1:24" s="359" customFormat="1" ht="14.4" x14ac:dyDescent="0.3">
      <c r="A84" s="373"/>
      <c r="B84" s="141" t="s">
        <v>456</v>
      </c>
      <c r="C84" s="373" t="s">
        <v>461</v>
      </c>
      <c r="D84" s="373" t="s">
        <v>137</v>
      </c>
      <c r="E84" s="409" t="s">
        <v>300</v>
      </c>
      <c r="F84" s="373" t="s">
        <v>458</v>
      </c>
      <c r="G84" s="409"/>
      <c r="H84" s="365" t="s">
        <v>452</v>
      </c>
      <c r="I84" s="459" t="s">
        <v>173</v>
      </c>
      <c r="J84" s="463">
        <v>351</v>
      </c>
      <c r="K84" s="459" t="s">
        <v>173</v>
      </c>
      <c r="L84" s="646">
        <v>0.140875</v>
      </c>
      <c r="M84" s="412"/>
      <c r="N84" s="20">
        <v>0.5</v>
      </c>
      <c r="O84" s="412" t="s">
        <v>300</v>
      </c>
      <c r="P84" s="841">
        <f t="shared" si="1"/>
        <v>1.2734000121234166</v>
      </c>
      <c r="Q84" s="412" t="s">
        <v>300</v>
      </c>
      <c r="R84" s="489">
        <v>0.25</v>
      </c>
      <c r="S84" s="412" t="s">
        <v>300</v>
      </c>
      <c r="T84" s="861">
        <v>0.85499999999999998</v>
      </c>
      <c r="V84" s="358"/>
      <c r="X84" s="482"/>
    </row>
    <row r="85" spans="1:24" s="359" customFormat="1" ht="14.4" x14ac:dyDescent="0.3">
      <c r="A85" s="373"/>
      <c r="B85" s="141" t="s">
        <v>456</v>
      </c>
      <c r="C85" s="373" t="s">
        <v>462</v>
      </c>
      <c r="D85" s="373" t="s">
        <v>137</v>
      </c>
      <c r="E85" s="409" t="s">
        <v>300</v>
      </c>
      <c r="F85" s="373" t="s">
        <v>458</v>
      </c>
      <c r="G85" s="409"/>
      <c r="H85" s="365" t="s">
        <v>452</v>
      </c>
      <c r="I85" s="459" t="s">
        <v>173</v>
      </c>
      <c r="J85" s="463">
        <v>351</v>
      </c>
      <c r="K85" s="459" t="s">
        <v>173</v>
      </c>
      <c r="L85" s="646">
        <v>0.140875</v>
      </c>
      <c r="M85" s="412"/>
      <c r="N85" s="20">
        <v>0.5</v>
      </c>
      <c r="O85" s="412" t="s">
        <v>300</v>
      </c>
      <c r="P85" s="841">
        <f t="shared" si="1"/>
        <v>1.2734000121234166</v>
      </c>
      <c r="Q85" s="412" t="s">
        <v>300</v>
      </c>
      <c r="R85" s="489">
        <v>0.25</v>
      </c>
      <c r="S85" s="412" t="s">
        <v>300</v>
      </c>
      <c r="T85" s="861">
        <v>0.85499999999999998</v>
      </c>
      <c r="V85" s="358"/>
      <c r="X85" s="482"/>
    </row>
    <row r="86" spans="1:24" s="359" customFormat="1" ht="14.4" x14ac:dyDescent="0.3">
      <c r="A86" s="373"/>
      <c r="B86" s="141" t="s">
        <v>463</v>
      </c>
      <c r="C86" s="373" t="s">
        <v>464</v>
      </c>
      <c r="D86" s="373" t="s">
        <v>137</v>
      </c>
      <c r="E86" s="409" t="s">
        <v>300</v>
      </c>
      <c r="F86" s="373" t="s">
        <v>458</v>
      </c>
      <c r="G86" s="409"/>
      <c r="H86" s="365" t="s">
        <v>452</v>
      </c>
      <c r="I86" s="459" t="s">
        <v>173</v>
      </c>
      <c r="J86" s="463">
        <v>351.02699999999999</v>
      </c>
      <c r="K86" s="459" t="s">
        <v>173</v>
      </c>
      <c r="L86" s="646">
        <v>0.14088600000000001</v>
      </c>
      <c r="M86" s="412"/>
      <c r="N86" s="20">
        <v>0.5</v>
      </c>
      <c r="O86" s="412" t="s">
        <v>300</v>
      </c>
      <c r="P86" s="841">
        <f t="shared" si="1"/>
        <v>1.2734014895744521</v>
      </c>
      <c r="Q86" s="412" t="s">
        <v>300</v>
      </c>
      <c r="R86" s="489">
        <v>0.25</v>
      </c>
      <c r="S86" s="412" t="s">
        <v>300</v>
      </c>
      <c r="T86" s="861">
        <v>0.85499999999999998</v>
      </c>
      <c r="V86" s="358"/>
      <c r="X86" s="482"/>
    </row>
    <row r="87" spans="1:24" s="359" customFormat="1" ht="14.4" x14ac:dyDescent="0.3">
      <c r="A87" s="373"/>
      <c r="B87" s="141" t="s">
        <v>463</v>
      </c>
      <c r="C87" s="373" t="s">
        <v>465</v>
      </c>
      <c r="D87" s="373" t="s">
        <v>137</v>
      </c>
      <c r="E87" s="409" t="s">
        <v>300</v>
      </c>
      <c r="F87" s="373" t="s">
        <v>458</v>
      </c>
      <c r="G87" s="409"/>
      <c r="H87" s="365" t="s">
        <v>452</v>
      </c>
      <c r="I87" s="459" t="s">
        <v>173</v>
      </c>
      <c r="J87" s="463">
        <v>351.02600000000001</v>
      </c>
      <c r="K87" s="459" t="s">
        <v>173</v>
      </c>
      <c r="L87" s="646">
        <v>0.14088600000000001</v>
      </c>
      <c r="M87" s="412"/>
      <c r="N87" s="20">
        <v>0.5</v>
      </c>
      <c r="O87" s="412" t="s">
        <v>300</v>
      </c>
      <c r="P87" s="841">
        <f t="shared" si="1"/>
        <v>1.2734051172302083</v>
      </c>
      <c r="Q87" s="412" t="s">
        <v>300</v>
      </c>
      <c r="R87" s="489">
        <v>0.25</v>
      </c>
      <c r="S87" s="412" t="s">
        <v>300</v>
      </c>
      <c r="T87" s="861">
        <v>0.85499999999999998</v>
      </c>
      <c r="V87" s="358"/>
      <c r="X87" s="482"/>
    </row>
    <row r="88" spans="1:24" s="359" customFormat="1" ht="14.4" x14ac:dyDescent="0.3">
      <c r="A88" s="373"/>
      <c r="B88" s="141" t="s">
        <v>463</v>
      </c>
      <c r="C88" s="373" t="s">
        <v>466</v>
      </c>
      <c r="D88" s="373" t="s">
        <v>137</v>
      </c>
      <c r="E88" s="409" t="s">
        <v>300</v>
      </c>
      <c r="F88" s="373" t="s">
        <v>458</v>
      </c>
      <c r="G88" s="409"/>
      <c r="H88" s="365" t="s">
        <v>452</v>
      </c>
      <c r="I88" s="459" t="s">
        <v>173</v>
      </c>
      <c r="J88" s="463">
        <v>378.03</v>
      </c>
      <c r="K88" s="459" t="s">
        <v>173</v>
      </c>
      <c r="L88" s="646">
        <v>0.151724</v>
      </c>
      <c r="M88" s="412"/>
      <c r="N88" s="20">
        <v>0.5</v>
      </c>
      <c r="O88" s="412" t="s">
        <v>300</v>
      </c>
      <c r="P88" s="841">
        <f t="shared" si="1"/>
        <v>1.2734035450299175</v>
      </c>
      <c r="Q88" s="412" t="s">
        <v>300</v>
      </c>
      <c r="R88" s="489">
        <v>0.25</v>
      </c>
      <c r="S88" s="412" t="s">
        <v>300</v>
      </c>
      <c r="T88" s="861">
        <v>0.85499999999999998</v>
      </c>
      <c r="V88" s="358"/>
      <c r="X88" s="482"/>
    </row>
    <row r="89" spans="1:24" s="359" customFormat="1" ht="14.4" x14ac:dyDescent="0.3">
      <c r="A89" s="373"/>
      <c r="B89" s="141" t="s">
        <v>463</v>
      </c>
      <c r="C89" s="373" t="s">
        <v>467</v>
      </c>
      <c r="D89" s="373" t="s">
        <v>137</v>
      </c>
      <c r="E89" s="409" t="s">
        <v>300</v>
      </c>
      <c r="F89" s="373" t="s">
        <v>458</v>
      </c>
      <c r="G89" s="409"/>
      <c r="H89" s="365" t="s">
        <v>452</v>
      </c>
      <c r="I89" s="459" t="s">
        <v>173</v>
      </c>
      <c r="J89" s="463">
        <v>351.02600000000001</v>
      </c>
      <c r="K89" s="459" t="s">
        <v>173</v>
      </c>
      <c r="L89" s="646">
        <v>0.14088600000000001</v>
      </c>
      <c r="M89" s="412"/>
      <c r="N89" s="20">
        <v>0.5</v>
      </c>
      <c r="O89" s="412" t="s">
        <v>300</v>
      </c>
      <c r="P89" s="841">
        <f t="shared" si="1"/>
        <v>1.2734051172302083</v>
      </c>
      <c r="Q89" s="412" t="s">
        <v>300</v>
      </c>
      <c r="R89" s="489">
        <v>0.25</v>
      </c>
      <c r="S89" s="412" t="s">
        <v>300</v>
      </c>
      <c r="T89" s="861">
        <v>0.85499999999999998</v>
      </c>
      <c r="V89" s="358"/>
      <c r="X89" s="482"/>
    </row>
    <row r="90" spans="1:24" s="359" customFormat="1" ht="14.4" x14ac:dyDescent="0.3">
      <c r="A90" s="373"/>
      <c r="B90" s="141" t="s">
        <v>463</v>
      </c>
      <c r="C90" s="373" t="s">
        <v>468</v>
      </c>
      <c r="D90" s="373" t="s">
        <v>137</v>
      </c>
      <c r="E90" s="409" t="s">
        <v>300</v>
      </c>
      <c r="F90" s="373" t="s">
        <v>458</v>
      </c>
      <c r="G90" s="409"/>
      <c r="H90" s="365" t="s">
        <v>452</v>
      </c>
      <c r="I90" s="459" t="s">
        <v>173</v>
      </c>
      <c r="J90" s="463">
        <v>351.02600000000001</v>
      </c>
      <c r="K90" s="459" t="s">
        <v>173</v>
      </c>
      <c r="L90" s="646">
        <v>0.14088600000000001</v>
      </c>
      <c r="M90" s="412"/>
      <c r="N90" s="20">
        <v>0.5</v>
      </c>
      <c r="O90" s="412" t="s">
        <v>300</v>
      </c>
      <c r="P90" s="841">
        <f t="shared" si="1"/>
        <v>1.2734051172302083</v>
      </c>
      <c r="Q90" s="412" t="s">
        <v>300</v>
      </c>
      <c r="R90" s="489">
        <v>0.25</v>
      </c>
      <c r="S90" s="412" t="s">
        <v>300</v>
      </c>
      <c r="T90" s="861">
        <v>0.85499999999999998</v>
      </c>
      <c r="V90" s="358"/>
      <c r="X90" s="482"/>
    </row>
    <row r="91" spans="1:24" s="359" customFormat="1" ht="14.4" x14ac:dyDescent="0.3">
      <c r="A91" s="373"/>
      <c r="B91" s="141" t="s">
        <v>463</v>
      </c>
      <c r="C91" s="373" t="s">
        <v>469</v>
      </c>
      <c r="D91" s="373" t="s">
        <v>137</v>
      </c>
      <c r="E91" s="409" t="s">
        <v>300</v>
      </c>
      <c r="F91" s="373" t="s">
        <v>458</v>
      </c>
      <c r="G91" s="409"/>
      <c r="H91" s="365" t="s">
        <v>452</v>
      </c>
      <c r="I91" s="459" t="s">
        <v>173</v>
      </c>
      <c r="J91" s="463">
        <v>351</v>
      </c>
      <c r="K91" s="459" t="s">
        <v>173</v>
      </c>
      <c r="L91" s="646">
        <v>0.140875</v>
      </c>
      <c r="M91" s="412"/>
      <c r="N91" s="20">
        <v>0.5</v>
      </c>
      <c r="O91" s="412" t="s">
        <v>300</v>
      </c>
      <c r="P91" s="841">
        <f t="shared" si="1"/>
        <v>1.2734000121234166</v>
      </c>
      <c r="Q91" s="412" t="s">
        <v>300</v>
      </c>
      <c r="R91" s="489">
        <v>0.25</v>
      </c>
      <c r="S91" s="412" t="s">
        <v>300</v>
      </c>
      <c r="T91" s="861">
        <v>0.85499999999999998</v>
      </c>
      <c r="V91" s="358"/>
      <c r="X91" s="482"/>
    </row>
    <row r="92" spans="1:24" s="359" customFormat="1" ht="14.4" x14ac:dyDescent="0.3">
      <c r="A92" s="373"/>
      <c r="B92" s="141" t="s">
        <v>463</v>
      </c>
      <c r="C92" s="373" t="s">
        <v>470</v>
      </c>
      <c r="D92" s="373" t="s">
        <v>137</v>
      </c>
      <c r="E92" s="409" t="s">
        <v>300</v>
      </c>
      <c r="F92" s="373" t="s">
        <v>458</v>
      </c>
      <c r="G92" s="409"/>
      <c r="H92" s="365" t="s">
        <v>452</v>
      </c>
      <c r="I92" s="459" t="s">
        <v>173</v>
      </c>
      <c r="J92" s="463">
        <v>351</v>
      </c>
      <c r="K92" s="459" t="s">
        <v>173</v>
      </c>
      <c r="L92" s="646">
        <v>0.140875</v>
      </c>
      <c r="M92" s="412"/>
      <c r="N92" s="20">
        <v>0.5</v>
      </c>
      <c r="O92" s="412" t="s">
        <v>300</v>
      </c>
      <c r="P92" s="841">
        <f t="shared" si="1"/>
        <v>1.2734000121234166</v>
      </c>
      <c r="Q92" s="412" t="s">
        <v>300</v>
      </c>
      <c r="R92" s="489">
        <v>0.25</v>
      </c>
      <c r="S92" s="412" t="s">
        <v>300</v>
      </c>
      <c r="T92" s="861">
        <v>0.85499999999999998</v>
      </c>
      <c r="V92" s="358"/>
      <c r="X92" s="482"/>
    </row>
    <row r="93" spans="1:24" s="359" customFormat="1" ht="14.4" x14ac:dyDescent="0.3">
      <c r="A93" s="373"/>
      <c r="B93" s="141" t="s">
        <v>463</v>
      </c>
      <c r="C93" s="373" t="s">
        <v>471</v>
      </c>
      <c r="D93" s="373" t="s">
        <v>137</v>
      </c>
      <c r="E93" s="409" t="s">
        <v>300</v>
      </c>
      <c r="F93" s="373" t="s">
        <v>458</v>
      </c>
      <c r="G93" s="409"/>
      <c r="H93" s="365" t="s">
        <v>452</v>
      </c>
      <c r="I93" s="459" t="s">
        <v>173</v>
      </c>
      <c r="J93" s="463">
        <v>351.005</v>
      </c>
      <c r="K93" s="459" t="s">
        <v>173</v>
      </c>
      <c r="L93" s="646">
        <v>0.140878</v>
      </c>
      <c r="M93" s="412"/>
      <c r="N93" s="20">
        <v>0.5</v>
      </c>
      <c r="O93" s="412" t="s">
        <v>300</v>
      </c>
      <c r="P93" s="841">
        <f t="shared" si="1"/>
        <v>1.2734089900519694</v>
      </c>
      <c r="Q93" s="412" t="s">
        <v>300</v>
      </c>
      <c r="R93" s="489">
        <v>0.25</v>
      </c>
      <c r="S93" s="412" t="s">
        <v>300</v>
      </c>
      <c r="T93" s="861">
        <v>0.85499999999999998</v>
      </c>
      <c r="V93" s="358"/>
      <c r="X93" s="482"/>
    </row>
    <row r="94" spans="1:24" s="359" customFormat="1" ht="14.4" x14ac:dyDescent="0.3">
      <c r="A94" s="373"/>
      <c r="B94" s="141" t="s">
        <v>463</v>
      </c>
      <c r="C94" s="373" t="s">
        <v>472</v>
      </c>
      <c r="D94" s="373" t="s">
        <v>137</v>
      </c>
      <c r="E94" s="409" t="s">
        <v>300</v>
      </c>
      <c r="F94" s="373" t="s">
        <v>458</v>
      </c>
      <c r="G94" s="409"/>
      <c r="H94" s="365" t="s">
        <v>452</v>
      </c>
      <c r="I94" s="459" t="s">
        <v>173</v>
      </c>
      <c r="J94" s="463">
        <v>351</v>
      </c>
      <c r="K94" s="459" t="s">
        <v>173</v>
      </c>
      <c r="L94" s="646">
        <v>0.140875</v>
      </c>
      <c r="M94" s="412"/>
      <c r="N94" s="20">
        <v>0.5</v>
      </c>
      <c r="O94" s="412" t="s">
        <v>300</v>
      </c>
      <c r="P94" s="841">
        <f t="shared" si="1"/>
        <v>1.2734000121234166</v>
      </c>
      <c r="Q94" s="412" t="s">
        <v>300</v>
      </c>
      <c r="R94" s="489">
        <v>0.25</v>
      </c>
      <c r="S94" s="412" t="s">
        <v>300</v>
      </c>
      <c r="T94" s="861">
        <v>0.85499999999999998</v>
      </c>
      <c r="V94" s="358"/>
      <c r="X94" s="482"/>
    </row>
    <row r="95" spans="1:24" s="359" customFormat="1" ht="14.4" x14ac:dyDescent="0.3">
      <c r="A95" s="373"/>
      <c r="B95" s="141" t="s">
        <v>463</v>
      </c>
      <c r="C95" s="373" t="s">
        <v>473</v>
      </c>
      <c r="D95" s="373" t="s">
        <v>137</v>
      </c>
      <c r="E95" s="409" t="s">
        <v>300</v>
      </c>
      <c r="F95" s="373" t="s">
        <v>458</v>
      </c>
      <c r="G95" s="409"/>
      <c r="H95" s="365" t="s">
        <v>452</v>
      </c>
      <c r="I95" s="459" t="s">
        <v>173</v>
      </c>
      <c r="J95" s="463">
        <v>351</v>
      </c>
      <c r="K95" s="459" t="s">
        <v>173</v>
      </c>
      <c r="L95" s="646">
        <v>0.140875</v>
      </c>
      <c r="M95" s="412"/>
      <c r="N95" s="20">
        <v>0.5</v>
      </c>
      <c r="O95" s="412" t="s">
        <v>300</v>
      </c>
      <c r="P95" s="841">
        <f t="shared" si="1"/>
        <v>1.2734000121234166</v>
      </c>
      <c r="Q95" s="412" t="s">
        <v>300</v>
      </c>
      <c r="R95" s="489">
        <v>0.25</v>
      </c>
      <c r="S95" s="412" t="s">
        <v>300</v>
      </c>
      <c r="T95" s="861">
        <v>0.85499999999999998</v>
      </c>
      <c r="V95" s="358"/>
      <c r="X95" s="482"/>
    </row>
    <row r="96" spans="1:24" s="359" customFormat="1" ht="14.4" x14ac:dyDescent="0.3">
      <c r="A96" s="373"/>
      <c r="B96" s="141" t="s">
        <v>474</v>
      </c>
      <c r="C96" s="373" t="s">
        <v>475</v>
      </c>
      <c r="D96" s="373" t="s">
        <v>137</v>
      </c>
      <c r="E96" s="409" t="s">
        <v>300</v>
      </c>
      <c r="F96" s="373" t="s">
        <v>458</v>
      </c>
      <c r="G96" s="409"/>
      <c r="H96" s="365" t="s">
        <v>452</v>
      </c>
      <c r="I96" s="459" t="s">
        <v>173</v>
      </c>
      <c r="J96" s="463">
        <v>351.02699999999999</v>
      </c>
      <c r="K96" s="459" t="s">
        <v>173</v>
      </c>
      <c r="L96" s="646">
        <v>0.14088600000000001</v>
      </c>
      <c r="M96" s="412"/>
      <c r="N96" s="20">
        <v>0.5</v>
      </c>
      <c r="O96" s="412" t="s">
        <v>300</v>
      </c>
      <c r="P96" s="841">
        <f t="shared" si="1"/>
        <v>1.2734014895744521</v>
      </c>
      <c r="Q96" s="412" t="s">
        <v>300</v>
      </c>
      <c r="R96" s="489">
        <v>0.25</v>
      </c>
      <c r="S96" s="412" t="s">
        <v>300</v>
      </c>
      <c r="T96" s="861">
        <v>0.85499999999999998</v>
      </c>
      <c r="V96" s="358"/>
      <c r="X96" s="482"/>
    </row>
    <row r="97" spans="1:24" s="359" customFormat="1" ht="14.4" x14ac:dyDescent="0.3">
      <c r="A97" s="373"/>
      <c r="B97" s="141" t="s">
        <v>474</v>
      </c>
      <c r="C97" s="373" t="s">
        <v>476</v>
      </c>
      <c r="D97" s="373" t="s">
        <v>137</v>
      </c>
      <c r="E97" s="409" t="s">
        <v>300</v>
      </c>
      <c r="F97" s="373" t="s">
        <v>458</v>
      </c>
      <c r="G97" s="409"/>
      <c r="H97" s="365" t="s">
        <v>452</v>
      </c>
      <c r="I97" s="459" t="s">
        <v>173</v>
      </c>
      <c r="J97" s="463">
        <v>351.02600000000001</v>
      </c>
      <c r="K97" s="459" t="s">
        <v>173</v>
      </c>
      <c r="L97" s="646">
        <v>0.14088600000000001</v>
      </c>
      <c r="M97" s="412"/>
      <c r="N97" s="20">
        <v>0.5</v>
      </c>
      <c r="O97" s="412" t="s">
        <v>300</v>
      </c>
      <c r="P97" s="841">
        <f t="shared" si="1"/>
        <v>1.2734051172302083</v>
      </c>
      <c r="Q97" s="412" t="s">
        <v>300</v>
      </c>
      <c r="R97" s="489">
        <v>0.25</v>
      </c>
      <c r="S97" s="412" t="s">
        <v>300</v>
      </c>
      <c r="T97" s="861">
        <v>0.85499999999999998</v>
      </c>
      <c r="V97" s="358"/>
      <c r="X97" s="482"/>
    </row>
    <row r="98" spans="1:24" s="359" customFormat="1" ht="14.4" x14ac:dyDescent="0.3">
      <c r="A98" s="373"/>
      <c r="B98" s="141" t="s">
        <v>474</v>
      </c>
      <c r="C98" s="373" t="s">
        <v>477</v>
      </c>
      <c r="D98" s="373" t="s">
        <v>137</v>
      </c>
      <c r="E98" s="409" t="s">
        <v>300</v>
      </c>
      <c r="F98" s="373" t="s">
        <v>458</v>
      </c>
      <c r="G98" s="409"/>
      <c r="H98" s="365" t="s">
        <v>452</v>
      </c>
      <c r="I98" s="459" t="s">
        <v>173</v>
      </c>
      <c r="J98" s="463">
        <v>378.03</v>
      </c>
      <c r="K98" s="459" t="s">
        <v>173</v>
      </c>
      <c r="L98" s="646">
        <v>0.151724</v>
      </c>
      <c r="M98" s="412"/>
      <c r="N98" s="20">
        <v>0.5</v>
      </c>
      <c r="O98" s="412" t="s">
        <v>300</v>
      </c>
      <c r="P98" s="841">
        <f t="shared" si="1"/>
        <v>1.2734035450299175</v>
      </c>
      <c r="Q98" s="412" t="s">
        <v>300</v>
      </c>
      <c r="R98" s="489">
        <v>0.25</v>
      </c>
      <c r="S98" s="412" t="s">
        <v>300</v>
      </c>
      <c r="T98" s="861">
        <v>0.85499999999999998</v>
      </c>
      <c r="V98" s="358"/>
      <c r="X98" s="482"/>
    </row>
    <row r="99" spans="1:24" s="359" customFormat="1" ht="14.4" x14ac:dyDescent="0.3">
      <c r="A99" s="373"/>
      <c r="B99" s="141" t="s">
        <v>474</v>
      </c>
      <c r="C99" s="373" t="s">
        <v>478</v>
      </c>
      <c r="D99" s="373" t="s">
        <v>137</v>
      </c>
      <c r="E99" s="409" t="s">
        <v>300</v>
      </c>
      <c r="F99" s="373" t="s">
        <v>458</v>
      </c>
      <c r="G99" s="409"/>
      <c r="H99" s="365" t="s">
        <v>452</v>
      </c>
      <c r="I99" s="459" t="s">
        <v>173</v>
      </c>
      <c r="J99" s="463">
        <v>351.02600000000001</v>
      </c>
      <c r="K99" s="459" t="s">
        <v>173</v>
      </c>
      <c r="L99" s="646">
        <v>0.14088600000000001</v>
      </c>
      <c r="M99" s="412"/>
      <c r="N99" s="20">
        <v>0.5</v>
      </c>
      <c r="O99" s="412" t="s">
        <v>300</v>
      </c>
      <c r="P99" s="841">
        <f t="shared" si="1"/>
        <v>1.2734051172302083</v>
      </c>
      <c r="Q99" s="412" t="s">
        <v>300</v>
      </c>
      <c r="R99" s="489">
        <v>0.25</v>
      </c>
      <c r="S99" s="412" t="s">
        <v>300</v>
      </c>
      <c r="T99" s="861">
        <v>0.85499999999999998</v>
      </c>
      <c r="V99" s="358"/>
      <c r="X99" s="482"/>
    </row>
    <row r="100" spans="1:24" s="359" customFormat="1" ht="14.4" x14ac:dyDescent="0.3">
      <c r="A100" s="373"/>
      <c r="B100" s="141" t="s">
        <v>474</v>
      </c>
      <c r="C100" s="373" t="s">
        <v>479</v>
      </c>
      <c r="D100" s="373" t="s">
        <v>137</v>
      </c>
      <c r="E100" s="409" t="s">
        <v>300</v>
      </c>
      <c r="F100" s="373" t="s">
        <v>458</v>
      </c>
      <c r="G100" s="409"/>
      <c r="H100" s="365" t="s">
        <v>452</v>
      </c>
      <c r="I100" s="459" t="s">
        <v>173</v>
      </c>
      <c r="J100" s="463">
        <v>351.02600000000001</v>
      </c>
      <c r="K100" s="459" t="s">
        <v>173</v>
      </c>
      <c r="L100" s="646">
        <v>0.14088600000000001</v>
      </c>
      <c r="M100" s="412"/>
      <c r="N100" s="20">
        <v>0.5</v>
      </c>
      <c r="O100" s="412" t="s">
        <v>300</v>
      </c>
      <c r="P100" s="841">
        <f t="shared" si="1"/>
        <v>1.2734051172302083</v>
      </c>
      <c r="Q100" s="412" t="s">
        <v>300</v>
      </c>
      <c r="R100" s="489">
        <v>0.25</v>
      </c>
      <c r="S100" s="412" t="s">
        <v>300</v>
      </c>
      <c r="T100" s="861">
        <v>0.85499999999999998</v>
      </c>
      <c r="V100" s="358"/>
      <c r="X100" s="482"/>
    </row>
    <row r="101" spans="1:24" s="359" customFormat="1" ht="14.4" x14ac:dyDescent="0.3">
      <c r="A101" s="373"/>
      <c r="B101" s="141" t="s">
        <v>474</v>
      </c>
      <c r="C101" s="373" t="s">
        <v>480</v>
      </c>
      <c r="D101" s="373" t="s">
        <v>137</v>
      </c>
      <c r="E101" s="409" t="s">
        <v>300</v>
      </c>
      <c r="F101" s="373" t="s">
        <v>458</v>
      </c>
      <c r="G101" s="409"/>
      <c r="H101" s="365" t="s">
        <v>452</v>
      </c>
      <c r="I101" s="459" t="s">
        <v>173</v>
      </c>
      <c r="J101" s="463">
        <v>351</v>
      </c>
      <c r="K101" s="459" t="s">
        <v>173</v>
      </c>
      <c r="L101" s="646">
        <v>0.140875</v>
      </c>
      <c r="M101" s="412"/>
      <c r="N101" s="20">
        <v>0.5</v>
      </c>
      <c r="O101" s="412" t="s">
        <v>300</v>
      </c>
      <c r="P101" s="841">
        <f t="shared" si="1"/>
        <v>1.2734000121234166</v>
      </c>
      <c r="Q101" s="412" t="s">
        <v>300</v>
      </c>
      <c r="R101" s="489">
        <v>0.25</v>
      </c>
      <c r="S101" s="412" t="s">
        <v>300</v>
      </c>
      <c r="T101" s="861">
        <v>0.85499999999999998</v>
      </c>
      <c r="V101" s="358"/>
      <c r="X101" s="482"/>
    </row>
    <row r="102" spans="1:24" s="359" customFormat="1" ht="14.4" x14ac:dyDescent="0.3">
      <c r="A102" s="373"/>
      <c r="B102" s="141" t="s">
        <v>474</v>
      </c>
      <c r="C102" s="373" t="s">
        <v>481</v>
      </c>
      <c r="D102" s="373" t="s">
        <v>137</v>
      </c>
      <c r="E102" s="409" t="s">
        <v>300</v>
      </c>
      <c r="F102" s="373" t="s">
        <v>458</v>
      </c>
      <c r="G102" s="409"/>
      <c r="H102" s="365" t="s">
        <v>452</v>
      </c>
      <c r="I102" s="459" t="s">
        <v>173</v>
      </c>
      <c r="J102" s="463">
        <v>351</v>
      </c>
      <c r="K102" s="459" t="s">
        <v>173</v>
      </c>
      <c r="L102" s="646">
        <v>0.140875</v>
      </c>
      <c r="M102" s="412"/>
      <c r="N102" s="20">
        <v>0.5</v>
      </c>
      <c r="O102" s="412" t="s">
        <v>300</v>
      </c>
      <c r="P102" s="841">
        <f t="shared" si="1"/>
        <v>1.2734000121234166</v>
      </c>
      <c r="Q102" s="412" t="s">
        <v>300</v>
      </c>
      <c r="R102" s="489">
        <v>0.25</v>
      </c>
      <c r="S102" s="412" t="s">
        <v>300</v>
      </c>
      <c r="T102" s="861">
        <v>0.85499999999999998</v>
      </c>
      <c r="V102" s="358"/>
      <c r="X102" s="482"/>
    </row>
    <row r="103" spans="1:24" s="359" customFormat="1" ht="14.4" x14ac:dyDescent="0.3">
      <c r="A103" s="373"/>
      <c r="B103" s="141" t="s">
        <v>474</v>
      </c>
      <c r="C103" s="373" t="s">
        <v>482</v>
      </c>
      <c r="D103" s="373" t="s">
        <v>137</v>
      </c>
      <c r="E103" s="409" t="s">
        <v>300</v>
      </c>
      <c r="F103" s="202" t="s">
        <v>458</v>
      </c>
      <c r="G103" s="409"/>
      <c r="H103" s="361" t="s">
        <v>452</v>
      </c>
      <c r="I103" s="459" t="s">
        <v>173</v>
      </c>
      <c r="J103" s="463">
        <v>351.005</v>
      </c>
      <c r="K103" s="459" t="s">
        <v>173</v>
      </c>
      <c r="L103" s="646">
        <v>0.140878</v>
      </c>
      <c r="M103" s="412"/>
      <c r="N103" s="298">
        <v>0.5</v>
      </c>
      <c r="O103" s="412" t="s">
        <v>300</v>
      </c>
      <c r="P103" s="841">
        <f t="shared" si="1"/>
        <v>1.2734089900519694</v>
      </c>
      <c r="Q103" s="412" t="s">
        <v>300</v>
      </c>
      <c r="R103" s="489">
        <v>0.25</v>
      </c>
      <c r="S103" s="412" t="s">
        <v>300</v>
      </c>
      <c r="T103" s="861">
        <v>0.85499999999999998</v>
      </c>
      <c r="V103" s="358"/>
      <c r="X103" s="482"/>
    </row>
    <row r="104" spans="1:24" s="359" customFormat="1" ht="14.4" x14ac:dyDescent="0.3">
      <c r="A104" s="373"/>
      <c r="B104" s="141" t="s">
        <v>474</v>
      </c>
      <c r="C104" s="373" t="s">
        <v>483</v>
      </c>
      <c r="D104" s="373" t="s">
        <v>137</v>
      </c>
      <c r="E104" s="409" t="s">
        <v>300</v>
      </c>
      <c r="F104" s="202" t="s">
        <v>458</v>
      </c>
      <c r="G104" s="409"/>
      <c r="H104" s="361" t="s">
        <v>452</v>
      </c>
      <c r="I104" s="459" t="s">
        <v>173</v>
      </c>
      <c r="J104" s="463">
        <v>351</v>
      </c>
      <c r="K104" s="459" t="s">
        <v>173</v>
      </c>
      <c r="L104" s="646">
        <v>0.140875</v>
      </c>
      <c r="M104" s="412"/>
      <c r="N104" s="298">
        <v>0.5</v>
      </c>
      <c r="O104" s="412" t="s">
        <v>300</v>
      </c>
      <c r="P104" s="841">
        <f t="shared" si="1"/>
        <v>1.2734000121234166</v>
      </c>
      <c r="Q104" s="412" t="s">
        <v>300</v>
      </c>
      <c r="R104" s="489">
        <v>0.25</v>
      </c>
      <c r="S104" s="412" t="s">
        <v>300</v>
      </c>
      <c r="T104" s="861">
        <v>0.85499999999999998</v>
      </c>
      <c r="V104" s="358"/>
      <c r="X104" s="482"/>
    </row>
    <row r="105" spans="1:24" s="359" customFormat="1" ht="14.4" x14ac:dyDescent="0.3">
      <c r="A105" s="373"/>
      <c r="B105" s="141" t="s">
        <v>474</v>
      </c>
      <c r="C105" s="373" t="s">
        <v>484</v>
      </c>
      <c r="D105" s="373" t="s">
        <v>137</v>
      </c>
      <c r="E105" s="409" t="s">
        <v>300</v>
      </c>
      <c r="F105" s="202" t="s">
        <v>458</v>
      </c>
      <c r="G105" s="409"/>
      <c r="H105" s="361" t="s">
        <v>452</v>
      </c>
      <c r="I105" s="459" t="s">
        <v>173</v>
      </c>
      <c r="J105" s="463">
        <v>351</v>
      </c>
      <c r="K105" s="459" t="s">
        <v>173</v>
      </c>
      <c r="L105" s="646">
        <v>0.140875</v>
      </c>
      <c r="M105" s="412"/>
      <c r="N105" s="298">
        <v>0.5</v>
      </c>
      <c r="O105" s="412" t="s">
        <v>300</v>
      </c>
      <c r="P105" s="841">
        <f t="shared" si="1"/>
        <v>1.2734000121234166</v>
      </c>
      <c r="Q105" s="412" t="s">
        <v>300</v>
      </c>
      <c r="R105" s="489">
        <v>0.25</v>
      </c>
      <c r="S105" s="412" t="s">
        <v>300</v>
      </c>
      <c r="T105" s="861">
        <v>0.85499999999999998</v>
      </c>
      <c r="V105" s="358"/>
      <c r="X105" s="482"/>
    </row>
    <row r="106" spans="1:24" s="359" customFormat="1" ht="14.4" x14ac:dyDescent="0.3">
      <c r="A106" s="373"/>
      <c r="B106" s="141" t="s">
        <v>485</v>
      </c>
      <c r="C106" s="373" t="s">
        <v>486</v>
      </c>
      <c r="D106" s="373" t="s">
        <v>137</v>
      </c>
      <c r="E106" s="409" t="s">
        <v>300</v>
      </c>
      <c r="F106" s="202" t="s">
        <v>458</v>
      </c>
      <c r="G106" s="409"/>
      <c r="H106" s="361" t="s">
        <v>452</v>
      </c>
      <c r="I106" s="459" t="s">
        <v>173</v>
      </c>
      <c r="J106" s="463">
        <v>351.02699999999999</v>
      </c>
      <c r="K106" s="459" t="s">
        <v>173</v>
      </c>
      <c r="L106" s="646">
        <v>0.14088600000000001</v>
      </c>
      <c r="M106" s="412"/>
      <c r="N106" s="298">
        <v>0.5</v>
      </c>
      <c r="O106" s="412" t="s">
        <v>300</v>
      </c>
      <c r="P106" s="841">
        <f t="shared" si="1"/>
        <v>1.2734014895744521</v>
      </c>
      <c r="Q106" s="412" t="s">
        <v>300</v>
      </c>
      <c r="R106" s="489">
        <v>0.25</v>
      </c>
      <c r="S106" s="412" t="s">
        <v>300</v>
      </c>
      <c r="T106" s="861">
        <v>0.85499999999999998</v>
      </c>
      <c r="V106" s="358"/>
      <c r="X106" s="482"/>
    </row>
    <row r="107" spans="1:24" s="359" customFormat="1" ht="14.4" x14ac:dyDescent="0.3">
      <c r="A107" s="373"/>
      <c r="B107" s="141" t="s">
        <v>485</v>
      </c>
      <c r="C107" s="373" t="s">
        <v>487</v>
      </c>
      <c r="D107" s="373" t="s">
        <v>137</v>
      </c>
      <c r="E107" s="409" t="s">
        <v>300</v>
      </c>
      <c r="F107" s="202" t="s">
        <v>458</v>
      </c>
      <c r="G107" s="409"/>
      <c r="H107" s="361" t="s">
        <v>452</v>
      </c>
      <c r="I107" s="459" t="s">
        <v>173</v>
      </c>
      <c r="J107" s="463">
        <v>351.02600000000001</v>
      </c>
      <c r="K107" s="459" t="s">
        <v>173</v>
      </c>
      <c r="L107" s="646">
        <v>0.14088600000000001</v>
      </c>
      <c r="M107" s="412"/>
      <c r="N107" s="298">
        <v>0.5</v>
      </c>
      <c r="O107" s="412" t="s">
        <v>300</v>
      </c>
      <c r="P107" s="841">
        <f t="shared" si="1"/>
        <v>1.2734051172302083</v>
      </c>
      <c r="Q107" s="412" t="s">
        <v>300</v>
      </c>
      <c r="R107" s="489">
        <v>0.25</v>
      </c>
      <c r="S107" s="412" t="s">
        <v>300</v>
      </c>
      <c r="T107" s="861">
        <v>0.85499999999999998</v>
      </c>
      <c r="V107" s="358"/>
      <c r="X107" s="482"/>
    </row>
    <row r="108" spans="1:24" s="359" customFormat="1" ht="14.4" x14ac:dyDescent="0.3">
      <c r="A108" s="373"/>
      <c r="B108" s="141" t="s">
        <v>485</v>
      </c>
      <c r="C108" s="373" t="s">
        <v>488</v>
      </c>
      <c r="D108" s="373" t="s">
        <v>137</v>
      </c>
      <c r="E108" s="409" t="s">
        <v>300</v>
      </c>
      <c r="F108" s="202" t="s">
        <v>458</v>
      </c>
      <c r="G108" s="409"/>
      <c r="H108" s="361" t="s">
        <v>452</v>
      </c>
      <c r="I108" s="459" t="s">
        <v>173</v>
      </c>
      <c r="J108" s="463">
        <v>378.03</v>
      </c>
      <c r="K108" s="459" t="s">
        <v>173</v>
      </c>
      <c r="L108" s="646">
        <v>0.151724</v>
      </c>
      <c r="M108" s="412"/>
      <c r="N108" s="298">
        <v>0.5</v>
      </c>
      <c r="O108" s="412" t="s">
        <v>300</v>
      </c>
      <c r="P108" s="841">
        <f t="shared" si="1"/>
        <v>1.2734035450299175</v>
      </c>
      <c r="Q108" s="412" t="s">
        <v>300</v>
      </c>
      <c r="R108" s="489">
        <v>0.25</v>
      </c>
      <c r="S108" s="412" t="s">
        <v>300</v>
      </c>
      <c r="T108" s="861">
        <v>0.85499999999999998</v>
      </c>
      <c r="V108" s="358"/>
      <c r="X108" s="482"/>
    </row>
    <row r="109" spans="1:24" s="359" customFormat="1" ht="14.4" x14ac:dyDescent="0.3">
      <c r="A109" s="373"/>
      <c r="B109" s="141" t="s">
        <v>485</v>
      </c>
      <c r="C109" s="373" t="s">
        <v>489</v>
      </c>
      <c r="D109" s="373" t="s">
        <v>137</v>
      </c>
      <c r="E109" s="409" t="s">
        <v>300</v>
      </c>
      <c r="F109" s="202" t="s">
        <v>458</v>
      </c>
      <c r="G109" s="409"/>
      <c r="H109" s="361" t="s">
        <v>452</v>
      </c>
      <c r="I109" s="459" t="s">
        <v>173</v>
      </c>
      <c r="J109" s="463">
        <v>351.02600000000001</v>
      </c>
      <c r="K109" s="459" t="s">
        <v>173</v>
      </c>
      <c r="L109" s="646">
        <v>0.14088600000000001</v>
      </c>
      <c r="M109" s="412"/>
      <c r="N109" s="298">
        <v>0.5</v>
      </c>
      <c r="O109" s="412" t="s">
        <v>300</v>
      </c>
      <c r="P109" s="841">
        <f t="shared" si="1"/>
        <v>1.2734051172302083</v>
      </c>
      <c r="Q109" s="412" t="s">
        <v>300</v>
      </c>
      <c r="R109" s="489">
        <v>0.25</v>
      </c>
      <c r="S109" s="412" t="s">
        <v>300</v>
      </c>
      <c r="T109" s="861">
        <v>0.85499999999999998</v>
      </c>
      <c r="V109" s="358"/>
      <c r="X109" s="482"/>
    </row>
    <row r="110" spans="1:24" s="359" customFormat="1" ht="14.4" x14ac:dyDescent="0.3">
      <c r="A110" s="373"/>
      <c r="B110" s="141" t="s">
        <v>485</v>
      </c>
      <c r="C110" s="373" t="s">
        <v>490</v>
      </c>
      <c r="D110" s="373" t="s">
        <v>137</v>
      </c>
      <c r="E110" s="409" t="s">
        <v>300</v>
      </c>
      <c r="F110" s="202" t="s">
        <v>458</v>
      </c>
      <c r="G110" s="409"/>
      <c r="H110" s="361" t="s">
        <v>452</v>
      </c>
      <c r="I110" s="459" t="s">
        <v>173</v>
      </c>
      <c r="J110" s="463">
        <v>351.02600000000001</v>
      </c>
      <c r="K110" s="459" t="s">
        <v>173</v>
      </c>
      <c r="L110" s="646">
        <v>0.14088600000000001</v>
      </c>
      <c r="M110" s="412"/>
      <c r="N110" s="298">
        <v>0.5</v>
      </c>
      <c r="O110" s="412" t="s">
        <v>300</v>
      </c>
      <c r="P110" s="841">
        <f t="shared" si="1"/>
        <v>1.2734051172302083</v>
      </c>
      <c r="Q110" s="412" t="s">
        <v>300</v>
      </c>
      <c r="R110" s="489">
        <v>0.25</v>
      </c>
      <c r="S110" s="412" t="s">
        <v>300</v>
      </c>
      <c r="T110" s="861">
        <v>0.85499999999999998</v>
      </c>
      <c r="V110" s="358"/>
      <c r="X110" s="482"/>
    </row>
    <row r="111" spans="1:24" s="359" customFormat="1" ht="14.4" x14ac:dyDescent="0.3">
      <c r="A111" s="373"/>
      <c r="B111" s="141" t="s">
        <v>485</v>
      </c>
      <c r="C111" s="373" t="s">
        <v>491</v>
      </c>
      <c r="D111" s="373" t="s">
        <v>137</v>
      </c>
      <c r="E111" s="409" t="s">
        <v>300</v>
      </c>
      <c r="F111" s="202" t="s">
        <v>458</v>
      </c>
      <c r="G111" s="409"/>
      <c r="H111" s="361" t="s">
        <v>452</v>
      </c>
      <c r="I111" s="459" t="s">
        <v>173</v>
      </c>
      <c r="J111" s="463">
        <v>351</v>
      </c>
      <c r="K111" s="459" t="s">
        <v>173</v>
      </c>
      <c r="L111" s="646">
        <v>0.140875</v>
      </c>
      <c r="M111" s="412"/>
      <c r="N111" s="298">
        <v>0.5</v>
      </c>
      <c r="O111" s="412" t="s">
        <v>300</v>
      </c>
      <c r="P111" s="841">
        <f t="shared" si="1"/>
        <v>1.2734000121234166</v>
      </c>
      <c r="Q111" s="412" t="s">
        <v>300</v>
      </c>
      <c r="R111" s="489">
        <v>0.25</v>
      </c>
      <c r="S111" s="412" t="s">
        <v>300</v>
      </c>
      <c r="T111" s="861">
        <v>0.85499999999999998</v>
      </c>
      <c r="V111" s="358"/>
      <c r="X111" s="482"/>
    </row>
    <row r="112" spans="1:24" s="359" customFormat="1" ht="14.4" x14ac:dyDescent="0.3">
      <c r="A112" s="373"/>
      <c r="B112" s="141" t="s">
        <v>485</v>
      </c>
      <c r="C112" s="373" t="s">
        <v>492</v>
      </c>
      <c r="D112" s="373" t="s">
        <v>137</v>
      </c>
      <c r="E112" s="409" t="s">
        <v>300</v>
      </c>
      <c r="F112" s="202" t="s">
        <v>458</v>
      </c>
      <c r="G112" s="409"/>
      <c r="H112" s="361" t="s">
        <v>452</v>
      </c>
      <c r="I112" s="459" t="s">
        <v>173</v>
      </c>
      <c r="J112" s="463">
        <v>351</v>
      </c>
      <c r="K112" s="459" t="s">
        <v>173</v>
      </c>
      <c r="L112" s="646">
        <v>0.140875</v>
      </c>
      <c r="M112" s="412"/>
      <c r="N112" s="298">
        <v>0.5</v>
      </c>
      <c r="O112" s="412" t="s">
        <v>300</v>
      </c>
      <c r="P112" s="841">
        <f t="shared" si="1"/>
        <v>1.2734000121234166</v>
      </c>
      <c r="Q112" s="412" t="s">
        <v>300</v>
      </c>
      <c r="R112" s="489">
        <v>0.25</v>
      </c>
      <c r="S112" s="412" t="s">
        <v>300</v>
      </c>
      <c r="T112" s="861">
        <v>0.85499999999999998</v>
      </c>
      <c r="V112" s="358"/>
      <c r="X112" s="482"/>
    </row>
    <row r="113" spans="1:24" s="359" customFormat="1" ht="14.4" x14ac:dyDescent="0.3">
      <c r="A113" s="373"/>
      <c r="B113" s="141" t="s">
        <v>485</v>
      </c>
      <c r="C113" s="373" t="s">
        <v>493</v>
      </c>
      <c r="D113" s="373" t="s">
        <v>137</v>
      </c>
      <c r="E113" s="409" t="s">
        <v>300</v>
      </c>
      <c r="F113" s="202" t="s">
        <v>458</v>
      </c>
      <c r="G113" s="409"/>
      <c r="H113" s="361" t="s">
        <v>452</v>
      </c>
      <c r="I113" s="459" t="s">
        <v>173</v>
      </c>
      <c r="J113" s="463">
        <v>351.005</v>
      </c>
      <c r="K113" s="459" t="s">
        <v>173</v>
      </c>
      <c r="L113" s="646">
        <v>0.140878</v>
      </c>
      <c r="M113" s="412"/>
      <c r="N113" s="298">
        <v>0.5</v>
      </c>
      <c r="O113" s="412" t="s">
        <v>300</v>
      </c>
      <c r="P113" s="841">
        <f t="shared" si="1"/>
        <v>1.2734089900519694</v>
      </c>
      <c r="Q113" s="412" t="s">
        <v>300</v>
      </c>
      <c r="R113" s="489">
        <v>0.25</v>
      </c>
      <c r="S113" s="412" t="s">
        <v>300</v>
      </c>
      <c r="T113" s="861">
        <v>0.85499999999999998</v>
      </c>
      <c r="V113" s="358"/>
      <c r="X113" s="482"/>
    </row>
    <row r="114" spans="1:24" s="359" customFormat="1" ht="14.4" x14ac:dyDescent="0.3">
      <c r="A114" s="373"/>
      <c r="B114" s="141" t="s">
        <v>485</v>
      </c>
      <c r="C114" s="373" t="s">
        <v>494</v>
      </c>
      <c r="D114" s="373" t="s">
        <v>137</v>
      </c>
      <c r="E114" s="409" t="s">
        <v>300</v>
      </c>
      <c r="F114" s="202" t="s">
        <v>458</v>
      </c>
      <c r="G114" s="409"/>
      <c r="H114" s="361" t="s">
        <v>452</v>
      </c>
      <c r="I114" s="459" t="s">
        <v>173</v>
      </c>
      <c r="J114" s="463">
        <v>351</v>
      </c>
      <c r="K114" s="459" t="s">
        <v>173</v>
      </c>
      <c r="L114" s="646">
        <v>0.140875</v>
      </c>
      <c r="M114" s="412"/>
      <c r="N114" s="298">
        <v>0.5</v>
      </c>
      <c r="O114" s="412" t="s">
        <v>300</v>
      </c>
      <c r="P114" s="841">
        <f t="shared" si="1"/>
        <v>1.2734000121234166</v>
      </c>
      <c r="Q114" s="412" t="s">
        <v>300</v>
      </c>
      <c r="R114" s="489">
        <v>0.25</v>
      </c>
      <c r="S114" s="412" t="s">
        <v>300</v>
      </c>
      <c r="T114" s="861">
        <v>0.85499999999999998</v>
      </c>
      <c r="V114" s="358"/>
      <c r="X114" s="482"/>
    </row>
    <row r="115" spans="1:24" s="359" customFormat="1" ht="14.4" x14ac:dyDescent="0.3">
      <c r="A115" s="373"/>
      <c r="B115" s="141" t="s">
        <v>485</v>
      </c>
      <c r="C115" s="373" t="s">
        <v>495</v>
      </c>
      <c r="D115" s="373" t="s">
        <v>137</v>
      </c>
      <c r="E115" s="409" t="s">
        <v>300</v>
      </c>
      <c r="F115" s="202" t="s">
        <v>458</v>
      </c>
      <c r="G115" s="409"/>
      <c r="H115" s="361" t="s">
        <v>452</v>
      </c>
      <c r="I115" s="459" t="s">
        <v>173</v>
      </c>
      <c r="J115" s="463">
        <v>351</v>
      </c>
      <c r="K115" s="459" t="s">
        <v>173</v>
      </c>
      <c r="L115" s="646">
        <v>0.140875</v>
      </c>
      <c r="M115" s="412"/>
      <c r="N115" s="298">
        <v>0.5</v>
      </c>
      <c r="O115" s="412" t="s">
        <v>300</v>
      </c>
      <c r="P115" s="841">
        <f t="shared" si="1"/>
        <v>1.2734000121234166</v>
      </c>
      <c r="Q115" s="412" t="s">
        <v>300</v>
      </c>
      <c r="R115" s="489">
        <v>0.25</v>
      </c>
      <c r="S115" s="412" t="s">
        <v>300</v>
      </c>
      <c r="T115" s="861">
        <v>0.85499999999999998</v>
      </c>
      <c r="V115" s="358"/>
      <c r="X115" s="482"/>
    </row>
    <row r="116" spans="1:24" s="359" customFormat="1" ht="14.4" x14ac:dyDescent="0.3">
      <c r="A116" s="373"/>
      <c r="B116" s="141" t="s">
        <v>485</v>
      </c>
      <c r="C116" s="373" t="s">
        <v>496</v>
      </c>
      <c r="D116" s="373" t="s">
        <v>137</v>
      </c>
      <c r="E116" s="409" t="s">
        <v>300</v>
      </c>
      <c r="F116" s="202" t="s">
        <v>458</v>
      </c>
      <c r="G116" s="409"/>
      <c r="H116" s="361" t="s">
        <v>452</v>
      </c>
      <c r="I116" s="459" t="s">
        <v>173</v>
      </c>
      <c r="J116" s="463">
        <v>52.654000000000003</v>
      </c>
      <c r="K116" s="459" t="s">
        <v>173</v>
      </c>
      <c r="L116" s="646">
        <v>3.5020299999999997E-2</v>
      </c>
      <c r="M116" s="412"/>
      <c r="N116" s="298">
        <v>0.65</v>
      </c>
      <c r="O116" s="412"/>
      <c r="P116" s="841">
        <f t="shared" si="1"/>
        <v>2.7432783901972657</v>
      </c>
      <c r="Q116" s="412"/>
      <c r="R116" s="489">
        <v>8.3000000000000004E-2</v>
      </c>
      <c r="S116" s="412" t="s">
        <v>300</v>
      </c>
      <c r="T116" s="861">
        <v>0.85499999999999998</v>
      </c>
      <c r="V116" s="358"/>
      <c r="X116" s="482"/>
    </row>
    <row r="117" spans="1:24" s="359" customFormat="1" ht="14.4" x14ac:dyDescent="0.3">
      <c r="A117" s="373"/>
      <c r="B117" s="141" t="s">
        <v>485</v>
      </c>
      <c r="C117" s="373" t="s">
        <v>497</v>
      </c>
      <c r="D117" s="373" t="s">
        <v>137</v>
      </c>
      <c r="E117" s="409" t="s">
        <v>300</v>
      </c>
      <c r="F117" s="202" t="s">
        <v>458</v>
      </c>
      <c r="G117" s="409"/>
      <c r="H117" s="361" t="s">
        <v>452</v>
      </c>
      <c r="I117" s="459" t="s">
        <v>173</v>
      </c>
      <c r="J117" s="463">
        <v>52.6539</v>
      </c>
      <c r="K117" s="459" t="s">
        <v>173</v>
      </c>
      <c r="L117" s="646">
        <v>3.5020200000000001E-2</v>
      </c>
      <c r="M117" s="412"/>
      <c r="N117" s="298">
        <v>0.65</v>
      </c>
      <c r="O117" s="412"/>
      <c r="P117" s="841">
        <f t="shared" si="1"/>
        <v>2.7432757668068724</v>
      </c>
      <c r="Q117" s="412"/>
      <c r="R117" s="489">
        <v>8.3000000000000004E-2</v>
      </c>
      <c r="S117" s="412" t="s">
        <v>300</v>
      </c>
      <c r="T117" s="861">
        <v>0.85499999999999998</v>
      </c>
      <c r="V117" s="358"/>
      <c r="X117" s="482"/>
    </row>
    <row r="118" spans="1:24" s="359" customFormat="1" ht="14.4" x14ac:dyDescent="0.3">
      <c r="A118" s="373"/>
      <c r="B118" s="141" t="s">
        <v>485</v>
      </c>
      <c r="C118" s="373" t="s">
        <v>498</v>
      </c>
      <c r="D118" s="373" t="s">
        <v>137</v>
      </c>
      <c r="E118" s="409" t="s">
        <v>300</v>
      </c>
      <c r="F118" s="202" t="s">
        <v>458</v>
      </c>
      <c r="G118" s="409"/>
      <c r="H118" s="361" t="s">
        <v>452</v>
      </c>
      <c r="I118" s="459" t="s">
        <v>173</v>
      </c>
      <c r="J118" s="463">
        <v>56.704500000000003</v>
      </c>
      <c r="K118" s="459" t="s">
        <v>173</v>
      </c>
      <c r="L118" s="646">
        <v>3.7714200000000003E-2</v>
      </c>
      <c r="M118" s="412"/>
      <c r="N118" s="298">
        <v>0.65</v>
      </c>
      <c r="O118" s="412"/>
      <c r="P118" s="841">
        <f t="shared" si="1"/>
        <v>2.7432713247457006</v>
      </c>
      <c r="Q118" s="412"/>
      <c r="R118" s="489">
        <v>8.3000000000000004E-2</v>
      </c>
      <c r="S118" s="412" t="s">
        <v>300</v>
      </c>
      <c r="T118" s="861">
        <v>0.85499999999999998</v>
      </c>
      <c r="V118" s="358"/>
      <c r="X118" s="482"/>
    </row>
    <row r="119" spans="1:24" s="359" customFormat="1" ht="14.4" x14ac:dyDescent="0.3">
      <c r="A119" s="373"/>
      <c r="B119" s="141" t="s">
        <v>485</v>
      </c>
      <c r="C119" s="373" t="s">
        <v>499</v>
      </c>
      <c r="D119" s="373" t="s">
        <v>137</v>
      </c>
      <c r="E119" s="409" t="s">
        <v>300</v>
      </c>
      <c r="F119" s="202" t="s">
        <v>458</v>
      </c>
      <c r="G119" s="409"/>
      <c r="H119" s="361" t="s">
        <v>452</v>
      </c>
      <c r="I119" s="459" t="s">
        <v>173</v>
      </c>
      <c r="J119" s="463">
        <v>52.6539</v>
      </c>
      <c r="K119" s="459" t="s">
        <v>173</v>
      </c>
      <c r="L119" s="646">
        <v>3.5020200000000001E-2</v>
      </c>
      <c r="M119" s="412"/>
      <c r="N119" s="298">
        <v>0.65</v>
      </c>
      <c r="O119" s="412"/>
      <c r="P119" s="841">
        <f t="shared" si="1"/>
        <v>2.7432757668068724</v>
      </c>
      <c r="Q119" s="412"/>
      <c r="R119" s="489">
        <v>8.3000000000000004E-2</v>
      </c>
      <c r="S119" s="412" t="s">
        <v>300</v>
      </c>
      <c r="T119" s="861">
        <v>0.85499999999999998</v>
      </c>
      <c r="V119" s="358"/>
      <c r="X119" s="482"/>
    </row>
    <row r="120" spans="1:24" s="359" customFormat="1" ht="14.4" x14ac:dyDescent="0.3">
      <c r="A120" s="373"/>
      <c r="B120" s="141" t="s">
        <v>485</v>
      </c>
      <c r="C120" s="373" t="s">
        <v>500</v>
      </c>
      <c r="D120" s="373" t="s">
        <v>137</v>
      </c>
      <c r="E120" s="409" t="s">
        <v>300</v>
      </c>
      <c r="F120" s="202" t="s">
        <v>458</v>
      </c>
      <c r="G120" s="409"/>
      <c r="H120" s="361" t="s">
        <v>452</v>
      </c>
      <c r="I120" s="459" t="s">
        <v>173</v>
      </c>
      <c r="J120" s="463">
        <v>52.6539</v>
      </c>
      <c r="K120" s="459" t="s">
        <v>173</v>
      </c>
      <c r="L120" s="646">
        <v>3.5020200000000001E-2</v>
      </c>
      <c r="M120" s="412"/>
      <c r="N120" s="298">
        <v>0.65</v>
      </c>
      <c r="O120" s="412"/>
      <c r="P120" s="841">
        <f t="shared" si="1"/>
        <v>2.7432757668068724</v>
      </c>
      <c r="Q120" s="412"/>
      <c r="R120" s="489">
        <v>8.3000000000000004E-2</v>
      </c>
      <c r="S120" s="412" t="s">
        <v>300</v>
      </c>
      <c r="T120" s="861">
        <v>0.85499999999999998</v>
      </c>
      <c r="V120" s="358"/>
      <c r="X120" s="482"/>
    </row>
    <row r="121" spans="1:24" s="359" customFormat="1" ht="14.4" x14ac:dyDescent="0.3">
      <c r="A121" s="373"/>
      <c r="B121" s="141" t="s">
        <v>485</v>
      </c>
      <c r="C121" s="373" t="s">
        <v>501</v>
      </c>
      <c r="D121" s="373" t="s">
        <v>137</v>
      </c>
      <c r="E121" s="409" t="s">
        <v>300</v>
      </c>
      <c r="F121" s="202" t="s">
        <v>458</v>
      </c>
      <c r="G121" s="409"/>
      <c r="H121" s="361" t="s">
        <v>452</v>
      </c>
      <c r="I121" s="459" t="s">
        <v>173</v>
      </c>
      <c r="J121" s="463">
        <v>52.65</v>
      </c>
      <c r="K121" s="459" t="s">
        <v>173</v>
      </c>
      <c r="L121" s="646">
        <v>3.5017600000000003E-2</v>
      </c>
      <c r="M121" s="412"/>
      <c r="N121" s="298">
        <v>0.65</v>
      </c>
      <c r="O121" s="412"/>
      <c r="P121" s="841">
        <f t="shared" si="1"/>
        <v>2.7432752886787508</v>
      </c>
      <c r="Q121" s="412"/>
      <c r="R121" s="489">
        <v>8.3000000000000004E-2</v>
      </c>
      <c r="S121" s="412" t="s">
        <v>300</v>
      </c>
      <c r="T121" s="861">
        <v>0.85499999999999998</v>
      </c>
      <c r="V121" s="358"/>
      <c r="X121" s="482"/>
    </row>
    <row r="122" spans="1:24" s="359" customFormat="1" ht="14.4" x14ac:dyDescent="0.3">
      <c r="A122" s="373"/>
      <c r="B122" s="141" t="s">
        <v>485</v>
      </c>
      <c r="C122" s="373" t="s">
        <v>502</v>
      </c>
      <c r="D122" s="373" t="s">
        <v>137</v>
      </c>
      <c r="E122" s="409" t="s">
        <v>300</v>
      </c>
      <c r="F122" s="202" t="s">
        <v>458</v>
      </c>
      <c r="G122" s="409"/>
      <c r="H122" s="361" t="s">
        <v>452</v>
      </c>
      <c r="I122" s="459" t="s">
        <v>173</v>
      </c>
      <c r="J122" s="463">
        <v>52.65</v>
      </c>
      <c r="K122" s="459" t="s">
        <v>173</v>
      </c>
      <c r="L122" s="646">
        <v>3.5017600000000003E-2</v>
      </c>
      <c r="M122" s="412"/>
      <c r="N122" s="298">
        <v>0.65</v>
      </c>
      <c r="O122" s="412"/>
      <c r="P122" s="841">
        <f t="shared" si="1"/>
        <v>2.7432752886787508</v>
      </c>
      <c r="Q122" s="412"/>
      <c r="R122" s="489">
        <v>8.3000000000000004E-2</v>
      </c>
      <c r="S122" s="412" t="s">
        <v>300</v>
      </c>
      <c r="T122" s="861">
        <v>0.85499999999999998</v>
      </c>
      <c r="V122" s="358"/>
      <c r="X122" s="482"/>
    </row>
    <row r="123" spans="1:24" s="359" customFormat="1" ht="14.4" x14ac:dyDescent="0.3">
      <c r="A123" s="373"/>
      <c r="B123" s="141" t="s">
        <v>485</v>
      </c>
      <c r="C123" s="373" t="s">
        <v>503</v>
      </c>
      <c r="D123" s="373" t="s">
        <v>137</v>
      </c>
      <c r="E123" s="409" t="s">
        <v>300</v>
      </c>
      <c r="F123" s="202" t="s">
        <v>458</v>
      </c>
      <c r="G123" s="409"/>
      <c r="H123" s="361" t="s">
        <v>452</v>
      </c>
      <c r="I123" s="459" t="s">
        <v>173</v>
      </c>
      <c r="J123" s="463">
        <v>52.650799999999997</v>
      </c>
      <c r="K123" s="459" t="s">
        <v>173</v>
      </c>
      <c r="L123" s="646">
        <v>3.5018199999999999E-2</v>
      </c>
      <c r="M123" s="412"/>
      <c r="N123" s="298">
        <v>0.65</v>
      </c>
      <c r="O123" s="412"/>
      <c r="P123" s="841">
        <f t="shared" si="1"/>
        <v>2.7432806093427455</v>
      </c>
      <c r="Q123" s="412"/>
      <c r="R123" s="489">
        <v>8.3000000000000004E-2</v>
      </c>
      <c r="S123" s="412" t="s">
        <v>300</v>
      </c>
      <c r="T123" s="861">
        <v>0.85499999999999998</v>
      </c>
      <c r="V123" s="358"/>
      <c r="X123" s="482"/>
    </row>
    <row r="124" spans="1:24" s="359" customFormat="1" ht="14.4" x14ac:dyDescent="0.3">
      <c r="A124" s="373"/>
      <c r="B124" s="141" t="s">
        <v>485</v>
      </c>
      <c r="C124" s="373" t="s">
        <v>504</v>
      </c>
      <c r="D124" s="373" t="s">
        <v>137</v>
      </c>
      <c r="E124" s="409" t="s">
        <v>300</v>
      </c>
      <c r="F124" s="202" t="s">
        <v>458</v>
      </c>
      <c r="G124" s="409"/>
      <c r="H124" s="361" t="s">
        <v>452</v>
      </c>
      <c r="I124" s="459" t="s">
        <v>173</v>
      </c>
      <c r="J124" s="463">
        <v>52.65</v>
      </c>
      <c r="K124" s="459" t="s">
        <v>173</v>
      </c>
      <c r="L124" s="646">
        <v>3.5017600000000003E-2</v>
      </c>
      <c r="M124" s="412"/>
      <c r="N124" s="298">
        <v>0.65</v>
      </c>
      <c r="O124" s="412"/>
      <c r="P124" s="841">
        <f t="shared" si="1"/>
        <v>2.7432752886787508</v>
      </c>
      <c r="Q124" s="412"/>
      <c r="R124" s="489">
        <v>8.3000000000000004E-2</v>
      </c>
      <c r="S124" s="412" t="s">
        <v>300</v>
      </c>
      <c r="T124" s="861">
        <v>0.85499999999999998</v>
      </c>
      <c r="V124" s="358"/>
      <c r="X124" s="482"/>
    </row>
    <row r="125" spans="1:24" s="359" customFormat="1" ht="14.4" x14ac:dyDescent="0.3">
      <c r="A125" s="373"/>
      <c r="B125" s="141" t="s">
        <v>485</v>
      </c>
      <c r="C125" s="373" t="s">
        <v>505</v>
      </c>
      <c r="D125" s="373" t="s">
        <v>137</v>
      </c>
      <c r="E125" s="409" t="s">
        <v>300</v>
      </c>
      <c r="F125" s="202" t="s">
        <v>458</v>
      </c>
      <c r="G125" s="409"/>
      <c r="H125" s="361" t="s">
        <v>452</v>
      </c>
      <c r="I125" s="459" t="s">
        <v>173</v>
      </c>
      <c r="J125" s="463">
        <v>52.65</v>
      </c>
      <c r="K125" s="459" t="s">
        <v>173</v>
      </c>
      <c r="L125" s="646">
        <v>3.5017600000000003E-2</v>
      </c>
      <c r="M125" s="412"/>
      <c r="N125" s="298">
        <v>0.65</v>
      </c>
      <c r="O125" s="412"/>
      <c r="P125" s="859">
        <f t="shared" si="1"/>
        <v>2.7432752886787508</v>
      </c>
      <c r="Q125" s="412"/>
      <c r="R125" s="489">
        <v>8.3000000000000004E-2</v>
      </c>
      <c r="S125" s="412" t="s">
        <v>300</v>
      </c>
      <c r="T125" s="861">
        <v>0.85499999999999998</v>
      </c>
      <c r="V125" s="358"/>
      <c r="X125" s="482"/>
    </row>
    <row r="126" spans="1:24" s="359" customFormat="1" ht="14.4" x14ac:dyDescent="0.3">
      <c r="A126" s="373"/>
      <c r="B126" s="309" t="s">
        <v>463</v>
      </c>
      <c r="C126" s="165" t="s">
        <v>506</v>
      </c>
      <c r="D126" s="165" t="s">
        <v>137</v>
      </c>
      <c r="E126" s="410" t="s">
        <v>300</v>
      </c>
      <c r="F126" s="204" t="s">
        <v>458</v>
      </c>
      <c r="G126" s="410"/>
      <c r="H126" s="396" t="s">
        <v>452</v>
      </c>
      <c r="I126" s="444" t="s">
        <v>173</v>
      </c>
      <c r="J126" s="642">
        <v>1275.8</v>
      </c>
      <c r="K126" s="444" t="s">
        <v>173</v>
      </c>
      <c r="L126" s="647">
        <v>1.1992499999999999</v>
      </c>
      <c r="M126" s="410"/>
      <c r="N126" s="710">
        <v>0.65</v>
      </c>
      <c r="O126" s="410"/>
      <c r="P126" s="860">
        <f t="shared" si="1"/>
        <v>3.8771135341029241</v>
      </c>
      <c r="Q126" s="410"/>
      <c r="R126" s="862">
        <v>1.5</v>
      </c>
      <c r="S126" s="410"/>
      <c r="T126" s="864">
        <v>0.86499999999999999</v>
      </c>
      <c r="V126" s="358"/>
      <c r="X126" s="482"/>
    </row>
    <row r="127" spans="1:24" s="397" customFormat="1" ht="14.4" x14ac:dyDescent="0.3">
      <c r="C127" s="566"/>
      <c r="O127" s="592"/>
      <c r="U127" s="534"/>
      <c r="V127" s="534"/>
      <c r="W127" s="534"/>
      <c r="X127" s="534"/>
    </row>
    <row r="128" spans="1:24" s="397" customFormat="1" ht="14.4" x14ac:dyDescent="0.3">
      <c r="A128" s="534"/>
      <c r="B128" s="534"/>
      <c r="C128" s="534"/>
      <c r="D128" s="534"/>
      <c r="E128" s="533"/>
      <c r="F128" s="534"/>
      <c r="G128" s="533"/>
      <c r="H128" s="534"/>
      <c r="I128" s="533"/>
      <c r="J128" s="534"/>
      <c r="L128" s="534"/>
      <c r="M128" s="533"/>
      <c r="N128" s="534"/>
      <c r="O128" s="593"/>
      <c r="P128" s="568"/>
      <c r="U128" s="534"/>
      <c r="V128" s="534"/>
      <c r="W128" s="534"/>
      <c r="X128" s="534"/>
    </row>
    <row r="129" spans="1:42" s="373" customFormat="1" ht="14.4" x14ac:dyDescent="0.3">
      <c r="A129" s="358"/>
      <c r="B129" s="131" t="s">
        <v>331</v>
      </c>
      <c r="C129" s="120" t="s">
        <v>507</v>
      </c>
      <c r="D129" s="120" t="s">
        <v>122</v>
      </c>
      <c r="E129" s="293"/>
      <c r="F129" s="148" t="s">
        <v>508</v>
      </c>
      <c r="G129" s="131"/>
      <c r="H129" s="148" t="s">
        <v>509</v>
      </c>
      <c r="O129" s="593"/>
      <c r="P129" s="579"/>
      <c r="U129" s="358"/>
      <c r="V129" s="358"/>
      <c r="W129" s="358"/>
      <c r="X129" s="358"/>
    </row>
    <row r="130" spans="1:42" s="89" customFormat="1" ht="15" thickBot="1" x14ac:dyDescent="0.35">
      <c r="A130" s="101"/>
      <c r="B130" s="178" t="s">
        <v>342</v>
      </c>
      <c r="C130" s="176"/>
      <c r="D130" s="176"/>
      <c r="E130" s="580"/>
      <c r="F130" s="179" t="s">
        <v>510</v>
      </c>
      <c r="G130" s="580"/>
      <c r="H130" s="179" t="s">
        <v>511</v>
      </c>
      <c r="O130" s="593"/>
      <c r="P130" s="581"/>
      <c r="U130" s="101"/>
      <c r="V130" s="101"/>
      <c r="W130" s="101"/>
      <c r="X130" s="101"/>
    </row>
    <row r="131" spans="1:42" s="373" customFormat="1" ht="14.4" thickTop="1" x14ac:dyDescent="0.3">
      <c r="A131" s="359"/>
      <c r="B131" s="420" t="s">
        <v>351</v>
      </c>
      <c r="C131" s="260" t="s">
        <v>512</v>
      </c>
      <c r="D131" s="260" t="s">
        <v>137</v>
      </c>
      <c r="E131" s="409" t="s">
        <v>300</v>
      </c>
      <c r="F131" s="373" t="s">
        <v>513</v>
      </c>
      <c r="G131" s="413" t="s">
        <v>300</v>
      </c>
      <c r="H131" s="266" t="s">
        <v>514</v>
      </c>
      <c r="I131" s="359"/>
      <c r="J131" s="359"/>
      <c r="L131" s="359"/>
      <c r="M131" s="359"/>
      <c r="N131" s="359"/>
      <c r="O131" s="593"/>
      <c r="P131" s="578"/>
      <c r="U131" s="359"/>
      <c r="V131" s="359"/>
      <c r="W131" s="359"/>
      <c r="X131" s="359"/>
    </row>
    <row r="132" spans="1:42" s="373" customFormat="1" x14ac:dyDescent="0.3">
      <c r="A132" s="359"/>
      <c r="B132" s="141" t="s">
        <v>356</v>
      </c>
      <c r="C132" s="373" t="s">
        <v>515</v>
      </c>
      <c r="D132" s="373" t="s">
        <v>137</v>
      </c>
      <c r="E132" s="412" t="s">
        <v>300</v>
      </c>
      <c r="F132" s="373" t="s">
        <v>513</v>
      </c>
      <c r="G132" s="412" t="s">
        <v>300</v>
      </c>
      <c r="H132" s="266" t="s">
        <v>514</v>
      </c>
      <c r="I132" s="359"/>
      <c r="J132" s="359"/>
      <c r="K132" s="359"/>
      <c r="L132" s="359"/>
      <c r="M132" s="359"/>
      <c r="N132" s="359"/>
      <c r="O132" s="593"/>
      <c r="P132" s="578"/>
      <c r="U132" s="359"/>
      <c r="V132" s="359"/>
      <c r="W132" s="359"/>
      <c r="X132" s="359"/>
    </row>
    <row r="133" spans="1:42" s="373" customFormat="1" x14ac:dyDescent="0.3">
      <c r="A133" s="359"/>
      <c r="B133" s="141" t="s">
        <v>358</v>
      </c>
      <c r="C133" s="373" t="s">
        <v>516</v>
      </c>
      <c r="D133" s="373" t="s">
        <v>137</v>
      </c>
      <c r="E133" s="412" t="s">
        <v>300</v>
      </c>
      <c r="F133" s="373" t="s">
        <v>513</v>
      </c>
      <c r="G133" s="412" t="s">
        <v>300</v>
      </c>
      <c r="H133" s="266" t="s">
        <v>514</v>
      </c>
      <c r="I133" s="359"/>
      <c r="J133" s="359"/>
      <c r="K133" s="359"/>
      <c r="L133" s="359"/>
      <c r="M133" s="359"/>
      <c r="N133" s="359"/>
      <c r="O133" s="593"/>
      <c r="P133" s="578"/>
      <c r="U133" s="359"/>
      <c r="V133" s="359"/>
      <c r="W133" s="359"/>
      <c r="X133" s="359"/>
    </row>
    <row r="134" spans="1:42" s="373" customFormat="1" x14ac:dyDescent="0.3">
      <c r="A134" s="359"/>
      <c r="B134" s="141" t="s">
        <v>360</v>
      </c>
      <c r="C134" s="373" t="s">
        <v>517</v>
      </c>
      <c r="D134" s="373" t="s">
        <v>137</v>
      </c>
      <c r="E134" s="412" t="s">
        <v>300</v>
      </c>
      <c r="F134" s="373" t="s">
        <v>513</v>
      </c>
      <c r="G134" s="412" t="s">
        <v>300</v>
      </c>
      <c r="H134" s="266" t="s">
        <v>514</v>
      </c>
      <c r="I134" s="359"/>
      <c r="J134" s="359"/>
      <c r="K134" s="359"/>
      <c r="L134" s="359"/>
      <c r="M134" s="359"/>
      <c r="N134" s="359"/>
      <c r="O134" s="593"/>
      <c r="P134" s="578"/>
      <c r="U134" s="359"/>
      <c r="V134" s="359"/>
      <c r="W134" s="359"/>
      <c r="X134" s="359"/>
    </row>
    <row r="135" spans="1:42" s="373" customFormat="1" x14ac:dyDescent="0.3">
      <c r="A135" s="359"/>
      <c r="B135" s="309" t="s">
        <v>363</v>
      </c>
      <c r="C135" s="165" t="s">
        <v>518</v>
      </c>
      <c r="D135" s="165" t="s">
        <v>137</v>
      </c>
      <c r="E135" s="410" t="s">
        <v>300</v>
      </c>
      <c r="F135" s="165" t="s">
        <v>519</v>
      </c>
      <c r="G135" s="410" t="s">
        <v>300</v>
      </c>
      <c r="H135" s="250" t="s">
        <v>520</v>
      </c>
      <c r="I135" s="359"/>
      <c r="J135" s="359"/>
      <c r="K135" s="359"/>
      <c r="L135" s="359"/>
      <c r="M135" s="359"/>
      <c r="N135" s="359"/>
      <c r="O135" s="593"/>
      <c r="P135" s="578"/>
      <c r="U135" s="359"/>
      <c r="V135" s="359"/>
      <c r="W135" s="359"/>
      <c r="X135" s="359"/>
    </row>
    <row r="136" spans="1:42" s="397" customFormat="1" ht="14.4" x14ac:dyDescent="0.3">
      <c r="A136" s="534"/>
      <c r="B136" s="401"/>
      <c r="C136" s="401"/>
      <c r="D136" s="401"/>
      <c r="E136" s="401"/>
      <c r="F136" s="401"/>
      <c r="G136" s="401"/>
      <c r="H136" s="401"/>
      <c r="I136" s="401"/>
      <c r="J136" s="534"/>
      <c r="K136" s="534"/>
      <c r="L136" s="534"/>
      <c r="M136" s="533"/>
      <c r="N136" s="534"/>
      <c r="O136" s="593"/>
      <c r="P136" s="568"/>
      <c r="U136" s="534"/>
      <c r="V136" s="534"/>
      <c r="W136" s="534"/>
      <c r="X136" s="534"/>
    </row>
    <row r="137" spans="1:42" s="397" customFormat="1" ht="14.4" x14ac:dyDescent="0.3">
      <c r="A137" s="534"/>
      <c r="B137" s="401"/>
      <c r="C137" s="401"/>
      <c r="D137" s="401"/>
      <c r="E137" s="401"/>
      <c r="F137" s="401"/>
      <c r="G137" s="401"/>
      <c r="H137" s="401"/>
      <c r="I137" s="401"/>
      <c r="J137" s="534"/>
      <c r="K137" s="534"/>
      <c r="L137" s="534"/>
      <c r="M137" s="533"/>
      <c r="N137" s="534"/>
      <c r="O137" s="593"/>
      <c r="P137" s="568"/>
      <c r="U137" s="534"/>
      <c r="V137" s="534"/>
      <c r="W137" s="534"/>
      <c r="X137" s="534"/>
    </row>
    <row r="138" spans="1:42" s="391" customFormat="1" ht="14.4" x14ac:dyDescent="0.3">
      <c r="A138" s="27"/>
      <c r="B138" s="29" t="s">
        <v>521</v>
      </c>
      <c r="C138" s="29"/>
      <c r="D138" s="982"/>
      <c r="E138" s="357"/>
      <c r="F138" s="982"/>
      <c r="G138" s="357"/>
      <c r="H138" s="982"/>
      <c r="I138" s="357"/>
      <c r="J138" s="982"/>
      <c r="K138" s="357"/>
      <c r="L138" s="982"/>
      <c r="M138" s="357"/>
      <c r="N138" s="982"/>
      <c r="O138" s="127"/>
      <c r="P138" s="118"/>
      <c r="Q138" s="89"/>
      <c r="R138" s="89"/>
      <c r="S138" s="89"/>
      <c r="T138" s="89"/>
      <c r="U138" s="358"/>
      <c r="V138" s="358"/>
      <c r="W138" s="358"/>
      <c r="X138" s="358"/>
      <c r="Y138" s="982"/>
      <c r="Z138" s="982"/>
      <c r="AA138" s="982"/>
      <c r="AB138" s="982"/>
      <c r="AC138" s="982"/>
      <c r="AD138" s="982"/>
      <c r="AE138" s="982"/>
      <c r="AF138" s="982"/>
      <c r="AG138" s="982"/>
      <c r="AH138" s="982"/>
      <c r="AI138" s="982"/>
      <c r="AJ138" s="982"/>
      <c r="AK138" s="982"/>
      <c r="AL138" s="982"/>
      <c r="AM138" s="982"/>
      <c r="AN138" s="982"/>
      <c r="AO138" s="982"/>
      <c r="AP138" s="982"/>
    </row>
    <row r="139" spans="1:42" s="373" customFormat="1" ht="41.4" x14ac:dyDescent="0.3">
      <c r="A139" s="358"/>
      <c r="B139" s="131" t="s">
        <v>522</v>
      </c>
      <c r="C139" s="120" t="s">
        <v>523</v>
      </c>
      <c r="D139" s="120" t="s">
        <v>122</v>
      </c>
      <c r="E139" s="115"/>
      <c r="F139" s="319" t="s">
        <v>524</v>
      </c>
      <c r="G139" s="115"/>
      <c r="H139" s="319" t="s">
        <v>525</v>
      </c>
      <c r="I139" s="675"/>
      <c r="J139" s="488" t="s">
        <v>526</v>
      </c>
      <c r="K139" s="675"/>
      <c r="L139" s="187" t="s">
        <v>527</v>
      </c>
      <c r="M139" s="274"/>
      <c r="N139" s="319" t="s">
        <v>528</v>
      </c>
      <c r="O139" s="488"/>
      <c r="P139" s="319" t="s">
        <v>529</v>
      </c>
      <c r="Q139" s="274"/>
      <c r="R139" s="117" t="s">
        <v>530</v>
      </c>
      <c r="S139" s="274"/>
      <c r="T139" s="173" t="s">
        <v>531</v>
      </c>
      <c r="U139" s="602"/>
      <c r="V139" s="173" t="s">
        <v>532</v>
      </c>
      <c r="W139" s="293"/>
      <c r="X139" s="148" t="s">
        <v>533</v>
      </c>
      <c r="Y139" s="131"/>
      <c r="Z139" s="148" t="s">
        <v>534</v>
      </c>
      <c r="AA139" s="359"/>
      <c r="AB139" s="358"/>
      <c r="AD139" s="358"/>
      <c r="AE139" s="359"/>
      <c r="AF139" s="358"/>
      <c r="AG139" s="578"/>
      <c r="AH139" s="579"/>
      <c r="AM139" s="358"/>
      <c r="AN139" s="358"/>
      <c r="AO139" s="358"/>
      <c r="AP139" s="358"/>
    </row>
    <row r="140" spans="1:42" s="89" customFormat="1" ht="28.2" thickBot="1" x14ac:dyDescent="0.35">
      <c r="B140" s="178" t="s">
        <v>535</v>
      </c>
      <c r="C140" s="176" t="s">
        <v>536</v>
      </c>
      <c r="D140" s="582"/>
      <c r="E140" s="635"/>
      <c r="F140" s="176"/>
      <c r="G140" s="635"/>
      <c r="H140" s="176" t="s">
        <v>537</v>
      </c>
      <c r="I140" s="178"/>
      <c r="J140" s="338" t="s">
        <v>538</v>
      </c>
      <c r="K140" s="178"/>
      <c r="L140" s="338" t="s">
        <v>539</v>
      </c>
      <c r="M140" s="315"/>
      <c r="N140" s="124" t="s">
        <v>540</v>
      </c>
      <c r="O140" s="132"/>
      <c r="P140" s="124"/>
      <c r="Q140" s="315"/>
      <c r="R140" s="124" t="s">
        <v>541</v>
      </c>
      <c r="S140" s="315"/>
      <c r="T140" s="124" t="s">
        <v>542</v>
      </c>
      <c r="U140" s="603"/>
      <c r="V140" s="124"/>
      <c r="W140" s="580"/>
      <c r="X140" s="339" t="s">
        <v>543</v>
      </c>
      <c r="Y140" s="580"/>
      <c r="Z140" s="339" t="s">
        <v>544</v>
      </c>
      <c r="AA140" s="101"/>
      <c r="AB140" s="101"/>
      <c r="AC140" s="101"/>
      <c r="AD140" s="101"/>
      <c r="AG140" s="101"/>
      <c r="AH140" s="101"/>
      <c r="AI140" s="101"/>
      <c r="AJ140" s="101"/>
      <c r="AK140" s="101"/>
      <c r="AL140" s="101"/>
      <c r="AM140" s="101"/>
      <c r="AN140" s="101"/>
      <c r="AO140" s="101"/>
      <c r="AP140" s="101"/>
    </row>
    <row r="141" spans="1:42" s="359" customFormat="1" ht="14.4" thickTop="1" x14ac:dyDescent="0.3">
      <c r="A141" s="373"/>
      <c r="B141" s="420" t="s">
        <v>545</v>
      </c>
      <c r="C141" s="260" t="s">
        <v>546</v>
      </c>
      <c r="D141" s="583" t="s">
        <v>137</v>
      </c>
      <c r="E141" s="770" t="s">
        <v>173</v>
      </c>
      <c r="F141" s="676">
        <v>1620</v>
      </c>
      <c r="G141" s="771" t="s">
        <v>173</v>
      </c>
      <c r="H141" s="664" t="s">
        <v>547</v>
      </c>
      <c r="I141" s="413" t="s">
        <v>300</v>
      </c>
      <c r="J141" s="260" t="s">
        <v>548</v>
      </c>
      <c r="K141" s="413" t="s">
        <v>300</v>
      </c>
      <c r="L141" s="260" t="s">
        <v>549</v>
      </c>
      <c r="M141" s="413" t="s">
        <v>300</v>
      </c>
      <c r="N141" s="260">
        <v>10</v>
      </c>
      <c r="O141" s="771" t="s">
        <v>173</v>
      </c>
      <c r="P141" s="688">
        <f t="shared" ref="P141:P168" si="2">ROUND(F141/1000*N141*0.5,2)</f>
        <v>8.1</v>
      </c>
      <c r="Q141" s="413" t="s">
        <v>300</v>
      </c>
      <c r="R141" s="361">
        <v>0</v>
      </c>
      <c r="S141" s="413" t="s">
        <v>300</v>
      </c>
      <c r="T141" s="202">
        <v>0.15</v>
      </c>
      <c r="U141" s="413" t="s">
        <v>300</v>
      </c>
      <c r="V141" s="595">
        <f t="shared" ref="V141:V168" si="3">ROUND(MAX(P141*R141,T141*F141),0)</f>
        <v>243</v>
      </c>
      <c r="W141" s="413" t="s">
        <v>300</v>
      </c>
      <c r="X141" s="260" t="s">
        <v>550</v>
      </c>
      <c r="Y141" s="413" t="s">
        <v>300</v>
      </c>
      <c r="Z141" s="259" t="s">
        <v>551</v>
      </c>
      <c r="AE141" s="373"/>
      <c r="AF141" s="373"/>
    </row>
    <row r="142" spans="1:42" s="359" customFormat="1" x14ac:dyDescent="0.3">
      <c r="A142" s="373"/>
      <c r="B142" s="141" t="s">
        <v>552</v>
      </c>
      <c r="C142" s="373" t="s">
        <v>546</v>
      </c>
      <c r="D142" s="62" t="s">
        <v>137</v>
      </c>
      <c r="E142" s="772" t="s">
        <v>173</v>
      </c>
      <c r="F142" s="664">
        <v>1350</v>
      </c>
      <c r="G142" s="773" t="s">
        <v>173</v>
      </c>
      <c r="H142" s="664" t="s">
        <v>547</v>
      </c>
      <c r="I142" s="412" t="s">
        <v>300</v>
      </c>
      <c r="J142" s="373" t="s">
        <v>548</v>
      </c>
      <c r="K142" s="412" t="s">
        <v>300</v>
      </c>
      <c r="L142" s="373" t="s">
        <v>549</v>
      </c>
      <c r="M142" s="412" t="s">
        <v>300</v>
      </c>
      <c r="N142" s="373">
        <v>10</v>
      </c>
      <c r="O142" s="773" t="s">
        <v>173</v>
      </c>
      <c r="P142" s="680">
        <f t="shared" si="2"/>
        <v>6.75</v>
      </c>
      <c r="Q142" s="412" t="s">
        <v>300</v>
      </c>
      <c r="R142" s="361">
        <v>0</v>
      </c>
      <c r="S142" s="412" t="s">
        <v>300</v>
      </c>
      <c r="T142" s="202">
        <v>0.15</v>
      </c>
      <c r="U142" s="412" t="s">
        <v>300</v>
      </c>
      <c r="V142" s="595">
        <f t="shared" si="3"/>
        <v>203</v>
      </c>
      <c r="W142" s="412" t="s">
        <v>300</v>
      </c>
      <c r="X142" s="373" t="s">
        <v>550</v>
      </c>
      <c r="Y142" s="412" t="s">
        <v>300</v>
      </c>
      <c r="Z142" s="266" t="s">
        <v>551</v>
      </c>
      <c r="AE142" s="373"/>
      <c r="AF142" s="373"/>
    </row>
    <row r="143" spans="1:42" s="359" customFormat="1" x14ac:dyDescent="0.3">
      <c r="A143" s="373"/>
      <c r="B143" s="141" t="s">
        <v>553</v>
      </c>
      <c r="C143" s="373" t="s">
        <v>546</v>
      </c>
      <c r="D143" s="62" t="s">
        <v>137</v>
      </c>
      <c r="E143" s="772" t="s">
        <v>173</v>
      </c>
      <c r="F143" s="664">
        <v>1350</v>
      </c>
      <c r="G143" s="773" t="s">
        <v>173</v>
      </c>
      <c r="H143" s="664" t="s">
        <v>547</v>
      </c>
      <c r="I143" s="412" t="s">
        <v>300</v>
      </c>
      <c r="J143" s="373" t="s">
        <v>548</v>
      </c>
      <c r="K143" s="412" t="s">
        <v>300</v>
      </c>
      <c r="L143" s="373" t="s">
        <v>549</v>
      </c>
      <c r="M143" s="412" t="s">
        <v>300</v>
      </c>
      <c r="N143" s="373">
        <v>10</v>
      </c>
      <c r="O143" s="773" t="s">
        <v>173</v>
      </c>
      <c r="P143" s="680">
        <f t="shared" si="2"/>
        <v>6.75</v>
      </c>
      <c r="Q143" s="412" t="s">
        <v>300</v>
      </c>
      <c r="R143" s="361">
        <v>0</v>
      </c>
      <c r="S143" s="412" t="s">
        <v>300</v>
      </c>
      <c r="T143" s="202">
        <v>0.15</v>
      </c>
      <c r="U143" s="412" t="s">
        <v>300</v>
      </c>
      <c r="V143" s="595">
        <f t="shared" si="3"/>
        <v>203</v>
      </c>
      <c r="W143" s="412" t="s">
        <v>300</v>
      </c>
      <c r="X143" s="373" t="s">
        <v>550</v>
      </c>
      <c r="Y143" s="412" t="s">
        <v>300</v>
      </c>
      <c r="Z143" s="266" t="s">
        <v>551</v>
      </c>
      <c r="AE143" s="373"/>
      <c r="AF143" s="373"/>
    </row>
    <row r="144" spans="1:42" s="359" customFormat="1" x14ac:dyDescent="0.3">
      <c r="A144" s="373"/>
      <c r="B144" s="141" t="s">
        <v>554</v>
      </c>
      <c r="C144" s="373" t="s">
        <v>546</v>
      </c>
      <c r="D144" s="62" t="s">
        <v>137</v>
      </c>
      <c r="E144" s="772" t="s">
        <v>173</v>
      </c>
      <c r="F144" s="664">
        <v>1350</v>
      </c>
      <c r="G144" s="773" t="s">
        <v>173</v>
      </c>
      <c r="H144" s="664" t="s">
        <v>547</v>
      </c>
      <c r="I144" s="412" t="s">
        <v>300</v>
      </c>
      <c r="J144" s="373" t="s">
        <v>548</v>
      </c>
      <c r="K144" s="412" t="s">
        <v>300</v>
      </c>
      <c r="L144" s="373" t="s">
        <v>549</v>
      </c>
      <c r="M144" s="412" t="s">
        <v>300</v>
      </c>
      <c r="N144" s="373">
        <v>10</v>
      </c>
      <c r="O144" s="773" t="s">
        <v>173</v>
      </c>
      <c r="P144" s="680">
        <f t="shared" si="2"/>
        <v>6.75</v>
      </c>
      <c r="Q144" s="412" t="s">
        <v>300</v>
      </c>
      <c r="R144" s="361">
        <v>0</v>
      </c>
      <c r="S144" s="412" t="s">
        <v>300</v>
      </c>
      <c r="T144" s="202">
        <v>0.15</v>
      </c>
      <c r="U144" s="412" t="s">
        <v>300</v>
      </c>
      <c r="V144" s="595">
        <f t="shared" si="3"/>
        <v>203</v>
      </c>
      <c r="W144" s="412" t="s">
        <v>300</v>
      </c>
      <c r="X144" s="373" t="s">
        <v>550</v>
      </c>
      <c r="Y144" s="412" t="s">
        <v>300</v>
      </c>
      <c r="Z144" s="266" t="s">
        <v>551</v>
      </c>
      <c r="AE144" s="373"/>
      <c r="AF144" s="373"/>
    </row>
    <row r="145" spans="1:32" s="359" customFormat="1" x14ac:dyDescent="0.3">
      <c r="A145" s="373"/>
      <c r="B145" s="141" t="s">
        <v>555</v>
      </c>
      <c r="C145" s="373" t="s">
        <v>546</v>
      </c>
      <c r="D145" s="62" t="s">
        <v>137</v>
      </c>
      <c r="E145" s="772" t="s">
        <v>173</v>
      </c>
      <c r="F145" s="664">
        <v>351</v>
      </c>
      <c r="G145" s="773" t="s">
        <v>173</v>
      </c>
      <c r="H145" s="664" t="s">
        <v>547</v>
      </c>
      <c r="I145" s="412" t="s">
        <v>300</v>
      </c>
      <c r="J145" s="373" t="s">
        <v>548</v>
      </c>
      <c r="K145" s="412" t="s">
        <v>300</v>
      </c>
      <c r="L145" s="373" t="s">
        <v>549</v>
      </c>
      <c r="M145" s="412" t="s">
        <v>300</v>
      </c>
      <c r="N145" s="373">
        <v>10</v>
      </c>
      <c r="O145" s="773" t="s">
        <v>173</v>
      </c>
      <c r="P145" s="680">
        <f t="shared" si="2"/>
        <v>1.76</v>
      </c>
      <c r="Q145" s="412" t="s">
        <v>300</v>
      </c>
      <c r="R145" s="361">
        <v>0</v>
      </c>
      <c r="S145" s="412" t="s">
        <v>300</v>
      </c>
      <c r="T145" s="202">
        <v>0.15</v>
      </c>
      <c r="U145" s="412" t="s">
        <v>300</v>
      </c>
      <c r="V145" s="595">
        <f t="shared" si="3"/>
        <v>53</v>
      </c>
      <c r="W145" s="412" t="s">
        <v>300</v>
      </c>
      <c r="X145" s="373" t="s">
        <v>550</v>
      </c>
      <c r="Y145" s="412" t="s">
        <v>300</v>
      </c>
      <c r="Z145" s="266" t="s">
        <v>551</v>
      </c>
      <c r="AE145" s="373"/>
      <c r="AF145" s="373"/>
    </row>
    <row r="146" spans="1:32" s="359" customFormat="1" x14ac:dyDescent="0.3">
      <c r="A146" s="373"/>
      <c r="B146" s="141" t="s">
        <v>556</v>
      </c>
      <c r="C146" s="373" t="s">
        <v>546</v>
      </c>
      <c r="D146" s="62" t="s">
        <v>137</v>
      </c>
      <c r="E146" s="772" t="s">
        <v>173</v>
      </c>
      <c r="F146" s="664">
        <v>351</v>
      </c>
      <c r="G146" s="773" t="s">
        <v>173</v>
      </c>
      <c r="H146" s="664" t="s">
        <v>547</v>
      </c>
      <c r="I146" s="412" t="s">
        <v>300</v>
      </c>
      <c r="J146" s="373" t="s">
        <v>548</v>
      </c>
      <c r="K146" s="412" t="s">
        <v>300</v>
      </c>
      <c r="L146" s="373" t="s">
        <v>549</v>
      </c>
      <c r="M146" s="412" t="s">
        <v>300</v>
      </c>
      <c r="N146" s="373">
        <v>10</v>
      </c>
      <c r="O146" s="773" t="s">
        <v>173</v>
      </c>
      <c r="P146" s="680">
        <f t="shared" si="2"/>
        <v>1.76</v>
      </c>
      <c r="Q146" s="412" t="s">
        <v>300</v>
      </c>
      <c r="R146" s="361">
        <v>0</v>
      </c>
      <c r="S146" s="412" t="s">
        <v>300</v>
      </c>
      <c r="T146" s="202">
        <v>0.15</v>
      </c>
      <c r="U146" s="412" t="s">
        <v>300</v>
      </c>
      <c r="V146" s="595">
        <f t="shared" si="3"/>
        <v>53</v>
      </c>
      <c r="W146" s="412" t="s">
        <v>300</v>
      </c>
      <c r="X146" s="373" t="s">
        <v>550</v>
      </c>
      <c r="Y146" s="412" t="s">
        <v>300</v>
      </c>
      <c r="Z146" s="266" t="s">
        <v>551</v>
      </c>
      <c r="AE146" s="373"/>
      <c r="AF146" s="373"/>
    </row>
    <row r="147" spans="1:32" s="359" customFormat="1" x14ac:dyDescent="0.3">
      <c r="A147" s="373"/>
      <c r="B147" s="141" t="s">
        <v>557</v>
      </c>
      <c r="C147" s="373" t="s">
        <v>546</v>
      </c>
      <c r="D147" s="62" t="s">
        <v>137</v>
      </c>
      <c r="E147" s="772" t="s">
        <v>173</v>
      </c>
      <c r="F147" s="664">
        <v>1755.1</v>
      </c>
      <c r="G147" s="773" t="s">
        <v>173</v>
      </c>
      <c r="H147" s="664" t="s">
        <v>547</v>
      </c>
      <c r="I147" s="412" t="s">
        <v>300</v>
      </c>
      <c r="J147" s="373" t="s">
        <v>548</v>
      </c>
      <c r="K147" s="412" t="s">
        <v>300</v>
      </c>
      <c r="L147" s="373" t="s">
        <v>558</v>
      </c>
      <c r="M147" s="412" t="s">
        <v>300</v>
      </c>
      <c r="N147" s="373">
        <v>142.9</v>
      </c>
      <c r="O147" s="773" t="s">
        <v>173</v>
      </c>
      <c r="P147" s="680">
        <f t="shared" si="2"/>
        <v>125.4</v>
      </c>
      <c r="Q147" s="412" t="s">
        <v>300</v>
      </c>
      <c r="R147" s="202">
        <v>15</v>
      </c>
      <c r="S147" s="412" t="s">
        <v>300</v>
      </c>
      <c r="T147" s="202">
        <v>0.15</v>
      </c>
      <c r="U147" s="412" t="s">
        <v>300</v>
      </c>
      <c r="V147" s="595">
        <f t="shared" si="3"/>
        <v>1881</v>
      </c>
      <c r="W147" s="412" t="s">
        <v>300</v>
      </c>
      <c r="X147" s="373" t="s">
        <v>550</v>
      </c>
      <c r="Y147" s="412" t="s">
        <v>300</v>
      </c>
      <c r="Z147" s="266" t="s">
        <v>551</v>
      </c>
      <c r="AE147" s="373"/>
      <c r="AF147" s="373"/>
    </row>
    <row r="148" spans="1:32" s="359" customFormat="1" x14ac:dyDescent="0.3">
      <c r="A148" s="373"/>
      <c r="B148" s="141" t="s">
        <v>559</v>
      </c>
      <c r="C148" s="373" t="s">
        <v>546</v>
      </c>
      <c r="D148" s="62" t="s">
        <v>137</v>
      </c>
      <c r="E148" s="772" t="s">
        <v>173</v>
      </c>
      <c r="F148" s="664">
        <v>1404</v>
      </c>
      <c r="G148" s="773" t="s">
        <v>173</v>
      </c>
      <c r="H148" s="664" t="s">
        <v>547</v>
      </c>
      <c r="I148" s="412" t="s">
        <v>300</v>
      </c>
      <c r="J148" s="373" t="s">
        <v>548</v>
      </c>
      <c r="K148" s="412" t="s">
        <v>300</v>
      </c>
      <c r="L148" s="373" t="s">
        <v>549</v>
      </c>
      <c r="M148" s="412" t="s">
        <v>300</v>
      </c>
      <c r="N148" s="373">
        <v>10</v>
      </c>
      <c r="O148" s="773" t="s">
        <v>173</v>
      </c>
      <c r="P148" s="680">
        <f t="shared" si="2"/>
        <v>7.02</v>
      </c>
      <c r="Q148" s="412" t="s">
        <v>300</v>
      </c>
      <c r="R148" s="361">
        <v>0</v>
      </c>
      <c r="S148" s="412" t="s">
        <v>300</v>
      </c>
      <c r="T148" s="202">
        <v>0.15</v>
      </c>
      <c r="U148" s="412" t="s">
        <v>300</v>
      </c>
      <c r="V148" s="595">
        <f t="shared" si="3"/>
        <v>211</v>
      </c>
      <c r="W148" s="412" t="s">
        <v>300</v>
      </c>
      <c r="X148" s="373" t="s">
        <v>550</v>
      </c>
      <c r="Y148" s="412" t="s">
        <v>300</v>
      </c>
      <c r="Z148" s="266" t="s">
        <v>551</v>
      </c>
      <c r="AE148" s="373"/>
      <c r="AF148" s="373"/>
    </row>
    <row r="149" spans="1:32" s="359" customFormat="1" x14ac:dyDescent="0.3">
      <c r="A149" s="373"/>
      <c r="B149" s="141" t="s">
        <v>560</v>
      </c>
      <c r="C149" s="373" t="s">
        <v>546</v>
      </c>
      <c r="D149" s="62" t="s">
        <v>137</v>
      </c>
      <c r="E149" s="772" t="s">
        <v>173</v>
      </c>
      <c r="F149" s="664">
        <v>1053</v>
      </c>
      <c r="G149" s="773" t="s">
        <v>173</v>
      </c>
      <c r="H149" s="664" t="s">
        <v>547</v>
      </c>
      <c r="I149" s="412" t="s">
        <v>300</v>
      </c>
      <c r="J149" s="373" t="s">
        <v>548</v>
      </c>
      <c r="K149" s="412" t="s">
        <v>300</v>
      </c>
      <c r="L149" s="373" t="s">
        <v>549</v>
      </c>
      <c r="M149" s="412" t="s">
        <v>300</v>
      </c>
      <c r="N149" s="373">
        <v>10</v>
      </c>
      <c r="O149" s="773" t="s">
        <v>173</v>
      </c>
      <c r="P149" s="680">
        <f t="shared" si="2"/>
        <v>5.27</v>
      </c>
      <c r="Q149" s="412" t="s">
        <v>300</v>
      </c>
      <c r="R149" s="361">
        <v>0</v>
      </c>
      <c r="S149" s="412" t="s">
        <v>300</v>
      </c>
      <c r="T149" s="202">
        <v>0.15</v>
      </c>
      <c r="U149" s="412" t="s">
        <v>300</v>
      </c>
      <c r="V149" s="595">
        <f t="shared" si="3"/>
        <v>158</v>
      </c>
      <c r="W149" s="412" t="s">
        <v>300</v>
      </c>
      <c r="X149" s="373" t="s">
        <v>550</v>
      </c>
      <c r="Y149" s="412" t="s">
        <v>300</v>
      </c>
      <c r="Z149" s="266" t="s">
        <v>551</v>
      </c>
      <c r="AE149" s="373"/>
      <c r="AF149" s="373"/>
    </row>
    <row r="150" spans="1:32" s="359" customFormat="1" x14ac:dyDescent="0.3">
      <c r="A150" s="373"/>
      <c r="B150" s="141" t="s">
        <v>561</v>
      </c>
      <c r="C150" s="373" t="s">
        <v>546</v>
      </c>
      <c r="D150" s="62" t="s">
        <v>137</v>
      </c>
      <c r="E150" s="772" t="s">
        <v>173</v>
      </c>
      <c r="F150" s="664">
        <v>351</v>
      </c>
      <c r="G150" s="773" t="s">
        <v>173</v>
      </c>
      <c r="H150" s="664" t="s">
        <v>547</v>
      </c>
      <c r="I150" s="412" t="s">
        <v>300</v>
      </c>
      <c r="J150" s="373" t="s">
        <v>548</v>
      </c>
      <c r="K150" s="412" t="s">
        <v>300</v>
      </c>
      <c r="L150" s="373" t="s">
        <v>549</v>
      </c>
      <c r="M150" s="412" t="s">
        <v>300</v>
      </c>
      <c r="N150" s="373">
        <v>3</v>
      </c>
      <c r="O150" s="773" t="s">
        <v>173</v>
      </c>
      <c r="P150" s="680">
        <f t="shared" si="2"/>
        <v>0.53</v>
      </c>
      <c r="Q150" s="412" t="s">
        <v>300</v>
      </c>
      <c r="R150" s="361">
        <v>0</v>
      </c>
      <c r="S150" s="412" t="s">
        <v>300</v>
      </c>
      <c r="T150" s="202">
        <v>0.15</v>
      </c>
      <c r="U150" s="412" t="s">
        <v>300</v>
      </c>
      <c r="V150" s="595">
        <f t="shared" si="3"/>
        <v>53</v>
      </c>
      <c r="W150" s="412" t="s">
        <v>300</v>
      </c>
      <c r="X150" s="373" t="s">
        <v>550</v>
      </c>
      <c r="Y150" s="412" t="s">
        <v>300</v>
      </c>
      <c r="Z150" s="266" t="s">
        <v>551</v>
      </c>
      <c r="AE150" s="373"/>
      <c r="AF150" s="373"/>
    </row>
    <row r="151" spans="1:32" s="359" customFormat="1" x14ac:dyDescent="0.3">
      <c r="A151" s="373"/>
      <c r="B151" s="141" t="s">
        <v>562</v>
      </c>
      <c r="C151" s="373" t="s">
        <v>546</v>
      </c>
      <c r="D151" s="62" t="s">
        <v>137</v>
      </c>
      <c r="E151" s="772" t="s">
        <v>173</v>
      </c>
      <c r="F151" s="664">
        <v>864.1</v>
      </c>
      <c r="G151" s="773" t="s">
        <v>173</v>
      </c>
      <c r="H151" s="664" t="s">
        <v>547</v>
      </c>
      <c r="I151" s="412" t="s">
        <v>300</v>
      </c>
      <c r="J151" s="373" t="s">
        <v>548</v>
      </c>
      <c r="K151" s="412" t="s">
        <v>300</v>
      </c>
      <c r="L151" s="373" t="s">
        <v>558</v>
      </c>
      <c r="M151" s="412" t="s">
        <v>300</v>
      </c>
      <c r="N151" s="373">
        <v>142.9</v>
      </c>
      <c r="O151" s="773" t="s">
        <v>173</v>
      </c>
      <c r="P151" s="680">
        <f t="shared" si="2"/>
        <v>61.74</v>
      </c>
      <c r="Q151" s="412" t="s">
        <v>300</v>
      </c>
      <c r="R151" s="202">
        <v>15</v>
      </c>
      <c r="S151" s="412" t="s">
        <v>300</v>
      </c>
      <c r="T151" s="202">
        <v>0.15</v>
      </c>
      <c r="U151" s="412" t="s">
        <v>300</v>
      </c>
      <c r="V151" s="595">
        <f t="shared" si="3"/>
        <v>926</v>
      </c>
      <c r="W151" s="412" t="s">
        <v>300</v>
      </c>
      <c r="X151" s="373" t="s">
        <v>550</v>
      </c>
      <c r="Y151" s="412" t="s">
        <v>300</v>
      </c>
      <c r="Z151" s="266" t="s">
        <v>551</v>
      </c>
      <c r="AE151" s="373"/>
      <c r="AF151" s="373"/>
    </row>
    <row r="152" spans="1:32" s="359" customFormat="1" x14ac:dyDescent="0.3">
      <c r="A152" s="373"/>
      <c r="B152" s="141" t="s">
        <v>563</v>
      </c>
      <c r="C152" s="373" t="s">
        <v>546</v>
      </c>
      <c r="D152" s="62" t="s">
        <v>137</v>
      </c>
      <c r="E152" s="772" t="s">
        <v>173</v>
      </c>
      <c r="F152" s="664">
        <v>216</v>
      </c>
      <c r="G152" s="773" t="s">
        <v>173</v>
      </c>
      <c r="H152" s="664" t="s">
        <v>547</v>
      </c>
      <c r="I152" s="412" t="s">
        <v>300</v>
      </c>
      <c r="J152" s="373" t="s">
        <v>548</v>
      </c>
      <c r="K152" s="412" t="s">
        <v>300</v>
      </c>
      <c r="L152" s="373" t="s">
        <v>549</v>
      </c>
      <c r="M152" s="412" t="s">
        <v>300</v>
      </c>
      <c r="N152" s="373">
        <v>10</v>
      </c>
      <c r="O152" s="773" t="s">
        <v>173</v>
      </c>
      <c r="P152" s="680">
        <f t="shared" si="2"/>
        <v>1.08</v>
      </c>
      <c r="Q152" s="412" t="s">
        <v>300</v>
      </c>
      <c r="R152" s="361">
        <v>0</v>
      </c>
      <c r="S152" s="412" t="s">
        <v>300</v>
      </c>
      <c r="T152" s="202">
        <v>0.15</v>
      </c>
      <c r="U152" s="412" t="s">
        <v>300</v>
      </c>
      <c r="V152" s="595">
        <f t="shared" si="3"/>
        <v>32</v>
      </c>
      <c r="W152" s="412" t="s">
        <v>300</v>
      </c>
      <c r="X152" s="373" t="s">
        <v>550</v>
      </c>
      <c r="Y152" s="412" t="s">
        <v>300</v>
      </c>
      <c r="Z152" s="266" t="s">
        <v>551</v>
      </c>
      <c r="AE152" s="373"/>
      <c r="AF152" s="373"/>
    </row>
    <row r="153" spans="1:32" s="359" customFormat="1" x14ac:dyDescent="0.3">
      <c r="A153" s="373"/>
      <c r="B153" s="141" t="s">
        <v>564</v>
      </c>
      <c r="C153" s="373" t="s">
        <v>546</v>
      </c>
      <c r="D153" s="62" t="s">
        <v>137</v>
      </c>
      <c r="E153" s="772" t="s">
        <v>173</v>
      </c>
      <c r="F153" s="664">
        <v>216</v>
      </c>
      <c r="G153" s="773" t="s">
        <v>173</v>
      </c>
      <c r="H153" s="664" t="s">
        <v>547</v>
      </c>
      <c r="I153" s="412" t="s">
        <v>300</v>
      </c>
      <c r="J153" s="373" t="s">
        <v>548</v>
      </c>
      <c r="K153" s="412" t="s">
        <v>300</v>
      </c>
      <c r="L153" s="373" t="s">
        <v>549</v>
      </c>
      <c r="M153" s="412" t="s">
        <v>300</v>
      </c>
      <c r="N153" s="373">
        <v>10</v>
      </c>
      <c r="O153" s="773" t="s">
        <v>173</v>
      </c>
      <c r="P153" s="680">
        <f t="shared" si="2"/>
        <v>1.08</v>
      </c>
      <c r="Q153" s="412" t="s">
        <v>300</v>
      </c>
      <c r="R153" s="361">
        <v>0</v>
      </c>
      <c r="S153" s="412" t="s">
        <v>300</v>
      </c>
      <c r="T153" s="202">
        <v>0.15</v>
      </c>
      <c r="U153" s="412" t="s">
        <v>300</v>
      </c>
      <c r="V153" s="595">
        <f t="shared" si="3"/>
        <v>32</v>
      </c>
      <c r="W153" s="412" t="s">
        <v>300</v>
      </c>
      <c r="X153" s="373" t="s">
        <v>550</v>
      </c>
      <c r="Y153" s="412" t="s">
        <v>300</v>
      </c>
      <c r="Z153" s="266" t="s">
        <v>551</v>
      </c>
      <c r="AE153" s="373"/>
      <c r="AF153" s="373"/>
    </row>
    <row r="154" spans="1:32" s="359" customFormat="1" x14ac:dyDescent="0.3">
      <c r="A154" s="373"/>
      <c r="B154" s="141" t="s">
        <v>565</v>
      </c>
      <c r="C154" s="373" t="s">
        <v>546</v>
      </c>
      <c r="D154" s="62" t="s">
        <v>137</v>
      </c>
      <c r="E154" s="772" t="s">
        <v>173</v>
      </c>
      <c r="F154" s="664">
        <v>216</v>
      </c>
      <c r="G154" s="773" t="s">
        <v>173</v>
      </c>
      <c r="H154" s="664" t="s">
        <v>547</v>
      </c>
      <c r="I154" s="412" t="s">
        <v>300</v>
      </c>
      <c r="J154" s="373" t="s">
        <v>548</v>
      </c>
      <c r="K154" s="412" t="s">
        <v>300</v>
      </c>
      <c r="L154" s="373" t="s">
        <v>549</v>
      </c>
      <c r="M154" s="412" t="s">
        <v>300</v>
      </c>
      <c r="N154" s="373">
        <v>10</v>
      </c>
      <c r="O154" s="773" t="s">
        <v>173</v>
      </c>
      <c r="P154" s="680">
        <f t="shared" si="2"/>
        <v>1.08</v>
      </c>
      <c r="Q154" s="412" t="s">
        <v>300</v>
      </c>
      <c r="R154" s="361">
        <v>0</v>
      </c>
      <c r="S154" s="412" t="s">
        <v>300</v>
      </c>
      <c r="T154" s="202">
        <v>0.15</v>
      </c>
      <c r="U154" s="412" t="s">
        <v>300</v>
      </c>
      <c r="V154" s="595">
        <f t="shared" si="3"/>
        <v>32</v>
      </c>
      <c r="W154" s="412" t="s">
        <v>300</v>
      </c>
      <c r="X154" s="373" t="s">
        <v>550</v>
      </c>
      <c r="Y154" s="412" t="s">
        <v>300</v>
      </c>
      <c r="Z154" s="266" t="s">
        <v>551</v>
      </c>
      <c r="AE154" s="373"/>
      <c r="AF154" s="373"/>
    </row>
    <row r="155" spans="1:32" s="359" customFormat="1" x14ac:dyDescent="0.3">
      <c r="A155" s="373"/>
      <c r="B155" s="141" t="s">
        <v>566</v>
      </c>
      <c r="C155" s="373" t="s">
        <v>546</v>
      </c>
      <c r="D155" s="62" t="s">
        <v>137</v>
      </c>
      <c r="E155" s="772" t="s">
        <v>173</v>
      </c>
      <c r="F155" s="664">
        <v>216</v>
      </c>
      <c r="G155" s="773" t="s">
        <v>173</v>
      </c>
      <c r="H155" s="664" t="s">
        <v>547</v>
      </c>
      <c r="I155" s="412" t="s">
        <v>300</v>
      </c>
      <c r="J155" s="373" t="s">
        <v>548</v>
      </c>
      <c r="K155" s="412" t="s">
        <v>300</v>
      </c>
      <c r="L155" s="373" t="s">
        <v>549</v>
      </c>
      <c r="M155" s="412" t="s">
        <v>300</v>
      </c>
      <c r="N155" s="373">
        <v>10</v>
      </c>
      <c r="O155" s="773" t="s">
        <v>173</v>
      </c>
      <c r="P155" s="680">
        <f t="shared" si="2"/>
        <v>1.08</v>
      </c>
      <c r="Q155" s="412" t="s">
        <v>300</v>
      </c>
      <c r="R155" s="361">
        <v>0</v>
      </c>
      <c r="S155" s="412" t="s">
        <v>300</v>
      </c>
      <c r="T155" s="202">
        <v>0.15</v>
      </c>
      <c r="U155" s="412" t="s">
        <v>300</v>
      </c>
      <c r="V155" s="595">
        <f t="shared" si="3"/>
        <v>32</v>
      </c>
      <c r="W155" s="412" t="s">
        <v>300</v>
      </c>
      <c r="X155" s="373" t="s">
        <v>550</v>
      </c>
      <c r="Y155" s="412" t="s">
        <v>300</v>
      </c>
      <c r="Z155" s="266" t="s">
        <v>551</v>
      </c>
      <c r="AE155" s="373"/>
      <c r="AF155" s="373"/>
    </row>
    <row r="156" spans="1:32" s="359" customFormat="1" x14ac:dyDescent="0.3">
      <c r="A156" s="373"/>
      <c r="B156" s="141" t="s">
        <v>567</v>
      </c>
      <c r="C156" s="373" t="s">
        <v>546</v>
      </c>
      <c r="D156" s="62" t="s">
        <v>137</v>
      </c>
      <c r="E156" s="772" t="s">
        <v>173</v>
      </c>
      <c r="F156" s="664">
        <v>135</v>
      </c>
      <c r="G156" s="773" t="s">
        <v>173</v>
      </c>
      <c r="H156" s="664" t="s">
        <v>547</v>
      </c>
      <c r="I156" s="412" t="s">
        <v>300</v>
      </c>
      <c r="J156" s="373" t="s">
        <v>548</v>
      </c>
      <c r="K156" s="412" t="s">
        <v>300</v>
      </c>
      <c r="L156" s="373" t="s">
        <v>549</v>
      </c>
      <c r="M156" s="412" t="s">
        <v>300</v>
      </c>
      <c r="N156" s="373">
        <v>10</v>
      </c>
      <c r="O156" s="773" t="s">
        <v>173</v>
      </c>
      <c r="P156" s="680">
        <f t="shared" si="2"/>
        <v>0.68</v>
      </c>
      <c r="Q156" s="412" t="s">
        <v>300</v>
      </c>
      <c r="R156" s="361">
        <v>0</v>
      </c>
      <c r="S156" s="412" t="s">
        <v>300</v>
      </c>
      <c r="T156" s="202">
        <v>0.15</v>
      </c>
      <c r="U156" s="412" t="s">
        <v>300</v>
      </c>
      <c r="V156" s="595">
        <f t="shared" si="3"/>
        <v>20</v>
      </c>
      <c r="W156" s="412" t="s">
        <v>300</v>
      </c>
      <c r="X156" s="373" t="s">
        <v>550</v>
      </c>
      <c r="Y156" s="412" t="s">
        <v>300</v>
      </c>
      <c r="Z156" s="266" t="s">
        <v>551</v>
      </c>
      <c r="AE156" s="373"/>
      <c r="AF156" s="373"/>
    </row>
    <row r="157" spans="1:32" s="359" customFormat="1" x14ac:dyDescent="0.3">
      <c r="A157" s="373"/>
      <c r="B157" s="141" t="s">
        <v>568</v>
      </c>
      <c r="C157" s="373" t="s">
        <v>546</v>
      </c>
      <c r="D157" s="62" t="s">
        <v>137</v>
      </c>
      <c r="E157" s="772" t="s">
        <v>173</v>
      </c>
      <c r="F157" s="664">
        <v>135</v>
      </c>
      <c r="G157" s="773" t="s">
        <v>173</v>
      </c>
      <c r="H157" s="664" t="s">
        <v>547</v>
      </c>
      <c r="I157" s="412" t="s">
        <v>300</v>
      </c>
      <c r="J157" s="373" t="s">
        <v>548</v>
      </c>
      <c r="K157" s="412" t="s">
        <v>300</v>
      </c>
      <c r="L157" s="373" t="s">
        <v>549</v>
      </c>
      <c r="M157" s="412" t="s">
        <v>300</v>
      </c>
      <c r="N157" s="373">
        <v>10</v>
      </c>
      <c r="O157" s="773" t="s">
        <v>173</v>
      </c>
      <c r="P157" s="680">
        <f t="shared" si="2"/>
        <v>0.68</v>
      </c>
      <c r="Q157" s="412" t="s">
        <v>300</v>
      </c>
      <c r="R157" s="361">
        <v>0</v>
      </c>
      <c r="S157" s="412" t="s">
        <v>300</v>
      </c>
      <c r="T157" s="202">
        <v>0.15</v>
      </c>
      <c r="U157" s="412" t="s">
        <v>300</v>
      </c>
      <c r="V157" s="595">
        <f t="shared" si="3"/>
        <v>20</v>
      </c>
      <c r="W157" s="412" t="s">
        <v>300</v>
      </c>
      <c r="X157" s="373" t="s">
        <v>550</v>
      </c>
      <c r="Y157" s="412" t="s">
        <v>300</v>
      </c>
      <c r="Z157" s="266" t="s">
        <v>551</v>
      </c>
      <c r="AE157" s="373"/>
      <c r="AF157" s="373"/>
    </row>
    <row r="158" spans="1:32" s="359" customFormat="1" x14ac:dyDescent="0.3">
      <c r="A158" s="373"/>
      <c r="B158" s="141" t="s">
        <v>569</v>
      </c>
      <c r="C158" s="373" t="s">
        <v>546</v>
      </c>
      <c r="D158" s="62" t="s">
        <v>137</v>
      </c>
      <c r="E158" s="772" t="s">
        <v>173</v>
      </c>
      <c r="F158" s="664">
        <v>135</v>
      </c>
      <c r="G158" s="773" t="s">
        <v>173</v>
      </c>
      <c r="H158" s="664" t="s">
        <v>547</v>
      </c>
      <c r="I158" s="412" t="s">
        <v>300</v>
      </c>
      <c r="J158" s="373" t="s">
        <v>548</v>
      </c>
      <c r="K158" s="412" t="s">
        <v>300</v>
      </c>
      <c r="L158" s="373" t="s">
        <v>549</v>
      </c>
      <c r="M158" s="412" t="s">
        <v>300</v>
      </c>
      <c r="N158" s="373">
        <v>10</v>
      </c>
      <c r="O158" s="773" t="s">
        <v>173</v>
      </c>
      <c r="P158" s="680">
        <f t="shared" si="2"/>
        <v>0.68</v>
      </c>
      <c r="Q158" s="412" t="s">
        <v>300</v>
      </c>
      <c r="R158" s="361">
        <v>0</v>
      </c>
      <c r="S158" s="412" t="s">
        <v>300</v>
      </c>
      <c r="T158" s="202">
        <v>0.15</v>
      </c>
      <c r="U158" s="412" t="s">
        <v>300</v>
      </c>
      <c r="V158" s="595">
        <f t="shared" si="3"/>
        <v>20</v>
      </c>
      <c r="W158" s="412" t="s">
        <v>300</v>
      </c>
      <c r="X158" s="373" t="s">
        <v>550</v>
      </c>
      <c r="Y158" s="412" t="s">
        <v>300</v>
      </c>
      <c r="Z158" s="266" t="s">
        <v>551</v>
      </c>
      <c r="AE158" s="373"/>
      <c r="AF158" s="373"/>
    </row>
    <row r="159" spans="1:32" s="359" customFormat="1" x14ac:dyDescent="0.3">
      <c r="A159" s="373"/>
      <c r="B159" s="141" t="s">
        <v>570</v>
      </c>
      <c r="C159" s="373" t="s">
        <v>546</v>
      </c>
      <c r="D159" s="62" t="s">
        <v>137</v>
      </c>
      <c r="E159" s="772" t="s">
        <v>173</v>
      </c>
      <c r="F159" s="664">
        <v>135</v>
      </c>
      <c r="G159" s="773" t="s">
        <v>173</v>
      </c>
      <c r="H159" s="664" t="s">
        <v>547</v>
      </c>
      <c r="I159" s="412" t="s">
        <v>300</v>
      </c>
      <c r="J159" s="373" t="s">
        <v>548</v>
      </c>
      <c r="K159" s="412" t="s">
        <v>300</v>
      </c>
      <c r="L159" s="373" t="s">
        <v>549</v>
      </c>
      <c r="M159" s="412" t="s">
        <v>300</v>
      </c>
      <c r="N159" s="373">
        <v>10</v>
      </c>
      <c r="O159" s="773" t="s">
        <v>173</v>
      </c>
      <c r="P159" s="680">
        <f t="shared" si="2"/>
        <v>0.68</v>
      </c>
      <c r="Q159" s="412" t="s">
        <v>300</v>
      </c>
      <c r="R159" s="361">
        <v>0</v>
      </c>
      <c r="S159" s="412" t="s">
        <v>300</v>
      </c>
      <c r="T159" s="202">
        <v>0.15</v>
      </c>
      <c r="U159" s="412" t="s">
        <v>300</v>
      </c>
      <c r="V159" s="595">
        <f t="shared" si="3"/>
        <v>20</v>
      </c>
      <c r="W159" s="412" t="s">
        <v>300</v>
      </c>
      <c r="X159" s="373" t="s">
        <v>550</v>
      </c>
      <c r="Y159" s="412" t="s">
        <v>300</v>
      </c>
      <c r="Z159" s="266" t="s">
        <v>551</v>
      </c>
      <c r="AE159" s="373"/>
      <c r="AF159" s="373"/>
    </row>
    <row r="160" spans="1:32" s="359" customFormat="1" x14ac:dyDescent="0.3">
      <c r="A160" s="373"/>
      <c r="B160" s="141" t="s">
        <v>571</v>
      </c>
      <c r="C160" s="373" t="s">
        <v>546</v>
      </c>
      <c r="D160" s="62" t="s">
        <v>137</v>
      </c>
      <c r="E160" s="772" t="s">
        <v>173</v>
      </c>
      <c r="F160" s="664">
        <v>216.1</v>
      </c>
      <c r="G160" s="773" t="s">
        <v>173</v>
      </c>
      <c r="H160" s="664" t="s">
        <v>547</v>
      </c>
      <c r="I160" s="412" t="s">
        <v>300</v>
      </c>
      <c r="J160" s="373" t="s">
        <v>548</v>
      </c>
      <c r="K160" s="412" t="s">
        <v>300</v>
      </c>
      <c r="L160" s="373" t="s">
        <v>549</v>
      </c>
      <c r="M160" s="412" t="s">
        <v>300</v>
      </c>
      <c r="N160" s="373">
        <v>10</v>
      </c>
      <c r="O160" s="773" t="s">
        <v>173</v>
      </c>
      <c r="P160" s="680">
        <f t="shared" si="2"/>
        <v>1.08</v>
      </c>
      <c r="Q160" s="412" t="s">
        <v>300</v>
      </c>
      <c r="R160" s="361">
        <v>0</v>
      </c>
      <c r="S160" s="412" t="s">
        <v>300</v>
      </c>
      <c r="T160" s="202">
        <v>0.15</v>
      </c>
      <c r="U160" s="412" t="s">
        <v>300</v>
      </c>
      <c r="V160" s="595">
        <f t="shared" si="3"/>
        <v>32</v>
      </c>
      <c r="W160" s="412" t="s">
        <v>300</v>
      </c>
      <c r="X160" s="373" t="s">
        <v>550</v>
      </c>
      <c r="Y160" s="412" t="s">
        <v>300</v>
      </c>
      <c r="Z160" s="266" t="s">
        <v>551</v>
      </c>
      <c r="AE160" s="373"/>
      <c r="AF160" s="373"/>
    </row>
    <row r="161" spans="1:56" s="359" customFormat="1" x14ac:dyDescent="0.3">
      <c r="A161" s="373"/>
      <c r="B161" s="141" t="s">
        <v>572</v>
      </c>
      <c r="C161" s="373" t="s">
        <v>546</v>
      </c>
      <c r="D161" s="62" t="s">
        <v>137</v>
      </c>
      <c r="E161" s="772" t="s">
        <v>173</v>
      </c>
      <c r="F161" s="664">
        <v>216.1</v>
      </c>
      <c r="G161" s="773" t="s">
        <v>173</v>
      </c>
      <c r="H161" s="664" t="s">
        <v>547</v>
      </c>
      <c r="I161" s="412" t="s">
        <v>300</v>
      </c>
      <c r="J161" s="373" t="s">
        <v>548</v>
      </c>
      <c r="K161" s="412" t="s">
        <v>300</v>
      </c>
      <c r="L161" s="373" t="s">
        <v>549</v>
      </c>
      <c r="M161" s="412" t="s">
        <v>300</v>
      </c>
      <c r="N161" s="373">
        <v>10</v>
      </c>
      <c r="O161" s="773" t="s">
        <v>173</v>
      </c>
      <c r="P161" s="680">
        <f t="shared" si="2"/>
        <v>1.08</v>
      </c>
      <c r="Q161" s="412" t="s">
        <v>300</v>
      </c>
      <c r="R161" s="361">
        <v>0</v>
      </c>
      <c r="S161" s="412" t="s">
        <v>300</v>
      </c>
      <c r="T161" s="202">
        <v>0.15</v>
      </c>
      <c r="U161" s="412" t="s">
        <v>300</v>
      </c>
      <c r="V161" s="595">
        <f t="shared" si="3"/>
        <v>32</v>
      </c>
      <c r="W161" s="412" t="s">
        <v>300</v>
      </c>
      <c r="X161" s="373" t="s">
        <v>550</v>
      </c>
      <c r="Y161" s="412" t="s">
        <v>300</v>
      </c>
      <c r="Z161" s="266" t="s">
        <v>551</v>
      </c>
      <c r="AE161" s="373"/>
      <c r="AF161" s="373"/>
    </row>
    <row r="162" spans="1:56" s="359" customFormat="1" x14ac:dyDescent="0.3">
      <c r="A162" s="373"/>
      <c r="B162" s="141" t="s">
        <v>573</v>
      </c>
      <c r="C162" s="373" t="s">
        <v>546</v>
      </c>
      <c r="D162" s="62" t="s">
        <v>137</v>
      </c>
      <c r="E162" s="772" t="s">
        <v>173</v>
      </c>
      <c r="F162" s="664">
        <v>216.1</v>
      </c>
      <c r="G162" s="773" t="s">
        <v>173</v>
      </c>
      <c r="H162" s="664" t="s">
        <v>547</v>
      </c>
      <c r="I162" s="412" t="s">
        <v>300</v>
      </c>
      <c r="J162" s="373" t="s">
        <v>548</v>
      </c>
      <c r="K162" s="412" t="s">
        <v>300</v>
      </c>
      <c r="L162" s="373" t="s">
        <v>549</v>
      </c>
      <c r="M162" s="412" t="s">
        <v>300</v>
      </c>
      <c r="N162" s="373">
        <v>10</v>
      </c>
      <c r="O162" s="773" t="s">
        <v>173</v>
      </c>
      <c r="P162" s="680">
        <f t="shared" si="2"/>
        <v>1.08</v>
      </c>
      <c r="Q162" s="412" t="s">
        <v>300</v>
      </c>
      <c r="R162" s="361">
        <v>0</v>
      </c>
      <c r="S162" s="412" t="s">
        <v>300</v>
      </c>
      <c r="T162" s="202">
        <v>0.15</v>
      </c>
      <c r="U162" s="412" t="s">
        <v>300</v>
      </c>
      <c r="V162" s="595">
        <f t="shared" si="3"/>
        <v>32</v>
      </c>
      <c r="W162" s="412" t="s">
        <v>300</v>
      </c>
      <c r="X162" s="373" t="s">
        <v>550</v>
      </c>
      <c r="Y162" s="412" t="s">
        <v>300</v>
      </c>
      <c r="Z162" s="266" t="s">
        <v>551</v>
      </c>
      <c r="AE162" s="373"/>
      <c r="AF162" s="373"/>
    </row>
    <row r="163" spans="1:56" s="359" customFormat="1" x14ac:dyDescent="0.3">
      <c r="A163" s="373"/>
      <c r="B163" s="141" t="s">
        <v>574</v>
      </c>
      <c r="C163" s="373" t="s">
        <v>546</v>
      </c>
      <c r="D163" s="62" t="s">
        <v>137</v>
      </c>
      <c r="E163" s="772" t="s">
        <v>173</v>
      </c>
      <c r="F163" s="664">
        <v>216.1</v>
      </c>
      <c r="G163" s="773" t="s">
        <v>173</v>
      </c>
      <c r="H163" s="664" t="s">
        <v>547</v>
      </c>
      <c r="I163" s="412" t="s">
        <v>300</v>
      </c>
      <c r="J163" s="373" t="s">
        <v>548</v>
      </c>
      <c r="K163" s="412" t="s">
        <v>300</v>
      </c>
      <c r="L163" s="373" t="s">
        <v>549</v>
      </c>
      <c r="M163" s="412" t="s">
        <v>300</v>
      </c>
      <c r="N163" s="373">
        <v>10</v>
      </c>
      <c r="O163" s="773" t="s">
        <v>173</v>
      </c>
      <c r="P163" s="680">
        <f t="shared" si="2"/>
        <v>1.08</v>
      </c>
      <c r="Q163" s="412" t="s">
        <v>300</v>
      </c>
      <c r="R163" s="361">
        <v>0</v>
      </c>
      <c r="S163" s="412" t="s">
        <v>300</v>
      </c>
      <c r="T163" s="202">
        <v>0.15</v>
      </c>
      <c r="U163" s="412" t="s">
        <v>300</v>
      </c>
      <c r="V163" s="595">
        <f t="shared" si="3"/>
        <v>32</v>
      </c>
      <c r="W163" s="412" t="s">
        <v>300</v>
      </c>
      <c r="X163" s="373" t="s">
        <v>550</v>
      </c>
      <c r="Y163" s="412" t="s">
        <v>300</v>
      </c>
      <c r="Z163" s="266" t="s">
        <v>551</v>
      </c>
      <c r="AE163" s="373"/>
      <c r="AF163" s="373"/>
    </row>
    <row r="164" spans="1:56" s="359" customFormat="1" x14ac:dyDescent="0.3">
      <c r="A164" s="373"/>
      <c r="B164" s="141" t="s">
        <v>575</v>
      </c>
      <c r="C164" s="373" t="s">
        <v>546</v>
      </c>
      <c r="D164" s="62" t="s">
        <v>137</v>
      </c>
      <c r="E164" s="772" t="s">
        <v>173</v>
      </c>
      <c r="F164" s="664">
        <v>216.1</v>
      </c>
      <c r="G164" s="773" t="s">
        <v>173</v>
      </c>
      <c r="H164" s="664" t="s">
        <v>547</v>
      </c>
      <c r="I164" s="412" t="s">
        <v>300</v>
      </c>
      <c r="J164" s="373" t="s">
        <v>548</v>
      </c>
      <c r="K164" s="412" t="s">
        <v>300</v>
      </c>
      <c r="L164" s="373" t="s">
        <v>549</v>
      </c>
      <c r="M164" s="412" t="s">
        <v>300</v>
      </c>
      <c r="N164" s="373">
        <v>10</v>
      </c>
      <c r="O164" s="773" t="s">
        <v>173</v>
      </c>
      <c r="P164" s="680">
        <f t="shared" si="2"/>
        <v>1.08</v>
      </c>
      <c r="Q164" s="412" t="s">
        <v>300</v>
      </c>
      <c r="R164" s="361">
        <v>0</v>
      </c>
      <c r="S164" s="412" t="s">
        <v>300</v>
      </c>
      <c r="T164" s="202">
        <v>0.15</v>
      </c>
      <c r="U164" s="412" t="s">
        <v>300</v>
      </c>
      <c r="V164" s="595">
        <f t="shared" si="3"/>
        <v>32</v>
      </c>
      <c r="W164" s="412" t="s">
        <v>300</v>
      </c>
      <c r="X164" s="373" t="s">
        <v>550</v>
      </c>
      <c r="Y164" s="412" t="s">
        <v>300</v>
      </c>
      <c r="Z164" s="266" t="s">
        <v>551</v>
      </c>
      <c r="AE164" s="373"/>
      <c r="AF164" s="373"/>
    </row>
    <row r="165" spans="1:56" s="359" customFormat="1" x14ac:dyDescent="0.3">
      <c r="A165" s="373"/>
      <c r="B165" s="141" t="s">
        <v>576</v>
      </c>
      <c r="C165" s="373" t="s">
        <v>546</v>
      </c>
      <c r="D165" s="62" t="s">
        <v>137</v>
      </c>
      <c r="E165" s="772" t="s">
        <v>173</v>
      </c>
      <c r="F165" s="664">
        <v>216.1</v>
      </c>
      <c r="G165" s="773" t="s">
        <v>173</v>
      </c>
      <c r="H165" s="664" t="s">
        <v>547</v>
      </c>
      <c r="I165" s="412" t="s">
        <v>300</v>
      </c>
      <c r="J165" s="373" t="s">
        <v>548</v>
      </c>
      <c r="K165" s="412" t="s">
        <v>300</v>
      </c>
      <c r="L165" s="373" t="s">
        <v>549</v>
      </c>
      <c r="M165" s="412" t="s">
        <v>300</v>
      </c>
      <c r="N165" s="373">
        <v>10</v>
      </c>
      <c r="O165" s="773" t="s">
        <v>173</v>
      </c>
      <c r="P165" s="680">
        <f t="shared" si="2"/>
        <v>1.08</v>
      </c>
      <c r="Q165" s="412" t="s">
        <v>300</v>
      </c>
      <c r="R165" s="361">
        <v>0</v>
      </c>
      <c r="S165" s="412" t="s">
        <v>300</v>
      </c>
      <c r="T165" s="202">
        <v>0.15</v>
      </c>
      <c r="U165" s="412" t="s">
        <v>300</v>
      </c>
      <c r="V165" s="595">
        <f t="shared" si="3"/>
        <v>32</v>
      </c>
      <c r="W165" s="412" t="s">
        <v>300</v>
      </c>
      <c r="X165" s="373" t="s">
        <v>550</v>
      </c>
      <c r="Y165" s="412" t="s">
        <v>300</v>
      </c>
      <c r="Z165" s="266" t="s">
        <v>551</v>
      </c>
      <c r="AE165" s="373"/>
      <c r="AF165" s="373"/>
    </row>
    <row r="166" spans="1:56" s="359" customFormat="1" x14ac:dyDescent="0.3">
      <c r="A166" s="373"/>
      <c r="B166" s="141" t="s">
        <v>577</v>
      </c>
      <c r="C166" s="373" t="s">
        <v>546</v>
      </c>
      <c r="D166" s="62" t="s">
        <v>137</v>
      </c>
      <c r="E166" s="772" t="s">
        <v>173</v>
      </c>
      <c r="F166" s="664">
        <v>216.1</v>
      </c>
      <c r="G166" s="773" t="s">
        <v>173</v>
      </c>
      <c r="H166" s="664" t="s">
        <v>547</v>
      </c>
      <c r="I166" s="412" t="s">
        <v>300</v>
      </c>
      <c r="J166" s="373" t="s">
        <v>548</v>
      </c>
      <c r="K166" s="412" t="s">
        <v>300</v>
      </c>
      <c r="L166" s="373" t="s">
        <v>549</v>
      </c>
      <c r="M166" s="412" t="s">
        <v>300</v>
      </c>
      <c r="N166" s="373">
        <v>10</v>
      </c>
      <c r="O166" s="773" t="s">
        <v>173</v>
      </c>
      <c r="P166" s="680">
        <f t="shared" si="2"/>
        <v>1.08</v>
      </c>
      <c r="Q166" s="412" t="s">
        <v>300</v>
      </c>
      <c r="R166" s="361">
        <v>0</v>
      </c>
      <c r="S166" s="412" t="s">
        <v>300</v>
      </c>
      <c r="T166" s="202">
        <v>0.15</v>
      </c>
      <c r="U166" s="412" t="s">
        <v>300</v>
      </c>
      <c r="V166" s="595">
        <f t="shared" si="3"/>
        <v>32</v>
      </c>
      <c r="W166" s="412" t="s">
        <v>300</v>
      </c>
      <c r="X166" s="373" t="s">
        <v>550</v>
      </c>
      <c r="Y166" s="412" t="s">
        <v>300</v>
      </c>
      <c r="Z166" s="266" t="s">
        <v>551</v>
      </c>
      <c r="AE166" s="373"/>
      <c r="AF166" s="373"/>
    </row>
    <row r="167" spans="1:56" s="359" customFormat="1" x14ac:dyDescent="0.3">
      <c r="A167" s="373"/>
      <c r="B167" s="141" t="s">
        <v>578</v>
      </c>
      <c r="C167" s="373" t="s">
        <v>546</v>
      </c>
      <c r="D167" s="62" t="s">
        <v>137</v>
      </c>
      <c r="E167" s="772" t="s">
        <v>173</v>
      </c>
      <c r="F167" s="664">
        <v>216.1</v>
      </c>
      <c r="G167" s="773" t="s">
        <v>173</v>
      </c>
      <c r="H167" s="664" t="s">
        <v>547</v>
      </c>
      <c r="I167" s="412" t="s">
        <v>300</v>
      </c>
      <c r="J167" s="373" t="s">
        <v>548</v>
      </c>
      <c r="K167" s="412" t="s">
        <v>300</v>
      </c>
      <c r="L167" s="373" t="s">
        <v>549</v>
      </c>
      <c r="M167" s="412" t="s">
        <v>300</v>
      </c>
      <c r="N167" s="373">
        <v>10</v>
      </c>
      <c r="O167" s="773" t="s">
        <v>173</v>
      </c>
      <c r="P167" s="680">
        <f t="shared" si="2"/>
        <v>1.08</v>
      </c>
      <c r="Q167" s="412" t="s">
        <v>300</v>
      </c>
      <c r="R167" s="361">
        <v>0</v>
      </c>
      <c r="S167" s="412" t="s">
        <v>300</v>
      </c>
      <c r="T167" s="202">
        <v>0.15</v>
      </c>
      <c r="U167" s="412" t="s">
        <v>300</v>
      </c>
      <c r="V167" s="595">
        <f t="shared" si="3"/>
        <v>32</v>
      </c>
      <c r="W167" s="412" t="s">
        <v>300</v>
      </c>
      <c r="X167" s="373" t="s">
        <v>550</v>
      </c>
      <c r="Y167" s="412" t="s">
        <v>300</v>
      </c>
      <c r="Z167" s="266" t="s">
        <v>551</v>
      </c>
      <c r="AE167" s="373"/>
      <c r="AF167" s="373"/>
    </row>
    <row r="168" spans="1:56" s="359" customFormat="1" x14ac:dyDescent="0.3">
      <c r="A168" s="373"/>
      <c r="B168" s="309" t="s">
        <v>579</v>
      </c>
      <c r="C168" s="165" t="s">
        <v>546</v>
      </c>
      <c r="D168" s="452" t="s">
        <v>137</v>
      </c>
      <c r="E168" s="774" t="s">
        <v>173</v>
      </c>
      <c r="F168" s="669">
        <v>351</v>
      </c>
      <c r="G168" s="775" t="s">
        <v>173</v>
      </c>
      <c r="H168" s="669" t="s">
        <v>547</v>
      </c>
      <c r="I168" s="410" t="s">
        <v>300</v>
      </c>
      <c r="J168" s="165" t="s">
        <v>548</v>
      </c>
      <c r="K168" s="410" t="s">
        <v>300</v>
      </c>
      <c r="L168" s="165" t="s">
        <v>549</v>
      </c>
      <c r="M168" s="410" t="s">
        <v>300</v>
      </c>
      <c r="N168" s="165">
        <v>10</v>
      </c>
      <c r="O168" s="775" t="s">
        <v>173</v>
      </c>
      <c r="P168" s="682">
        <f t="shared" si="2"/>
        <v>1.76</v>
      </c>
      <c r="Q168" s="410" t="s">
        <v>300</v>
      </c>
      <c r="R168" s="786">
        <v>0</v>
      </c>
      <c r="S168" s="410" t="s">
        <v>300</v>
      </c>
      <c r="T168" s="204">
        <v>0.15</v>
      </c>
      <c r="U168" s="410" t="s">
        <v>300</v>
      </c>
      <c r="V168" s="653">
        <f t="shared" si="3"/>
        <v>53</v>
      </c>
      <c r="W168" s="410" t="s">
        <v>300</v>
      </c>
      <c r="X168" s="165" t="s">
        <v>550</v>
      </c>
      <c r="Y168" s="410" t="s">
        <v>300</v>
      </c>
      <c r="Z168" s="250" t="s">
        <v>551</v>
      </c>
      <c r="AE168" s="373"/>
      <c r="AF168" s="373"/>
    </row>
    <row r="169" spans="1:56" s="93" customFormat="1" ht="14.4" x14ac:dyDescent="0.3">
      <c r="A169" s="89"/>
      <c r="B169" s="92"/>
      <c r="C169" s="90"/>
      <c r="E169" s="357"/>
      <c r="G169" s="25"/>
      <c r="I169" s="96"/>
      <c r="K169" s="96"/>
      <c r="M169" s="96"/>
      <c r="O169" s="96"/>
      <c r="Q169" s="89"/>
      <c r="R169" s="89"/>
      <c r="S169" s="89"/>
      <c r="T169" s="89"/>
      <c r="U169" s="358"/>
      <c r="V169" s="358"/>
      <c r="W169" s="358"/>
      <c r="X169" s="358"/>
    </row>
    <row r="170" spans="1:56" s="17" customFormat="1" ht="14.4" x14ac:dyDescent="0.3">
      <c r="A170" s="397"/>
      <c r="B170" s="401"/>
      <c r="C170" s="74"/>
      <c r="E170" s="533"/>
      <c r="G170" s="570"/>
      <c r="I170" s="570"/>
      <c r="K170" s="570"/>
      <c r="M170" s="570"/>
      <c r="O170" s="570"/>
      <c r="Q170" s="397"/>
      <c r="R170" s="397"/>
      <c r="S170" s="397"/>
      <c r="T170" s="397"/>
      <c r="U170" s="534"/>
      <c r="V170" s="534"/>
      <c r="W170" s="534"/>
      <c r="X170" s="534"/>
    </row>
    <row r="171" spans="1:56" s="373" customFormat="1" ht="41.4" x14ac:dyDescent="0.3">
      <c r="A171" s="358"/>
      <c r="B171" s="115" t="s">
        <v>580</v>
      </c>
      <c r="C171" s="120" t="s">
        <v>523</v>
      </c>
      <c r="D171" s="120" t="s">
        <v>122</v>
      </c>
      <c r="E171" s="675"/>
      <c r="F171" s="436" t="s">
        <v>52</v>
      </c>
      <c r="G171" s="131"/>
      <c r="H171" s="488" t="s">
        <v>522</v>
      </c>
      <c r="I171" s="120"/>
      <c r="J171" s="470" t="s">
        <v>524</v>
      </c>
      <c r="K171" s="675"/>
      <c r="L171" s="488" t="s">
        <v>581</v>
      </c>
      <c r="M171" s="115"/>
      <c r="N171" s="319" t="s">
        <v>525</v>
      </c>
      <c r="O171" s="675"/>
      <c r="P171" s="488" t="s">
        <v>526</v>
      </c>
      <c r="Q171" s="675"/>
      <c r="R171" s="488" t="s">
        <v>527</v>
      </c>
      <c r="S171" s="274"/>
      <c r="T171" s="319" t="s">
        <v>528</v>
      </c>
      <c r="U171" s="488"/>
      <c r="V171" s="319" t="s">
        <v>529</v>
      </c>
      <c r="W171" s="194"/>
      <c r="X171" s="173" t="s">
        <v>531</v>
      </c>
      <c r="Y171" s="194"/>
      <c r="Z171" s="173" t="s">
        <v>582</v>
      </c>
      <c r="AA171" s="274"/>
      <c r="AB171" s="173" t="s">
        <v>583</v>
      </c>
      <c r="AC171" s="173"/>
      <c r="AD171" s="173" t="s">
        <v>584</v>
      </c>
      <c r="AE171" s="602"/>
      <c r="AF171" s="117" t="s">
        <v>585</v>
      </c>
      <c r="AG171" s="194"/>
      <c r="AH171" s="173" t="s">
        <v>586</v>
      </c>
      <c r="AI171" s="293"/>
      <c r="AJ171" s="148" t="s">
        <v>533</v>
      </c>
      <c r="AK171" s="131"/>
      <c r="AL171" s="148" t="s">
        <v>534</v>
      </c>
      <c r="AM171" s="17"/>
      <c r="AN171" s="17"/>
      <c r="AO171" s="17"/>
      <c r="AP171" s="17"/>
      <c r="AR171" s="358"/>
      <c r="AS171" s="359"/>
      <c r="AT171" s="358"/>
      <c r="AU171" s="578"/>
      <c r="AV171" s="579"/>
      <c r="BA171" s="358"/>
      <c r="BB171" s="358"/>
      <c r="BC171" s="358"/>
      <c r="BD171" s="358"/>
    </row>
    <row r="172" spans="1:56" s="89" customFormat="1" ht="28.2" thickBot="1" x14ac:dyDescent="0.35">
      <c r="B172" s="315" t="s">
        <v>587</v>
      </c>
      <c r="C172" s="176" t="s">
        <v>536</v>
      </c>
      <c r="D172" s="582"/>
      <c r="E172" s="178"/>
      <c r="F172" s="218" t="s">
        <v>588</v>
      </c>
      <c r="G172" s="635"/>
      <c r="H172" s="176" t="s">
        <v>589</v>
      </c>
      <c r="I172" s="582"/>
      <c r="J172" s="634"/>
      <c r="K172" s="178"/>
      <c r="L172" s="176" t="s">
        <v>590</v>
      </c>
      <c r="M172" s="635"/>
      <c r="N172" s="176" t="s">
        <v>537</v>
      </c>
      <c r="O172" s="178"/>
      <c r="P172" s="338" t="s">
        <v>538</v>
      </c>
      <c r="Q172" s="178"/>
      <c r="R172" s="338" t="s">
        <v>539</v>
      </c>
      <c r="S172" s="315"/>
      <c r="T172" s="124" t="s">
        <v>540</v>
      </c>
      <c r="U172" s="132"/>
      <c r="V172" s="124"/>
      <c r="W172" s="132"/>
      <c r="X172" s="124" t="s">
        <v>542</v>
      </c>
      <c r="Y172" s="132"/>
      <c r="Z172" s="124" t="s">
        <v>591</v>
      </c>
      <c r="AA172" s="315"/>
      <c r="AB172" s="124" t="s">
        <v>592</v>
      </c>
      <c r="AC172" s="124"/>
      <c r="AD172" s="124" t="s">
        <v>593</v>
      </c>
      <c r="AE172" s="603"/>
      <c r="AF172" s="149" t="s">
        <v>594</v>
      </c>
      <c r="AG172" s="132"/>
      <c r="AH172" s="124" t="s">
        <v>542</v>
      </c>
      <c r="AI172" s="580"/>
      <c r="AJ172" s="339" t="s">
        <v>543</v>
      </c>
      <c r="AK172" s="580"/>
      <c r="AL172" s="339" t="s">
        <v>544</v>
      </c>
      <c r="AM172" s="17"/>
      <c r="AN172" s="17"/>
      <c r="AO172" s="17"/>
      <c r="AP172" s="17"/>
      <c r="AQ172" s="101"/>
      <c r="AR172" s="101"/>
      <c r="AU172" s="101"/>
      <c r="AV172" s="101"/>
      <c r="AW172" s="101"/>
      <c r="AX172" s="101"/>
      <c r="AY172" s="101"/>
      <c r="AZ172" s="101"/>
      <c r="BA172" s="101"/>
      <c r="BB172" s="101"/>
      <c r="BC172" s="101"/>
      <c r="BD172" s="101"/>
    </row>
    <row r="173" spans="1:56" s="89" customFormat="1" ht="15" thickTop="1" x14ac:dyDescent="0.3">
      <c r="B173" s="735" t="s">
        <v>595</v>
      </c>
      <c r="C173" s="373" t="s">
        <v>546</v>
      </c>
      <c r="D173" s="62" t="s">
        <v>137</v>
      </c>
      <c r="E173" s="696"/>
      <c r="F173" s="583" t="s">
        <v>596</v>
      </c>
      <c r="G173" s="697"/>
      <c r="H173" s="62" t="s">
        <v>597</v>
      </c>
      <c r="I173" s="769" t="s">
        <v>173</v>
      </c>
      <c r="J173" s="664">
        <v>351</v>
      </c>
      <c r="K173" s="769" t="s">
        <v>173</v>
      </c>
      <c r="L173" s="712">
        <v>1</v>
      </c>
      <c r="M173" s="769" t="s">
        <v>173</v>
      </c>
      <c r="N173" s="664" t="s">
        <v>547</v>
      </c>
      <c r="O173" s="769" t="s">
        <v>173</v>
      </c>
      <c r="P173" s="665" t="s">
        <v>548</v>
      </c>
      <c r="Q173" s="769" t="s">
        <v>173</v>
      </c>
      <c r="R173" s="665" t="s">
        <v>549</v>
      </c>
      <c r="S173" s="412" t="s">
        <v>300</v>
      </c>
      <c r="T173" s="373">
        <v>5</v>
      </c>
      <c r="U173" s="773" t="s">
        <v>173</v>
      </c>
      <c r="V173" s="680">
        <f t="shared" ref="V173:V207" si="4">ROUND(J173/1000*T173*0.5,2)</f>
        <v>0.88</v>
      </c>
      <c r="W173" s="412"/>
      <c r="X173" s="20">
        <v>0.15</v>
      </c>
      <c r="Y173" s="412"/>
      <c r="Z173" s="790">
        <f>X173*J173</f>
        <v>52.65</v>
      </c>
      <c r="AA173" s="324" t="s">
        <v>173</v>
      </c>
      <c r="AB173" s="262" t="s">
        <v>173</v>
      </c>
      <c r="AC173" s="324" t="s">
        <v>173</v>
      </c>
      <c r="AD173" s="262" t="s">
        <v>173</v>
      </c>
      <c r="AE173" s="324" t="s">
        <v>173</v>
      </c>
      <c r="AF173" s="262" t="s">
        <v>173</v>
      </c>
      <c r="AG173" s="324" t="s">
        <v>173</v>
      </c>
      <c r="AH173" s="262" t="s">
        <v>173</v>
      </c>
      <c r="AI173" s="412" t="s">
        <v>300</v>
      </c>
      <c r="AJ173" s="366" t="s">
        <v>598</v>
      </c>
      <c r="AK173" s="412" t="s">
        <v>300</v>
      </c>
      <c r="AL173" s="356" t="s">
        <v>599</v>
      </c>
      <c r="AM173" s="17"/>
      <c r="AN173" s="17"/>
      <c r="AO173" s="733"/>
      <c r="AP173" s="17"/>
      <c r="AQ173" s="101"/>
      <c r="AR173" s="101"/>
      <c r="AU173" s="101"/>
      <c r="AV173" s="101"/>
      <c r="AW173" s="101"/>
      <c r="AX173" s="101"/>
      <c r="AY173" s="101"/>
      <c r="AZ173" s="101"/>
      <c r="BA173" s="101"/>
      <c r="BB173" s="101"/>
      <c r="BC173" s="101"/>
      <c r="BD173" s="101"/>
    </row>
    <row r="174" spans="1:56" s="89" customFormat="1" ht="14.4" x14ac:dyDescent="0.3">
      <c r="B174" s="735" t="s">
        <v>600</v>
      </c>
      <c r="C174" s="373" t="s">
        <v>546</v>
      </c>
      <c r="D174" s="62" t="s">
        <v>137</v>
      </c>
      <c r="E174" s="697"/>
      <c r="F174" s="62" t="s">
        <v>596</v>
      </c>
      <c r="G174" s="697"/>
      <c r="H174" s="62" t="s">
        <v>601</v>
      </c>
      <c r="I174" s="772" t="s">
        <v>173</v>
      </c>
      <c r="J174" s="664">
        <v>351</v>
      </c>
      <c r="K174" s="772" t="s">
        <v>173</v>
      </c>
      <c r="L174" s="712">
        <v>1</v>
      </c>
      <c r="M174" s="772" t="s">
        <v>173</v>
      </c>
      <c r="N174" s="664" t="s">
        <v>547</v>
      </c>
      <c r="O174" s="772" t="s">
        <v>173</v>
      </c>
      <c r="P174" s="665" t="s">
        <v>548</v>
      </c>
      <c r="Q174" s="772" t="s">
        <v>173</v>
      </c>
      <c r="R174" s="665" t="s">
        <v>549</v>
      </c>
      <c r="S174" s="412" t="s">
        <v>300</v>
      </c>
      <c r="T174" s="373">
        <v>5</v>
      </c>
      <c r="U174" s="773" t="s">
        <v>173</v>
      </c>
      <c r="V174" s="680">
        <f t="shared" si="4"/>
        <v>0.88</v>
      </c>
      <c r="W174" s="412"/>
      <c r="X174" s="20">
        <v>0.15</v>
      </c>
      <c r="Y174" s="412"/>
      <c r="Z174" s="790">
        <f t="shared" ref="Z174:Z187" si="5">X174*J174</f>
        <v>52.65</v>
      </c>
      <c r="AA174" s="324" t="s">
        <v>173</v>
      </c>
      <c r="AB174" s="262" t="s">
        <v>173</v>
      </c>
      <c r="AC174" s="324" t="s">
        <v>173</v>
      </c>
      <c r="AD174" s="262" t="s">
        <v>173</v>
      </c>
      <c r="AE174" s="324" t="s">
        <v>173</v>
      </c>
      <c r="AF174" s="262" t="s">
        <v>173</v>
      </c>
      <c r="AG174" s="324" t="s">
        <v>173</v>
      </c>
      <c r="AH174" s="262" t="s">
        <v>173</v>
      </c>
      <c r="AI174" s="412" t="s">
        <v>300</v>
      </c>
      <c r="AJ174" s="366" t="s">
        <v>598</v>
      </c>
      <c r="AK174" s="412" t="s">
        <v>300</v>
      </c>
      <c r="AL174" s="356" t="s">
        <v>599</v>
      </c>
      <c r="AM174" s="17"/>
      <c r="AN174" s="17"/>
      <c r="AO174" s="733"/>
      <c r="AP174" s="17"/>
      <c r="AQ174" s="101"/>
      <c r="AR174" s="101"/>
      <c r="AU174" s="101"/>
      <c r="AV174" s="101"/>
      <c r="AW174" s="101"/>
      <c r="AX174" s="101"/>
      <c r="AY174" s="101"/>
      <c r="AZ174" s="101"/>
      <c r="BA174" s="101"/>
      <c r="BB174" s="101"/>
      <c r="BC174" s="101"/>
      <c r="BD174" s="101"/>
    </row>
    <row r="175" spans="1:56" s="89" customFormat="1" ht="14.4" x14ac:dyDescent="0.3">
      <c r="B175" s="735" t="s">
        <v>602</v>
      </c>
      <c r="C175" s="373" t="s">
        <v>546</v>
      </c>
      <c r="D175" s="62" t="s">
        <v>137</v>
      </c>
      <c r="E175" s="697"/>
      <c r="F175" s="62" t="s">
        <v>596</v>
      </c>
      <c r="G175" s="697"/>
      <c r="H175" s="62" t="s">
        <v>603</v>
      </c>
      <c r="I175" s="772" t="s">
        <v>173</v>
      </c>
      <c r="J175" s="664">
        <v>351</v>
      </c>
      <c r="K175" s="772" t="s">
        <v>173</v>
      </c>
      <c r="L175" s="712">
        <v>1</v>
      </c>
      <c r="M175" s="772" t="s">
        <v>173</v>
      </c>
      <c r="N175" s="664" t="s">
        <v>547</v>
      </c>
      <c r="O175" s="772" t="s">
        <v>173</v>
      </c>
      <c r="P175" s="665" t="s">
        <v>548</v>
      </c>
      <c r="Q175" s="772" t="s">
        <v>173</v>
      </c>
      <c r="R175" s="665" t="s">
        <v>549</v>
      </c>
      <c r="S175" s="412" t="s">
        <v>300</v>
      </c>
      <c r="T175" s="373">
        <v>5</v>
      </c>
      <c r="U175" s="773" t="s">
        <v>173</v>
      </c>
      <c r="V175" s="680">
        <f t="shared" si="4"/>
        <v>0.88</v>
      </c>
      <c r="W175" s="412"/>
      <c r="X175" s="20">
        <v>0.15</v>
      </c>
      <c r="Y175" s="412"/>
      <c r="Z175" s="790">
        <f t="shared" si="5"/>
        <v>52.65</v>
      </c>
      <c r="AA175" s="324" t="s">
        <v>173</v>
      </c>
      <c r="AB175" s="262" t="s">
        <v>173</v>
      </c>
      <c r="AC175" s="324" t="s">
        <v>173</v>
      </c>
      <c r="AD175" s="262" t="s">
        <v>173</v>
      </c>
      <c r="AE175" s="324" t="s">
        <v>173</v>
      </c>
      <c r="AF175" s="262" t="s">
        <v>173</v>
      </c>
      <c r="AG175" s="324" t="s">
        <v>173</v>
      </c>
      <c r="AH175" s="262" t="s">
        <v>173</v>
      </c>
      <c r="AI175" s="412" t="s">
        <v>300</v>
      </c>
      <c r="AJ175" s="366" t="s">
        <v>598</v>
      </c>
      <c r="AK175" s="412" t="s">
        <v>300</v>
      </c>
      <c r="AL175" s="356" t="s">
        <v>599</v>
      </c>
      <c r="AM175" s="17"/>
      <c r="AN175" s="17"/>
      <c r="AO175" s="733"/>
      <c r="AP175" s="17"/>
      <c r="AQ175" s="101"/>
      <c r="AR175" s="101"/>
      <c r="AU175" s="101"/>
      <c r="AV175" s="101"/>
      <c r="AW175" s="101"/>
      <c r="AX175" s="101"/>
      <c r="AY175" s="101"/>
      <c r="AZ175" s="101"/>
      <c r="BA175" s="101"/>
      <c r="BB175" s="101"/>
      <c r="BC175" s="101"/>
      <c r="BD175" s="101"/>
    </row>
    <row r="176" spans="1:56" s="89" customFormat="1" ht="14.4" x14ac:dyDescent="0.3">
      <c r="B176" s="735" t="s">
        <v>604</v>
      </c>
      <c r="C176" s="373" t="s">
        <v>546</v>
      </c>
      <c r="D176" s="62" t="s">
        <v>137</v>
      </c>
      <c r="E176" s="697"/>
      <c r="F176" s="62" t="s">
        <v>596</v>
      </c>
      <c r="G176" s="697"/>
      <c r="H176" s="62" t="s">
        <v>605</v>
      </c>
      <c r="I176" s="772" t="s">
        <v>173</v>
      </c>
      <c r="J176" s="664">
        <v>351</v>
      </c>
      <c r="K176" s="772" t="s">
        <v>173</v>
      </c>
      <c r="L176" s="712">
        <v>1</v>
      </c>
      <c r="M176" s="772" t="s">
        <v>173</v>
      </c>
      <c r="N176" s="664" t="s">
        <v>547</v>
      </c>
      <c r="O176" s="772" t="s">
        <v>173</v>
      </c>
      <c r="P176" s="665" t="s">
        <v>548</v>
      </c>
      <c r="Q176" s="772" t="s">
        <v>173</v>
      </c>
      <c r="R176" s="665" t="s">
        <v>549</v>
      </c>
      <c r="S176" s="412" t="s">
        <v>300</v>
      </c>
      <c r="T176" s="373">
        <v>5</v>
      </c>
      <c r="U176" s="773" t="s">
        <v>173</v>
      </c>
      <c r="V176" s="680">
        <f t="shared" si="4"/>
        <v>0.88</v>
      </c>
      <c r="W176" s="412"/>
      <c r="X176" s="20">
        <v>0.15</v>
      </c>
      <c r="Y176" s="412"/>
      <c r="Z176" s="790">
        <f t="shared" si="5"/>
        <v>52.65</v>
      </c>
      <c r="AA176" s="324" t="s">
        <v>173</v>
      </c>
      <c r="AB176" s="262" t="s">
        <v>173</v>
      </c>
      <c r="AC176" s="324" t="s">
        <v>173</v>
      </c>
      <c r="AD176" s="262" t="s">
        <v>173</v>
      </c>
      <c r="AE176" s="324" t="s">
        <v>173</v>
      </c>
      <c r="AF176" s="262" t="s">
        <v>173</v>
      </c>
      <c r="AG176" s="324" t="s">
        <v>173</v>
      </c>
      <c r="AH176" s="262" t="s">
        <v>173</v>
      </c>
      <c r="AI176" s="412" t="s">
        <v>300</v>
      </c>
      <c r="AJ176" s="366" t="s">
        <v>598</v>
      </c>
      <c r="AK176" s="412" t="s">
        <v>300</v>
      </c>
      <c r="AL176" s="356" t="s">
        <v>599</v>
      </c>
      <c r="AM176" s="17"/>
      <c r="AN176" s="17"/>
      <c r="AO176" s="733"/>
      <c r="AP176" s="17"/>
      <c r="AQ176" s="101"/>
      <c r="AR176" s="101"/>
      <c r="AU176" s="101"/>
      <c r="AV176" s="101"/>
      <c r="AW176" s="101"/>
      <c r="AX176" s="101"/>
      <c r="AY176" s="101"/>
      <c r="AZ176" s="101"/>
      <c r="BA176" s="101"/>
      <c r="BB176" s="101"/>
      <c r="BC176" s="101"/>
      <c r="BD176" s="101"/>
    </row>
    <row r="177" spans="1:56" s="89" customFormat="1" ht="14.4" x14ac:dyDescent="0.3">
      <c r="B177" s="735" t="s">
        <v>606</v>
      </c>
      <c r="C177" s="373" t="s">
        <v>546</v>
      </c>
      <c r="D177" s="62" t="s">
        <v>137</v>
      </c>
      <c r="E177" s="697"/>
      <c r="F177" s="62" t="s">
        <v>596</v>
      </c>
      <c r="G177" s="697"/>
      <c r="H177" s="62" t="s">
        <v>607</v>
      </c>
      <c r="I177" s="772" t="s">
        <v>173</v>
      </c>
      <c r="J177" s="664">
        <v>351</v>
      </c>
      <c r="K177" s="772" t="s">
        <v>173</v>
      </c>
      <c r="L177" s="712">
        <v>1</v>
      </c>
      <c r="M177" s="772" t="s">
        <v>173</v>
      </c>
      <c r="N177" s="664" t="s">
        <v>547</v>
      </c>
      <c r="O177" s="772" t="s">
        <v>173</v>
      </c>
      <c r="P177" s="665" t="s">
        <v>548</v>
      </c>
      <c r="Q177" s="772" t="s">
        <v>173</v>
      </c>
      <c r="R177" s="665" t="s">
        <v>549</v>
      </c>
      <c r="S177" s="412" t="s">
        <v>300</v>
      </c>
      <c r="T177" s="373">
        <v>5</v>
      </c>
      <c r="U177" s="773" t="s">
        <v>173</v>
      </c>
      <c r="V177" s="680">
        <f t="shared" si="4"/>
        <v>0.88</v>
      </c>
      <c r="W177" s="412"/>
      <c r="X177" s="20">
        <v>0.15</v>
      </c>
      <c r="Y177" s="412"/>
      <c r="Z177" s="790">
        <f t="shared" si="5"/>
        <v>52.65</v>
      </c>
      <c r="AA177" s="324" t="s">
        <v>173</v>
      </c>
      <c r="AB177" s="262" t="s">
        <v>173</v>
      </c>
      <c r="AC177" s="324" t="s">
        <v>173</v>
      </c>
      <c r="AD177" s="262" t="s">
        <v>173</v>
      </c>
      <c r="AE177" s="324" t="s">
        <v>173</v>
      </c>
      <c r="AF177" s="262" t="s">
        <v>173</v>
      </c>
      <c r="AG177" s="324" t="s">
        <v>173</v>
      </c>
      <c r="AH177" s="262" t="s">
        <v>173</v>
      </c>
      <c r="AI177" s="412" t="s">
        <v>300</v>
      </c>
      <c r="AJ177" s="366" t="s">
        <v>598</v>
      </c>
      <c r="AK177" s="412" t="s">
        <v>300</v>
      </c>
      <c r="AL177" s="356" t="s">
        <v>599</v>
      </c>
      <c r="AM177" s="17"/>
      <c r="AN177" s="17"/>
      <c r="AO177" s="733"/>
      <c r="AP177" s="17"/>
      <c r="AQ177" s="101"/>
      <c r="AR177" s="101"/>
      <c r="AU177" s="101"/>
      <c r="AV177" s="101"/>
      <c r="AW177" s="101"/>
      <c r="AX177" s="101"/>
      <c r="AY177" s="101"/>
      <c r="AZ177" s="101"/>
      <c r="BA177" s="101"/>
      <c r="BB177" s="101"/>
      <c r="BC177" s="101"/>
      <c r="BD177" s="101"/>
    </row>
    <row r="178" spans="1:56" s="89" customFormat="1" ht="14.4" x14ac:dyDescent="0.3">
      <c r="B178" s="128" t="s">
        <v>608</v>
      </c>
      <c r="C178" s="373" t="s">
        <v>546</v>
      </c>
      <c r="D178" s="62" t="s">
        <v>137</v>
      </c>
      <c r="E178" s="697"/>
      <c r="F178" s="62" t="s">
        <v>596</v>
      </c>
      <c r="G178" s="697"/>
      <c r="H178" s="62" t="s">
        <v>609</v>
      </c>
      <c r="I178" s="772" t="s">
        <v>173</v>
      </c>
      <c r="J178" s="664">
        <v>351</v>
      </c>
      <c r="K178" s="772" t="s">
        <v>173</v>
      </c>
      <c r="L178" s="712">
        <v>1</v>
      </c>
      <c r="M178" s="772" t="s">
        <v>173</v>
      </c>
      <c r="N178" s="664" t="s">
        <v>547</v>
      </c>
      <c r="O178" s="772" t="s">
        <v>173</v>
      </c>
      <c r="P178" s="665" t="s">
        <v>548</v>
      </c>
      <c r="Q178" s="772" t="s">
        <v>173</v>
      </c>
      <c r="R178" s="665" t="s">
        <v>549</v>
      </c>
      <c r="S178" s="412" t="s">
        <v>300</v>
      </c>
      <c r="T178" s="373">
        <v>5</v>
      </c>
      <c r="U178" s="773" t="s">
        <v>173</v>
      </c>
      <c r="V178" s="680">
        <f t="shared" si="4"/>
        <v>0.88</v>
      </c>
      <c r="W178" s="412"/>
      <c r="X178" s="20">
        <v>0.15</v>
      </c>
      <c r="Y178" s="412"/>
      <c r="Z178" s="790">
        <f t="shared" si="5"/>
        <v>52.65</v>
      </c>
      <c r="AA178" s="324" t="s">
        <v>173</v>
      </c>
      <c r="AB178" s="262" t="s">
        <v>173</v>
      </c>
      <c r="AC178" s="324" t="s">
        <v>173</v>
      </c>
      <c r="AD178" s="262" t="s">
        <v>173</v>
      </c>
      <c r="AE178" s="324" t="s">
        <v>173</v>
      </c>
      <c r="AF178" s="262" t="s">
        <v>173</v>
      </c>
      <c r="AG178" s="324" t="s">
        <v>173</v>
      </c>
      <c r="AH178" s="262" t="s">
        <v>173</v>
      </c>
      <c r="AI178" s="412" t="s">
        <v>300</v>
      </c>
      <c r="AJ178" s="366" t="s">
        <v>598</v>
      </c>
      <c r="AK178" s="412" t="s">
        <v>300</v>
      </c>
      <c r="AL178" s="356" t="s">
        <v>599</v>
      </c>
      <c r="AM178" s="17"/>
      <c r="AN178" s="17"/>
      <c r="AO178" s="733"/>
      <c r="AP178" s="17"/>
      <c r="AQ178" s="101"/>
      <c r="AR178" s="101"/>
      <c r="AU178" s="101"/>
      <c r="AV178" s="101"/>
      <c r="AW178" s="101"/>
      <c r="AX178" s="101"/>
      <c r="AY178" s="101"/>
      <c r="AZ178" s="101"/>
      <c r="BA178" s="101"/>
      <c r="BB178" s="101"/>
      <c r="BC178" s="101"/>
      <c r="BD178" s="101"/>
    </row>
    <row r="179" spans="1:56" s="89" customFormat="1" ht="14.4" x14ac:dyDescent="0.3">
      <c r="B179" s="128" t="s">
        <v>610</v>
      </c>
      <c r="C179" s="373" t="s">
        <v>546</v>
      </c>
      <c r="D179" s="62" t="s">
        <v>137</v>
      </c>
      <c r="E179" s="697"/>
      <c r="F179" s="62" t="s">
        <v>596</v>
      </c>
      <c r="G179" s="697"/>
      <c r="H179" s="62" t="s">
        <v>362</v>
      </c>
      <c r="I179" s="772" t="s">
        <v>173</v>
      </c>
      <c r="J179" s="664">
        <v>1404.1</v>
      </c>
      <c r="K179" s="772" t="s">
        <v>173</v>
      </c>
      <c r="L179" s="712">
        <v>4</v>
      </c>
      <c r="M179" s="772" t="s">
        <v>173</v>
      </c>
      <c r="N179" s="664" t="s">
        <v>547</v>
      </c>
      <c r="O179" s="772" t="s">
        <v>173</v>
      </c>
      <c r="P179" s="665" t="s">
        <v>548</v>
      </c>
      <c r="Q179" s="772" t="s">
        <v>173</v>
      </c>
      <c r="R179" s="665" t="s">
        <v>549</v>
      </c>
      <c r="S179" s="412" t="s">
        <v>300</v>
      </c>
      <c r="T179" s="373">
        <v>5</v>
      </c>
      <c r="U179" s="773" t="s">
        <v>173</v>
      </c>
      <c r="V179" s="680">
        <f t="shared" si="4"/>
        <v>3.51</v>
      </c>
      <c r="W179" s="412"/>
      <c r="X179" s="20">
        <v>0.15</v>
      </c>
      <c r="Y179" s="412"/>
      <c r="Z179" s="790">
        <f t="shared" si="5"/>
        <v>210.61499999999998</v>
      </c>
      <c r="AA179" s="324" t="s">
        <v>173</v>
      </c>
      <c r="AB179" s="262" t="s">
        <v>173</v>
      </c>
      <c r="AC179" s="324" t="s">
        <v>173</v>
      </c>
      <c r="AD179" s="262" t="s">
        <v>173</v>
      </c>
      <c r="AE179" s="324" t="s">
        <v>173</v>
      </c>
      <c r="AF179" s="262" t="s">
        <v>173</v>
      </c>
      <c r="AG179" s="324" t="s">
        <v>173</v>
      </c>
      <c r="AH179" s="262" t="s">
        <v>173</v>
      </c>
      <c r="AI179" s="412" t="s">
        <v>300</v>
      </c>
      <c r="AJ179" s="366" t="s">
        <v>598</v>
      </c>
      <c r="AK179" s="412" t="s">
        <v>300</v>
      </c>
      <c r="AL179" s="356" t="s">
        <v>599</v>
      </c>
      <c r="AM179" s="17"/>
      <c r="AN179" s="17"/>
      <c r="AO179" s="733"/>
      <c r="AP179" s="17"/>
      <c r="AQ179" s="101"/>
      <c r="AR179" s="101"/>
      <c r="AU179" s="101"/>
      <c r="AV179" s="101"/>
      <c r="AW179" s="101"/>
      <c r="AX179" s="101"/>
      <c r="AY179" s="101"/>
      <c r="AZ179" s="101"/>
      <c r="BA179" s="101"/>
      <c r="BB179" s="101"/>
      <c r="BC179" s="101"/>
      <c r="BD179" s="101"/>
    </row>
    <row r="180" spans="1:56" s="89" customFormat="1" ht="14.4" x14ac:dyDescent="0.3">
      <c r="B180" s="128" t="s">
        <v>611</v>
      </c>
      <c r="C180" s="373" t="s">
        <v>546</v>
      </c>
      <c r="D180" s="62" t="s">
        <v>137</v>
      </c>
      <c r="E180" s="697"/>
      <c r="F180" s="62" t="s">
        <v>596</v>
      </c>
      <c r="G180" s="697"/>
      <c r="H180" s="62" t="s">
        <v>612</v>
      </c>
      <c r="I180" s="772" t="s">
        <v>173</v>
      </c>
      <c r="J180" s="664">
        <v>1134.0999999999999</v>
      </c>
      <c r="K180" s="772" t="s">
        <v>173</v>
      </c>
      <c r="L180" s="712">
        <v>3</v>
      </c>
      <c r="M180" s="772" t="s">
        <v>173</v>
      </c>
      <c r="N180" s="664" t="s">
        <v>547</v>
      </c>
      <c r="O180" s="772" t="s">
        <v>173</v>
      </c>
      <c r="P180" s="665" t="s">
        <v>548</v>
      </c>
      <c r="Q180" s="772" t="s">
        <v>173</v>
      </c>
      <c r="R180" s="665" t="s">
        <v>549</v>
      </c>
      <c r="S180" s="412" t="s">
        <v>300</v>
      </c>
      <c r="T180" s="373">
        <v>5</v>
      </c>
      <c r="U180" s="773" t="s">
        <v>173</v>
      </c>
      <c r="V180" s="680">
        <f t="shared" si="4"/>
        <v>2.84</v>
      </c>
      <c r="W180" s="412"/>
      <c r="X180" s="20">
        <v>0.15</v>
      </c>
      <c r="Y180" s="412"/>
      <c r="Z180" s="790">
        <f t="shared" si="5"/>
        <v>170.11499999999998</v>
      </c>
      <c r="AA180" s="324" t="s">
        <v>173</v>
      </c>
      <c r="AB180" s="262" t="s">
        <v>173</v>
      </c>
      <c r="AC180" s="324" t="s">
        <v>173</v>
      </c>
      <c r="AD180" s="262" t="s">
        <v>173</v>
      </c>
      <c r="AE180" s="324" t="s">
        <v>173</v>
      </c>
      <c r="AF180" s="262" t="s">
        <v>173</v>
      </c>
      <c r="AG180" s="324" t="s">
        <v>173</v>
      </c>
      <c r="AH180" s="262" t="s">
        <v>173</v>
      </c>
      <c r="AI180" s="412" t="s">
        <v>300</v>
      </c>
      <c r="AJ180" s="366" t="s">
        <v>598</v>
      </c>
      <c r="AK180" s="412" t="s">
        <v>300</v>
      </c>
      <c r="AL180" s="356" t="s">
        <v>599</v>
      </c>
      <c r="AM180" s="17"/>
      <c r="AN180" s="17"/>
      <c r="AO180" s="733"/>
      <c r="AP180" s="17"/>
      <c r="AQ180" s="101"/>
      <c r="AR180" s="101"/>
      <c r="AU180" s="101"/>
      <c r="AV180" s="101"/>
      <c r="AW180" s="101"/>
      <c r="AX180" s="101"/>
      <c r="AY180" s="101"/>
      <c r="AZ180" s="101"/>
      <c r="BA180" s="101"/>
      <c r="BB180" s="101"/>
      <c r="BC180" s="101"/>
      <c r="BD180" s="101"/>
    </row>
    <row r="181" spans="1:56" s="89" customFormat="1" ht="14.4" x14ac:dyDescent="0.3">
      <c r="B181" s="128" t="s">
        <v>613</v>
      </c>
      <c r="C181" s="373" t="s">
        <v>546</v>
      </c>
      <c r="D181" s="62" t="s">
        <v>137</v>
      </c>
      <c r="E181" s="697"/>
      <c r="F181" s="62" t="s">
        <v>596</v>
      </c>
      <c r="G181" s="697"/>
      <c r="H181" s="62" t="s">
        <v>614</v>
      </c>
      <c r="I181" s="772" t="s">
        <v>173</v>
      </c>
      <c r="J181" s="664">
        <v>1404.1</v>
      </c>
      <c r="K181" s="772" t="s">
        <v>173</v>
      </c>
      <c r="L181" s="712">
        <v>4</v>
      </c>
      <c r="M181" s="772" t="s">
        <v>173</v>
      </c>
      <c r="N181" s="664" t="s">
        <v>547</v>
      </c>
      <c r="O181" s="772" t="s">
        <v>173</v>
      </c>
      <c r="P181" s="665" t="s">
        <v>548</v>
      </c>
      <c r="Q181" s="772" t="s">
        <v>173</v>
      </c>
      <c r="R181" s="665" t="s">
        <v>549</v>
      </c>
      <c r="S181" s="412" t="s">
        <v>300</v>
      </c>
      <c r="T181" s="373">
        <v>5</v>
      </c>
      <c r="U181" s="773" t="s">
        <v>173</v>
      </c>
      <c r="V181" s="680">
        <f t="shared" si="4"/>
        <v>3.51</v>
      </c>
      <c r="W181" s="412"/>
      <c r="X181" s="20">
        <v>0.15</v>
      </c>
      <c r="Y181" s="412"/>
      <c r="Z181" s="790">
        <f t="shared" si="5"/>
        <v>210.61499999999998</v>
      </c>
      <c r="AA181" s="324" t="s">
        <v>173</v>
      </c>
      <c r="AB181" s="262" t="s">
        <v>173</v>
      </c>
      <c r="AC181" s="324" t="s">
        <v>173</v>
      </c>
      <c r="AD181" s="262" t="s">
        <v>173</v>
      </c>
      <c r="AE181" s="324" t="s">
        <v>173</v>
      </c>
      <c r="AF181" s="262" t="s">
        <v>173</v>
      </c>
      <c r="AG181" s="324" t="s">
        <v>173</v>
      </c>
      <c r="AH181" s="262" t="s">
        <v>173</v>
      </c>
      <c r="AI181" s="412" t="s">
        <v>300</v>
      </c>
      <c r="AJ181" s="366" t="s">
        <v>598</v>
      </c>
      <c r="AK181" s="412" t="s">
        <v>300</v>
      </c>
      <c r="AL181" s="356" t="s">
        <v>599</v>
      </c>
      <c r="AM181" s="17"/>
      <c r="AN181" s="17"/>
      <c r="AO181" s="733"/>
      <c r="AP181" s="17"/>
      <c r="AQ181" s="101"/>
      <c r="AR181" s="101"/>
      <c r="AU181" s="101"/>
      <c r="AV181" s="101"/>
      <c r="AW181" s="101"/>
      <c r="AX181" s="101"/>
      <c r="AY181" s="101"/>
      <c r="AZ181" s="101"/>
      <c r="BA181" s="101"/>
      <c r="BB181" s="101"/>
      <c r="BC181" s="101"/>
      <c r="BD181" s="101"/>
    </row>
    <row r="182" spans="1:56" s="89" customFormat="1" ht="14.4" x14ac:dyDescent="0.3">
      <c r="B182" s="128" t="s">
        <v>615</v>
      </c>
      <c r="C182" s="373" t="s">
        <v>546</v>
      </c>
      <c r="D182" s="62" t="s">
        <v>137</v>
      </c>
      <c r="E182" s="697"/>
      <c r="F182" s="62" t="s">
        <v>596</v>
      </c>
      <c r="G182" s="697"/>
      <c r="H182" s="62" t="s">
        <v>616</v>
      </c>
      <c r="I182" s="772" t="s">
        <v>173</v>
      </c>
      <c r="J182" s="664">
        <v>351</v>
      </c>
      <c r="K182" s="772" t="s">
        <v>173</v>
      </c>
      <c r="L182" s="712">
        <v>1</v>
      </c>
      <c r="M182" s="772" t="s">
        <v>173</v>
      </c>
      <c r="N182" s="664" t="s">
        <v>547</v>
      </c>
      <c r="O182" s="772" t="s">
        <v>173</v>
      </c>
      <c r="P182" s="665" t="s">
        <v>548</v>
      </c>
      <c r="Q182" s="772" t="s">
        <v>173</v>
      </c>
      <c r="R182" s="665" t="s">
        <v>549</v>
      </c>
      <c r="S182" s="412" t="s">
        <v>300</v>
      </c>
      <c r="T182" s="373">
        <v>5</v>
      </c>
      <c r="U182" s="773" t="s">
        <v>173</v>
      </c>
      <c r="V182" s="680">
        <f t="shared" si="4"/>
        <v>0.88</v>
      </c>
      <c r="W182" s="412"/>
      <c r="X182" s="20">
        <v>0.15</v>
      </c>
      <c r="Y182" s="412"/>
      <c r="Z182" s="790">
        <f t="shared" si="5"/>
        <v>52.65</v>
      </c>
      <c r="AA182" s="324" t="s">
        <v>173</v>
      </c>
      <c r="AB182" s="262" t="s">
        <v>173</v>
      </c>
      <c r="AC182" s="324" t="s">
        <v>173</v>
      </c>
      <c r="AD182" s="262" t="s">
        <v>173</v>
      </c>
      <c r="AE182" s="324" t="s">
        <v>173</v>
      </c>
      <c r="AF182" s="262" t="s">
        <v>173</v>
      </c>
      <c r="AG182" s="324" t="s">
        <v>173</v>
      </c>
      <c r="AH182" s="262" t="s">
        <v>173</v>
      </c>
      <c r="AI182" s="412" t="s">
        <v>300</v>
      </c>
      <c r="AJ182" s="366" t="s">
        <v>598</v>
      </c>
      <c r="AK182" s="412" t="s">
        <v>300</v>
      </c>
      <c r="AL182" s="356" t="s">
        <v>599</v>
      </c>
      <c r="AM182" s="17"/>
      <c r="AN182" s="17"/>
      <c r="AO182" s="733"/>
      <c r="AP182" s="17"/>
      <c r="AQ182" s="101"/>
      <c r="AR182" s="101"/>
      <c r="AU182" s="101"/>
      <c r="AV182" s="101"/>
      <c r="AW182" s="101"/>
      <c r="AX182" s="101"/>
      <c r="AY182" s="101"/>
      <c r="AZ182" s="101"/>
      <c r="BA182" s="101"/>
      <c r="BB182" s="101"/>
      <c r="BC182" s="101"/>
      <c r="BD182" s="101"/>
    </row>
    <row r="183" spans="1:56" s="89" customFormat="1" ht="14.4" x14ac:dyDescent="0.3">
      <c r="B183" s="128" t="s">
        <v>617</v>
      </c>
      <c r="C183" s="373" t="s">
        <v>546</v>
      </c>
      <c r="D183" s="62" t="s">
        <v>137</v>
      </c>
      <c r="E183" s="697"/>
      <c r="F183" s="62" t="s">
        <v>596</v>
      </c>
      <c r="G183" s="697"/>
      <c r="H183" s="62" t="s">
        <v>618</v>
      </c>
      <c r="I183" s="772" t="s">
        <v>173</v>
      </c>
      <c r="J183" s="664">
        <v>351</v>
      </c>
      <c r="K183" s="772" t="s">
        <v>173</v>
      </c>
      <c r="L183" s="712">
        <v>1</v>
      </c>
      <c r="M183" s="772" t="s">
        <v>173</v>
      </c>
      <c r="N183" s="664" t="s">
        <v>547</v>
      </c>
      <c r="O183" s="772" t="s">
        <v>173</v>
      </c>
      <c r="P183" s="665" t="s">
        <v>548</v>
      </c>
      <c r="Q183" s="772" t="s">
        <v>173</v>
      </c>
      <c r="R183" s="665" t="s">
        <v>549</v>
      </c>
      <c r="S183" s="412" t="s">
        <v>300</v>
      </c>
      <c r="T183" s="373">
        <v>5</v>
      </c>
      <c r="U183" s="773" t="s">
        <v>173</v>
      </c>
      <c r="V183" s="680">
        <f t="shared" si="4"/>
        <v>0.88</v>
      </c>
      <c r="W183" s="412"/>
      <c r="X183" s="20">
        <v>0.15</v>
      </c>
      <c r="Y183" s="412"/>
      <c r="Z183" s="790">
        <f t="shared" si="5"/>
        <v>52.65</v>
      </c>
      <c r="AA183" s="324" t="s">
        <v>173</v>
      </c>
      <c r="AB183" s="262" t="s">
        <v>173</v>
      </c>
      <c r="AC183" s="324" t="s">
        <v>173</v>
      </c>
      <c r="AD183" s="262" t="s">
        <v>173</v>
      </c>
      <c r="AE183" s="324" t="s">
        <v>173</v>
      </c>
      <c r="AF183" s="262" t="s">
        <v>173</v>
      </c>
      <c r="AG183" s="324" t="s">
        <v>173</v>
      </c>
      <c r="AH183" s="262" t="s">
        <v>173</v>
      </c>
      <c r="AI183" s="412" t="s">
        <v>300</v>
      </c>
      <c r="AJ183" s="366" t="s">
        <v>598</v>
      </c>
      <c r="AK183" s="412" t="s">
        <v>300</v>
      </c>
      <c r="AL183" s="356" t="s">
        <v>599</v>
      </c>
      <c r="AM183" s="17"/>
      <c r="AN183" s="17"/>
      <c r="AO183" s="733"/>
      <c r="AP183" s="17"/>
      <c r="AQ183" s="101"/>
      <c r="AR183" s="101"/>
      <c r="AU183" s="101"/>
      <c r="AV183" s="101"/>
      <c r="AW183" s="101"/>
      <c r="AX183" s="101"/>
      <c r="AY183" s="101"/>
      <c r="AZ183" s="101"/>
      <c r="BA183" s="101"/>
      <c r="BB183" s="101"/>
      <c r="BC183" s="101"/>
      <c r="BD183" s="101"/>
    </row>
    <row r="184" spans="1:56" s="89" customFormat="1" ht="14.4" x14ac:dyDescent="0.3">
      <c r="B184" s="128" t="s">
        <v>619</v>
      </c>
      <c r="C184" s="373" t="s">
        <v>546</v>
      </c>
      <c r="D184" s="62" t="s">
        <v>137</v>
      </c>
      <c r="E184" s="697"/>
      <c r="F184" s="62" t="s">
        <v>596</v>
      </c>
      <c r="G184" s="697"/>
      <c r="H184" s="62" t="s">
        <v>620</v>
      </c>
      <c r="I184" s="772" t="s">
        <v>173</v>
      </c>
      <c r="J184" s="664">
        <v>1404</v>
      </c>
      <c r="K184" s="772" t="s">
        <v>173</v>
      </c>
      <c r="L184" s="712">
        <v>4</v>
      </c>
      <c r="M184" s="772" t="s">
        <v>173</v>
      </c>
      <c r="N184" s="664" t="s">
        <v>547</v>
      </c>
      <c r="O184" s="772" t="s">
        <v>173</v>
      </c>
      <c r="P184" s="665" t="s">
        <v>548</v>
      </c>
      <c r="Q184" s="772" t="s">
        <v>173</v>
      </c>
      <c r="R184" s="665" t="s">
        <v>549</v>
      </c>
      <c r="S184" s="412" t="s">
        <v>300</v>
      </c>
      <c r="T184" s="373">
        <v>5</v>
      </c>
      <c r="U184" s="773" t="s">
        <v>173</v>
      </c>
      <c r="V184" s="680">
        <f t="shared" si="4"/>
        <v>3.51</v>
      </c>
      <c r="W184" s="412"/>
      <c r="X184" s="20">
        <v>0.15</v>
      </c>
      <c r="Y184" s="412"/>
      <c r="Z184" s="790">
        <f t="shared" si="5"/>
        <v>210.6</v>
      </c>
      <c r="AA184" s="324" t="s">
        <v>173</v>
      </c>
      <c r="AB184" s="262" t="s">
        <v>173</v>
      </c>
      <c r="AC184" s="324" t="s">
        <v>173</v>
      </c>
      <c r="AD184" s="262" t="s">
        <v>173</v>
      </c>
      <c r="AE184" s="324" t="s">
        <v>173</v>
      </c>
      <c r="AF184" s="262" t="s">
        <v>173</v>
      </c>
      <c r="AG184" s="324" t="s">
        <v>173</v>
      </c>
      <c r="AH184" s="262" t="s">
        <v>173</v>
      </c>
      <c r="AI184" s="412" t="s">
        <v>300</v>
      </c>
      <c r="AJ184" s="366" t="s">
        <v>598</v>
      </c>
      <c r="AK184" s="412" t="s">
        <v>300</v>
      </c>
      <c r="AL184" s="356" t="s">
        <v>599</v>
      </c>
      <c r="AM184" s="17"/>
      <c r="AN184" s="17"/>
      <c r="AO184" s="733"/>
      <c r="AP184" s="17"/>
      <c r="AQ184" s="101"/>
      <c r="AR184" s="101"/>
      <c r="AU184" s="101"/>
      <c r="AV184" s="101"/>
      <c r="AW184" s="101"/>
      <c r="AX184" s="101"/>
      <c r="AY184" s="101"/>
      <c r="AZ184" s="101"/>
      <c r="BA184" s="101"/>
      <c r="BB184" s="101"/>
      <c r="BC184" s="101"/>
      <c r="BD184" s="101"/>
    </row>
    <row r="185" spans="1:56" s="89" customFormat="1" ht="14.4" x14ac:dyDescent="0.3">
      <c r="B185" s="128" t="s">
        <v>621</v>
      </c>
      <c r="C185" s="373" t="s">
        <v>546</v>
      </c>
      <c r="D185" s="62" t="s">
        <v>137</v>
      </c>
      <c r="E185" s="697"/>
      <c r="F185" s="62" t="s">
        <v>596</v>
      </c>
      <c r="G185" s="697"/>
      <c r="H185" s="62" t="s">
        <v>622</v>
      </c>
      <c r="I185" s="772" t="s">
        <v>173</v>
      </c>
      <c r="J185" s="664">
        <v>351</v>
      </c>
      <c r="K185" s="772" t="s">
        <v>173</v>
      </c>
      <c r="L185" s="712">
        <v>1</v>
      </c>
      <c r="M185" s="772" t="s">
        <v>173</v>
      </c>
      <c r="N185" s="664" t="s">
        <v>547</v>
      </c>
      <c r="O185" s="772" t="s">
        <v>173</v>
      </c>
      <c r="P185" s="665" t="s">
        <v>548</v>
      </c>
      <c r="Q185" s="772" t="s">
        <v>173</v>
      </c>
      <c r="R185" s="665" t="s">
        <v>549</v>
      </c>
      <c r="S185" s="412" t="s">
        <v>300</v>
      </c>
      <c r="T185" s="373">
        <v>5</v>
      </c>
      <c r="U185" s="773" t="s">
        <v>173</v>
      </c>
      <c r="V185" s="680">
        <f t="shared" si="4"/>
        <v>0.88</v>
      </c>
      <c r="W185" s="412"/>
      <c r="X185" s="20">
        <v>0.15</v>
      </c>
      <c r="Y185" s="412"/>
      <c r="Z185" s="790">
        <f t="shared" si="5"/>
        <v>52.65</v>
      </c>
      <c r="AA185" s="324" t="s">
        <v>173</v>
      </c>
      <c r="AB185" s="262" t="s">
        <v>173</v>
      </c>
      <c r="AC185" s="324" t="s">
        <v>173</v>
      </c>
      <c r="AD185" s="262" t="s">
        <v>173</v>
      </c>
      <c r="AE185" s="324" t="s">
        <v>173</v>
      </c>
      <c r="AF185" s="262" t="s">
        <v>173</v>
      </c>
      <c r="AG185" s="324" t="s">
        <v>173</v>
      </c>
      <c r="AH185" s="262" t="s">
        <v>173</v>
      </c>
      <c r="AI185" s="412" t="s">
        <v>300</v>
      </c>
      <c r="AJ185" s="366" t="s">
        <v>598</v>
      </c>
      <c r="AK185" s="412" t="s">
        <v>300</v>
      </c>
      <c r="AL185" s="356" t="s">
        <v>599</v>
      </c>
      <c r="AM185" s="17"/>
      <c r="AN185" s="17"/>
      <c r="AO185" s="733"/>
      <c r="AP185" s="17"/>
      <c r="AQ185" s="101"/>
      <c r="AR185" s="101"/>
      <c r="AU185" s="101"/>
      <c r="AV185" s="101"/>
      <c r="AW185" s="101"/>
      <c r="AX185" s="101"/>
      <c r="AY185" s="101"/>
      <c r="AZ185" s="101"/>
      <c r="BA185" s="101"/>
      <c r="BB185" s="101"/>
      <c r="BC185" s="101"/>
      <c r="BD185" s="101"/>
    </row>
    <row r="186" spans="1:56" s="89" customFormat="1" ht="14.4" x14ac:dyDescent="0.3">
      <c r="B186" s="128" t="s">
        <v>623</v>
      </c>
      <c r="C186" s="373" t="s">
        <v>546</v>
      </c>
      <c r="D186" s="62" t="s">
        <v>137</v>
      </c>
      <c r="E186" s="697"/>
      <c r="F186" s="62" t="s">
        <v>596</v>
      </c>
      <c r="G186" s="697"/>
      <c r="H186" s="62" t="s">
        <v>624</v>
      </c>
      <c r="I186" s="772" t="s">
        <v>173</v>
      </c>
      <c r="J186" s="664">
        <v>1404</v>
      </c>
      <c r="K186" s="772" t="s">
        <v>173</v>
      </c>
      <c r="L186" s="712">
        <v>4</v>
      </c>
      <c r="M186" s="772" t="s">
        <v>173</v>
      </c>
      <c r="N186" s="664" t="s">
        <v>547</v>
      </c>
      <c r="O186" s="772" t="s">
        <v>173</v>
      </c>
      <c r="P186" s="665" t="s">
        <v>548</v>
      </c>
      <c r="Q186" s="772" t="s">
        <v>173</v>
      </c>
      <c r="R186" s="665" t="s">
        <v>549</v>
      </c>
      <c r="S186" s="412" t="s">
        <v>300</v>
      </c>
      <c r="T186" s="373">
        <v>5</v>
      </c>
      <c r="U186" s="773" t="s">
        <v>173</v>
      </c>
      <c r="V186" s="680">
        <f t="shared" si="4"/>
        <v>3.51</v>
      </c>
      <c r="W186" s="412"/>
      <c r="X186" s="20">
        <v>0.15</v>
      </c>
      <c r="Y186" s="412"/>
      <c r="Z186" s="790">
        <f t="shared" si="5"/>
        <v>210.6</v>
      </c>
      <c r="AA186" s="324" t="s">
        <v>173</v>
      </c>
      <c r="AB186" s="262" t="s">
        <v>173</v>
      </c>
      <c r="AC186" s="324" t="s">
        <v>173</v>
      </c>
      <c r="AD186" s="262" t="s">
        <v>173</v>
      </c>
      <c r="AE186" s="324" t="s">
        <v>173</v>
      </c>
      <c r="AF186" s="262" t="s">
        <v>173</v>
      </c>
      <c r="AG186" s="324" t="s">
        <v>173</v>
      </c>
      <c r="AH186" s="262" t="s">
        <v>173</v>
      </c>
      <c r="AI186" s="412" t="s">
        <v>300</v>
      </c>
      <c r="AJ186" s="366" t="s">
        <v>598</v>
      </c>
      <c r="AK186" s="412" t="s">
        <v>300</v>
      </c>
      <c r="AL186" s="356" t="s">
        <v>599</v>
      </c>
      <c r="AM186" s="17"/>
      <c r="AN186" s="17"/>
      <c r="AO186" s="733"/>
      <c r="AP186" s="17"/>
      <c r="AQ186" s="101"/>
      <c r="AR186" s="101"/>
      <c r="AU186" s="101"/>
      <c r="AV186" s="101"/>
      <c r="AW186" s="101"/>
      <c r="AX186" s="101"/>
      <c r="AY186" s="101"/>
      <c r="AZ186" s="101"/>
      <c r="BA186" s="101"/>
      <c r="BB186" s="101"/>
      <c r="BC186" s="101"/>
      <c r="BD186" s="101"/>
    </row>
    <row r="187" spans="1:56" s="89" customFormat="1" ht="14.4" x14ac:dyDescent="0.3">
      <c r="B187" s="128" t="s">
        <v>625</v>
      </c>
      <c r="C187" s="373" t="s">
        <v>546</v>
      </c>
      <c r="D187" s="62" t="s">
        <v>137</v>
      </c>
      <c r="E187" s="697"/>
      <c r="F187" s="62" t="s">
        <v>596</v>
      </c>
      <c r="G187" s="697"/>
      <c r="H187" s="62" t="s">
        <v>626</v>
      </c>
      <c r="I187" s="772" t="s">
        <v>173</v>
      </c>
      <c r="J187" s="664">
        <v>351</v>
      </c>
      <c r="K187" s="772" t="s">
        <v>173</v>
      </c>
      <c r="L187" s="712">
        <v>1</v>
      </c>
      <c r="M187" s="772" t="s">
        <v>173</v>
      </c>
      <c r="N187" s="664" t="s">
        <v>547</v>
      </c>
      <c r="O187" s="772" t="s">
        <v>173</v>
      </c>
      <c r="P187" s="665" t="s">
        <v>548</v>
      </c>
      <c r="Q187" s="772" t="s">
        <v>173</v>
      </c>
      <c r="R187" s="665" t="s">
        <v>549</v>
      </c>
      <c r="S187" s="412" t="s">
        <v>300</v>
      </c>
      <c r="T187" s="373">
        <v>5</v>
      </c>
      <c r="U187" s="773" t="s">
        <v>173</v>
      </c>
      <c r="V187" s="680">
        <f t="shared" si="4"/>
        <v>0.88</v>
      </c>
      <c r="W187" s="142"/>
      <c r="X187" s="20">
        <v>0.15</v>
      </c>
      <c r="Y187" s="142"/>
      <c r="Z187" s="790">
        <f t="shared" si="5"/>
        <v>52.65</v>
      </c>
      <c r="AA187" s="324" t="s">
        <v>173</v>
      </c>
      <c r="AB187" s="262" t="s">
        <v>173</v>
      </c>
      <c r="AC187" s="324" t="s">
        <v>173</v>
      </c>
      <c r="AD187" s="262" t="s">
        <v>173</v>
      </c>
      <c r="AE187" s="324" t="s">
        <v>173</v>
      </c>
      <c r="AF187" s="262" t="s">
        <v>173</v>
      </c>
      <c r="AG187" s="324" t="s">
        <v>173</v>
      </c>
      <c r="AH187" s="262" t="s">
        <v>173</v>
      </c>
      <c r="AI187" s="412" t="s">
        <v>300</v>
      </c>
      <c r="AJ187" s="366" t="s">
        <v>598</v>
      </c>
      <c r="AK187" s="412" t="s">
        <v>300</v>
      </c>
      <c r="AL187" s="356" t="s">
        <v>599</v>
      </c>
      <c r="AM187" s="17"/>
      <c r="AN187" s="17"/>
      <c r="AO187" s="733"/>
      <c r="AP187" s="17"/>
      <c r="AQ187" s="101"/>
      <c r="AR187" s="101"/>
      <c r="AU187" s="101"/>
      <c r="AV187" s="101"/>
      <c r="AW187" s="101"/>
      <c r="AX187" s="101"/>
      <c r="AY187" s="101"/>
      <c r="AZ187" s="101"/>
      <c r="BA187" s="101"/>
      <c r="BB187" s="101"/>
      <c r="BC187" s="101"/>
      <c r="BD187" s="101"/>
    </row>
    <row r="188" spans="1:56" s="17" customFormat="1" x14ac:dyDescent="0.3">
      <c r="A188" s="397"/>
      <c r="B188" s="141" t="s">
        <v>627</v>
      </c>
      <c r="C188" s="373" t="s">
        <v>546</v>
      </c>
      <c r="D188" s="62" t="s">
        <v>137</v>
      </c>
      <c r="E188" s="697"/>
      <c r="F188" s="62" t="s">
        <v>596</v>
      </c>
      <c r="G188" s="697"/>
      <c r="H188" s="62" t="s">
        <v>628</v>
      </c>
      <c r="I188" s="772" t="s">
        <v>173</v>
      </c>
      <c r="J188" s="664">
        <v>351</v>
      </c>
      <c r="K188" s="772" t="s">
        <v>173</v>
      </c>
      <c r="L188" s="712">
        <v>1</v>
      </c>
      <c r="M188" s="772" t="s">
        <v>173</v>
      </c>
      <c r="N188" s="664" t="s">
        <v>629</v>
      </c>
      <c r="O188" s="772" t="s">
        <v>173</v>
      </c>
      <c r="P188" s="665" t="s">
        <v>548</v>
      </c>
      <c r="Q188" s="772" t="s">
        <v>173</v>
      </c>
      <c r="R188" s="665" t="s">
        <v>311</v>
      </c>
      <c r="S188" s="412" t="s">
        <v>300</v>
      </c>
      <c r="T188" s="373">
        <v>5</v>
      </c>
      <c r="U188" s="773" t="s">
        <v>173</v>
      </c>
      <c r="V188" s="680">
        <f t="shared" si="4"/>
        <v>0.88</v>
      </c>
      <c r="W188" s="324" t="s">
        <v>173</v>
      </c>
      <c r="X188" s="262" t="s">
        <v>173</v>
      </c>
      <c r="Y188" s="324" t="s">
        <v>173</v>
      </c>
      <c r="Z188" s="262" t="s">
        <v>173</v>
      </c>
      <c r="AA188" s="412"/>
      <c r="AB188" s="373" t="s">
        <v>630</v>
      </c>
      <c r="AC188" s="412"/>
      <c r="AD188" s="365">
        <v>53</v>
      </c>
      <c r="AE188" s="412"/>
      <c r="AF188" s="361" t="s">
        <v>366</v>
      </c>
      <c r="AG188" s="324" t="s">
        <v>173</v>
      </c>
      <c r="AH188" s="262" t="s">
        <v>173</v>
      </c>
      <c r="AI188" s="412" t="s">
        <v>300</v>
      </c>
      <c r="AJ188" s="366" t="s">
        <v>598</v>
      </c>
      <c r="AK188" s="412" t="s">
        <v>300</v>
      </c>
      <c r="AL188" s="356" t="s">
        <v>599</v>
      </c>
      <c r="AO188" s="733"/>
    </row>
    <row r="189" spans="1:56" s="17" customFormat="1" x14ac:dyDescent="0.3">
      <c r="A189" s="397"/>
      <c r="B189" s="141" t="s">
        <v>631</v>
      </c>
      <c r="C189" s="373" t="s">
        <v>546</v>
      </c>
      <c r="D189" s="62" t="s">
        <v>137</v>
      </c>
      <c r="E189" s="697"/>
      <c r="F189" s="62" t="s">
        <v>596</v>
      </c>
      <c r="G189" s="697"/>
      <c r="H189" s="62" t="s">
        <v>632</v>
      </c>
      <c r="I189" s="772" t="s">
        <v>173</v>
      </c>
      <c r="J189" s="664">
        <v>1404.1</v>
      </c>
      <c r="K189" s="772" t="s">
        <v>173</v>
      </c>
      <c r="L189" s="712">
        <v>4</v>
      </c>
      <c r="M189" s="772" t="s">
        <v>173</v>
      </c>
      <c r="N189" s="664" t="s">
        <v>629</v>
      </c>
      <c r="O189" s="772" t="s">
        <v>173</v>
      </c>
      <c r="P189" s="665" t="s">
        <v>548</v>
      </c>
      <c r="Q189" s="772" t="s">
        <v>173</v>
      </c>
      <c r="R189" s="665" t="s">
        <v>311</v>
      </c>
      <c r="S189" s="412" t="s">
        <v>300</v>
      </c>
      <c r="T189" s="373">
        <v>5</v>
      </c>
      <c r="U189" s="773" t="s">
        <v>173</v>
      </c>
      <c r="V189" s="680">
        <f t="shared" si="4"/>
        <v>3.51</v>
      </c>
      <c r="W189" s="324" t="s">
        <v>173</v>
      </c>
      <c r="X189" s="262" t="s">
        <v>173</v>
      </c>
      <c r="Y189" s="324" t="s">
        <v>173</v>
      </c>
      <c r="Z189" s="262" t="s">
        <v>173</v>
      </c>
      <c r="AA189" s="412"/>
      <c r="AB189" s="373" t="s">
        <v>630</v>
      </c>
      <c r="AC189" s="412"/>
      <c r="AD189" s="365">
        <v>211</v>
      </c>
      <c r="AE189" s="412"/>
      <c r="AF189" s="361" t="s">
        <v>366</v>
      </c>
      <c r="AG189" s="324" t="s">
        <v>173</v>
      </c>
      <c r="AH189" s="262" t="s">
        <v>173</v>
      </c>
      <c r="AI189" s="412" t="s">
        <v>300</v>
      </c>
      <c r="AJ189" s="366" t="s">
        <v>598</v>
      </c>
      <c r="AK189" s="412" t="s">
        <v>300</v>
      </c>
      <c r="AL189" s="356" t="s">
        <v>599</v>
      </c>
      <c r="AO189" s="733"/>
    </row>
    <row r="190" spans="1:56" s="17" customFormat="1" x14ac:dyDescent="0.3">
      <c r="A190" s="397"/>
      <c r="B190" s="141" t="s">
        <v>633</v>
      </c>
      <c r="C190" s="373" t="s">
        <v>546</v>
      </c>
      <c r="D190" s="62" t="s">
        <v>137</v>
      </c>
      <c r="E190" s="697"/>
      <c r="F190" s="62" t="s">
        <v>596</v>
      </c>
      <c r="G190" s="697"/>
      <c r="H190" s="62" t="s">
        <v>634</v>
      </c>
      <c r="I190" s="772" t="s">
        <v>173</v>
      </c>
      <c r="J190" s="664">
        <v>1134.0999999999999</v>
      </c>
      <c r="K190" s="772" t="s">
        <v>173</v>
      </c>
      <c r="L190" s="712">
        <v>3</v>
      </c>
      <c r="M190" s="772" t="s">
        <v>173</v>
      </c>
      <c r="N190" s="664" t="s">
        <v>629</v>
      </c>
      <c r="O190" s="772" t="s">
        <v>173</v>
      </c>
      <c r="P190" s="665" t="s">
        <v>548</v>
      </c>
      <c r="Q190" s="772" t="s">
        <v>173</v>
      </c>
      <c r="R190" s="665" t="s">
        <v>311</v>
      </c>
      <c r="S190" s="412" t="s">
        <v>300</v>
      </c>
      <c r="T190" s="373">
        <v>5</v>
      </c>
      <c r="U190" s="773" t="s">
        <v>173</v>
      </c>
      <c r="V190" s="680">
        <f t="shared" si="4"/>
        <v>2.84</v>
      </c>
      <c r="W190" s="324" t="s">
        <v>173</v>
      </c>
      <c r="X190" s="262" t="s">
        <v>173</v>
      </c>
      <c r="Y190" s="324" t="s">
        <v>173</v>
      </c>
      <c r="Z190" s="262" t="s">
        <v>173</v>
      </c>
      <c r="AA190" s="412"/>
      <c r="AB190" s="373" t="s">
        <v>630</v>
      </c>
      <c r="AC190" s="412"/>
      <c r="AD190" s="365">
        <v>170</v>
      </c>
      <c r="AE190" s="412"/>
      <c r="AF190" s="361" t="s">
        <v>366</v>
      </c>
      <c r="AG190" s="324" t="s">
        <v>173</v>
      </c>
      <c r="AH190" s="262" t="s">
        <v>173</v>
      </c>
      <c r="AI190" s="412" t="s">
        <v>300</v>
      </c>
      <c r="AJ190" s="366" t="s">
        <v>598</v>
      </c>
      <c r="AK190" s="412" t="s">
        <v>300</v>
      </c>
      <c r="AL190" s="356" t="s">
        <v>599</v>
      </c>
      <c r="AO190" s="733"/>
    </row>
    <row r="191" spans="1:56" s="17" customFormat="1" x14ac:dyDescent="0.3">
      <c r="A191" s="397"/>
      <c r="B191" s="141" t="s">
        <v>635</v>
      </c>
      <c r="C191" s="373" t="s">
        <v>546</v>
      </c>
      <c r="D191" s="62" t="s">
        <v>137</v>
      </c>
      <c r="E191" s="697"/>
      <c r="F191" s="62" t="s">
        <v>596</v>
      </c>
      <c r="G191" s="697"/>
      <c r="H191" s="62" t="s">
        <v>636</v>
      </c>
      <c r="I191" s="772" t="s">
        <v>173</v>
      </c>
      <c r="J191" s="664">
        <v>1404.1</v>
      </c>
      <c r="K191" s="772" t="s">
        <v>173</v>
      </c>
      <c r="L191" s="712">
        <v>4</v>
      </c>
      <c r="M191" s="772" t="s">
        <v>173</v>
      </c>
      <c r="N191" s="664" t="s">
        <v>629</v>
      </c>
      <c r="O191" s="772" t="s">
        <v>173</v>
      </c>
      <c r="P191" s="665" t="s">
        <v>548</v>
      </c>
      <c r="Q191" s="772" t="s">
        <v>173</v>
      </c>
      <c r="R191" s="665" t="s">
        <v>311</v>
      </c>
      <c r="S191" s="412" t="s">
        <v>300</v>
      </c>
      <c r="T191" s="373">
        <v>5</v>
      </c>
      <c r="U191" s="773" t="s">
        <v>173</v>
      </c>
      <c r="V191" s="680">
        <f t="shared" si="4"/>
        <v>3.51</v>
      </c>
      <c r="W191" s="324" t="s">
        <v>173</v>
      </c>
      <c r="X191" s="262" t="s">
        <v>173</v>
      </c>
      <c r="Y191" s="324" t="s">
        <v>173</v>
      </c>
      <c r="Z191" s="262" t="s">
        <v>173</v>
      </c>
      <c r="AA191" s="412"/>
      <c r="AB191" s="373" t="s">
        <v>630</v>
      </c>
      <c r="AC191" s="412"/>
      <c r="AD191" s="365">
        <v>211</v>
      </c>
      <c r="AE191" s="412"/>
      <c r="AF191" s="361" t="s">
        <v>366</v>
      </c>
      <c r="AG191" s="324" t="s">
        <v>173</v>
      </c>
      <c r="AH191" s="262" t="s">
        <v>173</v>
      </c>
      <c r="AI191" s="412" t="s">
        <v>300</v>
      </c>
      <c r="AJ191" s="366" t="s">
        <v>598</v>
      </c>
      <c r="AK191" s="412" t="s">
        <v>300</v>
      </c>
      <c r="AL191" s="356" t="s">
        <v>599</v>
      </c>
      <c r="AO191" s="733"/>
    </row>
    <row r="192" spans="1:56" s="17" customFormat="1" x14ac:dyDescent="0.3">
      <c r="A192" s="397"/>
      <c r="B192" s="141" t="s">
        <v>637</v>
      </c>
      <c r="C192" s="373" t="s">
        <v>546</v>
      </c>
      <c r="D192" s="62" t="s">
        <v>137</v>
      </c>
      <c r="E192" s="697"/>
      <c r="F192" s="62" t="s">
        <v>596</v>
      </c>
      <c r="G192" s="697"/>
      <c r="H192" s="62" t="s">
        <v>638</v>
      </c>
      <c r="I192" s="772" t="s">
        <v>173</v>
      </c>
      <c r="J192" s="664">
        <v>351</v>
      </c>
      <c r="K192" s="772" t="s">
        <v>173</v>
      </c>
      <c r="L192" s="712">
        <v>1</v>
      </c>
      <c r="M192" s="772" t="s">
        <v>173</v>
      </c>
      <c r="N192" s="664" t="s">
        <v>629</v>
      </c>
      <c r="O192" s="772" t="s">
        <v>173</v>
      </c>
      <c r="P192" s="665" t="s">
        <v>548</v>
      </c>
      <c r="Q192" s="772" t="s">
        <v>173</v>
      </c>
      <c r="R192" s="665" t="s">
        <v>311</v>
      </c>
      <c r="S192" s="412" t="s">
        <v>300</v>
      </c>
      <c r="T192" s="373">
        <v>5</v>
      </c>
      <c r="U192" s="773" t="s">
        <v>173</v>
      </c>
      <c r="V192" s="680">
        <f t="shared" si="4"/>
        <v>0.88</v>
      </c>
      <c r="W192" s="324" t="s">
        <v>173</v>
      </c>
      <c r="X192" s="262" t="s">
        <v>173</v>
      </c>
      <c r="Y192" s="324" t="s">
        <v>173</v>
      </c>
      <c r="Z192" s="262" t="s">
        <v>173</v>
      </c>
      <c r="AA192" s="412"/>
      <c r="AB192" s="373" t="s">
        <v>630</v>
      </c>
      <c r="AC192" s="412"/>
      <c r="AD192" s="365">
        <v>53</v>
      </c>
      <c r="AE192" s="412"/>
      <c r="AF192" s="361" t="s">
        <v>366</v>
      </c>
      <c r="AG192" s="324" t="s">
        <v>173</v>
      </c>
      <c r="AH192" s="262" t="s">
        <v>173</v>
      </c>
      <c r="AI192" s="412" t="s">
        <v>300</v>
      </c>
      <c r="AJ192" s="366" t="s">
        <v>598</v>
      </c>
      <c r="AK192" s="412" t="s">
        <v>300</v>
      </c>
      <c r="AL192" s="356" t="s">
        <v>599</v>
      </c>
      <c r="AO192" s="733"/>
    </row>
    <row r="193" spans="1:41" s="17" customFormat="1" x14ac:dyDescent="0.3">
      <c r="A193" s="397"/>
      <c r="B193" s="141" t="s">
        <v>639</v>
      </c>
      <c r="C193" s="373" t="s">
        <v>546</v>
      </c>
      <c r="D193" s="62" t="s">
        <v>137</v>
      </c>
      <c r="E193" s="697"/>
      <c r="F193" s="62" t="s">
        <v>596</v>
      </c>
      <c r="G193" s="697"/>
      <c r="H193" s="62" t="s">
        <v>640</v>
      </c>
      <c r="I193" s="772" t="s">
        <v>173</v>
      </c>
      <c r="J193" s="664">
        <v>351</v>
      </c>
      <c r="K193" s="772" t="s">
        <v>173</v>
      </c>
      <c r="L193" s="712">
        <v>1</v>
      </c>
      <c r="M193" s="772" t="s">
        <v>173</v>
      </c>
      <c r="N193" s="664" t="s">
        <v>629</v>
      </c>
      <c r="O193" s="772" t="s">
        <v>173</v>
      </c>
      <c r="P193" s="665" t="s">
        <v>548</v>
      </c>
      <c r="Q193" s="772" t="s">
        <v>173</v>
      </c>
      <c r="R193" s="665" t="s">
        <v>311</v>
      </c>
      <c r="S193" s="412" t="s">
        <v>300</v>
      </c>
      <c r="T193" s="373">
        <v>5</v>
      </c>
      <c r="U193" s="773" t="s">
        <v>173</v>
      </c>
      <c r="V193" s="680">
        <f t="shared" si="4"/>
        <v>0.88</v>
      </c>
      <c r="W193" s="324" t="s">
        <v>173</v>
      </c>
      <c r="X193" s="262" t="s">
        <v>173</v>
      </c>
      <c r="Y193" s="324" t="s">
        <v>173</v>
      </c>
      <c r="Z193" s="262" t="s">
        <v>173</v>
      </c>
      <c r="AA193" s="412"/>
      <c r="AB193" s="373" t="s">
        <v>630</v>
      </c>
      <c r="AC193" s="412"/>
      <c r="AD193" s="365">
        <v>53</v>
      </c>
      <c r="AE193" s="412"/>
      <c r="AF193" s="361" t="s">
        <v>366</v>
      </c>
      <c r="AG193" s="324" t="s">
        <v>173</v>
      </c>
      <c r="AH193" s="262" t="s">
        <v>173</v>
      </c>
      <c r="AI193" s="412" t="s">
        <v>300</v>
      </c>
      <c r="AJ193" s="366" t="s">
        <v>598</v>
      </c>
      <c r="AK193" s="412" t="s">
        <v>300</v>
      </c>
      <c r="AL193" s="356" t="s">
        <v>599</v>
      </c>
      <c r="AO193" s="733"/>
    </row>
    <row r="194" spans="1:41" s="17" customFormat="1" x14ac:dyDescent="0.3">
      <c r="A194" s="397"/>
      <c r="B194" s="141" t="s">
        <v>641</v>
      </c>
      <c r="C194" s="373" t="s">
        <v>546</v>
      </c>
      <c r="D194" s="62" t="s">
        <v>137</v>
      </c>
      <c r="E194" s="697"/>
      <c r="F194" s="62" t="s">
        <v>596</v>
      </c>
      <c r="G194" s="697"/>
      <c r="H194" s="62" t="s">
        <v>642</v>
      </c>
      <c r="I194" s="772" t="s">
        <v>173</v>
      </c>
      <c r="J194" s="664">
        <v>1404</v>
      </c>
      <c r="K194" s="772" t="s">
        <v>173</v>
      </c>
      <c r="L194" s="712">
        <v>4</v>
      </c>
      <c r="M194" s="772" t="s">
        <v>173</v>
      </c>
      <c r="N194" s="664" t="s">
        <v>629</v>
      </c>
      <c r="O194" s="772" t="s">
        <v>173</v>
      </c>
      <c r="P194" s="665" t="s">
        <v>548</v>
      </c>
      <c r="Q194" s="772" t="s">
        <v>173</v>
      </c>
      <c r="R194" s="665" t="s">
        <v>311</v>
      </c>
      <c r="S194" s="412" t="s">
        <v>300</v>
      </c>
      <c r="T194" s="373">
        <v>5</v>
      </c>
      <c r="U194" s="773" t="s">
        <v>173</v>
      </c>
      <c r="V194" s="680">
        <f t="shared" si="4"/>
        <v>3.51</v>
      </c>
      <c r="W194" s="324" t="s">
        <v>173</v>
      </c>
      <c r="X194" s="262" t="s">
        <v>173</v>
      </c>
      <c r="Y194" s="324" t="s">
        <v>173</v>
      </c>
      <c r="Z194" s="262" t="s">
        <v>173</v>
      </c>
      <c r="AA194" s="412"/>
      <c r="AB194" s="373" t="s">
        <v>630</v>
      </c>
      <c r="AC194" s="412"/>
      <c r="AD194" s="365">
        <v>211</v>
      </c>
      <c r="AE194" s="412"/>
      <c r="AF194" s="361" t="s">
        <v>366</v>
      </c>
      <c r="AG194" s="324" t="s">
        <v>173</v>
      </c>
      <c r="AH194" s="262" t="s">
        <v>173</v>
      </c>
      <c r="AI194" s="412" t="s">
        <v>300</v>
      </c>
      <c r="AJ194" s="366" t="s">
        <v>598</v>
      </c>
      <c r="AK194" s="412" t="s">
        <v>300</v>
      </c>
      <c r="AL194" s="356" t="s">
        <v>599</v>
      </c>
      <c r="AO194" s="733"/>
    </row>
    <row r="195" spans="1:41" s="17" customFormat="1" x14ac:dyDescent="0.3">
      <c r="A195" s="397"/>
      <c r="B195" s="141" t="s">
        <v>643</v>
      </c>
      <c r="C195" s="373" t="s">
        <v>546</v>
      </c>
      <c r="D195" s="62" t="s">
        <v>137</v>
      </c>
      <c r="E195" s="697"/>
      <c r="F195" s="62" t="s">
        <v>596</v>
      </c>
      <c r="G195" s="697"/>
      <c r="H195" s="62" t="s">
        <v>644</v>
      </c>
      <c r="I195" s="772" t="s">
        <v>173</v>
      </c>
      <c r="J195" s="664">
        <v>351</v>
      </c>
      <c r="K195" s="772" t="s">
        <v>173</v>
      </c>
      <c r="L195" s="712">
        <v>1</v>
      </c>
      <c r="M195" s="772" t="s">
        <v>173</v>
      </c>
      <c r="N195" s="664" t="s">
        <v>629</v>
      </c>
      <c r="O195" s="772" t="s">
        <v>173</v>
      </c>
      <c r="P195" s="665" t="s">
        <v>548</v>
      </c>
      <c r="Q195" s="772" t="s">
        <v>173</v>
      </c>
      <c r="R195" s="665" t="s">
        <v>311</v>
      </c>
      <c r="S195" s="412" t="s">
        <v>300</v>
      </c>
      <c r="T195" s="373">
        <v>5</v>
      </c>
      <c r="U195" s="773" t="s">
        <v>173</v>
      </c>
      <c r="V195" s="680">
        <f t="shared" si="4"/>
        <v>0.88</v>
      </c>
      <c r="W195" s="324" t="s">
        <v>173</v>
      </c>
      <c r="X195" s="262" t="s">
        <v>173</v>
      </c>
      <c r="Y195" s="324" t="s">
        <v>173</v>
      </c>
      <c r="Z195" s="262" t="s">
        <v>173</v>
      </c>
      <c r="AA195" s="412"/>
      <c r="AB195" s="373" t="s">
        <v>630</v>
      </c>
      <c r="AC195" s="412"/>
      <c r="AD195" s="365">
        <v>53</v>
      </c>
      <c r="AE195" s="412"/>
      <c r="AF195" s="361" t="s">
        <v>366</v>
      </c>
      <c r="AG195" s="324" t="s">
        <v>173</v>
      </c>
      <c r="AH195" s="262" t="s">
        <v>173</v>
      </c>
      <c r="AI195" s="412" t="s">
        <v>300</v>
      </c>
      <c r="AJ195" s="366" t="s">
        <v>598</v>
      </c>
      <c r="AK195" s="412" t="s">
        <v>300</v>
      </c>
      <c r="AL195" s="356" t="s">
        <v>599</v>
      </c>
      <c r="AO195" s="733"/>
    </row>
    <row r="196" spans="1:41" s="17" customFormat="1" x14ac:dyDescent="0.3">
      <c r="A196" s="397"/>
      <c r="B196" s="141" t="s">
        <v>645</v>
      </c>
      <c r="C196" s="373" t="s">
        <v>546</v>
      </c>
      <c r="D196" s="62" t="s">
        <v>137</v>
      </c>
      <c r="E196" s="697"/>
      <c r="F196" s="62" t="s">
        <v>596</v>
      </c>
      <c r="G196" s="697"/>
      <c r="H196" s="62" t="s">
        <v>646</v>
      </c>
      <c r="I196" s="772" t="s">
        <v>173</v>
      </c>
      <c r="J196" s="664">
        <v>1404</v>
      </c>
      <c r="K196" s="772" t="s">
        <v>173</v>
      </c>
      <c r="L196" s="712">
        <v>4</v>
      </c>
      <c r="M196" s="772" t="s">
        <v>173</v>
      </c>
      <c r="N196" s="664" t="s">
        <v>629</v>
      </c>
      <c r="O196" s="772" t="s">
        <v>173</v>
      </c>
      <c r="P196" s="665" t="s">
        <v>548</v>
      </c>
      <c r="Q196" s="772" t="s">
        <v>173</v>
      </c>
      <c r="R196" s="665" t="s">
        <v>311</v>
      </c>
      <c r="S196" s="412" t="s">
        <v>300</v>
      </c>
      <c r="T196" s="373">
        <v>5</v>
      </c>
      <c r="U196" s="773" t="s">
        <v>173</v>
      </c>
      <c r="V196" s="680">
        <f t="shared" si="4"/>
        <v>3.51</v>
      </c>
      <c r="W196" s="324" t="s">
        <v>173</v>
      </c>
      <c r="X196" s="262" t="s">
        <v>173</v>
      </c>
      <c r="Y196" s="324" t="s">
        <v>173</v>
      </c>
      <c r="Z196" s="262" t="s">
        <v>173</v>
      </c>
      <c r="AA196" s="412"/>
      <c r="AB196" s="373" t="s">
        <v>630</v>
      </c>
      <c r="AC196" s="412"/>
      <c r="AD196" s="365">
        <v>211</v>
      </c>
      <c r="AE196" s="412"/>
      <c r="AF196" s="361" t="s">
        <v>366</v>
      </c>
      <c r="AG196" s="324" t="s">
        <v>173</v>
      </c>
      <c r="AH196" s="262" t="s">
        <v>173</v>
      </c>
      <c r="AI196" s="412" t="s">
        <v>300</v>
      </c>
      <c r="AJ196" s="366" t="s">
        <v>598</v>
      </c>
      <c r="AK196" s="412" t="s">
        <v>300</v>
      </c>
      <c r="AL196" s="356" t="s">
        <v>599</v>
      </c>
      <c r="AO196" s="733"/>
    </row>
    <row r="197" spans="1:41" s="17" customFormat="1" x14ac:dyDescent="0.3">
      <c r="A197" s="397"/>
      <c r="B197" s="141" t="s">
        <v>647</v>
      </c>
      <c r="C197" s="373" t="s">
        <v>546</v>
      </c>
      <c r="D197" s="62" t="s">
        <v>137</v>
      </c>
      <c r="E197" s="697"/>
      <c r="F197" s="62" t="s">
        <v>596</v>
      </c>
      <c r="G197" s="697"/>
      <c r="H197" s="62" t="s">
        <v>648</v>
      </c>
      <c r="I197" s="772" t="s">
        <v>173</v>
      </c>
      <c r="J197" s="664">
        <v>351</v>
      </c>
      <c r="K197" s="772" t="s">
        <v>173</v>
      </c>
      <c r="L197" s="712">
        <v>1</v>
      </c>
      <c r="M197" s="772" t="s">
        <v>173</v>
      </c>
      <c r="N197" s="664" t="s">
        <v>629</v>
      </c>
      <c r="O197" s="772" t="s">
        <v>173</v>
      </c>
      <c r="P197" s="665" t="s">
        <v>548</v>
      </c>
      <c r="Q197" s="772" t="s">
        <v>173</v>
      </c>
      <c r="R197" s="665" t="s">
        <v>311</v>
      </c>
      <c r="S197" s="412" t="s">
        <v>300</v>
      </c>
      <c r="T197" s="373">
        <v>5</v>
      </c>
      <c r="U197" s="773" t="s">
        <v>173</v>
      </c>
      <c r="V197" s="680">
        <f t="shared" si="4"/>
        <v>0.88</v>
      </c>
      <c r="W197" s="324" t="s">
        <v>173</v>
      </c>
      <c r="X197" s="262" t="s">
        <v>173</v>
      </c>
      <c r="Y197" s="324" t="s">
        <v>173</v>
      </c>
      <c r="Z197" s="262" t="s">
        <v>173</v>
      </c>
      <c r="AA197" s="412"/>
      <c r="AB197" s="373" t="s">
        <v>630</v>
      </c>
      <c r="AC197" s="412"/>
      <c r="AD197" s="365">
        <v>53</v>
      </c>
      <c r="AE197" s="412"/>
      <c r="AF197" s="361" t="s">
        <v>366</v>
      </c>
      <c r="AG197" s="324" t="s">
        <v>173</v>
      </c>
      <c r="AH197" s="262" t="s">
        <v>173</v>
      </c>
      <c r="AI197" s="412" t="s">
        <v>300</v>
      </c>
      <c r="AJ197" s="366" t="s">
        <v>598</v>
      </c>
      <c r="AK197" s="412" t="s">
        <v>300</v>
      </c>
      <c r="AL197" s="356" t="s">
        <v>599</v>
      </c>
      <c r="AO197" s="733"/>
    </row>
    <row r="198" spans="1:41" s="17" customFormat="1" x14ac:dyDescent="0.3">
      <c r="A198" s="397"/>
      <c r="B198" s="141" t="s">
        <v>649</v>
      </c>
      <c r="C198" s="373" t="s">
        <v>546</v>
      </c>
      <c r="D198" s="62" t="s">
        <v>137</v>
      </c>
      <c r="E198" s="697"/>
      <c r="F198" s="62" t="s">
        <v>596</v>
      </c>
      <c r="G198" s="697"/>
      <c r="H198" s="62" t="s">
        <v>650</v>
      </c>
      <c r="I198" s="772" t="s">
        <v>173</v>
      </c>
      <c r="J198" s="664">
        <v>351</v>
      </c>
      <c r="K198" s="772" t="s">
        <v>173</v>
      </c>
      <c r="L198" s="712">
        <v>1</v>
      </c>
      <c r="M198" s="772" t="s">
        <v>173</v>
      </c>
      <c r="N198" s="664" t="s">
        <v>547</v>
      </c>
      <c r="O198" s="772" t="s">
        <v>173</v>
      </c>
      <c r="P198" s="665" t="s">
        <v>548</v>
      </c>
      <c r="Q198" s="772" t="s">
        <v>173</v>
      </c>
      <c r="R198" s="665" t="s">
        <v>549</v>
      </c>
      <c r="S198" s="412" t="s">
        <v>300</v>
      </c>
      <c r="T198" s="373">
        <v>5</v>
      </c>
      <c r="U198" s="773" t="s">
        <v>173</v>
      </c>
      <c r="V198" s="680">
        <f t="shared" si="4"/>
        <v>0.88</v>
      </c>
      <c r="W198" s="324" t="s">
        <v>173</v>
      </c>
      <c r="X198" s="262" t="s">
        <v>173</v>
      </c>
      <c r="Y198" s="324" t="s">
        <v>173</v>
      </c>
      <c r="Z198" s="262" t="s">
        <v>173</v>
      </c>
      <c r="AA198" s="412"/>
      <c r="AB198" s="373" t="s">
        <v>630</v>
      </c>
      <c r="AC198" s="412"/>
      <c r="AD198" s="365">
        <v>53</v>
      </c>
      <c r="AE198" s="412"/>
      <c r="AF198" s="361" t="s">
        <v>366</v>
      </c>
      <c r="AG198" s="412"/>
      <c r="AH198" s="365">
        <v>53</v>
      </c>
      <c r="AI198" s="412" t="s">
        <v>300</v>
      </c>
      <c r="AJ198" s="366" t="s">
        <v>598</v>
      </c>
      <c r="AK198" s="412" t="s">
        <v>300</v>
      </c>
      <c r="AL198" s="356" t="s">
        <v>599</v>
      </c>
      <c r="AO198" s="733"/>
    </row>
    <row r="199" spans="1:41" s="17" customFormat="1" x14ac:dyDescent="0.3">
      <c r="A199" s="397"/>
      <c r="B199" s="141" t="s">
        <v>651</v>
      </c>
      <c r="C199" s="373" t="s">
        <v>546</v>
      </c>
      <c r="D199" s="62" t="s">
        <v>137</v>
      </c>
      <c r="E199" s="697"/>
      <c r="F199" s="62" t="s">
        <v>596</v>
      </c>
      <c r="G199" s="697"/>
      <c r="H199" s="62" t="s">
        <v>652</v>
      </c>
      <c r="I199" s="772" t="s">
        <v>173</v>
      </c>
      <c r="J199" s="664">
        <v>1404.1</v>
      </c>
      <c r="K199" s="772" t="s">
        <v>173</v>
      </c>
      <c r="L199" s="712">
        <v>4</v>
      </c>
      <c r="M199" s="772" t="s">
        <v>173</v>
      </c>
      <c r="N199" s="664" t="s">
        <v>547</v>
      </c>
      <c r="O199" s="772" t="s">
        <v>173</v>
      </c>
      <c r="P199" s="665" t="s">
        <v>548</v>
      </c>
      <c r="Q199" s="772" t="s">
        <v>173</v>
      </c>
      <c r="R199" s="665" t="s">
        <v>549</v>
      </c>
      <c r="S199" s="412" t="s">
        <v>300</v>
      </c>
      <c r="T199" s="373">
        <v>5</v>
      </c>
      <c r="U199" s="773" t="s">
        <v>173</v>
      </c>
      <c r="V199" s="680">
        <f t="shared" si="4"/>
        <v>3.51</v>
      </c>
      <c r="W199" s="324" t="s">
        <v>173</v>
      </c>
      <c r="X199" s="262" t="s">
        <v>173</v>
      </c>
      <c r="Y199" s="324" t="s">
        <v>173</v>
      </c>
      <c r="Z199" s="262" t="s">
        <v>173</v>
      </c>
      <c r="AA199" s="412"/>
      <c r="AB199" s="373" t="s">
        <v>630</v>
      </c>
      <c r="AC199" s="412"/>
      <c r="AD199" s="365">
        <v>211</v>
      </c>
      <c r="AE199" s="412"/>
      <c r="AF199" s="361" t="s">
        <v>366</v>
      </c>
      <c r="AG199" s="412"/>
      <c r="AH199" s="365">
        <v>211</v>
      </c>
      <c r="AI199" s="412" t="s">
        <v>300</v>
      </c>
      <c r="AJ199" s="366" t="s">
        <v>598</v>
      </c>
      <c r="AK199" s="412" t="s">
        <v>300</v>
      </c>
      <c r="AL199" s="356" t="s">
        <v>599</v>
      </c>
      <c r="AO199" s="733"/>
    </row>
    <row r="200" spans="1:41" s="17" customFormat="1" x14ac:dyDescent="0.3">
      <c r="A200" s="397"/>
      <c r="B200" s="141" t="s">
        <v>653</v>
      </c>
      <c r="C200" s="373" t="s">
        <v>546</v>
      </c>
      <c r="D200" s="62" t="s">
        <v>137</v>
      </c>
      <c r="E200" s="697"/>
      <c r="F200" s="62" t="s">
        <v>596</v>
      </c>
      <c r="G200" s="697"/>
      <c r="H200" s="62" t="s">
        <v>654</v>
      </c>
      <c r="I200" s="772" t="s">
        <v>173</v>
      </c>
      <c r="J200" s="664">
        <v>1134.0999999999999</v>
      </c>
      <c r="K200" s="772" t="s">
        <v>173</v>
      </c>
      <c r="L200" s="712">
        <v>3</v>
      </c>
      <c r="M200" s="772" t="s">
        <v>173</v>
      </c>
      <c r="N200" s="664" t="s">
        <v>547</v>
      </c>
      <c r="O200" s="772" t="s">
        <v>173</v>
      </c>
      <c r="P200" s="665" t="s">
        <v>548</v>
      </c>
      <c r="Q200" s="772" t="s">
        <v>173</v>
      </c>
      <c r="R200" s="665" t="s">
        <v>549</v>
      </c>
      <c r="S200" s="412" t="s">
        <v>300</v>
      </c>
      <c r="T200" s="373">
        <v>5</v>
      </c>
      <c r="U200" s="773" t="s">
        <v>173</v>
      </c>
      <c r="V200" s="680">
        <f t="shared" si="4"/>
        <v>2.84</v>
      </c>
      <c r="W200" s="324" t="s">
        <v>173</v>
      </c>
      <c r="X200" s="262" t="s">
        <v>173</v>
      </c>
      <c r="Y200" s="324" t="s">
        <v>173</v>
      </c>
      <c r="Z200" s="262" t="s">
        <v>173</v>
      </c>
      <c r="AA200" s="412"/>
      <c r="AB200" s="373" t="s">
        <v>630</v>
      </c>
      <c r="AC200" s="412"/>
      <c r="AD200" s="365">
        <v>170</v>
      </c>
      <c r="AE200" s="412"/>
      <c r="AF200" s="361" t="s">
        <v>366</v>
      </c>
      <c r="AG200" s="412"/>
      <c r="AH200" s="365">
        <v>170</v>
      </c>
      <c r="AI200" s="412" t="s">
        <v>300</v>
      </c>
      <c r="AJ200" s="366" t="s">
        <v>598</v>
      </c>
      <c r="AK200" s="412" t="s">
        <v>300</v>
      </c>
      <c r="AL200" s="356" t="s">
        <v>599</v>
      </c>
      <c r="AO200" s="733"/>
    </row>
    <row r="201" spans="1:41" s="17" customFormat="1" x14ac:dyDescent="0.3">
      <c r="A201" s="397"/>
      <c r="B201" s="141" t="s">
        <v>655</v>
      </c>
      <c r="C201" s="373" t="s">
        <v>546</v>
      </c>
      <c r="D201" s="62" t="s">
        <v>137</v>
      </c>
      <c r="E201" s="697"/>
      <c r="F201" s="62" t="s">
        <v>596</v>
      </c>
      <c r="G201" s="697"/>
      <c r="H201" s="62" t="s">
        <v>656</v>
      </c>
      <c r="I201" s="772" t="s">
        <v>173</v>
      </c>
      <c r="J201" s="664">
        <v>1404.1</v>
      </c>
      <c r="K201" s="772" t="s">
        <v>173</v>
      </c>
      <c r="L201" s="712">
        <v>4</v>
      </c>
      <c r="M201" s="772" t="s">
        <v>173</v>
      </c>
      <c r="N201" s="664" t="s">
        <v>547</v>
      </c>
      <c r="O201" s="772" t="s">
        <v>173</v>
      </c>
      <c r="P201" s="665" t="s">
        <v>548</v>
      </c>
      <c r="Q201" s="772" t="s">
        <v>173</v>
      </c>
      <c r="R201" s="665" t="s">
        <v>549</v>
      </c>
      <c r="S201" s="412" t="s">
        <v>300</v>
      </c>
      <c r="T201" s="373">
        <v>5</v>
      </c>
      <c r="U201" s="773" t="s">
        <v>173</v>
      </c>
      <c r="V201" s="680">
        <f t="shared" si="4"/>
        <v>3.51</v>
      </c>
      <c r="W201" s="324" t="s">
        <v>173</v>
      </c>
      <c r="X201" s="262" t="s">
        <v>173</v>
      </c>
      <c r="Y201" s="324" t="s">
        <v>173</v>
      </c>
      <c r="Z201" s="262" t="s">
        <v>173</v>
      </c>
      <c r="AA201" s="412"/>
      <c r="AB201" s="373" t="s">
        <v>630</v>
      </c>
      <c r="AC201" s="412"/>
      <c r="AD201" s="365">
        <v>211</v>
      </c>
      <c r="AE201" s="412"/>
      <c r="AF201" s="361" t="s">
        <v>366</v>
      </c>
      <c r="AG201" s="412"/>
      <c r="AH201" s="365">
        <v>211</v>
      </c>
      <c r="AI201" s="412" t="s">
        <v>300</v>
      </c>
      <c r="AJ201" s="366" t="s">
        <v>598</v>
      </c>
      <c r="AK201" s="412" t="s">
        <v>300</v>
      </c>
      <c r="AL201" s="356" t="s">
        <v>599</v>
      </c>
      <c r="AO201" s="733"/>
    </row>
    <row r="202" spans="1:41" s="17" customFormat="1" x14ac:dyDescent="0.3">
      <c r="A202" s="397"/>
      <c r="B202" s="141" t="s">
        <v>657</v>
      </c>
      <c r="C202" s="373" t="s">
        <v>546</v>
      </c>
      <c r="D202" s="62" t="s">
        <v>137</v>
      </c>
      <c r="E202" s="697"/>
      <c r="F202" s="62" t="s">
        <v>596</v>
      </c>
      <c r="G202" s="697"/>
      <c r="H202" s="62" t="s">
        <v>658</v>
      </c>
      <c r="I202" s="772" t="s">
        <v>173</v>
      </c>
      <c r="J202" s="664">
        <v>351</v>
      </c>
      <c r="K202" s="772" t="s">
        <v>173</v>
      </c>
      <c r="L202" s="712">
        <v>1</v>
      </c>
      <c r="M202" s="772" t="s">
        <v>173</v>
      </c>
      <c r="N202" s="664" t="s">
        <v>547</v>
      </c>
      <c r="O202" s="772" t="s">
        <v>173</v>
      </c>
      <c r="P202" s="665" t="s">
        <v>548</v>
      </c>
      <c r="Q202" s="772" t="s">
        <v>173</v>
      </c>
      <c r="R202" s="665" t="s">
        <v>549</v>
      </c>
      <c r="S202" s="412" t="s">
        <v>300</v>
      </c>
      <c r="T202" s="373">
        <v>5</v>
      </c>
      <c r="U202" s="773" t="s">
        <v>173</v>
      </c>
      <c r="V202" s="680">
        <f t="shared" si="4"/>
        <v>0.88</v>
      </c>
      <c r="W202" s="324" t="s">
        <v>173</v>
      </c>
      <c r="X202" s="262" t="s">
        <v>173</v>
      </c>
      <c r="Y202" s="324" t="s">
        <v>173</v>
      </c>
      <c r="Z202" s="262" t="s">
        <v>173</v>
      </c>
      <c r="AA202" s="412"/>
      <c r="AB202" s="373" t="s">
        <v>630</v>
      </c>
      <c r="AC202" s="412"/>
      <c r="AD202" s="365">
        <v>53</v>
      </c>
      <c r="AE202" s="412"/>
      <c r="AF202" s="361" t="s">
        <v>366</v>
      </c>
      <c r="AG202" s="412"/>
      <c r="AH202" s="365">
        <v>53</v>
      </c>
      <c r="AI202" s="412" t="s">
        <v>300</v>
      </c>
      <c r="AJ202" s="366" t="s">
        <v>598</v>
      </c>
      <c r="AK202" s="412" t="s">
        <v>300</v>
      </c>
      <c r="AL202" s="356" t="s">
        <v>599</v>
      </c>
      <c r="AO202" s="733"/>
    </row>
    <row r="203" spans="1:41" s="17" customFormat="1" x14ac:dyDescent="0.3">
      <c r="A203" s="397"/>
      <c r="B203" s="141" t="s">
        <v>659</v>
      </c>
      <c r="C203" s="373" t="s">
        <v>546</v>
      </c>
      <c r="D203" s="62" t="s">
        <v>137</v>
      </c>
      <c r="E203" s="697"/>
      <c r="F203" s="62" t="s">
        <v>596</v>
      </c>
      <c r="G203" s="697"/>
      <c r="H203" s="62" t="s">
        <v>660</v>
      </c>
      <c r="I203" s="772" t="s">
        <v>173</v>
      </c>
      <c r="J203" s="664">
        <v>351</v>
      </c>
      <c r="K203" s="772" t="s">
        <v>173</v>
      </c>
      <c r="L203" s="712">
        <v>1</v>
      </c>
      <c r="M203" s="772" t="s">
        <v>173</v>
      </c>
      <c r="N203" s="664" t="s">
        <v>547</v>
      </c>
      <c r="O203" s="772" t="s">
        <v>173</v>
      </c>
      <c r="P203" s="665" t="s">
        <v>548</v>
      </c>
      <c r="Q203" s="772" t="s">
        <v>173</v>
      </c>
      <c r="R203" s="665" t="s">
        <v>549</v>
      </c>
      <c r="S203" s="412" t="s">
        <v>300</v>
      </c>
      <c r="T203" s="373">
        <v>5</v>
      </c>
      <c r="U203" s="773" t="s">
        <v>173</v>
      </c>
      <c r="V203" s="680">
        <f t="shared" si="4"/>
        <v>0.88</v>
      </c>
      <c r="W203" s="324" t="s">
        <v>173</v>
      </c>
      <c r="X203" s="262" t="s">
        <v>173</v>
      </c>
      <c r="Y203" s="324" t="s">
        <v>173</v>
      </c>
      <c r="Z203" s="262" t="s">
        <v>173</v>
      </c>
      <c r="AA203" s="412"/>
      <c r="AB203" s="373" t="s">
        <v>630</v>
      </c>
      <c r="AC203" s="412"/>
      <c r="AD203" s="365">
        <v>53</v>
      </c>
      <c r="AE203" s="412"/>
      <c r="AF203" s="361" t="s">
        <v>366</v>
      </c>
      <c r="AG203" s="412"/>
      <c r="AH203" s="365">
        <v>53</v>
      </c>
      <c r="AI203" s="412" t="s">
        <v>300</v>
      </c>
      <c r="AJ203" s="366" t="s">
        <v>598</v>
      </c>
      <c r="AK203" s="412" t="s">
        <v>300</v>
      </c>
      <c r="AL203" s="356" t="s">
        <v>599</v>
      </c>
      <c r="AO203" s="733"/>
    </row>
    <row r="204" spans="1:41" s="17" customFormat="1" x14ac:dyDescent="0.3">
      <c r="A204" s="397"/>
      <c r="B204" s="141" t="s">
        <v>661</v>
      </c>
      <c r="C204" s="373" t="s">
        <v>546</v>
      </c>
      <c r="D204" s="62" t="s">
        <v>137</v>
      </c>
      <c r="E204" s="697"/>
      <c r="F204" s="62" t="s">
        <v>596</v>
      </c>
      <c r="G204" s="697"/>
      <c r="H204" s="62" t="s">
        <v>662</v>
      </c>
      <c r="I204" s="772" t="s">
        <v>173</v>
      </c>
      <c r="J204" s="664">
        <v>1404</v>
      </c>
      <c r="K204" s="772" t="s">
        <v>173</v>
      </c>
      <c r="L204" s="712">
        <v>4</v>
      </c>
      <c r="M204" s="772" t="s">
        <v>173</v>
      </c>
      <c r="N204" s="664" t="s">
        <v>547</v>
      </c>
      <c r="O204" s="772" t="s">
        <v>173</v>
      </c>
      <c r="P204" s="665" t="s">
        <v>548</v>
      </c>
      <c r="Q204" s="772" t="s">
        <v>173</v>
      </c>
      <c r="R204" s="665" t="s">
        <v>549</v>
      </c>
      <c r="S204" s="412" t="s">
        <v>300</v>
      </c>
      <c r="T204" s="373">
        <v>5</v>
      </c>
      <c r="U204" s="773" t="s">
        <v>173</v>
      </c>
      <c r="V204" s="680">
        <f t="shared" si="4"/>
        <v>3.51</v>
      </c>
      <c r="W204" s="324" t="s">
        <v>173</v>
      </c>
      <c r="X204" s="262" t="s">
        <v>173</v>
      </c>
      <c r="Y204" s="324" t="s">
        <v>173</v>
      </c>
      <c r="Z204" s="262" t="s">
        <v>173</v>
      </c>
      <c r="AA204" s="412"/>
      <c r="AB204" s="373" t="s">
        <v>630</v>
      </c>
      <c r="AC204" s="412"/>
      <c r="AD204" s="365">
        <v>211</v>
      </c>
      <c r="AE204" s="412"/>
      <c r="AF204" s="361" t="s">
        <v>366</v>
      </c>
      <c r="AG204" s="412"/>
      <c r="AH204" s="365">
        <v>211</v>
      </c>
      <c r="AI204" s="412" t="s">
        <v>300</v>
      </c>
      <c r="AJ204" s="366" t="s">
        <v>598</v>
      </c>
      <c r="AK204" s="412" t="s">
        <v>300</v>
      </c>
      <c r="AL204" s="356" t="s">
        <v>599</v>
      </c>
      <c r="AO204" s="733"/>
    </row>
    <row r="205" spans="1:41" s="17" customFormat="1" x14ac:dyDescent="0.3">
      <c r="A205" s="397"/>
      <c r="B205" s="141" t="s">
        <v>663</v>
      </c>
      <c r="C205" s="373" t="s">
        <v>546</v>
      </c>
      <c r="D205" s="62" t="s">
        <v>137</v>
      </c>
      <c r="E205" s="697"/>
      <c r="F205" s="62" t="s">
        <v>596</v>
      </c>
      <c r="G205" s="697"/>
      <c r="H205" s="62" t="s">
        <v>664</v>
      </c>
      <c r="I205" s="772" t="s">
        <v>173</v>
      </c>
      <c r="J205" s="664">
        <v>351</v>
      </c>
      <c r="K205" s="772" t="s">
        <v>173</v>
      </c>
      <c r="L205" s="712">
        <v>1</v>
      </c>
      <c r="M205" s="772" t="s">
        <v>173</v>
      </c>
      <c r="N205" s="664" t="s">
        <v>547</v>
      </c>
      <c r="O205" s="772" t="s">
        <v>173</v>
      </c>
      <c r="P205" s="665" t="s">
        <v>548</v>
      </c>
      <c r="Q205" s="772" t="s">
        <v>173</v>
      </c>
      <c r="R205" s="665" t="s">
        <v>549</v>
      </c>
      <c r="S205" s="412" t="s">
        <v>300</v>
      </c>
      <c r="T205" s="373">
        <v>5</v>
      </c>
      <c r="U205" s="773" t="s">
        <v>173</v>
      </c>
      <c r="V205" s="680">
        <f t="shared" si="4"/>
        <v>0.88</v>
      </c>
      <c r="W205" s="324" t="s">
        <v>173</v>
      </c>
      <c r="X205" s="262" t="s">
        <v>173</v>
      </c>
      <c r="Y205" s="324" t="s">
        <v>173</v>
      </c>
      <c r="Z205" s="262" t="s">
        <v>173</v>
      </c>
      <c r="AA205" s="412"/>
      <c r="AB205" s="373" t="s">
        <v>630</v>
      </c>
      <c r="AC205" s="412"/>
      <c r="AD205" s="365">
        <v>53</v>
      </c>
      <c r="AE205" s="412"/>
      <c r="AF205" s="361" t="s">
        <v>366</v>
      </c>
      <c r="AG205" s="412"/>
      <c r="AH205" s="365">
        <v>53</v>
      </c>
      <c r="AI205" s="412" t="s">
        <v>300</v>
      </c>
      <c r="AJ205" s="366" t="s">
        <v>598</v>
      </c>
      <c r="AK205" s="412" t="s">
        <v>300</v>
      </c>
      <c r="AL205" s="356" t="s">
        <v>599</v>
      </c>
      <c r="AO205" s="733"/>
    </row>
    <row r="206" spans="1:41" s="17" customFormat="1" x14ac:dyDescent="0.3">
      <c r="A206" s="397"/>
      <c r="B206" s="141" t="s">
        <v>665</v>
      </c>
      <c r="C206" s="373" t="s">
        <v>546</v>
      </c>
      <c r="D206" s="62" t="s">
        <v>137</v>
      </c>
      <c r="E206" s="697"/>
      <c r="F206" s="62" t="s">
        <v>596</v>
      </c>
      <c r="G206" s="697"/>
      <c r="H206" s="62" t="s">
        <v>666</v>
      </c>
      <c r="I206" s="772" t="s">
        <v>173</v>
      </c>
      <c r="J206" s="664">
        <v>1404</v>
      </c>
      <c r="K206" s="772" t="s">
        <v>173</v>
      </c>
      <c r="L206" s="712">
        <v>4</v>
      </c>
      <c r="M206" s="772" t="s">
        <v>173</v>
      </c>
      <c r="N206" s="664" t="s">
        <v>547</v>
      </c>
      <c r="O206" s="772" t="s">
        <v>173</v>
      </c>
      <c r="P206" s="665" t="s">
        <v>548</v>
      </c>
      <c r="Q206" s="772" t="s">
        <v>173</v>
      </c>
      <c r="R206" s="665" t="s">
        <v>549</v>
      </c>
      <c r="S206" s="412" t="s">
        <v>300</v>
      </c>
      <c r="T206" s="373">
        <v>5</v>
      </c>
      <c r="U206" s="773" t="s">
        <v>173</v>
      </c>
      <c r="V206" s="680">
        <f t="shared" si="4"/>
        <v>3.51</v>
      </c>
      <c r="W206" s="324" t="s">
        <v>173</v>
      </c>
      <c r="X206" s="262" t="s">
        <v>173</v>
      </c>
      <c r="Y206" s="324" t="s">
        <v>173</v>
      </c>
      <c r="Z206" s="262" t="s">
        <v>173</v>
      </c>
      <c r="AA206" s="412"/>
      <c r="AB206" s="373" t="s">
        <v>630</v>
      </c>
      <c r="AC206" s="412"/>
      <c r="AD206" s="365">
        <v>211</v>
      </c>
      <c r="AE206" s="412"/>
      <c r="AF206" s="361" t="s">
        <v>366</v>
      </c>
      <c r="AG206" s="412"/>
      <c r="AH206" s="365">
        <v>211</v>
      </c>
      <c r="AI206" s="412" t="s">
        <v>300</v>
      </c>
      <c r="AJ206" s="366" t="s">
        <v>598</v>
      </c>
      <c r="AK206" s="412" t="s">
        <v>300</v>
      </c>
      <c r="AL206" s="356" t="s">
        <v>599</v>
      </c>
      <c r="AO206" s="733"/>
    </row>
    <row r="207" spans="1:41" s="17" customFormat="1" x14ac:dyDescent="0.3">
      <c r="A207" s="397"/>
      <c r="B207" s="309" t="s">
        <v>667</v>
      </c>
      <c r="C207" s="165" t="s">
        <v>546</v>
      </c>
      <c r="D207" s="452" t="s">
        <v>137</v>
      </c>
      <c r="E207" s="698"/>
      <c r="F207" s="452" t="s">
        <v>596</v>
      </c>
      <c r="G207" s="698"/>
      <c r="H207" s="452" t="s">
        <v>668</v>
      </c>
      <c r="I207" s="774" t="s">
        <v>173</v>
      </c>
      <c r="J207" s="669">
        <v>351</v>
      </c>
      <c r="K207" s="774" t="s">
        <v>173</v>
      </c>
      <c r="L207" s="713">
        <v>1</v>
      </c>
      <c r="M207" s="774" t="s">
        <v>173</v>
      </c>
      <c r="N207" s="669" t="s">
        <v>547</v>
      </c>
      <c r="O207" s="774" t="s">
        <v>173</v>
      </c>
      <c r="P207" s="670" t="s">
        <v>548</v>
      </c>
      <c r="Q207" s="774" t="s">
        <v>173</v>
      </c>
      <c r="R207" s="670" t="s">
        <v>549</v>
      </c>
      <c r="S207" s="410" t="s">
        <v>300</v>
      </c>
      <c r="T207" s="165">
        <v>5</v>
      </c>
      <c r="U207" s="775" t="s">
        <v>173</v>
      </c>
      <c r="V207" s="682">
        <f t="shared" si="4"/>
        <v>0.88</v>
      </c>
      <c r="W207" s="325" t="s">
        <v>173</v>
      </c>
      <c r="X207" s="265" t="s">
        <v>173</v>
      </c>
      <c r="Y207" s="325" t="s">
        <v>173</v>
      </c>
      <c r="Z207" s="265" t="s">
        <v>173</v>
      </c>
      <c r="AA207" s="410"/>
      <c r="AB207" s="165" t="s">
        <v>630</v>
      </c>
      <c r="AC207" s="410"/>
      <c r="AD207" s="232">
        <v>53</v>
      </c>
      <c r="AE207" s="410"/>
      <c r="AF207" s="396" t="s">
        <v>366</v>
      </c>
      <c r="AG207" s="410"/>
      <c r="AH207" s="232">
        <v>53</v>
      </c>
      <c r="AI207" s="410" t="s">
        <v>300</v>
      </c>
      <c r="AJ207" s="167" t="s">
        <v>598</v>
      </c>
      <c r="AK207" s="410" t="s">
        <v>300</v>
      </c>
      <c r="AL207" s="601" t="s">
        <v>599</v>
      </c>
      <c r="AO207" s="733"/>
    </row>
    <row r="208" spans="1:41" s="17" customFormat="1" x14ac:dyDescent="0.3">
      <c r="A208" s="397"/>
      <c r="B208" s="373"/>
      <c r="C208" s="373"/>
      <c r="D208" s="373"/>
      <c r="E208" s="373"/>
      <c r="F208" s="373"/>
      <c r="G208" s="373"/>
      <c r="H208" s="373"/>
      <c r="I208" s="373"/>
      <c r="J208" s="373"/>
      <c r="K208" s="373"/>
      <c r="L208" s="373"/>
      <c r="M208" s="373"/>
      <c r="N208" s="373"/>
      <c r="O208" s="373"/>
      <c r="P208" s="373"/>
      <c r="Q208" s="373"/>
      <c r="R208" s="373"/>
      <c r="S208" s="373"/>
      <c r="T208" s="373"/>
      <c r="U208" s="373"/>
      <c r="V208" s="373"/>
      <c r="W208" s="373"/>
      <c r="X208" s="373"/>
      <c r="Y208" s="373"/>
      <c r="Z208" s="373"/>
      <c r="AA208" s="373"/>
      <c r="AB208" s="373"/>
      <c r="AC208" s="373"/>
      <c r="AD208" s="373"/>
      <c r="AE208" s="373"/>
      <c r="AF208" s="373"/>
    </row>
    <row r="209" spans="1:26" s="534" customFormat="1" ht="14.4" x14ac:dyDescent="0.3">
      <c r="I209" s="533"/>
      <c r="M209" s="533"/>
      <c r="O209" s="567"/>
      <c r="P209" s="568"/>
      <c r="Q209" s="397"/>
      <c r="R209" s="397"/>
      <c r="S209" s="397"/>
      <c r="T209" s="397"/>
    </row>
    <row r="210" spans="1:26" s="391" customFormat="1" ht="14.4" x14ac:dyDescent="0.3">
      <c r="A210" s="27"/>
      <c r="B210" s="29" t="s">
        <v>669</v>
      </c>
      <c r="C210" s="982"/>
      <c r="D210" s="982"/>
      <c r="E210" s="357"/>
      <c r="F210" s="982"/>
      <c r="G210" s="357"/>
      <c r="H210" s="982"/>
      <c r="I210" s="357"/>
      <c r="J210" s="982"/>
      <c r="K210" s="357"/>
      <c r="L210" s="982"/>
      <c r="M210" s="357"/>
      <c r="N210" s="982"/>
      <c r="O210" s="567"/>
      <c r="P210" s="568"/>
      <c r="Q210" s="89"/>
      <c r="R210" s="89"/>
      <c r="S210" s="89"/>
      <c r="T210" s="89"/>
      <c r="U210" s="358"/>
      <c r="V210" s="358"/>
      <c r="W210" s="358"/>
      <c r="X210" s="358"/>
      <c r="Y210" s="982"/>
      <c r="Z210" s="982"/>
    </row>
    <row r="211" spans="1:26" s="391" customFormat="1" ht="27.6" x14ac:dyDescent="0.3">
      <c r="A211" s="982"/>
      <c r="B211" s="115" t="s">
        <v>670</v>
      </c>
      <c r="C211" s="119"/>
      <c r="D211" s="120" t="s">
        <v>122</v>
      </c>
      <c r="E211" s="234"/>
      <c r="F211" s="116" t="s">
        <v>671</v>
      </c>
      <c r="G211" s="213"/>
      <c r="H211" s="123" t="s">
        <v>672</v>
      </c>
      <c r="I211" s="234"/>
      <c r="J211" s="116" t="s">
        <v>673</v>
      </c>
      <c r="K211" s="435"/>
      <c r="L211" s="436" t="s">
        <v>674</v>
      </c>
      <c r="M211" s="234"/>
      <c r="N211" s="116" t="s">
        <v>675</v>
      </c>
      <c r="O211" s="567"/>
      <c r="P211" s="568"/>
      <c r="Q211" s="982"/>
      <c r="R211" s="982"/>
      <c r="S211" s="982"/>
      <c r="T211" s="982"/>
      <c r="U211" s="358"/>
      <c r="V211" s="358"/>
      <c r="W211" s="358"/>
      <c r="X211" s="358"/>
      <c r="Y211" s="982"/>
      <c r="Z211" s="982"/>
    </row>
    <row r="212" spans="1:26" s="391" customFormat="1" ht="15" thickBot="1" x14ac:dyDescent="0.35">
      <c r="A212" s="982"/>
      <c r="B212" s="215"/>
      <c r="C212" s="125"/>
      <c r="D212" s="177"/>
      <c r="E212" s="370"/>
      <c r="F212" s="351" t="s">
        <v>676</v>
      </c>
      <c r="G212" s="371"/>
      <c r="H212" s="350" t="s">
        <v>677</v>
      </c>
      <c r="I212" s="233"/>
      <c r="J212" s="351" t="s">
        <v>678</v>
      </c>
      <c r="K212" s="214"/>
      <c r="L212" s="350" t="s">
        <v>679</v>
      </c>
      <c r="M212" s="233"/>
      <c r="N212" s="351" t="s">
        <v>680</v>
      </c>
      <c r="O212" s="567"/>
      <c r="P212" s="568"/>
      <c r="Q212" s="982"/>
      <c r="R212" s="982"/>
      <c r="S212" s="982"/>
      <c r="T212" s="982"/>
      <c r="U212" s="358"/>
      <c r="V212" s="358"/>
      <c r="W212" s="358"/>
      <c r="X212" s="358"/>
      <c r="Y212" s="982"/>
      <c r="Z212" s="982"/>
    </row>
    <row r="213" spans="1:26" s="357" customFormat="1" ht="15" thickTop="1" x14ac:dyDescent="0.3">
      <c r="B213" s="352">
        <v>2</v>
      </c>
      <c r="C213" s="385"/>
      <c r="D213" s="165" t="s">
        <v>137</v>
      </c>
      <c r="E213" s="555" t="s">
        <v>173</v>
      </c>
      <c r="F213" s="585">
        <v>363000</v>
      </c>
      <c r="G213" s="170" t="s">
        <v>300</v>
      </c>
      <c r="H213" s="156">
        <v>0.8</v>
      </c>
      <c r="I213" s="171" t="s">
        <v>300</v>
      </c>
      <c r="J213" s="162" t="s">
        <v>681</v>
      </c>
      <c r="K213" s="170" t="s">
        <v>300</v>
      </c>
      <c r="L213" s="167" t="s">
        <v>682</v>
      </c>
      <c r="M213" s="171" t="s">
        <v>300</v>
      </c>
      <c r="N213" s="162">
        <v>0.25</v>
      </c>
      <c r="O213" s="567"/>
      <c r="P213" s="568"/>
      <c r="Q213" s="89"/>
      <c r="R213" s="89"/>
      <c r="S213" s="89"/>
      <c r="T213" s="89"/>
      <c r="U213" s="359"/>
      <c r="V213" s="359"/>
      <c r="W213" s="359"/>
      <c r="X213" s="359"/>
    </row>
    <row r="214" spans="1:26" s="17" customFormat="1" ht="14.4" x14ac:dyDescent="0.3">
      <c r="A214" s="397"/>
      <c r="B214" s="401"/>
      <c r="C214" s="74"/>
      <c r="E214" s="533"/>
      <c r="G214" s="570"/>
      <c r="I214" s="570"/>
      <c r="K214" s="570"/>
      <c r="M214" s="570"/>
      <c r="O214" s="570"/>
      <c r="Q214" s="397"/>
      <c r="R214" s="397"/>
      <c r="S214" s="397"/>
      <c r="T214" s="397"/>
      <c r="U214" s="534"/>
      <c r="V214" s="534"/>
      <c r="W214" s="534"/>
      <c r="X214" s="534"/>
    </row>
    <row r="215" spans="1:26" s="17" customFormat="1" ht="14.4" x14ac:dyDescent="0.3">
      <c r="A215" s="397"/>
      <c r="B215" s="401"/>
      <c r="C215" s="74"/>
      <c r="E215" s="533"/>
      <c r="G215" s="570"/>
      <c r="I215" s="570"/>
      <c r="K215" s="570"/>
      <c r="M215" s="570"/>
      <c r="O215" s="570"/>
      <c r="Q215" s="397"/>
      <c r="R215" s="397"/>
      <c r="S215" s="397"/>
      <c r="T215" s="397"/>
      <c r="U215" s="534"/>
      <c r="V215" s="534"/>
      <c r="W215" s="534"/>
      <c r="X215" s="534"/>
    </row>
    <row r="216" spans="1:26" s="17" customFormat="1" ht="14.4" x14ac:dyDescent="0.3">
      <c r="A216" s="569"/>
      <c r="B216" s="377" t="s">
        <v>683</v>
      </c>
      <c r="C216" s="74"/>
      <c r="E216" s="533"/>
      <c r="G216" s="570"/>
      <c r="I216" s="570"/>
      <c r="K216" s="570"/>
      <c r="M216" s="570"/>
      <c r="O216" s="570"/>
      <c r="Q216" s="397"/>
      <c r="R216" s="397"/>
      <c r="S216" s="397"/>
      <c r="T216" s="397"/>
      <c r="U216" s="534"/>
      <c r="V216" s="534"/>
      <c r="W216" s="534"/>
      <c r="X216" s="534"/>
    </row>
    <row r="217" spans="1:26" s="38" customFormat="1" ht="27.6" x14ac:dyDescent="0.3">
      <c r="A217" s="373"/>
      <c r="B217" s="131" t="s">
        <v>684</v>
      </c>
      <c r="C217" s="120" t="s">
        <v>685</v>
      </c>
      <c r="D217" s="120" t="s">
        <v>122</v>
      </c>
      <c r="E217" s="131"/>
      <c r="F217" s="148" t="s">
        <v>686</v>
      </c>
      <c r="G217" s="131"/>
      <c r="H217" s="148" t="s">
        <v>687</v>
      </c>
      <c r="I217" s="120"/>
      <c r="J217" s="120" t="s">
        <v>688</v>
      </c>
      <c r="K217" s="293"/>
      <c r="L217" s="120" t="s">
        <v>689</v>
      </c>
      <c r="M217" s="293"/>
      <c r="N217" s="148" t="s">
        <v>690</v>
      </c>
      <c r="O217" s="120"/>
      <c r="P217" s="120" t="s">
        <v>691</v>
      </c>
      <c r="Q217" s="131"/>
      <c r="R217" s="148" t="s">
        <v>692</v>
      </c>
      <c r="S217" s="373"/>
      <c r="T217" s="373"/>
      <c r="U217" s="373"/>
      <c r="V217" s="373"/>
      <c r="W217" s="358"/>
      <c r="X217" s="358"/>
      <c r="Y217" s="358"/>
      <c r="Z217" s="358"/>
    </row>
    <row r="218" spans="1:26" s="584" customFormat="1" ht="15" thickBot="1" x14ac:dyDescent="0.35">
      <c r="A218" s="89"/>
      <c r="B218" s="574"/>
      <c r="C218" s="176"/>
      <c r="D218" s="575"/>
      <c r="E218" s="178"/>
      <c r="F218" s="179" t="s">
        <v>693</v>
      </c>
      <c r="G218" s="178"/>
      <c r="H218" s="179" t="s">
        <v>694</v>
      </c>
      <c r="I218" s="176"/>
      <c r="J218" s="179" t="s">
        <v>695</v>
      </c>
      <c r="K218" s="178"/>
      <c r="L218" s="179" t="s">
        <v>696</v>
      </c>
      <c r="M218" s="178"/>
      <c r="N218" s="179" t="s">
        <v>697</v>
      </c>
      <c r="O218" s="176"/>
      <c r="P218" s="176" t="s">
        <v>698</v>
      </c>
      <c r="Q218" s="178"/>
      <c r="R218" s="179" t="s">
        <v>699</v>
      </c>
      <c r="S218" s="89"/>
      <c r="T218" s="89"/>
      <c r="U218" s="89"/>
      <c r="V218" s="89"/>
      <c r="W218" s="101"/>
      <c r="X218" s="101"/>
      <c r="Y218" s="101"/>
      <c r="Z218" s="101"/>
    </row>
    <row r="219" spans="1:26" s="373" customFormat="1" ht="14.4" thickTop="1" x14ac:dyDescent="0.3">
      <c r="B219" s="309" t="s">
        <v>700</v>
      </c>
      <c r="C219" s="165" t="s">
        <v>701</v>
      </c>
      <c r="D219" s="165" t="s">
        <v>137</v>
      </c>
      <c r="E219" s="410" t="s">
        <v>300</v>
      </c>
      <c r="F219" s="165" t="s">
        <v>702</v>
      </c>
      <c r="G219" s="454" t="s">
        <v>300</v>
      </c>
      <c r="H219" s="157" t="s">
        <v>703</v>
      </c>
      <c r="I219" s="410" t="s">
        <v>300</v>
      </c>
      <c r="J219" s="165" t="s">
        <v>704</v>
      </c>
      <c r="K219" s="555" t="s">
        <v>173</v>
      </c>
      <c r="L219" s="596">
        <v>348000</v>
      </c>
      <c r="M219" s="410" t="s">
        <v>300</v>
      </c>
      <c r="N219" s="546" t="str">
        <f>ROUND(12/0.78/3.412,2)&amp;" (0.78 kW/ton)"</f>
        <v>4.51 (0.78 kW/ton)</v>
      </c>
      <c r="O219" s="410" t="s">
        <v>300</v>
      </c>
      <c r="P219" s="165">
        <v>0.5</v>
      </c>
      <c r="Q219" s="410" t="s">
        <v>300</v>
      </c>
      <c r="R219" s="250">
        <v>0.15</v>
      </c>
      <c r="W219" s="359"/>
      <c r="X219" s="359"/>
      <c r="Y219" s="359"/>
      <c r="Z219" s="359"/>
    </row>
    <row r="220" spans="1:26" s="17" customFormat="1" ht="14.4" x14ac:dyDescent="0.3">
      <c r="A220" s="397"/>
      <c r="B220" s="401"/>
      <c r="C220" s="74"/>
      <c r="E220" s="533"/>
      <c r="G220" s="570"/>
      <c r="I220" s="570"/>
      <c r="K220" s="570"/>
      <c r="M220" s="570"/>
      <c r="O220" s="570"/>
      <c r="Q220" s="397"/>
      <c r="R220" s="397"/>
      <c r="S220" s="397"/>
      <c r="T220" s="397"/>
      <c r="U220" s="534"/>
      <c r="V220" s="534"/>
      <c r="W220" s="534"/>
      <c r="X220" s="534"/>
    </row>
    <row r="221" spans="1:26" s="17" customFormat="1" x14ac:dyDescent="0.3">
      <c r="A221" s="397"/>
      <c r="B221" s="401"/>
      <c r="C221" s="74"/>
      <c r="E221" s="533"/>
      <c r="G221" s="570"/>
      <c r="I221" s="570"/>
      <c r="K221" s="570"/>
      <c r="M221" s="570"/>
      <c r="O221" s="570"/>
      <c r="Q221" s="570"/>
      <c r="S221" s="570"/>
      <c r="U221" s="570"/>
      <c r="W221" s="570"/>
    </row>
    <row r="222" spans="1:26" s="38" customFormat="1" ht="41.4" x14ac:dyDescent="0.3">
      <c r="A222" s="373"/>
      <c r="B222" s="131" t="s">
        <v>684</v>
      </c>
      <c r="C222" s="120" t="s">
        <v>685</v>
      </c>
      <c r="D222" s="120" t="s">
        <v>122</v>
      </c>
      <c r="E222" s="131"/>
      <c r="F222" s="148" t="s">
        <v>705</v>
      </c>
      <c r="G222" s="293"/>
      <c r="H222" s="148" t="s">
        <v>706</v>
      </c>
      <c r="I222" s="120"/>
      <c r="J222" s="120" t="s">
        <v>707</v>
      </c>
      <c r="K222" s="120"/>
      <c r="L222" s="173" t="s">
        <v>708</v>
      </c>
      <c r="M222" s="437"/>
      <c r="N222" s="117" t="s">
        <v>709</v>
      </c>
      <c r="Q222" s="363"/>
      <c r="R222" s="365"/>
      <c r="S222" s="363"/>
      <c r="T222" s="365"/>
      <c r="U222" s="363"/>
      <c r="V222" s="365"/>
    </row>
    <row r="223" spans="1:26" s="584" customFormat="1" ht="14.4" thickBot="1" x14ac:dyDescent="0.35">
      <c r="A223" s="89"/>
      <c r="B223" s="574"/>
      <c r="C223" s="176"/>
      <c r="D223" s="575"/>
      <c r="E223" s="178"/>
      <c r="F223" s="179" t="s">
        <v>710</v>
      </c>
      <c r="G223" s="178"/>
      <c r="H223" s="179" t="s">
        <v>711</v>
      </c>
      <c r="I223" s="176"/>
      <c r="J223" s="176" t="s">
        <v>712</v>
      </c>
      <c r="K223" s="176"/>
      <c r="L223" s="176" t="s">
        <v>713</v>
      </c>
      <c r="M223" s="178"/>
      <c r="N223" s="179" t="s">
        <v>714</v>
      </c>
      <c r="Q223" s="96"/>
      <c r="R223" s="93"/>
      <c r="S223" s="96"/>
      <c r="T223" s="93"/>
      <c r="U223" s="96"/>
      <c r="V223" s="93"/>
    </row>
    <row r="224" spans="1:26" s="373" customFormat="1" ht="28.2" thickTop="1" x14ac:dyDescent="0.3">
      <c r="B224" s="309" t="s">
        <v>700</v>
      </c>
      <c r="C224" s="165" t="s">
        <v>701</v>
      </c>
      <c r="D224" s="165" t="s">
        <v>137</v>
      </c>
      <c r="E224" s="410" t="s">
        <v>300</v>
      </c>
      <c r="F224" s="167" t="s">
        <v>715</v>
      </c>
      <c r="G224" s="410" t="s">
        <v>300</v>
      </c>
      <c r="H224" s="167" t="s">
        <v>716</v>
      </c>
      <c r="I224" s="410" t="s">
        <v>300</v>
      </c>
      <c r="J224" s="167" t="s">
        <v>717</v>
      </c>
      <c r="K224" s="410" t="s">
        <v>300</v>
      </c>
      <c r="L224" s="165" t="s">
        <v>718</v>
      </c>
      <c r="M224" s="410" t="s">
        <v>300</v>
      </c>
      <c r="N224" s="204" t="s">
        <v>719</v>
      </c>
      <c r="Q224" s="363"/>
      <c r="R224" s="365"/>
      <c r="S224" s="363"/>
      <c r="T224" s="365"/>
      <c r="U224" s="363"/>
      <c r="V224" s="365"/>
    </row>
    <row r="225" spans="1:38" s="17" customFormat="1" x14ac:dyDescent="0.3">
      <c r="A225" s="397"/>
      <c r="B225" s="401"/>
      <c r="C225" s="74"/>
      <c r="E225" s="533"/>
      <c r="G225" s="570"/>
      <c r="I225" s="570"/>
      <c r="K225" s="570"/>
      <c r="M225" s="570"/>
      <c r="O225" s="570"/>
      <c r="Q225" s="570"/>
      <c r="S225" s="570"/>
      <c r="U225" s="570"/>
      <c r="W225" s="570"/>
    </row>
    <row r="226" spans="1:38" s="17" customFormat="1" x14ac:dyDescent="0.3">
      <c r="A226" s="397"/>
      <c r="B226" s="401"/>
      <c r="C226" s="74"/>
      <c r="E226" s="533"/>
      <c r="G226" s="570"/>
      <c r="I226" s="570"/>
      <c r="K226" s="570"/>
      <c r="M226" s="570"/>
      <c r="O226" s="570"/>
      <c r="Q226" s="570"/>
      <c r="S226" s="570"/>
      <c r="U226" s="570"/>
      <c r="W226" s="570"/>
    </row>
    <row r="227" spans="1:38" s="38" customFormat="1" ht="27.6" x14ac:dyDescent="0.3">
      <c r="A227" s="373"/>
      <c r="B227" s="131" t="s">
        <v>720</v>
      </c>
      <c r="C227" s="120" t="s">
        <v>721</v>
      </c>
      <c r="D227" s="120" t="s">
        <v>122</v>
      </c>
      <c r="E227" s="131"/>
      <c r="F227" s="148" t="s">
        <v>722</v>
      </c>
      <c r="G227" s="120"/>
      <c r="H227" s="120" t="s">
        <v>723</v>
      </c>
      <c r="I227" s="293"/>
      <c r="J227" s="120" t="s">
        <v>724</v>
      </c>
      <c r="K227" s="293"/>
      <c r="L227" s="120" t="s">
        <v>725</v>
      </c>
      <c r="M227" s="293"/>
      <c r="N227" s="148" t="s">
        <v>726</v>
      </c>
      <c r="O227" s="120"/>
      <c r="P227" s="120" t="s">
        <v>727</v>
      </c>
      <c r="Q227" s="131"/>
      <c r="R227" s="148" t="s">
        <v>728</v>
      </c>
      <c r="S227" s="120"/>
      <c r="T227" s="148" t="s">
        <v>729</v>
      </c>
      <c r="U227" s="120"/>
      <c r="V227" s="148" t="s">
        <v>730</v>
      </c>
      <c r="W227" s="363"/>
      <c r="X227" s="365"/>
      <c r="Y227" s="363"/>
      <c r="Z227" s="365"/>
    </row>
    <row r="228" spans="1:38" s="584" customFormat="1" ht="14.4" thickBot="1" x14ac:dyDescent="0.35">
      <c r="A228" s="89"/>
      <c r="B228" s="574"/>
      <c r="C228" s="176"/>
      <c r="D228" s="575"/>
      <c r="E228" s="178"/>
      <c r="F228" s="586" t="s">
        <v>731</v>
      </c>
      <c r="G228" s="176"/>
      <c r="H228" s="179" t="s">
        <v>732</v>
      </c>
      <c r="I228" s="178"/>
      <c r="J228" s="179" t="s">
        <v>733</v>
      </c>
      <c r="K228" s="178"/>
      <c r="L228" s="586" t="s">
        <v>734</v>
      </c>
      <c r="M228" s="178"/>
      <c r="N228" s="586" t="s">
        <v>735</v>
      </c>
      <c r="O228" s="176"/>
      <c r="P228" s="586" t="s">
        <v>736</v>
      </c>
      <c r="Q228" s="178"/>
      <c r="R228" s="586" t="s">
        <v>737</v>
      </c>
      <c r="S228" s="176"/>
      <c r="T228" s="351" t="s">
        <v>738</v>
      </c>
      <c r="U228" s="176"/>
      <c r="V228" s="179" t="s">
        <v>739</v>
      </c>
      <c r="W228" s="96"/>
      <c r="X228" s="93"/>
      <c r="Y228" s="96"/>
      <c r="Z228" s="93"/>
    </row>
    <row r="229" spans="1:38" s="359" customFormat="1" ht="12.75" customHeight="1" thickTop="1" x14ac:dyDescent="0.3">
      <c r="A229" s="373"/>
      <c r="B229" s="141" t="s">
        <v>740</v>
      </c>
      <c r="C229" s="366" t="s">
        <v>741</v>
      </c>
      <c r="D229" s="373" t="s">
        <v>137</v>
      </c>
      <c r="E229" s="411" t="s">
        <v>300</v>
      </c>
      <c r="F229" s="366" t="s">
        <v>742</v>
      </c>
      <c r="G229" s="411" t="s">
        <v>300</v>
      </c>
      <c r="H229" s="373" t="s">
        <v>743</v>
      </c>
      <c r="I229" s="683" t="s">
        <v>173</v>
      </c>
      <c r="J229" s="543">
        <f>ROUND(F213/500.19/40,2)</f>
        <v>18.14</v>
      </c>
      <c r="K229" s="411" t="s">
        <v>300</v>
      </c>
      <c r="L229" s="562" t="str">
        <f>ROUND(19*J229/1000,2)&amp;" (19.0 W/gpm)"</f>
        <v>0.34 (19.0 W/gpm)</v>
      </c>
      <c r="M229" s="411" t="s">
        <v>300</v>
      </c>
      <c r="N229" s="299">
        <v>0.5</v>
      </c>
      <c r="O229" s="685" t="s">
        <v>173</v>
      </c>
      <c r="P229" s="598">
        <f>ROUND(19/745.6*3960*R229*0.7,1)</f>
        <v>60.4</v>
      </c>
      <c r="Q229" s="411" t="s">
        <v>300</v>
      </c>
      <c r="R229" s="362">
        <v>0.85499999999999998</v>
      </c>
      <c r="S229" s="411"/>
      <c r="T229" s="362"/>
      <c r="U229" s="324" t="s">
        <v>173</v>
      </c>
      <c r="V229" s="262" t="s">
        <v>173</v>
      </c>
      <c r="W229" s="363"/>
      <c r="X229" s="365"/>
      <c r="Y229" s="363"/>
      <c r="Z229" s="365"/>
    </row>
    <row r="230" spans="1:38" s="359" customFormat="1" ht="12.75" customHeight="1" x14ac:dyDescent="0.3">
      <c r="A230" s="373"/>
      <c r="B230" s="141" t="s">
        <v>744</v>
      </c>
      <c r="C230" s="366" t="s">
        <v>745</v>
      </c>
      <c r="D230" s="373" t="s">
        <v>137</v>
      </c>
      <c r="E230" s="411" t="s">
        <v>300</v>
      </c>
      <c r="F230" s="366" t="s">
        <v>742</v>
      </c>
      <c r="G230" s="411" t="s">
        <v>300</v>
      </c>
      <c r="H230" s="373" t="s">
        <v>743</v>
      </c>
      <c r="I230" s="671" t="s">
        <v>173</v>
      </c>
      <c r="J230" s="549">
        <f>ROUND(F213/500.19/40,2)</f>
        <v>18.14</v>
      </c>
      <c r="K230" s="411" t="s">
        <v>300</v>
      </c>
      <c r="L230" s="562" t="str">
        <f>ROUND(19*J230/1000,2)&amp;" (19.0 W/gpm)"</f>
        <v>0.34 (19.0 W/gpm)</v>
      </c>
      <c r="M230" s="411" t="s">
        <v>300</v>
      </c>
      <c r="N230" s="299">
        <v>0.5</v>
      </c>
      <c r="O230" s="686" t="s">
        <v>173</v>
      </c>
      <c r="P230" s="598">
        <f>ROUND(19/745.6*3960*R230*0.7,1)</f>
        <v>60.4</v>
      </c>
      <c r="Q230" s="411" t="s">
        <v>300</v>
      </c>
      <c r="R230" s="362">
        <v>0.85499999999999998</v>
      </c>
      <c r="S230" s="411"/>
      <c r="T230" s="362"/>
      <c r="U230" s="324" t="s">
        <v>173</v>
      </c>
      <c r="V230" s="262" t="s">
        <v>173</v>
      </c>
      <c r="W230" s="363"/>
      <c r="X230" s="365"/>
      <c r="Y230" s="363"/>
      <c r="Z230" s="365"/>
    </row>
    <row r="231" spans="1:38" s="365" customFormat="1" ht="12.75" customHeight="1" x14ac:dyDescent="0.3">
      <c r="A231" s="373"/>
      <c r="B231" s="128" t="s">
        <v>746</v>
      </c>
      <c r="C231" s="373" t="s">
        <v>747</v>
      </c>
      <c r="D231" s="373" t="s">
        <v>137</v>
      </c>
      <c r="E231" s="409" t="s">
        <v>300</v>
      </c>
      <c r="F231" s="365" t="s">
        <v>742</v>
      </c>
      <c r="G231" s="409" t="s">
        <v>300</v>
      </c>
      <c r="H231" s="363" t="s">
        <v>743</v>
      </c>
      <c r="I231" s="671" t="s">
        <v>173</v>
      </c>
      <c r="J231" s="428">
        <f>ROUND(J237/500.19/10,2)</f>
        <v>85</v>
      </c>
      <c r="K231" s="409" t="s">
        <v>300</v>
      </c>
      <c r="L231" s="544" t="str">
        <f>ROUNDUP(J231*P231/3960/(0.7*R231)*745.6/1000,2)&amp;" ("&amp;ROUND(VALUE(P231/3960/(0.7*R231)*745.6),1)&amp;" W/gpm)"</f>
        <v>1.19 (14 W/gpm)</v>
      </c>
      <c r="M231" s="409" t="s">
        <v>300</v>
      </c>
      <c r="N231" s="298">
        <v>1.5</v>
      </c>
      <c r="O231" s="409" t="s">
        <v>300</v>
      </c>
      <c r="P231" s="298">
        <v>45</v>
      </c>
      <c r="Q231" s="409" t="s">
        <v>300</v>
      </c>
      <c r="R231" s="361">
        <v>0.86499999999999999</v>
      </c>
      <c r="S231" s="324" t="s">
        <v>173</v>
      </c>
      <c r="T231" s="262" t="s">
        <v>173</v>
      </c>
      <c r="U231" s="324" t="s">
        <v>173</v>
      </c>
      <c r="V231" s="262" t="s">
        <v>173</v>
      </c>
      <c r="W231" s="363"/>
      <c r="Y231" s="363"/>
    </row>
    <row r="232" spans="1:38" s="365" customFormat="1" ht="27.6" x14ac:dyDescent="0.3">
      <c r="A232" s="373"/>
      <c r="B232" s="278" t="s">
        <v>748</v>
      </c>
      <c r="C232" s="165" t="s">
        <v>700</v>
      </c>
      <c r="D232" s="165" t="s">
        <v>137</v>
      </c>
      <c r="E232" s="410" t="s">
        <v>300</v>
      </c>
      <c r="F232" s="232" t="s">
        <v>742</v>
      </c>
      <c r="G232" s="410" t="s">
        <v>300</v>
      </c>
      <c r="H232" s="232" t="s">
        <v>749</v>
      </c>
      <c r="I232" s="684" t="s">
        <v>173</v>
      </c>
      <c r="J232" s="550">
        <f>ROUND(L219/500.19/20,2)</f>
        <v>34.79</v>
      </c>
      <c r="K232" s="410" t="s">
        <v>300</v>
      </c>
      <c r="L232" s="546" t="str">
        <f>ROUND(J232*P232/3960/(0.7*R232)*745.6/1000,2)&amp;" ("&amp;ROUND((P232/3960/(0.7*R232)*745.6),1)&amp;" W/gpm)"</f>
        <v>0.45 (12.9 W/gpm)</v>
      </c>
      <c r="M232" s="410" t="s">
        <v>300</v>
      </c>
      <c r="N232" s="710">
        <v>0.75</v>
      </c>
      <c r="O232" s="410" t="s">
        <v>300</v>
      </c>
      <c r="P232" s="434">
        <f>40+((0.03*L219)/12000)</f>
        <v>40.869999999999997</v>
      </c>
      <c r="Q232" s="410" t="s">
        <v>300</v>
      </c>
      <c r="R232" s="396">
        <v>0.85499999999999998</v>
      </c>
      <c r="S232" s="325" t="s">
        <v>173</v>
      </c>
      <c r="T232" s="265" t="s">
        <v>173</v>
      </c>
      <c r="U232" s="410" t="s">
        <v>300</v>
      </c>
      <c r="V232" s="198" t="s">
        <v>750</v>
      </c>
      <c r="W232" s="363"/>
      <c r="Y232" s="363"/>
    </row>
    <row r="233" spans="1:38" s="17" customFormat="1" x14ac:dyDescent="0.3">
      <c r="A233" s="397"/>
      <c r="B233" s="401"/>
      <c r="C233" s="74"/>
      <c r="E233" s="533"/>
      <c r="G233" s="570"/>
      <c r="I233" s="570"/>
      <c r="J233" s="587"/>
      <c r="K233" s="570"/>
      <c r="L233" s="587"/>
      <c r="M233" s="570"/>
      <c r="O233" s="570"/>
      <c r="Q233" s="570"/>
      <c r="S233" s="570"/>
      <c r="U233" s="570"/>
      <c r="W233" s="570"/>
    </row>
    <row r="234" spans="1:38" s="17" customFormat="1" x14ac:dyDescent="0.3">
      <c r="A234" s="397"/>
      <c r="B234" s="401"/>
      <c r="C234" s="74"/>
      <c r="E234" s="533"/>
      <c r="G234" s="570"/>
      <c r="I234" s="570"/>
      <c r="J234" s="587"/>
      <c r="K234" s="570"/>
      <c r="M234" s="570"/>
      <c r="O234" s="570"/>
      <c r="Q234" s="570"/>
      <c r="S234" s="570"/>
      <c r="U234" s="570"/>
      <c r="W234" s="570"/>
    </row>
    <row r="235" spans="1:38" s="38" customFormat="1" ht="27.6" x14ac:dyDescent="0.3">
      <c r="A235" s="373"/>
      <c r="B235" s="131" t="s">
        <v>751</v>
      </c>
      <c r="C235" s="120" t="s">
        <v>685</v>
      </c>
      <c r="D235" s="120" t="s">
        <v>122</v>
      </c>
      <c r="E235" s="131"/>
      <c r="F235" s="148" t="s">
        <v>752</v>
      </c>
      <c r="G235" s="120"/>
      <c r="H235" s="120" t="s">
        <v>753</v>
      </c>
      <c r="I235" s="131"/>
      <c r="J235" s="148" t="s">
        <v>754</v>
      </c>
      <c r="K235" s="293"/>
      <c r="L235" s="120" t="s">
        <v>755</v>
      </c>
      <c r="M235" s="293"/>
      <c r="N235" s="148" t="s">
        <v>756</v>
      </c>
      <c r="O235" s="120"/>
      <c r="P235" s="148" t="s">
        <v>757</v>
      </c>
      <c r="Q235" s="363"/>
      <c r="R235" s="365"/>
      <c r="S235" s="363"/>
      <c r="T235" s="365"/>
      <c r="U235" s="363"/>
      <c r="V235" s="365"/>
      <c r="W235" s="363"/>
      <c r="X235" s="365"/>
      <c r="Y235" s="363"/>
      <c r="Z235" s="365"/>
    </row>
    <row r="236" spans="1:38" s="584" customFormat="1" ht="14.4" thickBot="1" x14ac:dyDescent="0.35">
      <c r="A236" s="89"/>
      <c r="B236" s="574"/>
      <c r="C236" s="176"/>
      <c r="D236" s="575"/>
      <c r="E236" s="178"/>
      <c r="F236" s="586" t="s">
        <v>758</v>
      </c>
      <c r="G236" s="176"/>
      <c r="H236" s="588" t="s">
        <v>759</v>
      </c>
      <c r="I236" s="178"/>
      <c r="J236" s="586" t="s">
        <v>760</v>
      </c>
      <c r="K236" s="178"/>
      <c r="L236" s="586" t="s">
        <v>761</v>
      </c>
      <c r="M236" s="178"/>
      <c r="N236" s="586" t="s">
        <v>762</v>
      </c>
      <c r="O236" s="176"/>
      <c r="P236" s="179" t="s">
        <v>739</v>
      </c>
      <c r="Q236" s="96"/>
      <c r="R236" s="93"/>
      <c r="S236" s="96"/>
      <c r="T236" s="93"/>
      <c r="U236" s="96"/>
      <c r="V236" s="93"/>
      <c r="W236" s="96"/>
      <c r="X236" s="93"/>
      <c r="Y236" s="96"/>
      <c r="Z236" s="93"/>
      <c r="AA236" s="87"/>
      <c r="AB236" s="87"/>
    </row>
    <row r="237" spans="1:38" s="365" customFormat="1" ht="28.2" thickTop="1" x14ac:dyDescent="0.3">
      <c r="A237" s="373"/>
      <c r="B237" s="278" t="s">
        <v>747</v>
      </c>
      <c r="C237" s="165" t="s">
        <v>763</v>
      </c>
      <c r="D237" s="165" t="s">
        <v>137</v>
      </c>
      <c r="E237" s="410" t="s">
        <v>300</v>
      </c>
      <c r="F237" s="232" t="s">
        <v>764</v>
      </c>
      <c r="G237" s="410" t="s">
        <v>300</v>
      </c>
      <c r="H237" s="433" t="s">
        <v>451</v>
      </c>
      <c r="I237" s="684" t="s">
        <v>173</v>
      </c>
      <c r="J237" s="687">
        <v>425184</v>
      </c>
      <c r="K237" s="410"/>
      <c r="L237" s="865">
        <f>ROUND(J237/498/10,2)</f>
        <v>85.38</v>
      </c>
      <c r="M237" s="410" t="s">
        <v>300</v>
      </c>
      <c r="N237" s="396" t="str">
        <f>ROUND(L237/60,2)&amp;" (60 gpm/HP)"</f>
        <v>1.42 (60 gpm/HP)</v>
      </c>
      <c r="O237" s="410" t="s">
        <v>300</v>
      </c>
      <c r="P237" s="198" t="s">
        <v>765</v>
      </c>
      <c r="Q237" s="363"/>
      <c r="S237" s="363"/>
      <c r="U237" s="363"/>
      <c r="W237" s="363"/>
      <c r="Y237" s="363"/>
    </row>
    <row r="238" spans="1:38" s="69" customFormat="1" x14ac:dyDescent="0.3">
      <c r="A238" s="364"/>
      <c r="B238" s="30"/>
      <c r="C238" s="30"/>
      <c r="D238" s="30"/>
      <c r="E238" s="83"/>
      <c r="F238" s="92"/>
      <c r="G238" s="83"/>
      <c r="H238" s="92"/>
      <c r="I238" s="364"/>
      <c r="J238" s="92"/>
      <c r="K238" s="364"/>
      <c r="L238" s="92"/>
      <c r="M238" s="364"/>
      <c r="N238" s="92"/>
      <c r="O238" s="364"/>
      <c r="P238" s="92"/>
      <c r="Q238" s="364"/>
      <c r="R238" s="92"/>
    </row>
    <row r="239" spans="1:38" x14ac:dyDescent="0.3">
      <c r="A239" s="364"/>
      <c r="B239" s="92"/>
      <c r="C239" s="90"/>
      <c r="D239" s="90"/>
      <c r="E239" s="364"/>
      <c r="F239" s="366"/>
      <c r="G239" s="364"/>
      <c r="H239" s="92"/>
      <c r="I239" s="364"/>
      <c r="J239" s="92"/>
      <c r="K239" s="364"/>
      <c r="L239" s="92"/>
      <c r="M239" s="364"/>
      <c r="N239" s="92"/>
      <c r="O239" s="364"/>
      <c r="P239" s="92"/>
      <c r="Q239" s="364"/>
      <c r="R239" s="92"/>
      <c r="S239" s="69"/>
      <c r="T239" s="69"/>
      <c r="U239" s="69"/>
      <c r="V239" s="69"/>
      <c r="W239" s="69"/>
      <c r="X239" s="69"/>
      <c r="Y239" s="69"/>
      <c r="Z239" s="69"/>
      <c r="AA239" s="69"/>
      <c r="AB239" s="69"/>
      <c r="AC239" s="69"/>
      <c r="AD239" s="69"/>
      <c r="AE239" s="69"/>
      <c r="AF239" s="69"/>
      <c r="AG239" s="69"/>
      <c r="AH239" s="69"/>
      <c r="AI239" s="69"/>
      <c r="AJ239" s="69"/>
      <c r="AK239" s="69"/>
      <c r="AL239" s="69"/>
    </row>
    <row r="240" spans="1:38" s="13" customFormat="1" x14ac:dyDescent="0.3">
      <c r="A240" s="285"/>
      <c r="B240" s="308" t="s">
        <v>243</v>
      </c>
      <c r="C240" s="287"/>
      <c r="D240" s="287"/>
      <c r="E240" s="285"/>
      <c r="F240" s="287"/>
      <c r="G240" s="285"/>
      <c r="H240" s="288"/>
      <c r="I240" s="285"/>
      <c r="J240" s="287"/>
      <c r="K240" s="285"/>
      <c r="L240" s="287"/>
      <c r="M240" s="285"/>
      <c r="N240" s="287"/>
      <c r="O240" s="287"/>
      <c r="P240" s="287"/>
      <c r="Q240" s="287"/>
      <c r="R240" s="287"/>
      <c r="S240" s="287"/>
      <c r="T240" s="287"/>
      <c r="U240" s="287"/>
      <c r="V240" s="287"/>
      <c r="W240" s="287"/>
      <c r="X240" s="287"/>
      <c r="Y240" s="287"/>
      <c r="Z240" s="287"/>
      <c r="AA240" s="287"/>
      <c r="AB240" s="287"/>
      <c r="AC240" s="287"/>
      <c r="AD240" s="287"/>
      <c r="AE240" s="287"/>
      <c r="AF240" s="287"/>
      <c r="AG240" s="287"/>
      <c r="AH240" s="287"/>
      <c r="AI240" s="287"/>
      <c r="AJ240" s="287"/>
      <c r="AK240" s="287"/>
      <c r="AL240" s="287"/>
    </row>
    <row r="241" spans="1:19" s="13" customFormat="1" x14ac:dyDescent="0.3">
      <c r="A241" s="78"/>
      <c r="B241" s="46" t="s">
        <v>145</v>
      </c>
      <c r="C241" s="96"/>
      <c r="D241" s="96"/>
      <c r="E241" s="91"/>
      <c r="F241" s="84"/>
      <c r="G241" s="91"/>
      <c r="H241" s="84"/>
      <c r="I241" s="91"/>
      <c r="J241" s="38"/>
      <c r="K241" s="91"/>
      <c r="L241" s="38"/>
      <c r="M241" s="91"/>
      <c r="N241" s="38"/>
      <c r="O241" s="91"/>
      <c r="P241" s="38"/>
      <c r="Q241" s="91"/>
      <c r="R241" s="38"/>
      <c r="S241" s="69"/>
    </row>
    <row r="242" spans="1:19" s="13" customFormat="1" x14ac:dyDescent="0.3">
      <c r="A242" s="93"/>
      <c r="B242" s="84" t="s">
        <v>146</v>
      </c>
      <c r="C242" s="96"/>
      <c r="D242" s="96"/>
      <c r="E242" s="91"/>
      <c r="F242" s="84"/>
      <c r="G242" s="91"/>
      <c r="H242" s="84"/>
      <c r="I242" s="364"/>
      <c r="J242" s="38"/>
      <c r="K242" s="364"/>
      <c r="L242" s="38"/>
      <c r="M242" s="364"/>
      <c r="N242" s="38"/>
      <c r="O242" s="364"/>
      <c r="P242" s="38"/>
      <c r="Q242" s="364"/>
      <c r="R242" s="38"/>
      <c r="S242" s="69"/>
    </row>
    <row r="243" spans="1:19" s="41" customFormat="1" ht="55.2" x14ac:dyDescent="0.3">
      <c r="A243" s="91"/>
      <c r="B243" s="138" t="s">
        <v>148</v>
      </c>
      <c r="C243" s="120" t="s">
        <v>149</v>
      </c>
      <c r="D243" s="120"/>
      <c r="E243" s="138"/>
      <c r="F243" s="148" t="s">
        <v>128</v>
      </c>
      <c r="G243" s="119"/>
      <c r="H243" s="120" t="s">
        <v>150</v>
      </c>
      <c r="I243" s="138"/>
      <c r="J243" s="148" t="s">
        <v>151</v>
      </c>
      <c r="K243" s="122"/>
      <c r="L243" s="120" t="s">
        <v>152</v>
      </c>
      <c r="M243" s="144"/>
      <c r="N243" s="148" t="s">
        <v>153</v>
      </c>
      <c r="O243" s="122"/>
      <c r="P243" s="123" t="s">
        <v>154</v>
      </c>
      <c r="Q243" s="144"/>
      <c r="R243" s="116" t="s">
        <v>155</v>
      </c>
    </row>
    <row r="244" spans="1:19" s="82" customFormat="1" ht="28.2" thickBot="1" x14ac:dyDescent="0.35">
      <c r="A244" s="83"/>
      <c r="B244" s="132"/>
      <c r="C244" s="124" t="s">
        <v>159</v>
      </c>
      <c r="D244" s="124"/>
      <c r="E244" s="139"/>
      <c r="F244" s="149" t="s">
        <v>160</v>
      </c>
      <c r="G244" s="126"/>
      <c r="H244" s="124" t="s">
        <v>161</v>
      </c>
      <c r="I244" s="145"/>
      <c r="J244" s="149" t="s">
        <v>162</v>
      </c>
      <c r="K244" s="125"/>
      <c r="L244" s="124" t="s">
        <v>163</v>
      </c>
      <c r="M244" s="145"/>
      <c r="N244" s="149" t="s">
        <v>164</v>
      </c>
      <c r="O244" s="125"/>
      <c r="P244" s="124" t="s">
        <v>165</v>
      </c>
      <c r="Q244" s="132"/>
      <c r="R244" s="149" t="s">
        <v>166</v>
      </c>
      <c r="S244" s="83"/>
    </row>
    <row r="245" spans="1:19" ht="28.2" thickTop="1" x14ac:dyDescent="0.3">
      <c r="A245" s="364"/>
      <c r="B245" s="130" t="s">
        <v>766</v>
      </c>
      <c r="C245" s="92" t="s">
        <v>767</v>
      </c>
      <c r="E245" s="140" t="s">
        <v>300</v>
      </c>
      <c r="F245" s="362" t="s">
        <v>319</v>
      </c>
      <c r="G245" s="147" t="s">
        <v>300</v>
      </c>
      <c r="H245" s="92" t="s">
        <v>144</v>
      </c>
      <c r="I245" s="223" t="s">
        <v>300</v>
      </c>
      <c r="J245" s="150">
        <v>3.4000000000000002E-2</v>
      </c>
      <c r="K245" s="147" t="s">
        <v>300</v>
      </c>
      <c r="L245" s="32">
        <v>0.85</v>
      </c>
      <c r="M245" s="140" t="s">
        <v>300</v>
      </c>
      <c r="N245" s="153">
        <v>0.85</v>
      </c>
      <c r="O245" s="147" t="s">
        <v>300</v>
      </c>
      <c r="P245" s="32">
        <v>0.63</v>
      </c>
      <c r="Q245" s="140" t="s">
        <v>300</v>
      </c>
      <c r="R245" s="153">
        <v>0.37</v>
      </c>
      <c r="S245" s="69"/>
    </row>
    <row r="246" spans="1:19" ht="27.6" x14ac:dyDescent="0.3">
      <c r="A246" s="364"/>
      <c r="B246" s="130" t="s">
        <v>768</v>
      </c>
      <c r="C246" s="92" t="s">
        <v>769</v>
      </c>
      <c r="E246" s="142" t="s">
        <v>300</v>
      </c>
      <c r="F246" s="362" t="s">
        <v>319</v>
      </c>
      <c r="G246" s="181" t="s">
        <v>300</v>
      </c>
      <c r="H246" s="92" t="s">
        <v>144</v>
      </c>
      <c r="I246" s="224" t="s">
        <v>300</v>
      </c>
      <c r="J246" s="150">
        <v>2.8000000000000001E-2</v>
      </c>
      <c r="K246" s="181" t="s">
        <v>300</v>
      </c>
      <c r="L246" s="32">
        <v>0.85</v>
      </c>
      <c r="M246" s="142" t="s">
        <v>300</v>
      </c>
      <c r="N246" s="153">
        <v>0.85</v>
      </c>
      <c r="O246" s="181" t="s">
        <v>300</v>
      </c>
      <c r="P246" s="32">
        <v>0.55000000000000004</v>
      </c>
      <c r="Q246" s="142" t="s">
        <v>300</v>
      </c>
      <c r="R246" s="153">
        <v>0.45</v>
      </c>
      <c r="S246" s="69"/>
    </row>
    <row r="247" spans="1:19" x14ac:dyDescent="0.3">
      <c r="A247" s="364"/>
      <c r="B247" s="130" t="s">
        <v>770</v>
      </c>
      <c r="C247" s="92" t="s">
        <v>306</v>
      </c>
      <c r="E247" s="403" t="s">
        <v>173</v>
      </c>
      <c r="F247" s="447" t="s">
        <v>173</v>
      </c>
      <c r="G247" s="181" t="s">
        <v>300</v>
      </c>
      <c r="H247" s="92" t="s">
        <v>248</v>
      </c>
      <c r="I247" s="223" t="s">
        <v>300</v>
      </c>
      <c r="J247" s="152">
        <v>6.2E-2</v>
      </c>
      <c r="K247" s="415" t="s">
        <v>173</v>
      </c>
      <c r="L247" s="449" t="s">
        <v>173</v>
      </c>
      <c r="M247" s="403" t="s">
        <v>173</v>
      </c>
      <c r="N247" s="447" t="s">
        <v>173</v>
      </c>
      <c r="O247" s="415" t="s">
        <v>173</v>
      </c>
      <c r="P247" s="449" t="s">
        <v>173</v>
      </c>
      <c r="Q247" s="403" t="s">
        <v>173</v>
      </c>
      <c r="R247" s="447" t="s">
        <v>173</v>
      </c>
      <c r="S247" s="69"/>
    </row>
    <row r="248" spans="1:19" x14ac:dyDescent="0.3">
      <c r="A248" s="364"/>
      <c r="B248" s="130" t="s">
        <v>771</v>
      </c>
      <c r="C248" s="92" t="s">
        <v>772</v>
      </c>
      <c r="E248" s="403" t="s">
        <v>173</v>
      </c>
      <c r="F248" s="447" t="s">
        <v>173</v>
      </c>
      <c r="G248" s="181" t="s">
        <v>300</v>
      </c>
      <c r="H248" s="92" t="s">
        <v>248</v>
      </c>
      <c r="I248" s="224" t="s">
        <v>300</v>
      </c>
      <c r="J248" s="152">
        <v>4.8000000000000001E-2</v>
      </c>
      <c r="K248" s="415" t="s">
        <v>173</v>
      </c>
      <c r="L248" s="449" t="s">
        <v>173</v>
      </c>
      <c r="M248" s="403" t="s">
        <v>173</v>
      </c>
      <c r="N248" s="447" t="s">
        <v>173</v>
      </c>
      <c r="O248" s="415" t="s">
        <v>173</v>
      </c>
      <c r="P248" s="449" t="s">
        <v>173</v>
      </c>
      <c r="Q248" s="403" t="s">
        <v>173</v>
      </c>
      <c r="R248" s="447" t="s">
        <v>173</v>
      </c>
      <c r="S248" s="69"/>
    </row>
    <row r="249" spans="1:19" ht="27.6" x14ac:dyDescent="0.3">
      <c r="A249" s="364"/>
      <c r="B249" s="278" t="s">
        <v>773</v>
      </c>
      <c r="C249" s="156" t="s">
        <v>307</v>
      </c>
      <c r="D249" s="156"/>
      <c r="E249" s="405" t="s">
        <v>173</v>
      </c>
      <c r="F249" s="448" t="s">
        <v>173</v>
      </c>
      <c r="G249" s="174" t="s">
        <v>300</v>
      </c>
      <c r="H249" s="156" t="s">
        <v>179</v>
      </c>
      <c r="I249" s="271" t="s">
        <v>300</v>
      </c>
      <c r="J249" s="162">
        <v>3.9E-2</v>
      </c>
      <c r="K249" s="419" t="s">
        <v>173</v>
      </c>
      <c r="L249" s="450" t="s">
        <v>173</v>
      </c>
      <c r="M249" s="405" t="s">
        <v>173</v>
      </c>
      <c r="N249" s="448" t="s">
        <v>173</v>
      </c>
      <c r="O249" s="419" t="s">
        <v>173</v>
      </c>
      <c r="P249" s="450" t="s">
        <v>173</v>
      </c>
      <c r="Q249" s="405" t="s">
        <v>173</v>
      </c>
      <c r="R249" s="448" t="s">
        <v>173</v>
      </c>
      <c r="S249" s="69"/>
    </row>
    <row r="250" spans="1:19" x14ac:dyDescent="0.3">
      <c r="A250" s="364"/>
      <c r="B250" s="366"/>
      <c r="C250" s="366"/>
      <c r="D250" s="366"/>
      <c r="E250" s="373"/>
      <c r="F250" s="92"/>
      <c r="G250" s="364"/>
      <c r="H250" s="92"/>
      <c r="I250" s="5"/>
      <c r="J250" s="92"/>
      <c r="K250" s="5"/>
      <c r="L250" s="92"/>
      <c r="M250" s="5"/>
      <c r="N250" s="92"/>
      <c r="O250" s="5"/>
      <c r="P250" s="92"/>
      <c r="Q250" s="5"/>
      <c r="R250" s="92"/>
      <c r="S250" s="69"/>
    </row>
    <row r="251" spans="1:19" x14ac:dyDescent="0.3">
      <c r="A251" s="364"/>
      <c r="B251" s="84" t="s">
        <v>184</v>
      </c>
      <c r="C251" s="366"/>
      <c r="D251" s="366"/>
      <c r="E251" s="373"/>
      <c r="F251" s="92"/>
      <c r="G251" s="364"/>
      <c r="H251" s="92"/>
      <c r="I251" s="5"/>
      <c r="J251" s="92"/>
      <c r="K251" s="5"/>
      <c r="L251" s="92"/>
      <c r="M251" s="5"/>
      <c r="N251" s="92"/>
      <c r="O251" s="5"/>
      <c r="P251" s="92"/>
      <c r="Q251" s="5"/>
      <c r="R251" s="92"/>
      <c r="S251" s="69"/>
    </row>
    <row r="252" spans="1:19" s="41" customFormat="1" ht="27.6" x14ac:dyDescent="0.3">
      <c r="A252" s="91"/>
      <c r="B252" s="138" t="s">
        <v>148</v>
      </c>
      <c r="C252" s="120" t="s">
        <v>149</v>
      </c>
      <c r="D252" s="120"/>
      <c r="E252" s="138"/>
      <c r="F252" s="148" t="s">
        <v>150</v>
      </c>
      <c r="G252" s="138"/>
      <c r="H252" s="148" t="s">
        <v>151</v>
      </c>
      <c r="I252" s="138"/>
      <c r="J252" s="148" t="s">
        <v>185</v>
      </c>
      <c r="K252" s="119"/>
      <c r="L252" s="148" t="s">
        <v>186</v>
      </c>
      <c r="M252" s="91"/>
      <c r="N252" s="38"/>
      <c r="O252" s="91"/>
      <c r="P252" s="38"/>
      <c r="Q252" s="91"/>
      <c r="R252" s="38"/>
    </row>
    <row r="253" spans="1:19" s="82" customFormat="1" ht="14.4" thickBot="1" x14ac:dyDescent="0.35">
      <c r="A253" s="83"/>
      <c r="B253" s="132"/>
      <c r="C253" s="124" t="s">
        <v>188</v>
      </c>
      <c r="D253" s="124"/>
      <c r="E253" s="139"/>
      <c r="F253" s="149" t="s">
        <v>189</v>
      </c>
      <c r="G253" s="139"/>
      <c r="H253" s="149" t="s">
        <v>190</v>
      </c>
      <c r="I253" s="145"/>
      <c r="J253" s="149" t="s">
        <v>191</v>
      </c>
      <c r="K253" s="125"/>
      <c r="L253" s="149" t="s">
        <v>192</v>
      </c>
      <c r="M253" s="83"/>
      <c r="N253" s="30"/>
      <c r="O253" s="83"/>
      <c r="P253" s="30"/>
      <c r="Q253" s="30"/>
      <c r="R253" s="30"/>
      <c r="S253" s="83"/>
    </row>
    <row r="254" spans="1:19" s="82" customFormat="1" ht="28.2" thickTop="1" x14ac:dyDescent="0.3">
      <c r="A254" s="83"/>
      <c r="B254" s="483"/>
      <c r="C254" s="167" t="s">
        <v>774</v>
      </c>
      <c r="D254" s="167"/>
      <c r="E254" s="160" t="s">
        <v>300</v>
      </c>
      <c r="F254" s="172" t="s">
        <v>199</v>
      </c>
      <c r="G254" s="160" t="s">
        <v>300</v>
      </c>
      <c r="H254" s="162">
        <v>0.36</v>
      </c>
      <c r="I254" s="160" t="s">
        <v>300</v>
      </c>
      <c r="J254" s="169">
        <v>0.25</v>
      </c>
      <c r="K254" s="174" t="s">
        <v>300</v>
      </c>
      <c r="L254" s="169">
        <v>0.42</v>
      </c>
      <c r="M254" s="83"/>
      <c r="N254" s="30"/>
      <c r="O254" s="83"/>
      <c r="P254" s="30"/>
      <c r="Q254" s="30"/>
      <c r="R254" s="30"/>
      <c r="S254" s="83"/>
    </row>
    <row r="255" spans="1:19" s="69" customFormat="1" ht="27.6" x14ac:dyDescent="0.3">
      <c r="A255" s="364"/>
      <c r="B255" s="155"/>
      <c r="C255" s="167" t="s">
        <v>774</v>
      </c>
      <c r="D255" s="167"/>
      <c r="E255" s="160" t="s">
        <v>300</v>
      </c>
      <c r="F255" s="172" t="s">
        <v>324</v>
      </c>
      <c r="G255" s="160" t="s">
        <v>300</v>
      </c>
      <c r="H255" s="162">
        <v>0.46</v>
      </c>
      <c r="I255" s="160" t="s">
        <v>300</v>
      </c>
      <c r="J255" s="169">
        <v>0.22</v>
      </c>
      <c r="K255" s="174" t="s">
        <v>300</v>
      </c>
      <c r="L255" s="169">
        <v>0.32</v>
      </c>
      <c r="M255" s="364"/>
      <c r="N255" s="474"/>
      <c r="O255" s="364"/>
      <c r="P255" s="92"/>
      <c r="Q255" s="364"/>
      <c r="R255" s="92"/>
    </row>
    <row r="256" spans="1:19" x14ac:dyDescent="0.3">
      <c r="A256" s="364"/>
      <c r="B256" s="84"/>
      <c r="C256" s="92"/>
      <c r="F256" s="366"/>
      <c r="I256" s="364"/>
      <c r="J256" s="92"/>
      <c r="K256" s="364"/>
      <c r="L256" s="92"/>
      <c r="M256" s="364"/>
      <c r="N256" s="92"/>
      <c r="O256" s="364"/>
      <c r="P256" s="92"/>
      <c r="Q256" s="364"/>
      <c r="R256" s="92"/>
      <c r="S256" s="69"/>
    </row>
    <row r="257" spans="1:24" x14ac:dyDescent="0.3">
      <c r="A257" s="364"/>
      <c r="B257" s="84"/>
      <c r="C257" s="92"/>
      <c r="F257" s="366"/>
      <c r="I257" s="364"/>
      <c r="J257" s="92"/>
      <c r="K257" s="364"/>
      <c r="L257" s="92"/>
      <c r="M257" s="364"/>
      <c r="N257" s="92"/>
      <c r="O257" s="364"/>
      <c r="P257" s="92"/>
      <c r="Q257" s="364"/>
      <c r="R257" s="92"/>
      <c r="S257" s="69"/>
      <c r="T257" s="69"/>
      <c r="U257" s="69"/>
      <c r="V257" s="69"/>
      <c r="W257" s="69"/>
      <c r="X257" s="69"/>
    </row>
    <row r="258" spans="1:24" x14ac:dyDescent="0.3">
      <c r="A258" s="78"/>
      <c r="B258" s="46" t="s">
        <v>204</v>
      </c>
      <c r="C258" s="39"/>
      <c r="D258" s="39"/>
      <c r="E258" s="41"/>
      <c r="F258" s="39"/>
      <c r="G258" s="41"/>
      <c r="H258" s="39"/>
      <c r="I258" s="41"/>
      <c r="J258" s="39"/>
      <c r="K258" s="41"/>
      <c r="L258" s="39"/>
      <c r="M258" s="41"/>
      <c r="N258" s="39"/>
      <c r="O258" s="69"/>
      <c r="P258" s="39"/>
      <c r="Q258" s="364"/>
      <c r="R258" s="39"/>
      <c r="S258" s="69"/>
      <c r="T258" s="69"/>
      <c r="U258" s="69"/>
      <c r="V258" s="69"/>
      <c r="W258" s="69"/>
      <c r="X258" s="69"/>
    </row>
    <row r="259" spans="1:24" x14ac:dyDescent="0.3">
      <c r="A259" s="364"/>
      <c r="B259" s="84" t="s">
        <v>146</v>
      </c>
      <c r="C259" s="30"/>
      <c r="D259" s="30"/>
      <c r="F259" s="92"/>
      <c r="H259" s="92"/>
      <c r="I259" s="364"/>
      <c r="J259" s="92"/>
      <c r="K259" s="364"/>
      <c r="L259" s="92"/>
      <c r="M259" s="364"/>
      <c r="N259" s="92"/>
      <c r="O259" s="364"/>
      <c r="P259" s="92"/>
      <c r="Q259" s="364"/>
      <c r="R259" s="92"/>
      <c r="S259" s="69"/>
      <c r="T259" s="69"/>
      <c r="U259" s="69"/>
      <c r="V259" s="69"/>
      <c r="W259" s="69"/>
      <c r="X259" s="69"/>
    </row>
    <row r="260" spans="1:24" s="14" customFormat="1" x14ac:dyDescent="0.3">
      <c r="A260" s="90"/>
      <c r="B260" s="304" t="s">
        <v>148</v>
      </c>
      <c r="C260" s="123" t="s">
        <v>149</v>
      </c>
      <c r="D260" s="123"/>
      <c r="E260" s="305"/>
      <c r="F260" s="280" t="s">
        <v>214</v>
      </c>
      <c r="G260" s="305"/>
      <c r="H260" s="269" t="s">
        <v>215</v>
      </c>
      <c r="I260" s="219"/>
      <c r="J260" s="280" t="s">
        <v>216</v>
      </c>
      <c r="K260" s="216"/>
      <c r="L260" s="269" t="s">
        <v>217</v>
      </c>
      <c r="M260" s="219"/>
      <c r="N260" s="280" t="s">
        <v>218</v>
      </c>
      <c r="O260" s="216"/>
      <c r="P260" s="280" t="s">
        <v>219</v>
      </c>
      <c r="Q260" s="216"/>
      <c r="R260" s="280" t="s">
        <v>253</v>
      </c>
    </row>
    <row r="261" spans="1:24" s="82" customFormat="1" ht="14.4" thickBot="1" x14ac:dyDescent="0.35">
      <c r="A261" s="83"/>
      <c r="B261" s="132"/>
      <c r="C261" s="124" t="s">
        <v>159</v>
      </c>
      <c r="D261" s="124"/>
      <c r="E261" s="139"/>
      <c r="F261" s="473" t="s">
        <v>226</v>
      </c>
      <c r="G261" s="139"/>
      <c r="H261" s="473" t="s">
        <v>226</v>
      </c>
      <c r="I261" s="145"/>
      <c r="J261" s="473" t="s">
        <v>226</v>
      </c>
      <c r="K261" s="125"/>
      <c r="L261" s="473" t="s">
        <v>226</v>
      </c>
      <c r="M261" s="145"/>
      <c r="N261" s="473" t="s">
        <v>226</v>
      </c>
      <c r="O261" s="125"/>
      <c r="P261" s="473" t="s">
        <v>226</v>
      </c>
      <c r="Q261" s="125"/>
      <c r="R261" s="473" t="s">
        <v>226</v>
      </c>
      <c r="S261" s="83"/>
    </row>
    <row r="262" spans="1:24" ht="28.2" thickTop="1" x14ac:dyDescent="0.3">
      <c r="A262" s="364"/>
      <c r="B262" s="130" t="s">
        <v>770</v>
      </c>
      <c r="C262" s="92" t="s">
        <v>306</v>
      </c>
      <c r="E262" s="140" t="s">
        <v>300</v>
      </c>
      <c r="F262" s="152" t="s">
        <v>775</v>
      </c>
      <c r="G262" s="140" t="s">
        <v>300</v>
      </c>
      <c r="H262" s="92" t="s">
        <v>313</v>
      </c>
      <c r="I262" s="140" t="s">
        <v>300</v>
      </c>
      <c r="J262" s="152" t="s">
        <v>259</v>
      </c>
      <c r="K262" s="147" t="s">
        <v>300</v>
      </c>
      <c r="L262" s="92" t="s">
        <v>225</v>
      </c>
      <c r="M262" s="403" t="s">
        <v>173</v>
      </c>
      <c r="N262" s="447" t="s">
        <v>173</v>
      </c>
      <c r="O262" s="415" t="s">
        <v>173</v>
      </c>
      <c r="P262" s="447" t="s">
        <v>173</v>
      </c>
      <c r="Q262" s="415" t="s">
        <v>173</v>
      </c>
      <c r="R262" s="447" t="s">
        <v>173</v>
      </c>
      <c r="S262" s="69"/>
      <c r="T262" s="69"/>
      <c r="U262" s="69"/>
      <c r="V262" s="69"/>
      <c r="W262" s="69"/>
      <c r="X262" s="69"/>
    </row>
    <row r="263" spans="1:24" ht="41.4" x14ac:dyDescent="0.3">
      <c r="A263" s="364"/>
      <c r="B263" s="130" t="s">
        <v>771</v>
      </c>
      <c r="C263" s="92" t="s">
        <v>772</v>
      </c>
      <c r="E263" s="142" t="s">
        <v>300</v>
      </c>
      <c r="F263" s="152" t="s">
        <v>775</v>
      </c>
      <c r="G263" s="142" t="s">
        <v>300</v>
      </c>
      <c r="H263" s="92" t="s">
        <v>776</v>
      </c>
      <c r="I263" s="142" t="s">
        <v>300</v>
      </c>
      <c r="J263" s="152" t="s">
        <v>256</v>
      </c>
      <c r="K263" s="142" t="s">
        <v>300</v>
      </c>
      <c r="L263" s="152" t="s">
        <v>256</v>
      </c>
      <c r="M263" s="181" t="s">
        <v>300</v>
      </c>
      <c r="N263" s="92" t="s">
        <v>258</v>
      </c>
      <c r="O263" s="142" t="s">
        <v>300</v>
      </c>
      <c r="P263" s="597" t="s">
        <v>259</v>
      </c>
      <c r="Q263" s="142" t="s">
        <v>300</v>
      </c>
      <c r="R263" s="597" t="s">
        <v>225</v>
      </c>
      <c r="S263" s="69"/>
      <c r="T263" s="69"/>
      <c r="U263" s="69"/>
      <c r="V263" s="69"/>
      <c r="W263" s="69"/>
      <c r="X263" s="69"/>
    </row>
    <row r="264" spans="1:24" ht="27.6" x14ac:dyDescent="0.3">
      <c r="A264" s="364"/>
      <c r="B264" s="130" t="s">
        <v>777</v>
      </c>
      <c r="C264" s="92" t="s">
        <v>767</v>
      </c>
      <c r="E264" s="142" t="s">
        <v>300</v>
      </c>
      <c r="F264" s="152" t="s">
        <v>261</v>
      </c>
      <c r="G264" s="142" t="s">
        <v>300</v>
      </c>
      <c r="H264" s="92" t="s">
        <v>315</v>
      </c>
      <c r="I264" s="403" t="s">
        <v>173</v>
      </c>
      <c r="J264" s="447" t="s">
        <v>173</v>
      </c>
      <c r="K264" s="415" t="s">
        <v>173</v>
      </c>
      <c r="L264" s="449" t="s">
        <v>173</v>
      </c>
      <c r="M264" s="403" t="s">
        <v>173</v>
      </c>
      <c r="N264" s="447" t="s">
        <v>173</v>
      </c>
      <c r="O264" s="415" t="s">
        <v>173</v>
      </c>
      <c r="P264" s="447" t="s">
        <v>173</v>
      </c>
      <c r="Q264" s="415" t="s">
        <v>173</v>
      </c>
      <c r="R264" s="447" t="s">
        <v>173</v>
      </c>
      <c r="S264" s="69"/>
      <c r="T264" s="69"/>
      <c r="U264" s="69"/>
      <c r="V264" s="69"/>
      <c r="W264" s="69"/>
      <c r="X264" s="69"/>
    </row>
    <row r="265" spans="1:24" ht="27.6" x14ac:dyDescent="0.3">
      <c r="A265" s="364"/>
      <c r="B265" s="130" t="s">
        <v>778</v>
      </c>
      <c r="C265" s="92" t="s">
        <v>769</v>
      </c>
      <c r="E265" s="142" t="s">
        <v>300</v>
      </c>
      <c r="F265" s="152" t="s">
        <v>261</v>
      </c>
      <c r="G265" s="142" t="s">
        <v>300</v>
      </c>
      <c r="H265" s="92" t="s">
        <v>779</v>
      </c>
      <c r="I265" s="403" t="s">
        <v>173</v>
      </c>
      <c r="J265" s="447" t="s">
        <v>173</v>
      </c>
      <c r="K265" s="415" t="s">
        <v>173</v>
      </c>
      <c r="L265" s="449" t="s">
        <v>173</v>
      </c>
      <c r="M265" s="403" t="s">
        <v>173</v>
      </c>
      <c r="N265" s="447" t="s">
        <v>173</v>
      </c>
      <c r="O265" s="415" t="s">
        <v>173</v>
      </c>
      <c r="P265" s="447" t="s">
        <v>173</v>
      </c>
      <c r="Q265" s="415" t="s">
        <v>173</v>
      </c>
      <c r="R265" s="447" t="s">
        <v>173</v>
      </c>
      <c r="S265" s="69"/>
      <c r="T265" s="69"/>
      <c r="U265" s="69"/>
      <c r="V265" s="69"/>
      <c r="W265" s="69"/>
      <c r="X265" s="69"/>
    </row>
    <row r="266" spans="1:24" ht="27.6" x14ac:dyDescent="0.3">
      <c r="A266" s="364"/>
      <c r="B266" s="278" t="s">
        <v>773</v>
      </c>
      <c r="C266" s="156" t="s">
        <v>307</v>
      </c>
      <c r="D266" s="156"/>
      <c r="E266" s="160" t="s">
        <v>300</v>
      </c>
      <c r="F266" s="162" t="s">
        <v>316</v>
      </c>
      <c r="G266" s="160" t="s">
        <v>300</v>
      </c>
      <c r="H266" s="156" t="s">
        <v>264</v>
      </c>
      <c r="I266" s="160" t="s">
        <v>300</v>
      </c>
      <c r="J266" s="162" t="s">
        <v>242</v>
      </c>
      <c r="K266" s="419" t="s">
        <v>173</v>
      </c>
      <c r="L266" s="450" t="s">
        <v>173</v>
      </c>
      <c r="M266" s="405" t="s">
        <v>173</v>
      </c>
      <c r="N266" s="448" t="s">
        <v>173</v>
      </c>
      <c r="O266" s="419" t="s">
        <v>173</v>
      </c>
      <c r="P266" s="448" t="s">
        <v>173</v>
      </c>
      <c r="Q266" s="419" t="s">
        <v>173</v>
      </c>
      <c r="R266" s="448" t="s">
        <v>173</v>
      </c>
      <c r="S266" s="69"/>
      <c r="T266" s="69"/>
      <c r="U266" s="69"/>
      <c r="V266" s="69"/>
      <c r="W266" s="69"/>
      <c r="X266" s="69"/>
    </row>
    <row r="269" spans="1:24" s="391" customFormat="1" ht="14.4" x14ac:dyDescent="0.3">
      <c r="A269" s="23"/>
      <c r="B269" s="23" t="s">
        <v>329</v>
      </c>
      <c r="C269" s="92"/>
      <c r="D269" s="364"/>
      <c r="E269" s="83"/>
      <c r="F269" s="366"/>
      <c r="G269" s="83"/>
      <c r="H269" s="30"/>
      <c r="I269" s="364"/>
      <c r="J269" s="92"/>
      <c r="K269" s="364"/>
      <c r="L269" s="92"/>
      <c r="M269" s="364"/>
      <c r="N269" s="92"/>
      <c r="O269" s="364"/>
      <c r="P269" s="92"/>
      <c r="Q269" s="364"/>
      <c r="R269" s="92"/>
      <c r="S269" s="364"/>
      <c r="T269" s="92"/>
      <c r="U269" s="363"/>
      <c r="V269" s="365"/>
      <c r="W269" s="363"/>
      <c r="X269" s="365"/>
    </row>
    <row r="270" spans="1:24" s="391" customFormat="1" ht="55.2" x14ac:dyDescent="0.3">
      <c r="A270" s="89"/>
      <c r="B270" s="115" t="s">
        <v>330</v>
      </c>
      <c r="C270" s="123" t="s">
        <v>331</v>
      </c>
      <c r="D270" s="119" t="s">
        <v>122</v>
      </c>
      <c r="E270" s="131"/>
      <c r="F270" s="148" t="s">
        <v>332</v>
      </c>
      <c r="G270" s="131"/>
      <c r="H270" s="117" t="s">
        <v>148</v>
      </c>
      <c r="I270" s="131"/>
      <c r="J270" s="117" t="s">
        <v>333</v>
      </c>
      <c r="K270" s="131"/>
      <c r="L270" s="117" t="s">
        <v>334</v>
      </c>
      <c r="M270" s="131"/>
      <c r="N270" s="148" t="s">
        <v>335</v>
      </c>
      <c r="O270" s="120"/>
      <c r="P270" s="120" t="s">
        <v>336</v>
      </c>
      <c r="Q270" s="210"/>
      <c r="R270" s="148" t="s">
        <v>337</v>
      </c>
      <c r="S270" s="131"/>
      <c r="T270" s="148" t="s">
        <v>338</v>
      </c>
      <c r="U270" s="131"/>
      <c r="V270" s="148" t="s">
        <v>339</v>
      </c>
      <c r="W270" s="363"/>
      <c r="X270" s="365"/>
    </row>
    <row r="271" spans="1:24" s="391" customFormat="1" ht="15" thickBot="1" x14ac:dyDescent="0.35">
      <c r="A271" s="89"/>
      <c r="B271" s="178" t="s">
        <v>341</v>
      </c>
      <c r="C271" s="176" t="s">
        <v>342</v>
      </c>
      <c r="D271" s="371"/>
      <c r="E271" s="183"/>
      <c r="F271" s="179"/>
      <c r="G271" s="183"/>
      <c r="H271" s="179" t="s">
        <v>343</v>
      </c>
      <c r="I271" s="183"/>
      <c r="J271" s="179" t="s">
        <v>344</v>
      </c>
      <c r="K271" s="183"/>
      <c r="L271" s="179" t="s">
        <v>345</v>
      </c>
      <c r="M271" s="211"/>
      <c r="N271" s="179" t="s">
        <v>346</v>
      </c>
      <c r="O271" s="208"/>
      <c r="P271" s="176" t="s">
        <v>347</v>
      </c>
      <c r="Q271" s="211"/>
      <c r="R271" s="179" t="s">
        <v>348</v>
      </c>
      <c r="S271" s="233"/>
      <c r="T271" s="179" t="s">
        <v>349</v>
      </c>
      <c r="U271" s="233"/>
      <c r="V271" s="179" t="s">
        <v>350</v>
      </c>
      <c r="W271" s="363"/>
      <c r="X271" s="365"/>
    </row>
    <row r="272" spans="1:24" s="359" customFormat="1" ht="14.4" thickTop="1" x14ac:dyDescent="0.3">
      <c r="A272" s="373"/>
      <c r="B272" s="423" t="s">
        <v>352</v>
      </c>
      <c r="C272" s="373" t="s">
        <v>351</v>
      </c>
      <c r="D272" s="373" t="s">
        <v>137</v>
      </c>
      <c r="E272" s="137"/>
      <c r="F272" s="366" t="s">
        <v>352</v>
      </c>
      <c r="G272" s="411" t="s">
        <v>300</v>
      </c>
      <c r="H272" s="202" t="s">
        <v>353</v>
      </c>
      <c r="I272" s="411" t="s">
        <v>300</v>
      </c>
      <c r="J272" s="202" t="s">
        <v>353</v>
      </c>
      <c r="K272" s="411" t="s">
        <v>300</v>
      </c>
      <c r="L272" s="373" t="s">
        <v>354</v>
      </c>
      <c r="M272" s="411" t="s">
        <v>300</v>
      </c>
      <c r="N272" s="373">
        <v>55</v>
      </c>
      <c r="O272" s="411" t="s">
        <v>300</v>
      </c>
      <c r="P272" s="373">
        <v>60</v>
      </c>
      <c r="Q272" s="411" t="s">
        <v>300</v>
      </c>
      <c r="R272" s="259" t="s">
        <v>355</v>
      </c>
      <c r="S272" s="411" t="s">
        <v>300</v>
      </c>
      <c r="T272" s="209">
        <v>60</v>
      </c>
      <c r="U272" s="411" t="s">
        <v>300</v>
      </c>
      <c r="V272" s="209">
        <v>55</v>
      </c>
      <c r="W272" s="363"/>
      <c r="X272" s="365"/>
    </row>
    <row r="273" spans="1:24" s="359" customFormat="1" x14ac:dyDescent="0.3">
      <c r="A273" s="373"/>
      <c r="B273" s="128" t="s">
        <v>357</v>
      </c>
      <c r="C273" s="373" t="s">
        <v>356</v>
      </c>
      <c r="D273" s="373" t="s">
        <v>137</v>
      </c>
      <c r="E273" s="137"/>
      <c r="F273" s="366" t="s">
        <v>357</v>
      </c>
      <c r="G273" s="411" t="s">
        <v>300</v>
      </c>
      <c r="H273" s="202" t="s">
        <v>353</v>
      </c>
      <c r="I273" s="411" t="s">
        <v>300</v>
      </c>
      <c r="J273" s="202" t="s">
        <v>353</v>
      </c>
      <c r="K273" s="411" t="s">
        <v>300</v>
      </c>
      <c r="L273" s="373" t="s">
        <v>354</v>
      </c>
      <c r="M273" s="411" t="s">
        <v>300</v>
      </c>
      <c r="N273" s="373">
        <v>55</v>
      </c>
      <c r="O273" s="411" t="s">
        <v>300</v>
      </c>
      <c r="P273" s="373">
        <v>60</v>
      </c>
      <c r="Q273" s="411" t="s">
        <v>300</v>
      </c>
      <c r="R273" s="202" t="s">
        <v>355</v>
      </c>
      <c r="S273" s="411" t="s">
        <v>300</v>
      </c>
      <c r="T273" s="209">
        <v>60</v>
      </c>
      <c r="U273" s="411" t="s">
        <v>300</v>
      </c>
      <c r="V273" s="209">
        <v>55</v>
      </c>
      <c r="W273" s="363"/>
      <c r="X273" s="365"/>
    </row>
    <row r="274" spans="1:24" s="359" customFormat="1" x14ac:dyDescent="0.3">
      <c r="A274" s="373"/>
      <c r="B274" s="128" t="s">
        <v>359</v>
      </c>
      <c r="C274" s="373" t="s">
        <v>358</v>
      </c>
      <c r="D274" s="373" t="s">
        <v>137</v>
      </c>
      <c r="E274" s="137"/>
      <c r="F274" s="366" t="s">
        <v>359</v>
      </c>
      <c r="G274" s="411" t="s">
        <v>300</v>
      </c>
      <c r="H274" s="202" t="s">
        <v>353</v>
      </c>
      <c r="I274" s="411" t="s">
        <v>300</v>
      </c>
      <c r="J274" s="202" t="s">
        <v>353</v>
      </c>
      <c r="K274" s="411" t="s">
        <v>300</v>
      </c>
      <c r="L274" s="373" t="s">
        <v>354</v>
      </c>
      <c r="M274" s="411" t="s">
        <v>300</v>
      </c>
      <c r="N274" s="373">
        <v>55</v>
      </c>
      <c r="O274" s="411" t="s">
        <v>300</v>
      </c>
      <c r="P274" s="373">
        <v>60</v>
      </c>
      <c r="Q274" s="411" t="s">
        <v>300</v>
      </c>
      <c r="R274" s="202" t="s">
        <v>355</v>
      </c>
      <c r="S274" s="411" t="s">
        <v>300</v>
      </c>
      <c r="T274" s="209">
        <v>60</v>
      </c>
      <c r="U274" s="411" t="s">
        <v>300</v>
      </c>
      <c r="V274" s="209">
        <v>55</v>
      </c>
      <c r="W274" s="363"/>
      <c r="X274" s="365"/>
    </row>
    <row r="275" spans="1:24" s="359" customFormat="1" x14ac:dyDescent="0.3">
      <c r="A275" s="373"/>
      <c r="B275" s="278" t="s">
        <v>361</v>
      </c>
      <c r="C275" s="165" t="s">
        <v>360</v>
      </c>
      <c r="D275" s="165" t="s">
        <v>137</v>
      </c>
      <c r="E275" s="236"/>
      <c r="F275" s="167" t="s">
        <v>361</v>
      </c>
      <c r="G275" s="410" t="s">
        <v>300</v>
      </c>
      <c r="H275" s="204" t="s">
        <v>353</v>
      </c>
      <c r="I275" s="410" t="s">
        <v>300</v>
      </c>
      <c r="J275" s="204" t="s">
        <v>353</v>
      </c>
      <c r="K275" s="410" t="s">
        <v>300</v>
      </c>
      <c r="L275" s="165" t="s">
        <v>354</v>
      </c>
      <c r="M275" s="410" t="s">
        <v>300</v>
      </c>
      <c r="N275" s="165">
        <v>55</v>
      </c>
      <c r="O275" s="410" t="s">
        <v>300</v>
      </c>
      <c r="P275" s="165">
        <v>60</v>
      </c>
      <c r="Q275" s="410" t="s">
        <v>300</v>
      </c>
      <c r="R275" s="204" t="s">
        <v>355</v>
      </c>
      <c r="S275" s="410" t="s">
        <v>300</v>
      </c>
      <c r="T275" s="212">
        <v>60</v>
      </c>
      <c r="U275" s="410" t="s">
        <v>300</v>
      </c>
      <c r="V275" s="212">
        <v>55</v>
      </c>
      <c r="W275" s="363"/>
      <c r="X275" s="365"/>
    </row>
    <row r="276" spans="1:24" s="391" customFormat="1" ht="14.4" x14ac:dyDescent="0.3">
      <c r="A276" s="89"/>
      <c r="B276" s="84"/>
      <c r="C276" s="82"/>
      <c r="D276" s="30"/>
      <c r="E276" s="364"/>
      <c r="F276" s="364"/>
      <c r="G276" s="364"/>
      <c r="H276" s="364"/>
      <c r="I276" s="364"/>
      <c r="J276" s="364"/>
      <c r="K276" s="91"/>
      <c r="L276" s="89"/>
      <c r="M276" s="364"/>
      <c r="N276" s="364"/>
      <c r="O276" s="364"/>
      <c r="P276" s="364"/>
      <c r="Q276" s="364"/>
      <c r="R276" s="364"/>
      <c r="S276" s="364"/>
      <c r="T276" s="364"/>
      <c r="U276" s="363"/>
      <c r="V276" s="365"/>
      <c r="W276" s="363"/>
      <c r="X276" s="365"/>
    </row>
    <row r="277" spans="1:24" s="391" customFormat="1" ht="14.4" x14ac:dyDescent="0.3">
      <c r="A277" s="89"/>
      <c r="B277" s="84"/>
      <c r="C277" s="82"/>
      <c r="D277" s="30"/>
      <c r="E277" s="364"/>
      <c r="F277" s="364"/>
      <c r="G277" s="364"/>
      <c r="H277" s="364"/>
      <c r="I277" s="364"/>
      <c r="J277" s="364"/>
      <c r="K277" s="91"/>
      <c r="L277" s="89"/>
      <c r="M277" s="364"/>
      <c r="N277" s="364"/>
      <c r="O277" s="364"/>
      <c r="P277" s="364"/>
      <c r="Q277" s="364"/>
      <c r="R277" s="364"/>
      <c r="S277" s="364"/>
      <c r="T277" s="364"/>
      <c r="U277" s="363"/>
      <c r="V277" s="365"/>
      <c r="W277" s="363"/>
      <c r="X277" s="365"/>
    </row>
    <row r="278" spans="1:24" s="391" customFormat="1" ht="55.2" x14ac:dyDescent="0.3">
      <c r="A278" s="89"/>
      <c r="B278" s="115" t="s">
        <v>330</v>
      </c>
      <c r="C278" s="123" t="s">
        <v>368</v>
      </c>
      <c r="D278" s="119" t="s">
        <v>122</v>
      </c>
      <c r="E278" s="182"/>
      <c r="F278" s="120" t="s">
        <v>332</v>
      </c>
      <c r="G278" s="182"/>
      <c r="H278" s="116" t="s">
        <v>148</v>
      </c>
      <c r="I278" s="182"/>
      <c r="J278" s="116" t="s">
        <v>333</v>
      </c>
      <c r="K278" s="182"/>
      <c r="L278" s="116" t="s">
        <v>334</v>
      </c>
      <c r="M278" s="131"/>
      <c r="N278" s="148" t="s">
        <v>335</v>
      </c>
      <c r="O278" s="120"/>
      <c r="P278" s="120" t="s">
        <v>336</v>
      </c>
      <c r="Q278" s="210"/>
      <c r="R278" s="148" t="s">
        <v>337</v>
      </c>
      <c r="S278" s="131"/>
      <c r="T278" s="148" t="s">
        <v>338</v>
      </c>
      <c r="U278" s="131"/>
      <c r="V278" s="148" t="s">
        <v>339</v>
      </c>
      <c r="W278" s="364"/>
      <c r="X278" s="92"/>
    </row>
    <row r="279" spans="1:24" s="391" customFormat="1" ht="15" thickBot="1" x14ac:dyDescent="0.35">
      <c r="A279" s="89"/>
      <c r="B279" s="178" t="s">
        <v>369</v>
      </c>
      <c r="C279" s="176"/>
      <c r="D279" s="371"/>
      <c r="E279" s="183"/>
      <c r="F279" s="371"/>
      <c r="G279" s="370"/>
      <c r="H279" s="179" t="s">
        <v>370</v>
      </c>
      <c r="I279" s="370"/>
      <c r="J279" s="179" t="s">
        <v>371</v>
      </c>
      <c r="K279" s="183"/>
      <c r="L279" s="179" t="s">
        <v>345</v>
      </c>
      <c r="M279" s="211"/>
      <c r="N279" s="179" t="s">
        <v>346</v>
      </c>
      <c r="O279" s="208"/>
      <c r="P279" s="176" t="s">
        <v>347</v>
      </c>
      <c r="Q279" s="211"/>
      <c r="R279" s="179" t="s">
        <v>372</v>
      </c>
      <c r="S279" s="233"/>
      <c r="T279" s="372"/>
      <c r="U279" s="233"/>
      <c r="V279" s="372"/>
      <c r="W279" s="364"/>
      <c r="X279" s="92"/>
    </row>
    <row r="280" spans="1:24" s="357" customFormat="1" ht="14.4" thickTop="1" x14ac:dyDescent="0.3">
      <c r="A280" s="89"/>
      <c r="B280" s="455" t="s">
        <v>375</v>
      </c>
      <c r="C280" s="394" t="s">
        <v>780</v>
      </c>
      <c r="D280" s="394" t="s">
        <v>137</v>
      </c>
      <c r="E280" s="456"/>
      <c r="F280" s="461" t="s">
        <v>375</v>
      </c>
      <c r="G280" s="355"/>
      <c r="H280" s="866" t="s">
        <v>365</v>
      </c>
      <c r="I280" s="355"/>
      <c r="J280" s="866" t="s">
        <v>781</v>
      </c>
      <c r="K280" s="355"/>
      <c r="L280" s="842" t="s">
        <v>366</v>
      </c>
      <c r="M280" s="355" t="s">
        <v>300</v>
      </c>
      <c r="N280" s="394">
        <v>58</v>
      </c>
      <c r="O280" s="355" t="s">
        <v>300</v>
      </c>
      <c r="P280" s="394">
        <v>95</v>
      </c>
      <c r="Q280" s="355" t="s">
        <v>300</v>
      </c>
      <c r="R280" s="438" t="s">
        <v>377</v>
      </c>
      <c r="S280" s="462" t="s">
        <v>173</v>
      </c>
      <c r="T280" s="453" t="s">
        <v>173</v>
      </c>
      <c r="U280" s="462" t="s">
        <v>173</v>
      </c>
      <c r="V280" s="453" t="s">
        <v>173</v>
      </c>
      <c r="W280" s="364"/>
      <c r="X280" s="92"/>
    </row>
    <row r="281" spans="1:24" s="391" customFormat="1" ht="14.4" x14ac:dyDescent="0.3">
      <c r="A281" s="89"/>
      <c r="B281" s="84"/>
      <c r="C281" s="82"/>
      <c r="D281" s="30"/>
      <c r="E281" s="364"/>
      <c r="F281" s="364"/>
      <c r="G281" s="364"/>
      <c r="H281" s="364"/>
      <c r="I281" s="364"/>
      <c r="J281" s="364"/>
      <c r="K281" s="91"/>
      <c r="L281" s="89"/>
      <c r="M281" s="364"/>
      <c r="N281" s="364"/>
      <c r="O281" s="364"/>
      <c r="P281" s="364"/>
      <c r="Q281" s="364"/>
      <c r="R281" s="74"/>
      <c r="S281" s="364"/>
      <c r="T281" s="364"/>
      <c r="U281" s="364"/>
      <c r="V281" s="364"/>
      <c r="W281" s="364"/>
      <c r="X281" s="365"/>
    </row>
    <row r="282" spans="1:24" s="391" customFormat="1" ht="14.4" x14ac:dyDescent="0.3">
      <c r="A282" s="89"/>
      <c r="B282" s="84"/>
      <c r="C282" s="82"/>
      <c r="D282" s="30"/>
      <c r="E282" s="364"/>
      <c r="F282" s="364"/>
      <c r="G282" s="364"/>
      <c r="H282" s="364"/>
      <c r="I282" s="364"/>
      <c r="J282" s="364"/>
      <c r="K282" s="91"/>
      <c r="L282" s="89"/>
      <c r="M282" s="364"/>
      <c r="N282" s="364"/>
      <c r="O282" s="364"/>
      <c r="P282" s="364"/>
      <c r="Q282" s="364"/>
      <c r="R282" s="89"/>
      <c r="S282" s="91"/>
      <c r="T282" s="89"/>
      <c r="U282" s="89"/>
      <c r="V282" s="89"/>
      <c r="W282" s="89"/>
      <c r="X282" s="365"/>
    </row>
    <row r="283" spans="1:24" s="391" customFormat="1" ht="41.4" x14ac:dyDescent="0.3">
      <c r="A283" s="89"/>
      <c r="B283" s="115" t="s">
        <v>331</v>
      </c>
      <c r="C283" s="123" t="s">
        <v>382</v>
      </c>
      <c r="D283" s="119" t="s">
        <v>122</v>
      </c>
      <c r="E283" s="182"/>
      <c r="F283" s="117" t="s">
        <v>148</v>
      </c>
      <c r="G283" s="175"/>
      <c r="H283" s="173" t="s">
        <v>383</v>
      </c>
      <c r="I283" s="194"/>
      <c r="J283" s="117" t="s">
        <v>385</v>
      </c>
      <c r="K283" s="187"/>
      <c r="L283" s="117" t="s">
        <v>386</v>
      </c>
      <c r="M283" s="427"/>
      <c r="N283" s="117" t="s">
        <v>387</v>
      </c>
      <c r="O283" s="426"/>
      <c r="P283" s="117" t="s">
        <v>388</v>
      </c>
      <c r="Q283" s="364"/>
      <c r="R283" s="401"/>
      <c r="S283" s="397"/>
      <c r="T283" s="397"/>
      <c r="U283" s="364"/>
      <c r="V283" s="401"/>
      <c r="W283" s="982"/>
      <c r="X283" s="401"/>
    </row>
    <row r="284" spans="1:24" s="391" customFormat="1" ht="15" thickBot="1" x14ac:dyDescent="0.35">
      <c r="A284" s="89"/>
      <c r="B284" s="178" t="s">
        <v>389</v>
      </c>
      <c r="C284" s="176" t="s">
        <v>390</v>
      </c>
      <c r="D284" s="371"/>
      <c r="E284" s="183"/>
      <c r="F284" s="179" t="s">
        <v>391</v>
      </c>
      <c r="G284" s="177"/>
      <c r="H284" s="176" t="s">
        <v>392</v>
      </c>
      <c r="I284" s="183"/>
      <c r="J284" s="179" t="s">
        <v>394</v>
      </c>
      <c r="K284" s="189"/>
      <c r="L284" s="176" t="s">
        <v>395</v>
      </c>
      <c r="M284" s="178"/>
      <c r="N284" s="179" t="s">
        <v>396</v>
      </c>
      <c r="O284" s="176"/>
      <c r="P284" s="179" t="s">
        <v>397</v>
      </c>
      <c r="Q284" s="364"/>
      <c r="R284" s="397"/>
      <c r="S284" s="397"/>
      <c r="T284" s="397"/>
      <c r="U284" s="364"/>
      <c r="V284" s="397"/>
      <c r="W284" s="982"/>
      <c r="X284" s="397"/>
    </row>
    <row r="285" spans="1:24" s="359" customFormat="1" ht="28.2" thickTop="1" x14ac:dyDescent="0.3">
      <c r="A285" s="373"/>
      <c r="B285" s="141" t="s">
        <v>351</v>
      </c>
      <c r="C285" s="373" t="s">
        <v>398</v>
      </c>
      <c r="D285" s="373" t="s">
        <v>137</v>
      </c>
      <c r="E285" s="411" t="s">
        <v>300</v>
      </c>
      <c r="F285" s="373" t="s">
        <v>399</v>
      </c>
      <c r="G285" s="413" t="s">
        <v>300</v>
      </c>
      <c r="H285" s="457">
        <v>9.8000000000000007</v>
      </c>
      <c r="I285" s="411"/>
      <c r="J285" s="76" t="s">
        <v>173</v>
      </c>
      <c r="K285" s="345" t="s">
        <v>300</v>
      </c>
      <c r="L285" s="366" t="s">
        <v>400</v>
      </c>
      <c r="M285" s="345" t="s">
        <v>300</v>
      </c>
      <c r="N285" s="366" t="s">
        <v>401</v>
      </c>
      <c r="O285" s="345" t="s">
        <v>300</v>
      </c>
      <c r="P285" s="362" t="s">
        <v>782</v>
      </c>
      <c r="Q285" s="373"/>
      <c r="R285" s="531"/>
      <c r="S285" s="397"/>
      <c r="T285" s="397"/>
      <c r="V285" s="532"/>
      <c r="X285" s="531"/>
    </row>
    <row r="286" spans="1:24" s="359" customFormat="1" ht="27.6" x14ac:dyDescent="0.3">
      <c r="A286" s="373"/>
      <c r="B286" s="141" t="s">
        <v>356</v>
      </c>
      <c r="C286" s="373" t="s">
        <v>403</v>
      </c>
      <c r="D286" s="373" t="s">
        <v>137</v>
      </c>
      <c r="E286" s="412" t="s">
        <v>300</v>
      </c>
      <c r="F286" s="373" t="s">
        <v>399</v>
      </c>
      <c r="G286" s="412" t="s">
        <v>300</v>
      </c>
      <c r="H286" s="457">
        <v>10.8</v>
      </c>
      <c r="I286" s="412"/>
      <c r="J286" s="76" t="s">
        <v>173</v>
      </c>
      <c r="K286" s="142" t="s">
        <v>300</v>
      </c>
      <c r="L286" s="366" t="s">
        <v>783</v>
      </c>
      <c r="M286" s="142" t="s">
        <v>300</v>
      </c>
      <c r="N286" s="366" t="s">
        <v>405</v>
      </c>
      <c r="O286" s="142" t="s">
        <v>300</v>
      </c>
      <c r="P286" s="362" t="s">
        <v>782</v>
      </c>
      <c r="Q286" s="373"/>
      <c r="R286" s="531"/>
      <c r="S286" s="397"/>
      <c r="T286" s="397"/>
      <c r="V286" s="532"/>
      <c r="X286" s="531"/>
    </row>
    <row r="287" spans="1:24" s="359" customFormat="1" ht="27.6" x14ac:dyDescent="0.3">
      <c r="A287" s="373"/>
      <c r="B287" s="141" t="s">
        <v>358</v>
      </c>
      <c r="C287" s="373" t="s">
        <v>406</v>
      </c>
      <c r="D287" s="373" t="s">
        <v>137</v>
      </c>
      <c r="E287" s="412" t="s">
        <v>300</v>
      </c>
      <c r="F287" s="373" t="s">
        <v>399</v>
      </c>
      <c r="G287" s="412" t="s">
        <v>300</v>
      </c>
      <c r="H287" s="457">
        <v>10.8</v>
      </c>
      <c r="I287" s="412"/>
      <c r="J287" s="76" t="s">
        <v>173</v>
      </c>
      <c r="K287" s="142" t="s">
        <v>300</v>
      </c>
      <c r="L287" s="366" t="s">
        <v>783</v>
      </c>
      <c r="M287" s="142" t="s">
        <v>300</v>
      </c>
      <c r="N287" s="366" t="s">
        <v>405</v>
      </c>
      <c r="O287" s="142" t="s">
        <v>300</v>
      </c>
      <c r="P287" s="362" t="s">
        <v>782</v>
      </c>
      <c r="Q287" s="373"/>
      <c r="R287" s="531"/>
      <c r="S287" s="397"/>
      <c r="T287" s="397"/>
      <c r="V287" s="532"/>
      <c r="X287" s="531"/>
    </row>
    <row r="288" spans="1:24" s="359" customFormat="1" ht="27.6" x14ac:dyDescent="0.3">
      <c r="A288" s="373"/>
      <c r="B288" s="141" t="s">
        <v>360</v>
      </c>
      <c r="C288" s="373" t="s">
        <v>408</v>
      </c>
      <c r="D288" s="373" t="s">
        <v>137</v>
      </c>
      <c r="E288" s="412" t="s">
        <v>300</v>
      </c>
      <c r="F288" s="373" t="s">
        <v>399</v>
      </c>
      <c r="G288" s="640" t="s">
        <v>300</v>
      </c>
      <c r="H288" s="457">
        <v>11</v>
      </c>
      <c r="I288" s="412"/>
      <c r="J288" s="76" t="s">
        <v>173</v>
      </c>
      <c r="K288" s="142" t="s">
        <v>300</v>
      </c>
      <c r="L288" s="366" t="s">
        <v>400</v>
      </c>
      <c r="M288" s="142" t="s">
        <v>300</v>
      </c>
      <c r="N288" s="366" t="s">
        <v>401</v>
      </c>
      <c r="O288" s="142" t="s">
        <v>300</v>
      </c>
      <c r="P288" s="362" t="s">
        <v>782</v>
      </c>
      <c r="Q288" s="373"/>
      <c r="R288" s="531"/>
      <c r="S288" s="397"/>
      <c r="T288" s="397"/>
      <c r="V288" s="532"/>
      <c r="X288" s="531"/>
    </row>
    <row r="289" spans="1:24" s="357" customFormat="1" ht="27.6" x14ac:dyDescent="0.3">
      <c r="A289" s="89"/>
      <c r="B289" s="180" t="s">
        <v>784</v>
      </c>
      <c r="C289" s="156" t="s">
        <v>785</v>
      </c>
      <c r="D289" s="204" t="s">
        <v>137</v>
      </c>
      <c r="E289" s="160"/>
      <c r="F289" s="867" t="s">
        <v>399</v>
      </c>
      <c r="G289" s="405" t="s">
        <v>173</v>
      </c>
      <c r="H289" s="406" t="s">
        <v>173</v>
      </c>
      <c r="I289" s="160" t="s">
        <v>300</v>
      </c>
      <c r="J289" s="250">
        <v>1.1499999999999999</v>
      </c>
      <c r="K289" s="405" t="s">
        <v>173</v>
      </c>
      <c r="L289" s="406" t="s">
        <v>173</v>
      </c>
      <c r="M289" s="405" t="s">
        <v>173</v>
      </c>
      <c r="N289" s="406" t="s">
        <v>173</v>
      </c>
      <c r="O289" s="405" t="s">
        <v>173</v>
      </c>
      <c r="P289" s="406" t="s">
        <v>173</v>
      </c>
      <c r="Q289" s="364"/>
      <c r="R289" s="531"/>
      <c r="S289" s="397"/>
      <c r="T289" s="397"/>
      <c r="U289" s="359"/>
      <c r="V289" s="532"/>
      <c r="W289" s="359"/>
      <c r="X289" s="531"/>
    </row>
    <row r="290" spans="1:24" s="391" customFormat="1" ht="14.4" x14ac:dyDescent="0.3">
      <c r="A290" s="89"/>
      <c r="B290" s="84"/>
      <c r="C290" s="82"/>
      <c r="D290" s="89"/>
      <c r="E290" s="91"/>
      <c r="F290" s="89"/>
      <c r="G290" s="91"/>
      <c r="H290" s="89"/>
      <c r="I290" s="91"/>
      <c r="J290" s="89"/>
      <c r="K290" s="30"/>
      <c r="L290" s="364"/>
      <c r="M290" s="364"/>
      <c r="N290" s="364"/>
      <c r="O290" s="364"/>
      <c r="P290" s="364"/>
      <c r="Q290" s="364"/>
      <c r="R290" s="982"/>
      <c r="S290" s="982"/>
      <c r="T290" s="982"/>
      <c r="U290" s="982"/>
      <c r="V290" s="982"/>
      <c r="W290" s="982"/>
      <c r="X290" s="982"/>
    </row>
    <row r="291" spans="1:24" s="391" customFormat="1" ht="14.4" x14ac:dyDescent="0.3">
      <c r="A291" s="89"/>
      <c r="B291" s="84"/>
      <c r="C291" s="82"/>
      <c r="D291" s="89"/>
      <c r="E291" s="91"/>
      <c r="F291" s="89"/>
      <c r="G291" s="91"/>
      <c r="H291" s="89"/>
      <c r="I291" s="91"/>
      <c r="J291" s="89"/>
      <c r="K291" s="30"/>
      <c r="L291" s="364"/>
      <c r="M291" s="364"/>
      <c r="N291" s="364"/>
      <c r="O291" s="364"/>
      <c r="P291" s="364"/>
      <c r="Q291" s="364"/>
      <c r="R291" s="982"/>
      <c r="S291" s="982"/>
      <c r="T291" s="982"/>
      <c r="U291" s="982"/>
      <c r="V291" s="982"/>
      <c r="W291" s="982"/>
      <c r="X291" s="982"/>
    </row>
    <row r="292" spans="1:24" s="391" customFormat="1" ht="27.6" x14ac:dyDescent="0.3">
      <c r="A292" s="89"/>
      <c r="B292" s="115" t="s">
        <v>331</v>
      </c>
      <c r="C292" s="123" t="s">
        <v>413</v>
      </c>
      <c r="D292" s="119" t="s">
        <v>122</v>
      </c>
      <c r="E292" s="182"/>
      <c r="F292" s="117" t="s">
        <v>414</v>
      </c>
      <c r="G292" s="173"/>
      <c r="H292" s="173" t="s">
        <v>415</v>
      </c>
      <c r="I292" s="194"/>
      <c r="J292" s="117" t="s">
        <v>385</v>
      </c>
      <c r="K292" s="187"/>
      <c r="L292" s="117" t="s">
        <v>416</v>
      </c>
      <c r="M292" s="364"/>
      <c r="N292" s="364"/>
      <c r="O292" s="364"/>
      <c r="P292" s="364"/>
      <c r="Q292" s="364"/>
      <c r="R292" s="401"/>
      <c r="S292" s="397"/>
      <c r="T292" s="364"/>
      <c r="U292" s="364"/>
      <c r="V292" s="401"/>
      <c r="W292" s="359"/>
      <c r="X292" s="401"/>
    </row>
    <row r="293" spans="1:24" s="391" customFormat="1" ht="15" thickBot="1" x14ac:dyDescent="0.35">
      <c r="A293" s="89"/>
      <c r="B293" s="178" t="s">
        <v>417</v>
      </c>
      <c r="C293" s="176" t="s">
        <v>418</v>
      </c>
      <c r="D293" s="176"/>
      <c r="E293" s="183"/>
      <c r="F293" s="179" t="s">
        <v>419</v>
      </c>
      <c r="G293" s="177"/>
      <c r="H293" s="176" t="s">
        <v>420</v>
      </c>
      <c r="I293" s="183"/>
      <c r="J293" s="179"/>
      <c r="K293" s="124"/>
      <c r="L293" s="179" t="s">
        <v>421</v>
      </c>
      <c r="M293" s="364"/>
      <c r="N293" s="364"/>
      <c r="O293" s="364"/>
      <c r="P293" s="364"/>
      <c r="Q293" s="364"/>
      <c r="R293" s="397"/>
      <c r="S293" s="397"/>
      <c r="T293" s="364"/>
      <c r="U293" s="364"/>
      <c r="V293" s="397"/>
      <c r="W293" s="359"/>
      <c r="X293" s="397"/>
    </row>
    <row r="294" spans="1:24" s="357" customFormat="1" ht="14.4" thickTop="1" x14ac:dyDescent="0.3">
      <c r="A294" s="89"/>
      <c r="B294" s="141" t="s">
        <v>351</v>
      </c>
      <c r="C294" s="373" t="s">
        <v>422</v>
      </c>
      <c r="D294" s="373" t="s">
        <v>137</v>
      </c>
      <c r="E294" s="409" t="s">
        <v>300</v>
      </c>
      <c r="F294" s="266" t="s">
        <v>423</v>
      </c>
      <c r="G294" s="403" t="s">
        <v>173</v>
      </c>
      <c r="H294" s="404" t="s">
        <v>173</v>
      </c>
      <c r="I294" s="411" t="s">
        <v>300</v>
      </c>
      <c r="J294" s="360">
        <v>1.25</v>
      </c>
      <c r="K294" s="403" t="s">
        <v>173</v>
      </c>
      <c r="L294" s="404" t="s">
        <v>173</v>
      </c>
      <c r="M294" s="364"/>
      <c r="N294" s="364"/>
      <c r="O294" s="364"/>
      <c r="P294" s="364"/>
      <c r="Q294" s="364"/>
      <c r="R294" s="531"/>
      <c r="S294" s="397"/>
      <c r="T294" s="397"/>
      <c r="U294" s="359"/>
      <c r="V294" s="532"/>
      <c r="W294" s="359"/>
      <c r="X294" s="531"/>
    </row>
    <row r="295" spans="1:24" s="357" customFormat="1" x14ac:dyDescent="0.3">
      <c r="A295" s="89"/>
      <c r="B295" s="141" t="s">
        <v>356</v>
      </c>
      <c r="C295" s="373" t="s">
        <v>424</v>
      </c>
      <c r="D295" s="373" t="s">
        <v>137</v>
      </c>
      <c r="E295" s="409" t="s">
        <v>300</v>
      </c>
      <c r="F295" s="266" t="s">
        <v>423</v>
      </c>
      <c r="G295" s="403" t="s">
        <v>173</v>
      </c>
      <c r="H295" s="404" t="s">
        <v>173</v>
      </c>
      <c r="I295" s="412" t="s">
        <v>300</v>
      </c>
      <c r="J295" s="360">
        <v>1.25</v>
      </c>
      <c r="K295" s="403" t="s">
        <v>173</v>
      </c>
      <c r="L295" s="404" t="s">
        <v>173</v>
      </c>
      <c r="M295" s="364"/>
      <c r="N295" s="364"/>
      <c r="O295" s="364"/>
      <c r="P295" s="364"/>
      <c r="Q295" s="364"/>
      <c r="R295" s="531"/>
      <c r="S295" s="397"/>
      <c r="T295" s="397"/>
      <c r="U295" s="359"/>
      <c r="V295" s="532"/>
      <c r="W295" s="359"/>
      <c r="X295" s="531"/>
    </row>
    <row r="296" spans="1:24" s="357" customFormat="1" x14ac:dyDescent="0.3">
      <c r="A296" s="89"/>
      <c r="B296" s="141" t="s">
        <v>358</v>
      </c>
      <c r="C296" s="373" t="s">
        <v>425</v>
      </c>
      <c r="D296" s="373" t="s">
        <v>137</v>
      </c>
      <c r="E296" s="409" t="s">
        <v>300</v>
      </c>
      <c r="F296" s="266" t="s">
        <v>423</v>
      </c>
      <c r="G296" s="403" t="s">
        <v>173</v>
      </c>
      <c r="H296" s="404" t="s">
        <v>173</v>
      </c>
      <c r="I296" s="412" t="s">
        <v>300</v>
      </c>
      <c r="J296" s="360">
        <v>1.25</v>
      </c>
      <c r="K296" s="403" t="s">
        <v>173</v>
      </c>
      <c r="L296" s="404" t="s">
        <v>173</v>
      </c>
      <c r="M296" s="364"/>
      <c r="N296" s="364"/>
      <c r="O296" s="364"/>
      <c r="P296" s="364"/>
      <c r="Q296" s="364"/>
      <c r="R296" s="531"/>
      <c r="S296" s="397"/>
      <c r="T296" s="397"/>
      <c r="U296" s="359"/>
      <c r="V296" s="532"/>
      <c r="W296" s="359"/>
      <c r="X296" s="531"/>
    </row>
    <row r="297" spans="1:24" s="357" customFormat="1" x14ac:dyDescent="0.3">
      <c r="A297" s="89"/>
      <c r="B297" s="141" t="s">
        <v>360</v>
      </c>
      <c r="C297" s="373" t="s">
        <v>426</v>
      </c>
      <c r="D297" s="373" t="s">
        <v>137</v>
      </c>
      <c r="E297" s="409" t="s">
        <v>300</v>
      </c>
      <c r="F297" s="266" t="s">
        <v>423</v>
      </c>
      <c r="G297" s="403" t="s">
        <v>173</v>
      </c>
      <c r="H297" s="404" t="s">
        <v>173</v>
      </c>
      <c r="I297" s="412" t="s">
        <v>300</v>
      </c>
      <c r="J297" s="360">
        <v>1.25</v>
      </c>
      <c r="K297" s="403" t="s">
        <v>173</v>
      </c>
      <c r="L297" s="404" t="s">
        <v>173</v>
      </c>
      <c r="M297" s="364"/>
      <c r="N297" s="364"/>
      <c r="O297" s="364"/>
      <c r="P297" s="364"/>
      <c r="Q297" s="364"/>
      <c r="R297" s="531"/>
      <c r="S297" s="397"/>
      <c r="T297" s="397"/>
      <c r="U297" s="359"/>
      <c r="V297" s="532"/>
      <c r="W297" s="359"/>
      <c r="X297" s="531"/>
    </row>
    <row r="298" spans="1:24" s="357" customFormat="1" x14ac:dyDescent="0.3">
      <c r="A298" s="89"/>
      <c r="B298" s="141" t="s">
        <v>351</v>
      </c>
      <c r="C298" s="373" t="s">
        <v>786</v>
      </c>
      <c r="D298" s="373" t="s">
        <v>137</v>
      </c>
      <c r="E298" s="409" t="s">
        <v>300</v>
      </c>
      <c r="F298" s="266" t="s">
        <v>423</v>
      </c>
      <c r="G298" s="403" t="s">
        <v>173</v>
      </c>
      <c r="H298" s="404" t="s">
        <v>173</v>
      </c>
      <c r="I298" s="412" t="s">
        <v>300</v>
      </c>
      <c r="J298" s="360">
        <v>1.25</v>
      </c>
      <c r="K298" s="403" t="s">
        <v>173</v>
      </c>
      <c r="L298" s="404" t="s">
        <v>173</v>
      </c>
      <c r="M298" s="364"/>
      <c r="N298" s="364"/>
      <c r="O298" s="364"/>
      <c r="P298" s="364"/>
      <c r="Q298" s="364"/>
      <c r="R298" s="531"/>
      <c r="S298" s="397"/>
      <c r="T298" s="397"/>
      <c r="U298" s="359"/>
      <c r="V298" s="532"/>
      <c r="W298" s="359"/>
      <c r="X298" s="531"/>
    </row>
    <row r="299" spans="1:24" s="359" customFormat="1" x14ac:dyDescent="0.3">
      <c r="A299" s="373"/>
      <c r="B299" s="141" t="s">
        <v>356</v>
      </c>
      <c r="C299" s="373" t="s">
        <v>786</v>
      </c>
      <c r="D299" s="373" t="s">
        <v>137</v>
      </c>
      <c r="E299" s="409" t="s">
        <v>300</v>
      </c>
      <c r="F299" s="266" t="s">
        <v>423</v>
      </c>
      <c r="G299" s="403" t="s">
        <v>173</v>
      </c>
      <c r="H299" s="404" t="s">
        <v>173</v>
      </c>
      <c r="I299" s="412" t="s">
        <v>300</v>
      </c>
      <c r="J299" s="360">
        <v>1.25</v>
      </c>
      <c r="K299" s="403" t="s">
        <v>173</v>
      </c>
      <c r="L299" s="404" t="s">
        <v>173</v>
      </c>
      <c r="M299" s="373"/>
      <c r="N299" s="373"/>
      <c r="O299" s="373"/>
      <c r="P299" s="373"/>
      <c r="Q299" s="373"/>
      <c r="R299" s="531"/>
      <c r="S299" s="397"/>
      <c r="T299" s="397"/>
      <c r="V299" s="532"/>
      <c r="X299" s="531"/>
    </row>
    <row r="300" spans="1:24" s="359" customFormat="1" x14ac:dyDescent="0.3">
      <c r="A300" s="373"/>
      <c r="B300" s="141" t="s">
        <v>358</v>
      </c>
      <c r="C300" s="373" t="s">
        <v>786</v>
      </c>
      <c r="D300" s="373" t="s">
        <v>137</v>
      </c>
      <c r="E300" s="409" t="s">
        <v>300</v>
      </c>
      <c r="F300" s="266" t="s">
        <v>423</v>
      </c>
      <c r="G300" s="403" t="s">
        <v>173</v>
      </c>
      <c r="H300" s="404" t="s">
        <v>173</v>
      </c>
      <c r="I300" s="412" t="s">
        <v>300</v>
      </c>
      <c r="J300" s="360">
        <v>1.25</v>
      </c>
      <c r="K300" s="403" t="s">
        <v>173</v>
      </c>
      <c r="L300" s="404" t="s">
        <v>173</v>
      </c>
      <c r="M300" s="373"/>
      <c r="N300" s="373"/>
      <c r="O300" s="373"/>
      <c r="P300" s="373"/>
      <c r="Q300" s="373"/>
      <c r="R300" s="531"/>
      <c r="S300" s="397"/>
      <c r="T300" s="397"/>
      <c r="V300" s="532"/>
      <c r="X300" s="531"/>
    </row>
    <row r="301" spans="1:24" s="359" customFormat="1" x14ac:dyDescent="0.3">
      <c r="A301" s="373"/>
      <c r="B301" s="141" t="s">
        <v>360</v>
      </c>
      <c r="C301" s="373" t="s">
        <v>786</v>
      </c>
      <c r="D301" s="373" t="s">
        <v>137</v>
      </c>
      <c r="E301" s="409" t="s">
        <v>300</v>
      </c>
      <c r="F301" s="266" t="s">
        <v>423</v>
      </c>
      <c r="G301" s="403" t="s">
        <v>173</v>
      </c>
      <c r="H301" s="404" t="s">
        <v>173</v>
      </c>
      <c r="I301" s="142" t="s">
        <v>300</v>
      </c>
      <c r="J301" s="360">
        <v>1.25</v>
      </c>
      <c r="K301" s="403" t="s">
        <v>173</v>
      </c>
      <c r="L301" s="404" t="s">
        <v>173</v>
      </c>
      <c r="M301" s="373"/>
      <c r="N301" s="373"/>
      <c r="O301" s="373"/>
      <c r="P301" s="373"/>
      <c r="Q301" s="373"/>
      <c r="R301" s="531"/>
      <c r="S301" s="397"/>
      <c r="T301" s="397"/>
      <c r="V301" s="532"/>
      <c r="X301" s="531"/>
    </row>
    <row r="302" spans="1:24" s="357" customFormat="1" ht="27.6" x14ac:dyDescent="0.3">
      <c r="A302" s="89"/>
      <c r="B302" s="180" t="s">
        <v>784</v>
      </c>
      <c r="C302" s="156" t="s">
        <v>787</v>
      </c>
      <c r="D302" s="186" t="s">
        <v>137</v>
      </c>
      <c r="E302" s="410"/>
      <c r="F302" s="198" t="s">
        <v>788</v>
      </c>
      <c r="G302" s="405" t="s">
        <v>173</v>
      </c>
      <c r="H302" s="406" t="s">
        <v>173</v>
      </c>
      <c r="I302" s="160" t="s">
        <v>300</v>
      </c>
      <c r="J302" s="198">
        <v>1.25</v>
      </c>
      <c r="K302" s="405" t="s">
        <v>173</v>
      </c>
      <c r="L302" s="406" t="s">
        <v>173</v>
      </c>
      <c r="M302" s="364"/>
      <c r="N302" s="364"/>
      <c r="O302" s="364"/>
      <c r="P302" s="364"/>
      <c r="Q302" s="364"/>
      <c r="R302" s="531"/>
      <c r="S302" s="397"/>
      <c r="T302" s="397"/>
      <c r="U302" s="359"/>
      <c r="V302" s="532"/>
      <c r="W302" s="359"/>
      <c r="X302" s="531"/>
    </row>
    <row r="303" spans="1:24" s="391" customFormat="1" ht="14.4" x14ac:dyDescent="0.3">
      <c r="A303" s="89"/>
      <c r="B303" s="380"/>
      <c r="C303" s="380"/>
      <c r="D303" s="982"/>
      <c r="E303" s="357"/>
      <c r="F303" s="982"/>
      <c r="G303" s="357"/>
      <c r="H303" s="982"/>
      <c r="I303" s="357"/>
      <c r="J303" s="982"/>
      <c r="K303" s="357"/>
      <c r="L303" s="982"/>
      <c r="M303" s="364"/>
      <c r="N303" s="364"/>
      <c r="O303" s="364"/>
      <c r="P303" s="364"/>
      <c r="Q303" s="364"/>
      <c r="R303" s="364"/>
      <c r="S303" s="364"/>
      <c r="T303" s="364"/>
      <c r="U303" s="364"/>
      <c r="V303" s="364"/>
      <c r="W303" s="364"/>
      <c r="X303" s="364"/>
    </row>
    <row r="304" spans="1:24" s="391" customFormat="1" ht="14.4" x14ac:dyDescent="0.3">
      <c r="A304" s="89"/>
      <c r="B304" s="380"/>
      <c r="C304" s="380"/>
      <c r="D304" s="982"/>
      <c r="E304" s="357"/>
      <c r="F304" s="982"/>
      <c r="G304" s="357"/>
      <c r="H304" s="982"/>
      <c r="I304" s="357"/>
      <c r="J304" s="982"/>
      <c r="K304" s="357"/>
      <c r="L304" s="982"/>
      <c r="M304" s="364"/>
      <c r="N304" s="364"/>
      <c r="O304" s="364"/>
      <c r="P304" s="364"/>
      <c r="Q304" s="364"/>
      <c r="R304" s="364"/>
      <c r="S304" s="364"/>
      <c r="T304" s="364"/>
      <c r="U304" s="364"/>
      <c r="V304" s="364"/>
      <c r="W304" s="364"/>
      <c r="X304" s="364"/>
    </row>
    <row r="305" spans="1:25" s="391" customFormat="1" ht="27.6" x14ac:dyDescent="0.3">
      <c r="A305" s="89"/>
      <c r="B305" s="194" t="s">
        <v>330</v>
      </c>
      <c r="C305" s="120" t="s">
        <v>432</v>
      </c>
      <c r="D305" s="119" t="s">
        <v>122</v>
      </c>
      <c r="E305" s="131"/>
      <c r="F305" s="117" t="s">
        <v>433</v>
      </c>
      <c r="G305" s="120"/>
      <c r="H305" s="173" t="s">
        <v>434</v>
      </c>
      <c r="I305" s="131"/>
      <c r="J305" s="117" t="s">
        <v>435</v>
      </c>
      <c r="K305" s="120"/>
      <c r="L305" s="173" t="s">
        <v>436</v>
      </c>
      <c r="M305" s="194"/>
      <c r="N305" s="148" t="s">
        <v>437</v>
      </c>
      <c r="O305" s="173"/>
      <c r="P305" s="173" t="s">
        <v>438</v>
      </c>
      <c r="Q305" s="194"/>
      <c r="R305" s="117" t="s">
        <v>439</v>
      </c>
      <c r="S305" s="194"/>
      <c r="T305" s="117" t="s">
        <v>440</v>
      </c>
      <c r="U305" s="194"/>
      <c r="V305" s="117" t="s">
        <v>789</v>
      </c>
      <c r="W305" s="364"/>
      <c r="X305" s="364"/>
      <c r="Y305" s="982"/>
    </row>
    <row r="306" spans="1:25" s="391" customFormat="1" ht="15" thickBot="1" x14ac:dyDescent="0.35">
      <c r="A306" s="89"/>
      <c r="B306" s="178" t="s">
        <v>441</v>
      </c>
      <c r="C306" s="176" t="s">
        <v>442</v>
      </c>
      <c r="D306" s="176"/>
      <c r="E306" s="183"/>
      <c r="F306" s="179" t="s">
        <v>443</v>
      </c>
      <c r="G306" s="177"/>
      <c r="H306" s="176" t="s">
        <v>444</v>
      </c>
      <c r="I306" s="183"/>
      <c r="J306" s="179"/>
      <c r="K306" s="177"/>
      <c r="L306" s="176" t="s">
        <v>445</v>
      </c>
      <c r="M306" s="183"/>
      <c r="N306" s="179" t="s">
        <v>446</v>
      </c>
      <c r="O306" s="177"/>
      <c r="P306" s="176" t="s">
        <v>447</v>
      </c>
      <c r="Q306" s="183"/>
      <c r="R306" s="179" t="s">
        <v>448</v>
      </c>
      <c r="S306" s="183"/>
      <c r="T306" s="179" t="s">
        <v>449</v>
      </c>
      <c r="U306" s="183"/>
      <c r="V306" s="179" t="s">
        <v>790</v>
      </c>
      <c r="W306" s="364"/>
      <c r="X306" s="364"/>
      <c r="Y306" s="982"/>
    </row>
    <row r="307" spans="1:25" s="359" customFormat="1" ht="15" thickTop="1" x14ac:dyDescent="0.3">
      <c r="A307" s="373"/>
      <c r="B307" s="141" t="s">
        <v>352</v>
      </c>
      <c r="C307" s="373" t="s">
        <v>450</v>
      </c>
      <c r="D307" s="373" t="s">
        <v>137</v>
      </c>
      <c r="E307" s="409" t="s">
        <v>300</v>
      </c>
      <c r="F307" s="373" t="s">
        <v>451</v>
      </c>
      <c r="G307" s="409"/>
      <c r="H307" s="365" t="s">
        <v>452</v>
      </c>
      <c r="I307" s="458" t="s">
        <v>173</v>
      </c>
      <c r="J307" s="99">
        <v>9055.16</v>
      </c>
      <c r="K307" s="458" t="s">
        <v>173</v>
      </c>
      <c r="L307" s="598">
        <f>0.0013*J307</f>
        <v>11.771707999999999</v>
      </c>
      <c r="M307" s="409"/>
      <c r="N307" s="365">
        <v>0.65</v>
      </c>
      <c r="O307" s="409"/>
      <c r="P307" s="701">
        <v>3.5</v>
      </c>
      <c r="Q307" s="409"/>
      <c r="R307" s="705">
        <v>10</v>
      </c>
      <c r="S307" s="409"/>
      <c r="T307" s="704">
        <v>0.91700000000000004</v>
      </c>
      <c r="U307" s="403" t="s">
        <v>173</v>
      </c>
      <c r="V307" s="404" t="s">
        <v>173</v>
      </c>
      <c r="W307" s="364"/>
      <c r="X307" s="364"/>
      <c r="Y307" s="982"/>
    </row>
    <row r="308" spans="1:25" s="359" customFormat="1" ht="14.4" x14ac:dyDescent="0.3">
      <c r="A308" s="373"/>
      <c r="B308" s="141" t="s">
        <v>357</v>
      </c>
      <c r="C308" s="373" t="s">
        <v>453</v>
      </c>
      <c r="D308" s="373" t="s">
        <v>137</v>
      </c>
      <c r="E308" s="412" t="s">
        <v>300</v>
      </c>
      <c r="F308" s="373" t="s">
        <v>451</v>
      </c>
      <c r="G308" s="412"/>
      <c r="H308" s="365" t="s">
        <v>452</v>
      </c>
      <c r="I308" s="459" t="s">
        <v>173</v>
      </c>
      <c r="J308" s="99">
        <v>1305.3499999999999</v>
      </c>
      <c r="K308" s="459" t="s">
        <v>173</v>
      </c>
      <c r="L308" s="598">
        <f t="shared" ref="L308:L310" si="6">0.0013*J308</f>
        <v>1.6969549999999998</v>
      </c>
      <c r="M308" s="409"/>
      <c r="N308" s="365">
        <v>0.65</v>
      </c>
      <c r="O308" s="409"/>
      <c r="P308" s="701">
        <v>3</v>
      </c>
      <c r="Q308" s="409"/>
      <c r="R308" s="706">
        <v>1.5</v>
      </c>
      <c r="S308" s="409"/>
      <c r="T308" s="707">
        <v>0.86499999999999999</v>
      </c>
      <c r="U308" s="403" t="s">
        <v>173</v>
      </c>
      <c r="V308" s="404" t="s">
        <v>173</v>
      </c>
      <c r="W308" s="364"/>
      <c r="X308" s="364"/>
      <c r="Y308" s="982"/>
    </row>
    <row r="309" spans="1:25" s="359" customFormat="1" ht="14.4" x14ac:dyDescent="0.3">
      <c r="A309" s="373"/>
      <c r="B309" s="141" t="s">
        <v>359</v>
      </c>
      <c r="C309" s="373" t="s">
        <v>454</v>
      </c>
      <c r="D309" s="373" t="s">
        <v>137</v>
      </c>
      <c r="E309" s="412" t="s">
        <v>300</v>
      </c>
      <c r="F309" s="373" t="s">
        <v>451</v>
      </c>
      <c r="G309" s="412"/>
      <c r="H309" s="365" t="s">
        <v>452</v>
      </c>
      <c r="I309" s="459" t="s">
        <v>173</v>
      </c>
      <c r="J309" s="99">
        <v>1306.54</v>
      </c>
      <c r="K309" s="459" t="s">
        <v>173</v>
      </c>
      <c r="L309" s="598">
        <f t="shared" si="6"/>
        <v>1.698502</v>
      </c>
      <c r="M309" s="409"/>
      <c r="N309" s="365">
        <v>0.65</v>
      </c>
      <c r="O309" s="409"/>
      <c r="P309" s="701">
        <v>3</v>
      </c>
      <c r="Q309" s="409"/>
      <c r="R309" s="700">
        <v>1.5</v>
      </c>
      <c r="S309" s="409"/>
      <c r="T309" s="707">
        <v>0.86499999999999999</v>
      </c>
      <c r="U309" s="403" t="s">
        <v>173</v>
      </c>
      <c r="V309" s="404" t="s">
        <v>173</v>
      </c>
      <c r="W309" s="364"/>
      <c r="X309" s="364"/>
      <c r="Y309" s="982"/>
    </row>
    <row r="310" spans="1:25" s="359" customFormat="1" ht="14.4" x14ac:dyDescent="0.3">
      <c r="A310" s="373"/>
      <c r="B310" s="141" t="s">
        <v>361</v>
      </c>
      <c r="C310" s="373" t="s">
        <v>455</v>
      </c>
      <c r="D310" s="373" t="s">
        <v>137</v>
      </c>
      <c r="E310" s="412" t="s">
        <v>300</v>
      </c>
      <c r="F310" s="373" t="s">
        <v>451</v>
      </c>
      <c r="G310" s="412"/>
      <c r="H310" s="365" t="s">
        <v>452</v>
      </c>
      <c r="I310" s="459" t="s">
        <v>173</v>
      </c>
      <c r="J310" s="99">
        <v>1592.5</v>
      </c>
      <c r="K310" s="459" t="s">
        <v>173</v>
      </c>
      <c r="L310" s="598">
        <f t="shared" si="6"/>
        <v>2.0702499999999997</v>
      </c>
      <c r="M310" s="409"/>
      <c r="N310" s="365">
        <v>0.65</v>
      </c>
      <c r="O310" s="409"/>
      <c r="P310" s="701">
        <v>3</v>
      </c>
      <c r="Q310" s="409"/>
      <c r="R310" s="706">
        <v>2</v>
      </c>
      <c r="S310" s="409"/>
      <c r="T310" s="707">
        <v>0.86499999999999999</v>
      </c>
      <c r="U310" s="403" t="s">
        <v>173</v>
      </c>
      <c r="V310" s="404" t="s">
        <v>173</v>
      </c>
      <c r="W310" s="364"/>
      <c r="X310" s="364"/>
      <c r="Y310" s="982"/>
    </row>
    <row r="311" spans="1:25" s="359" customFormat="1" ht="14.4" x14ac:dyDescent="0.3">
      <c r="A311" s="373"/>
      <c r="B311" s="141" t="s">
        <v>375</v>
      </c>
      <c r="C311" s="373" t="s">
        <v>791</v>
      </c>
      <c r="D311" s="373" t="s">
        <v>137</v>
      </c>
      <c r="E311" s="412" t="s">
        <v>300</v>
      </c>
      <c r="F311" s="373" t="s">
        <v>458</v>
      </c>
      <c r="G311" s="412"/>
      <c r="H311" s="365" t="s">
        <v>452</v>
      </c>
      <c r="I311" s="459" t="s">
        <v>173</v>
      </c>
      <c r="J311" s="463">
        <v>141.61099999999999</v>
      </c>
      <c r="K311" s="403" t="s">
        <v>173</v>
      </c>
      <c r="L311" s="404" t="s">
        <v>173</v>
      </c>
      <c r="M311" s="459" t="s">
        <v>173</v>
      </c>
      <c r="N311" s="99">
        <v>0.5</v>
      </c>
      <c r="O311" s="459" t="s">
        <v>173</v>
      </c>
      <c r="P311" s="463">
        <v>1.2734000000000001</v>
      </c>
      <c r="Q311" s="459" t="s">
        <v>173</v>
      </c>
      <c r="R311" s="404" t="s">
        <v>173</v>
      </c>
      <c r="S311" s="459" t="s">
        <v>173</v>
      </c>
      <c r="T311" s="99">
        <v>0.85499999999999998</v>
      </c>
      <c r="U311" s="412"/>
      <c r="V311" s="465">
        <f>0.1175*P311/(N311*T311)</f>
        <v>0.3499988304093567</v>
      </c>
      <c r="W311" s="364"/>
      <c r="X311" s="364"/>
      <c r="Y311" s="982"/>
    </row>
    <row r="312" spans="1:25" s="359" customFormat="1" ht="14.4" x14ac:dyDescent="0.3">
      <c r="A312" s="373"/>
      <c r="B312" s="141" t="s">
        <v>375</v>
      </c>
      <c r="C312" s="373" t="s">
        <v>792</v>
      </c>
      <c r="D312" s="373" t="s">
        <v>137</v>
      </c>
      <c r="E312" s="412" t="s">
        <v>300</v>
      </c>
      <c r="F312" s="373" t="s">
        <v>458</v>
      </c>
      <c r="G312" s="412"/>
      <c r="H312" s="365" t="s">
        <v>452</v>
      </c>
      <c r="I312" s="459" t="s">
        <v>173</v>
      </c>
      <c r="J312" s="463">
        <v>144.934</v>
      </c>
      <c r="K312" s="403" t="s">
        <v>173</v>
      </c>
      <c r="L312" s="404" t="s">
        <v>173</v>
      </c>
      <c r="M312" s="459" t="s">
        <v>173</v>
      </c>
      <c r="N312" s="99">
        <v>0.5</v>
      </c>
      <c r="O312" s="459" t="s">
        <v>173</v>
      </c>
      <c r="P312" s="463">
        <v>1.2734000000000001</v>
      </c>
      <c r="Q312" s="459" t="s">
        <v>173</v>
      </c>
      <c r="R312" s="404" t="s">
        <v>173</v>
      </c>
      <c r="S312" s="459" t="s">
        <v>173</v>
      </c>
      <c r="T312" s="99">
        <v>0.85499999999999998</v>
      </c>
      <c r="U312" s="412"/>
      <c r="V312" s="465">
        <f>0.1175*P312/(N312*T312)</f>
        <v>0.3499988304093567</v>
      </c>
      <c r="W312" s="364"/>
      <c r="X312" s="364"/>
      <c r="Y312" s="982"/>
    </row>
    <row r="313" spans="1:25" s="359" customFormat="1" ht="14.4" x14ac:dyDescent="0.3">
      <c r="A313" s="373"/>
      <c r="B313" s="141" t="s">
        <v>375</v>
      </c>
      <c r="C313" s="373" t="s">
        <v>793</v>
      </c>
      <c r="D313" s="373" t="s">
        <v>137</v>
      </c>
      <c r="E313" s="412" t="s">
        <v>300</v>
      </c>
      <c r="F313" s="373" t="s">
        <v>458</v>
      </c>
      <c r="G313" s="412"/>
      <c r="H313" s="365" t="s">
        <v>452</v>
      </c>
      <c r="I313" s="459" t="s">
        <v>173</v>
      </c>
      <c r="J313" s="463">
        <v>136.47</v>
      </c>
      <c r="K313" s="403" t="s">
        <v>173</v>
      </c>
      <c r="L313" s="404" t="s">
        <v>173</v>
      </c>
      <c r="M313" s="459" t="s">
        <v>173</v>
      </c>
      <c r="N313" s="99">
        <v>0.5</v>
      </c>
      <c r="O313" s="459" t="s">
        <v>173</v>
      </c>
      <c r="P313" s="463">
        <v>1.2734000000000001</v>
      </c>
      <c r="Q313" s="459" t="s">
        <v>173</v>
      </c>
      <c r="R313" s="404" t="s">
        <v>173</v>
      </c>
      <c r="S313" s="459" t="s">
        <v>173</v>
      </c>
      <c r="T313" s="99">
        <v>0.85499999999999998</v>
      </c>
      <c r="U313" s="412"/>
      <c r="V313" s="465">
        <f t="shared" ref="V313:V345" si="7">0.1175*P313/(N313*T313)</f>
        <v>0.3499988304093567</v>
      </c>
      <c r="W313" s="364"/>
      <c r="X313" s="364"/>
      <c r="Y313" s="982"/>
    </row>
    <row r="314" spans="1:25" s="359" customFormat="1" ht="14.4" x14ac:dyDescent="0.3">
      <c r="A314" s="373"/>
      <c r="B314" s="141" t="s">
        <v>375</v>
      </c>
      <c r="C314" s="373" t="s">
        <v>794</v>
      </c>
      <c r="D314" s="373" t="s">
        <v>137</v>
      </c>
      <c r="E314" s="412" t="s">
        <v>300</v>
      </c>
      <c r="F314" s="373" t="s">
        <v>458</v>
      </c>
      <c r="G314" s="412"/>
      <c r="H314" s="365" t="s">
        <v>452</v>
      </c>
      <c r="I314" s="459" t="s">
        <v>173</v>
      </c>
      <c r="J314" s="463">
        <v>125.68300000000001</v>
      </c>
      <c r="K314" s="403" t="s">
        <v>173</v>
      </c>
      <c r="L314" s="404" t="s">
        <v>173</v>
      </c>
      <c r="M314" s="459" t="s">
        <v>173</v>
      </c>
      <c r="N314" s="99">
        <v>0.5</v>
      </c>
      <c r="O314" s="459" t="s">
        <v>173</v>
      </c>
      <c r="P314" s="463">
        <v>1.2734000000000001</v>
      </c>
      <c r="Q314" s="459" t="s">
        <v>173</v>
      </c>
      <c r="R314" s="404" t="s">
        <v>173</v>
      </c>
      <c r="S314" s="459" t="s">
        <v>173</v>
      </c>
      <c r="T314" s="99">
        <v>0.85499999999999998</v>
      </c>
      <c r="U314" s="412"/>
      <c r="V314" s="465">
        <f t="shared" si="7"/>
        <v>0.3499988304093567</v>
      </c>
      <c r="W314" s="364"/>
      <c r="X314" s="364"/>
      <c r="Y314" s="982"/>
    </row>
    <row r="315" spans="1:25" s="359" customFormat="1" ht="14.4" x14ac:dyDescent="0.3">
      <c r="A315" s="373"/>
      <c r="B315" s="141" t="s">
        <v>375</v>
      </c>
      <c r="C315" s="373" t="s">
        <v>795</v>
      </c>
      <c r="D315" s="373" t="s">
        <v>137</v>
      </c>
      <c r="E315" s="412" t="s">
        <v>300</v>
      </c>
      <c r="F315" s="373" t="s">
        <v>458</v>
      </c>
      <c r="G315" s="412"/>
      <c r="H315" s="365" t="s">
        <v>452</v>
      </c>
      <c r="I315" s="459" t="s">
        <v>173</v>
      </c>
      <c r="J315" s="463">
        <v>126.20099999999999</v>
      </c>
      <c r="K315" s="403" t="s">
        <v>173</v>
      </c>
      <c r="L315" s="404" t="s">
        <v>173</v>
      </c>
      <c r="M315" s="459" t="s">
        <v>173</v>
      </c>
      <c r="N315" s="99">
        <v>0.5</v>
      </c>
      <c r="O315" s="459" t="s">
        <v>173</v>
      </c>
      <c r="P315" s="463">
        <v>1.2734000000000001</v>
      </c>
      <c r="Q315" s="459" t="s">
        <v>173</v>
      </c>
      <c r="R315" s="404" t="s">
        <v>173</v>
      </c>
      <c r="S315" s="459" t="s">
        <v>173</v>
      </c>
      <c r="T315" s="99">
        <v>0.85499999999999998</v>
      </c>
      <c r="U315" s="412"/>
      <c r="V315" s="465">
        <f t="shared" si="7"/>
        <v>0.3499988304093567</v>
      </c>
      <c r="W315" s="364"/>
      <c r="X315" s="364"/>
      <c r="Y315" s="982"/>
    </row>
    <row r="316" spans="1:25" s="359" customFormat="1" ht="14.4" x14ac:dyDescent="0.3">
      <c r="A316" s="373"/>
      <c r="B316" s="141" t="s">
        <v>375</v>
      </c>
      <c r="C316" s="373" t="s">
        <v>796</v>
      </c>
      <c r="D316" s="373" t="s">
        <v>137</v>
      </c>
      <c r="E316" s="412" t="s">
        <v>300</v>
      </c>
      <c r="F316" s="373" t="s">
        <v>458</v>
      </c>
      <c r="G316" s="412"/>
      <c r="H316" s="365" t="s">
        <v>452</v>
      </c>
      <c r="I316" s="459" t="s">
        <v>173</v>
      </c>
      <c r="J316" s="463">
        <v>154.065</v>
      </c>
      <c r="K316" s="403" t="s">
        <v>173</v>
      </c>
      <c r="L316" s="404" t="s">
        <v>173</v>
      </c>
      <c r="M316" s="459" t="s">
        <v>173</v>
      </c>
      <c r="N316" s="99">
        <v>0.5</v>
      </c>
      <c r="O316" s="459" t="s">
        <v>173</v>
      </c>
      <c r="P316" s="463">
        <v>1.2734000000000001</v>
      </c>
      <c r="Q316" s="459" t="s">
        <v>173</v>
      </c>
      <c r="R316" s="404" t="s">
        <v>173</v>
      </c>
      <c r="S316" s="459" t="s">
        <v>173</v>
      </c>
      <c r="T316" s="99">
        <v>0.85499999999999998</v>
      </c>
      <c r="U316" s="412"/>
      <c r="V316" s="465">
        <f t="shared" si="7"/>
        <v>0.3499988304093567</v>
      </c>
      <c r="W316" s="364"/>
      <c r="X316" s="364"/>
      <c r="Y316" s="982"/>
    </row>
    <row r="317" spans="1:25" s="359" customFormat="1" ht="14.4" x14ac:dyDescent="0.3">
      <c r="A317" s="373"/>
      <c r="B317" s="141" t="s">
        <v>375</v>
      </c>
      <c r="C317" s="373" t="s">
        <v>797</v>
      </c>
      <c r="D317" s="373" t="s">
        <v>137</v>
      </c>
      <c r="E317" s="412" t="s">
        <v>300</v>
      </c>
      <c r="F317" s="373" t="s">
        <v>458</v>
      </c>
      <c r="G317" s="412"/>
      <c r="H317" s="365" t="s">
        <v>452</v>
      </c>
      <c r="I317" s="459" t="s">
        <v>173</v>
      </c>
      <c r="J317" s="463">
        <v>131.005</v>
      </c>
      <c r="K317" s="403" t="s">
        <v>173</v>
      </c>
      <c r="L317" s="404" t="s">
        <v>173</v>
      </c>
      <c r="M317" s="459" t="s">
        <v>173</v>
      </c>
      <c r="N317" s="99">
        <v>0.5</v>
      </c>
      <c r="O317" s="459" t="s">
        <v>173</v>
      </c>
      <c r="P317" s="463">
        <v>1.2734000000000001</v>
      </c>
      <c r="Q317" s="459" t="s">
        <v>173</v>
      </c>
      <c r="R317" s="404" t="s">
        <v>173</v>
      </c>
      <c r="S317" s="459" t="s">
        <v>173</v>
      </c>
      <c r="T317" s="99">
        <v>0.85499999999999998</v>
      </c>
      <c r="U317" s="412"/>
      <c r="V317" s="465">
        <f t="shared" si="7"/>
        <v>0.3499988304093567</v>
      </c>
      <c r="W317" s="364"/>
      <c r="X317" s="364"/>
      <c r="Y317" s="982"/>
    </row>
    <row r="318" spans="1:25" s="359" customFormat="1" ht="14.4" x14ac:dyDescent="0.3">
      <c r="A318" s="373"/>
      <c r="B318" s="141" t="s">
        <v>375</v>
      </c>
      <c r="C318" s="373" t="s">
        <v>798</v>
      </c>
      <c r="D318" s="373" t="s">
        <v>137</v>
      </c>
      <c r="E318" s="412" t="s">
        <v>300</v>
      </c>
      <c r="F318" s="373" t="s">
        <v>458</v>
      </c>
      <c r="G318" s="412"/>
      <c r="H318" s="365" t="s">
        <v>452</v>
      </c>
      <c r="I318" s="459" t="s">
        <v>173</v>
      </c>
      <c r="J318" s="463">
        <v>137.18700000000001</v>
      </c>
      <c r="K318" s="403" t="s">
        <v>173</v>
      </c>
      <c r="L318" s="404" t="s">
        <v>173</v>
      </c>
      <c r="M318" s="459" t="s">
        <v>173</v>
      </c>
      <c r="N318" s="99">
        <v>0.5</v>
      </c>
      <c r="O318" s="459" t="s">
        <v>173</v>
      </c>
      <c r="P318" s="463">
        <v>1.2734000000000001</v>
      </c>
      <c r="Q318" s="459" t="s">
        <v>173</v>
      </c>
      <c r="R318" s="404" t="s">
        <v>173</v>
      </c>
      <c r="S318" s="459" t="s">
        <v>173</v>
      </c>
      <c r="T318" s="99">
        <v>0.85499999999999998</v>
      </c>
      <c r="U318" s="412"/>
      <c r="V318" s="465">
        <f t="shared" si="7"/>
        <v>0.3499988304093567</v>
      </c>
      <c r="W318" s="364"/>
      <c r="X318" s="364"/>
      <c r="Y318" s="982"/>
    </row>
    <row r="319" spans="1:25" s="359" customFormat="1" ht="14.4" x14ac:dyDescent="0.3">
      <c r="A319" s="373"/>
      <c r="B319" s="141" t="s">
        <v>375</v>
      </c>
      <c r="C319" s="373" t="s">
        <v>799</v>
      </c>
      <c r="D319" s="373" t="s">
        <v>137</v>
      </c>
      <c r="E319" s="412" t="s">
        <v>300</v>
      </c>
      <c r="F319" s="373" t="s">
        <v>458</v>
      </c>
      <c r="G319" s="412"/>
      <c r="H319" s="365" t="s">
        <v>452</v>
      </c>
      <c r="I319" s="459" t="s">
        <v>173</v>
      </c>
      <c r="J319" s="463">
        <v>118.142</v>
      </c>
      <c r="K319" s="403" t="s">
        <v>173</v>
      </c>
      <c r="L319" s="404" t="s">
        <v>173</v>
      </c>
      <c r="M319" s="459" t="s">
        <v>173</v>
      </c>
      <c r="N319" s="99">
        <v>0.5</v>
      </c>
      <c r="O319" s="459" t="s">
        <v>173</v>
      </c>
      <c r="P319" s="463">
        <v>1.2734000000000001</v>
      </c>
      <c r="Q319" s="459" t="s">
        <v>173</v>
      </c>
      <c r="R319" s="404" t="s">
        <v>173</v>
      </c>
      <c r="S319" s="459" t="s">
        <v>173</v>
      </c>
      <c r="T319" s="99">
        <v>0.85499999999999998</v>
      </c>
      <c r="U319" s="412"/>
      <c r="V319" s="465">
        <f t="shared" si="7"/>
        <v>0.3499988304093567</v>
      </c>
      <c r="W319" s="364"/>
      <c r="X319" s="364"/>
      <c r="Y319" s="982"/>
    </row>
    <row r="320" spans="1:25" s="359" customFormat="1" ht="14.4" x14ac:dyDescent="0.3">
      <c r="A320" s="373"/>
      <c r="B320" s="141" t="s">
        <v>375</v>
      </c>
      <c r="C320" s="373" t="s">
        <v>800</v>
      </c>
      <c r="D320" s="373" t="s">
        <v>137</v>
      </c>
      <c r="E320" s="412" t="s">
        <v>300</v>
      </c>
      <c r="F320" s="373" t="s">
        <v>458</v>
      </c>
      <c r="G320" s="412"/>
      <c r="H320" s="365" t="s">
        <v>452</v>
      </c>
      <c r="I320" s="459" t="s">
        <v>173</v>
      </c>
      <c r="J320" s="463">
        <v>118.07</v>
      </c>
      <c r="K320" s="403" t="s">
        <v>173</v>
      </c>
      <c r="L320" s="404" t="s">
        <v>173</v>
      </c>
      <c r="M320" s="459" t="s">
        <v>173</v>
      </c>
      <c r="N320" s="99">
        <v>0.5</v>
      </c>
      <c r="O320" s="459" t="s">
        <v>173</v>
      </c>
      <c r="P320" s="463">
        <v>1.2734000000000001</v>
      </c>
      <c r="Q320" s="459" t="s">
        <v>173</v>
      </c>
      <c r="R320" s="404" t="s">
        <v>173</v>
      </c>
      <c r="S320" s="459" t="s">
        <v>173</v>
      </c>
      <c r="T320" s="99">
        <v>0.85499999999999998</v>
      </c>
      <c r="U320" s="412"/>
      <c r="V320" s="465">
        <f t="shared" si="7"/>
        <v>0.3499988304093567</v>
      </c>
      <c r="W320" s="364"/>
      <c r="X320" s="364"/>
      <c r="Y320" s="982"/>
    </row>
    <row r="321" spans="1:25" s="359" customFormat="1" ht="14.4" x14ac:dyDescent="0.3">
      <c r="A321" s="373"/>
      <c r="B321" s="141" t="s">
        <v>375</v>
      </c>
      <c r="C321" s="373" t="s">
        <v>801</v>
      </c>
      <c r="D321" s="373" t="s">
        <v>137</v>
      </c>
      <c r="E321" s="412" t="s">
        <v>300</v>
      </c>
      <c r="F321" s="373" t="s">
        <v>458</v>
      </c>
      <c r="G321" s="412"/>
      <c r="H321" s="365" t="s">
        <v>452</v>
      </c>
      <c r="I321" s="459" t="s">
        <v>173</v>
      </c>
      <c r="J321" s="463">
        <v>97.347499999999997</v>
      </c>
      <c r="K321" s="403" t="s">
        <v>173</v>
      </c>
      <c r="L321" s="404" t="s">
        <v>173</v>
      </c>
      <c r="M321" s="459" t="s">
        <v>173</v>
      </c>
      <c r="N321" s="99">
        <v>0.5</v>
      </c>
      <c r="O321" s="459" t="s">
        <v>173</v>
      </c>
      <c r="P321" s="463">
        <v>1.2734000000000001</v>
      </c>
      <c r="Q321" s="459" t="s">
        <v>173</v>
      </c>
      <c r="R321" s="404" t="s">
        <v>173</v>
      </c>
      <c r="S321" s="459" t="s">
        <v>173</v>
      </c>
      <c r="T321" s="99">
        <v>0.85499999999999998</v>
      </c>
      <c r="U321" s="412"/>
      <c r="V321" s="465">
        <f t="shared" si="7"/>
        <v>0.3499988304093567</v>
      </c>
      <c r="W321" s="364"/>
      <c r="X321" s="364"/>
      <c r="Y321" s="982"/>
    </row>
    <row r="322" spans="1:25" s="359" customFormat="1" ht="14.4" x14ac:dyDescent="0.3">
      <c r="A322" s="373"/>
      <c r="B322" s="141" t="s">
        <v>375</v>
      </c>
      <c r="C322" s="373" t="s">
        <v>802</v>
      </c>
      <c r="D322" s="373" t="s">
        <v>137</v>
      </c>
      <c r="E322" s="412" t="s">
        <v>300</v>
      </c>
      <c r="F322" s="373" t="s">
        <v>458</v>
      </c>
      <c r="G322" s="412"/>
      <c r="H322" s="365" t="s">
        <v>452</v>
      </c>
      <c r="I322" s="459" t="s">
        <v>173</v>
      </c>
      <c r="J322" s="463">
        <v>94.659400000000005</v>
      </c>
      <c r="K322" s="403" t="s">
        <v>173</v>
      </c>
      <c r="L322" s="404" t="s">
        <v>173</v>
      </c>
      <c r="M322" s="459" t="s">
        <v>173</v>
      </c>
      <c r="N322" s="99">
        <v>0.5</v>
      </c>
      <c r="O322" s="459" t="s">
        <v>173</v>
      </c>
      <c r="P322" s="463">
        <v>1.2734000000000001</v>
      </c>
      <c r="Q322" s="459" t="s">
        <v>173</v>
      </c>
      <c r="R322" s="404" t="s">
        <v>173</v>
      </c>
      <c r="S322" s="459" t="s">
        <v>173</v>
      </c>
      <c r="T322" s="99">
        <v>0.85499999999999998</v>
      </c>
      <c r="U322" s="412"/>
      <c r="V322" s="465">
        <f t="shared" si="7"/>
        <v>0.3499988304093567</v>
      </c>
      <c r="W322" s="364"/>
      <c r="X322" s="364"/>
      <c r="Y322" s="982"/>
    </row>
    <row r="323" spans="1:25" s="359" customFormat="1" ht="14.4" x14ac:dyDescent="0.3">
      <c r="A323" s="373"/>
      <c r="B323" s="141" t="s">
        <v>375</v>
      </c>
      <c r="C323" s="373" t="s">
        <v>803</v>
      </c>
      <c r="D323" s="373" t="s">
        <v>137</v>
      </c>
      <c r="E323" s="412" t="s">
        <v>300</v>
      </c>
      <c r="F323" s="373" t="s">
        <v>458</v>
      </c>
      <c r="G323" s="412"/>
      <c r="H323" s="365" t="s">
        <v>452</v>
      </c>
      <c r="I323" s="459" t="s">
        <v>173</v>
      </c>
      <c r="J323" s="463">
        <v>96.691999999999993</v>
      </c>
      <c r="K323" s="403" t="s">
        <v>173</v>
      </c>
      <c r="L323" s="404" t="s">
        <v>173</v>
      </c>
      <c r="M323" s="459" t="s">
        <v>173</v>
      </c>
      <c r="N323" s="99">
        <v>0.5</v>
      </c>
      <c r="O323" s="459" t="s">
        <v>173</v>
      </c>
      <c r="P323" s="463">
        <v>1.2734000000000001</v>
      </c>
      <c r="Q323" s="459" t="s">
        <v>173</v>
      </c>
      <c r="R323" s="404" t="s">
        <v>173</v>
      </c>
      <c r="S323" s="459" t="s">
        <v>173</v>
      </c>
      <c r="T323" s="99">
        <v>0.85499999999999998</v>
      </c>
      <c r="U323" s="412"/>
      <c r="V323" s="465">
        <f t="shared" si="7"/>
        <v>0.3499988304093567</v>
      </c>
      <c r="W323" s="364"/>
      <c r="X323" s="364"/>
      <c r="Y323" s="982"/>
    </row>
    <row r="324" spans="1:25" s="359" customFormat="1" ht="14.4" x14ac:dyDescent="0.3">
      <c r="A324" s="373"/>
      <c r="B324" s="141" t="s">
        <v>375</v>
      </c>
      <c r="C324" s="373" t="s">
        <v>804</v>
      </c>
      <c r="D324" s="373" t="s">
        <v>137</v>
      </c>
      <c r="E324" s="412" t="s">
        <v>300</v>
      </c>
      <c r="F324" s="373" t="s">
        <v>458</v>
      </c>
      <c r="G324" s="412"/>
      <c r="H324" s="365" t="s">
        <v>452</v>
      </c>
      <c r="I324" s="459" t="s">
        <v>173</v>
      </c>
      <c r="J324" s="463">
        <v>93.825599999999994</v>
      </c>
      <c r="K324" s="403" t="s">
        <v>173</v>
      </c>
      <c r="L324" s="404" t="s">
        <v>173</v>
      </c>
      <c r="M324" s="459" t="s">
        <v>173</v>
      </c>
      <c r="N324" s="99">
        <v>0.5</v>
      </c>
      <c r="O324" s="459" t="s">
        <v>173</v>
      </c>
      <c r="P324" s="463">
        <v>1.2734000000000001</v>
      </c>
      <c r="Q324" s="459" t="s">
        <v>173</v>
      </c>
      <c r="R324" s="404" t="s">
        <v>173</v>
      </c>
      <c r="S324" s="459" t="s">
        <v>173</v>
      </c>
      <c r="T324" s="99">
        <v>0.85499999999999998</v>
      </c>
      <c r="U324" s="412"/>
      <c r="V324" s="465">
        <f t="shared" si="7"/>
        <v>0.3499988304093567</v>
      </c>
      <c r="W324" s="364"/>
      <c r="X324" s="364"/>
      <c r="Y324" s="982"/>
    </row>
    <row r="325" spans="1:25" s="359" customFormat="1" ht="14.4" x14ac:dyDescent="0.3">
      <c r="A325" s="373"/>
      <c r="B325" s="141" t="s">
        <v>375</v>
      </c>
      <c r="C325" s="373" t="s">
        <v>805</v>
      </c>
      <c r="D325" s="373" t="s">
        <v>137</v>
      </c>
      <c r="E325" s="412" t="s">
        <v>300</v>
      </c>
      <c r="F325" s="373" t="s">
        <v>458</v>
      </c>
      <c r="G325" s="412"/>
      <c r="H325" s="365" t="s">
        <v>452</v>
      </c>
      <c r="I325" s="459" t="s">
        <v>173</v>
      </c>
      <c r="J325" s="463">
        <v>95.507499999999993</v>
      </c>
      <c r="K325" s="403" t="s">
        <v>173</v>
      </c>
      <c r="L325" s="404" t="s">
        <v>173</v>
      </c>
      <c r="M325" s="459" t="s">
        <v>173</v>
      </c>
      <c r="N325" s="99">
        <v>0.5</v>
      </c>
      <c r="O325" s="459" t="s">
        <v>173</v>
      </c>
      <c r="P325" s="463">
        <v>1.2734000000000001</v>
      </c>
      <c r="Q325" s="459" t="s">
        <v>173</v>
      </c>
      <c r="R325" s="404" t="s">
        <v>173</v>
      </c>
      <c r="S325" s="459" t="s">
        <v>173</v>
      </c>
      <c r="T325" s="99">
        <v>0.85499999999999998</v>
      </c>
      <c r="U325" s="412"/>
      <c r="V325" s="465">
        <f t="shared" si="7"/>
        <v>0.3499988304093567</v>
      </c>
      <c r="W325" s="364"/>
      <c r="X325" s="364"/>
      <c r="Y325" s="982"/>
    </row>
    <row r="326" spans="1:25" s="359" customFormat="1" ht="14.4" x14ac:dyDescent="0.3">
      <c r="A326" s="373"/>
      <c r="B326" s="141" t="s">
        <v>375</v>
      </c>
      <c r="C326" s="373" t="s">
        <v>806</v>
      </c>
      <c r="D326" s="373" t="s">
        <v>137</v>
      </c>
      <c r="E326" s="412" t="s">
        <v>300</v>
      </c>
      <c r="F326" s="373" t="s">
        <v>458</v>
      </c>
      <c r="G326" s="412"/>
      <c r="H326" s="365" t="s">
        <v>452</v>
      </c>
      <c r="I326" s="459" t="s">
        <v>173</v>
      </c>
      <c r="J326" s="463">
        <v>240.55699999999999</v>
      </c>
      <c r="K326" s="403" t="s">
        <v>173</v>
      </c>
      <c r="L326" s="404" t="s">
        <v>173</v>
      </c>
      <c r="M326" s="459" t="s">
        <v>173</v>
      </c>
      <c r="N326" s="99">
        <v>0.5</v>
      </c>
      <c r="O326" s="459" t="s">
        <v>173</v>
      </c>
      <c r="P326" s="463">
        <v>1.2734000000000001</v>
      </c>
      <c r="Q326" s="459" t="s">
        <v>173</v>
      </c>
      <c r="R326" s="404" t="s">
        <v>173</v>
      </c>
      <c r="S326" s="459" t="s">
        <v>173</v>
      </c>
      <c r="T326" s="99">
        <v>0.85499999999999998</v>
      </c>
      <c r="U326" s="412"/>
      <c r="V326" s="465">
        <f t="shared" si="7"/>
        <v>0.3499988304093567</v>
      </c>
      <c r="W326" s="364"/>
      <c r="X326" s="364"/>
      <c r="Y326" s="982"/>
    </row>
    <row r="327" spans="1:25" s="359" customFormat="1" ht="14.4" x14ac:dyDescent="0.3">
      <c r="A327" s="373"/>
      <c r="B327" s="141" t="s">
        <v>375</v>
      </c>
      <c r="C327" s="373" t="s">
        <v>807</v>
      </c>
      <c r="D327" s="373" t="s">
        <v>137</v>
      </c>
      <c r="E327" s="412" t="s">
        <v>300</v>
      </c>
      <c r="F327" s="373" t="s">
        <v>458</v>
      </c>
      <c r="G327" s="412"/>
      <c r="H327" s="365" t="s">
        <v>452</v>
      </c>
      <c r="I327" s="459" t="s">
        <v>173</v>
      </c>
      <c r="J327" s="463">
        <v>207.874</v>
      </c>
      <c r="K327" s="403" t="s">
        <v>173</v>
      </c>
      <c r="L327" s="404" t="s">
        <v>173</v>
      </c>
      <c r="M327" s="459" t="s">
        <v>173</v>
      </c>
      <c r="N327" s="99">
        <v>0.5</v>
      </c>
      <c r="O327" s="459" t="s">
        <v>173</v>
      </c>
      <c r="P327" s="463">
        <v>1.2734000000000001</v>
      </c>
      <c r="Q327" s="459" t="s">
        <v>173</v>
      </c>
      <c r="R327" s="404" t="s">
        <v>173</v>
      </c>
      <c r="S327" s="459" t="s">
        <v>173</v>
      </c>
      <c r="T327" s="99">
        <v>0.85499999999999998</v>
      </c>
      <c r="U327" s="412"/>
      <c r="V327" s="465">
        <f t="shared" si="7"/>
        <v>0.3499988304093567</v>
      </c>
      <c r="W327" s="364"/>
      <c r="X327" s="364"/>
      <c r="Y327" s="982"/>
    </row>
    <row r="328" spans="1:25" s="359" customFormat="1" ht="14.4" x14ac:dyDescent="0.3">
      <c r="A328" s="373"/>
      <c r="B328" s="141" t="s">
        <v>375</v>
      </c>
      <c r="C328" s="373" t="s">
        <v>808</v>
      </c>
      <c r="D328" s="373" t="s">
        <v>137</v>
      </c>
      <c r="E328" s="412" t="s">
        <v>300</v>
      </c>
      <c r="F328" s="373" t="s">
        <v>458</v>
      </c>
      <c r="G328" s="412"/>
      <c r="H328" s="365" t="s">
        <v>452</v>
      </c>
      <c r="I328" s="459" t="s">
        <v>173</v>
      </c>
      <c r="J328" s="463">
        <v>226.33500000000001</v>
      </c>
      <c r="K328" s="403" t="s">
        <v>173</v>
      </c>
      <c r="L328" s="404" t="s">
        <v>173</v>
      </c>
      <c r="M328" s="459" t="s">
        <v>173</v>
      </c>
      <c r="N328" s="99">
        <v>0.5</v>
      </c>
      <c r="O328" s="459" t="s">
        <v>173</v>
      </c>
      <c r="P328" s="463">
        <v>1.2734000000000001</v>
      </c>
      <c r="Q328" s="459" t="s">
        <v>173</v>
      </c>
      <c r="R328" s="404" t="s">
        <v>173</v>
      </c>
      <c r="S328" s="459" t="s">
        <v>173</v>
      </c>
      <c r="T328" s="99">
        <v>0.85499999999999998</v>
      </c>
      <c r="U328" s="412"/>
      <c r="V328" s="465">
        <f t="shared" si="7"/>
        <v>0.3499988304093567</v>
      </c>
      <c r="W328" s="364"/>
      <c r="X328" s="364"/>
      <c r="Y328" s="982"/>
    </row>
    <row r="329" spans="1:25" s="359" customFormat="1" ht="14.4" x14ac:dyDescent="0.3">
      <c r="A329" s="373"/>
      <c r="B329" s="141" t="s">
        <v>375</v>
      </c>
      <c r="C329" s="373" t="s">
        <v>809</v>
      </c>
      <c r="D329" s="373" t="s">
        <v>137</v>
      </c>
      <c r="E329" s="412" t="s">
        <v>300</v>
      </c>
      <c r="F329" s="373" t="s">
        <v>458</v>
      </c>
      <c r="G329" s="412"/>
      <c r="H329" s="365" t="s">
        <v>452</v>
      </c>
      <c r="I329" s="459" t="s">
        <v>173</v>
      </c>
      <c r="J329" s="463">
        <v>205.916</v>
      </c>
      <c r="K329" s="403" t="s">
        <v>173</v>
      </c>
      <c r="L329" s="404" t="s">
        <v>173</v>
      </c>
      <c r="M329" s="459" t="s">
        <v>173</v>
      </c>
      <c r="N329" s="99">
        <v>0.5</v>
      </c>
      <c r="O329" s="459" t="s">
        <v>173</v>
      </c>
      <c r="P329" s="463">
        <v>1.2734000000000001</v>
      </c>
      <c r="Q329" s="459" t="s">
        <v>173</v>
      </c>
      <c r="R329" s="404" t="s">
        <v>173</v>
      </c>
      <c r="S329" s="459" t="s">
        <v>173</v>
      </c>
      <c r="T329" s="99">
        <v>0.85499999999999998</v>
      </c>
      <c r="U329" s="412"/>
      <c r="V329" s="465">
        <f t="shared" si="7"/>
        <v>0.3499988304093567</v>
      </c>
      <c r="W329" s="364"/>
      <c r="X329" s="364"/>
      <c r="Y329" s="982"/>
    </row>
    <row r="330" spans="1:25" s="359" customFormat="1" ht="14.4" x14ac:dyDescent="0.3">
      <c r="A330" s="373"/>
      <c r="B330" s="141" t="s">
        <v>375</v>
      </c>
      <c r="C330" s="373" t="s">
        <v>810</v>
      </c>
      <c r="D330" s="373" t="s">
        <v>137</v>
      </c>
      <c r="E330" s="412" t="s">
        <v>300</v>
      </c>
      <c r="F330" s="373" t="s">
        <v>458</v>
      </c>
      <c r="G330" s="412"/>
      <c r="H330" s="365" t="s">
        <v>452</v>
      </c>
      <c r="I330" s="459" t="s">
        <v>173</v>
      </c>
      <c r="J330" s="463">
        <v>206.10300000000001</v>
      </c>
      <c r="K330" s="403" t="s">
        <v>173</v>
      </c>
      <c r="L330" s="404" t="s">
        <v>173</v>
      </c>
      <c r="M330" s="459" t="s">
        <v>173</v>
      </c>
      <c r="N330" s="99">
        <v>0.5</v>
      </c>
      <c r="O330" s="459" t="s">
        <v>173</v>
      </c>
      <c r="P330" s="463">
        <v>1.2734000000000001</v>
      </c>
      <c r="Q330" s="459" t="s">
        <v>173</v>
      </c>
      <c r="R330" s="404" t="s">
        <v>173</v>
      </c>
      <c r="S330" s="459" t="s">
        <v>173</v>
      </c>
      <c r="T330" s="99">
        <v>0.85499999999999998</v>
      </c>
      <c r="U330" s="412"/>
      <c r="V330" s="465">
        <f t="shared" si="7"/>
        <v>0.3499988304093567</v>
      </c>
      <c r="W330" s="364"/>
      <c r="X330" s="364"/>
      <c r="Y330" s="982"/>
    </row>
    <row r="331" spans="1:25" s="359" customFormat="1" ht="14.4" x14ac:dyDescent="0.3">
      <c r="A331" s="373"/>
      <c r="B331" s="141" t="s">
        <v>375</v>
      </c>
      <c r="C331" s="373" t="s">
        <v>811</v>
      </c>
      <c r="D331" s="373" t="s">
        <v>137</v>
      </c>
      <c r="E331" s="412" t="s">
        <v>300</v>
      </c>
      <c r="F331" s="373" t="s">
        <v>458</v>
      </c>
      <c r="G331" s="412"/>
      <c r="H331" s="365" t="s">
        <v>452</v>
      </c>
      <c r="I331" s="459" t="s">
        <v>173</v>
      </c>
      <c r="J331" s="463">
        <v>203.297</v>
      </c>
      <c r="K331" s="403" t="s">
        <v>173</v>
      </c>
      <c r="L331" s="404" t="s">
        <v>173</v>
      </c>
      <c r="M331" s="459" t="s">
        <v>173</v>
      </c>
      <c r="N331" s="99">
        <v>0.5</v>
      </c>
      <c r="O331" s="459" t="s">
        <v>173</v>
      </c>
      <c r="P331" s="463">
        <v>1.2734000000000001</v>
      </c>
      <c r="Q331" s="459" t="s">
        <v>173</v>
      </c>
      <c r="R331" s="404" t="s">
        <v>173</v>
      </c>
      <c r="S331" s="459" t="s">
        <v>173</v>
      </c>
      <c r="T331" s="99">
        <v>0.85499999999999998</v>
      </c>
      <c r="U331" s="412"/>
      <c r="V331" s="465">
        <f t="shared" si="7"/>
        <v>0.3499988304093567</v>
      </c>
      <c r="W331" s="364"/>
      <c r="X331" s="364"/>
      <c r="Y331" s="982"/>
    </row>
    <row r="332" spans="1:25" s="359" customFormat="1" ht="14.4" x14ac:dyDescent="0.3">
      <c r="A332" s="373"/>
      <c r="B332" s="141" t="s">
        <v>375</v>
      </c>
      <c r="C332" s="373" t="s">
        <v>812</v>
      </c>
      <c r="D332" s="373" t="s">
        <v>137</v>
      </c>
      <c r="E332" s="412" t="s">
        <v>300</v>
      </c>
      <c r="F332" s="373" t="s">
        <v>458</v>
      </c>
      <c r="G332" s="412"/>
      <c r="H332" s="365" t="s">
        <v>452</v>
      </c>
      <c r="I332" s="459" t="s">
        <v>173</v>
      </c>
      <c r="J332" s="463">
        <v>202.56399999999999</v>
      </c>
      <c r="K332" s="403" t="s">
        <v>173</v>
      </c>
      <c r="L332" s="404" t="s">
        <v>173</v>
      </c>
      <c r="M332" s="459" t="s">
        <v>173</v>
      </c>
      <c r="N332" s="99">
        <v>0.5</v>
      </c>
      <c r="O332" s="459" t="s">
        <v>173</v>
      </c>
      <c r="P332" s="463">
        <v>1.2734000000000001</v>
      </c>
      <c r="Q332" s="459" t="s">
        <v>173</v>
      </c>
      <c r="R332" s="404" t="s">
        <v>173</v>
      </c>
      <c r="S332" s="459" t="s">
        <v>173</v>
      </c>
      <c r="T332" s="99">
        <v>0.85499999999999998</v>
      </c>
      <c r="U332" s="412"/>
      <c r="V332" s="465">
        <f t="shared" si="7"/>
        <v>0.3499988304093567</v>
      </c>
      <c r="W332" s="364"/>
      <c r="X332" s="364"/>
      <c r="Y332" s="982"/>
    </row>
    <row r="333" spans="1:25" s="359" customFormat="1" ht="14.4" x14ac:dyDescent="0.3">
      <c r="A333" s="373"/>
      <c r="B333" s="141" t="s">
        <v>375</v>
      </c>
      <c r="C333" s="373" t="s">
        <v>813</v>
      </c>
      <c r="D333" s="373" t="s">
        <v>137</v>
      </c>
      <c r="E333" s="412" t="s">
        <v>300</v>
      </c>
      <c r="F333" s="373" t="s">
        <v>458</v>
      </c>
      <c r="G333" s="412"/>
      <c r="H333" s="365" t="s">
        <v>452</v>
      </c>
      <c r="I333" s="459" t="s">
        <v>173</v>
      </c>
      <c r="J333" s="463">
        <v>201.19200000000001</v>
      </c>
      <c r="K333" s="403" t="s">
        <v>173</v>
      </c>
      <c r="L333" s="404" t="s">
        <v>173</v>
      </c>
      <c r="M333" s="459" t="s">
        <v>173</v>
      </c>
      <c r="N333" s="99">
        <v>0.5</v>
      </c>
      <c r="O333" s="459" t="s">
        <v>173</v>
      </c>
      <c r="P333" s="463">
        <v>1.2734000000000001</v>
      </c>
      <c r="Q333" s="459" t="s">
        <v>173</v>
      </c>
      <c r="R333" s="404" t="s">
        <v>173</v>
      </c>
      <c r="S333" s="459" t="s">
        <v>173</v>
      </c>
      <c r="T333" s="99">
        <v>0.85499999999999998</v>
      </c>
      <c r="U333" s="412"/>
      <c r="V333" s="465">
        <f t="shared" si="7"/>
        <v>0.3499988304093567</v>
      </c>
      <c r="W333" s="364"/>
      <c r="X333" s="364"/>
      <c r="Y333" s="982"/>
    </row>
    <row r="334" spans="1:25" s="359" customFormat="1" ht="14.4" x14ac:dyDescent="0.3">
      <c r="A334" s="373"/>
      <c r="B334" s="141" t="s">
        <v>375</v>
      </c>
      <c r="C334" s="373" t="s">
        <v>814</v>
      </c>
      <c r="D334" s="373" t="s">
        <v>137</v>
      </c>
      <c r="E334" s="412" t="s">
        <v>300</v>
      </c>
      <c r="F334" s="373" t="s">
        <v>458</v>
      </c>
      <c r="G334" s="412"/>
      <c r="H334" s="365" t="s">
        <v>452</v>
      </c>
      <c r="I334" s="459" t="s">
        <v>173</v>
      </c>
      <c r="J334" s="463">
        <v>201</v>
      </c>
      <c r="K334" s="403" t="s">
        <v>173</v>
      </c>
      <c r="L334" s="404" t="s">
        <v>173</v>
      </c>
      <c r="M334" s="459" t="s">
        <v>173</v>
      </c>
      <c r="N334" s="99">
        <v>0.5</v>
      </c>
      <c r="O334" s="459" t="s">
        <v>173</v>
      </c>
      <c r="P334" s="463">
        <v>1.2734000000000001</v>
      </c>
      <c r="Q334" s="459" t="s">
        <v>173</v>
      </c>
      <c r="R334" s="404" t="s">
        <v>173</v>
      </c>
      <c r="S334" s="459" t="s">
        <v>173</v>
      </c>
      <c r="T334" s="99">
        <v>0.85499999999999998</v>
      </c>
      <c r="U334" s="412"/>
      <c r="V334" s="465">
        <f t="shared" si="7"/>
        <v>0.3499988304093567</v>
      </c>
      <c r="W334" s="364"/>
      <c r="X334" s="364"/>
      <c r="Y334" s="982"/>
    </row>
    <row r="335" spans="1:25" s="359" customFormat="1" ht="14.4" x14ac:dyDescent="0.3">
      <c r="A335" s="373"/>
      <c r="B335" s="141" t="s">
        <v>375</v>
      </c>
      <c r="C335" s="373" t="s">
        <v>815</v>
      </c>
      <c r="D335" s="373" t="s">
        <v>137</v>
      </c>
      <c r="E335" s="412" t="s">
        <v>300</v>
      </c>
      <c r="F335" s="373" t="s">
        <v>458</v>
      </c>
      <c r="G335" s="412"/>
      <c r="H335" s="365" t="s">
        <v>452</v>
      </c>
      <c r="I335" s="459" t="s">
        <v>173</v>
      </c>
      <c r="J335" s="463">
        <v>199.60499999999999</v>
      </c>
      <c r="K335" s="403" t="s">
        <v>173</v>
      </c>
      <c r="L335" s="404" t="s">
        <v>173</v>
      </c>
      <c r="M335" s="459" t="s">
        <v>173</v>
      </c>
      <c r="N335" s="99">
        <v>0.5</v>
      </c>
      <c r="O335" s="459" t="s">
        <v>173</v>
      </c>
      <c r="P335" s="463">
        <v>1.2734000000000001</v>
      </c>
      <c r="Q335" s="459" t="s">
        <v>173</v>
      </c>
      <c r="R335" s="404" t="s">
        <v>173</v>
      </c>
      <c r="S335" s="459" t="s">
        <v>173</v>
      </c>
      <c r="T335" s="99">
        <v>0.85499999999999998</v>
      </c>
      <c r="U335" s="412"/>
      <c r="V335" s="465">
        <f t="shared" si="7"/>
        <v>0.3499988304093567</v>
      </c>
      <c r="W335" s="364"/>
      <c r="X335" s="364"/>
      <c r="Y335" s="982"/>
    </row>
    <row r="336" spans="1:25" s="359" customFormat="1" ht="14.4" x14ac:dyDescent="0.3">
      <c r="A336" s="373"/>
      <c r="B336" s="141" t="s">
        <v>375</v>
      </c>
      <c r="C336" s="373" t="s">
        <v>816</v>
      </c>
      <c r="D336" s="373" t="s">
        <v>137</v>
      </c>
      <c r="E336" s="412" t="s">
        <v>300</v>
      </c>
      <c r="F336" s="373" t="s">
        <v>458</v>
      </c>
      <c r="G336" s="412"/>
      <c r="H336" s="365" t="s">
        <v>452</v>
      </c>
      <c r="I336" s="459" t="s">
        <v>173</v>
      </c>
      <c r="J336" s="463">
        <v>273.19400000000002</v>
      </c>
      <c r="K336" s="403" t="s">
        <v>173</v>
      </c>
      <c r="L336" s="404" t="s">
        <v>173</v>
      </c>
      <c r="M336" s="459" t="s">
        <v>173</v>
      </c>
      <c r="N336" s="99">
        <v>0.5</v>
      </c>
      <c r="O336" s="459" t="s">
        <v>173</v>
      </c>
      <c r="P336" s="463">
        <v>1.2734000000000001</v>
      </c>
      <c r="Q336" s="459" t="s">
        <v>173</v>
      </c>
      <c r="R336" s="404" t="s">
        <v>173</v>
      </c>
      <c r="S336" s="459" t="s">
        <v>173</v>
      </c>
      <c r="T336" s="99">
        <v>0.85499999999999998</v>
      </c>
      <c r="U336" s="412"/>
      <c r="V336" s="465">
        <f t="shared" si="7"/>
        <v>0.3499988304093567</v>
      </c>
      <c r="W336" s="364"/>
      <c r="X336" s="364"/>
      <c r="Y336" s="982"/>
    </row>
    <row r="337" spans="1:25" s="359" customFormat="1" ht="14.4" x14ac:dyDescent="0.3">
      <c r="A337" s="373"/>
      <c r="B337" s="141" t="s">
        <v>375</v>
      </c>
      <c r="C337" s="373" t="s">
        <v>817</v>
      </c>
      <c r="D337" s="373" t="s">
        <v>137</v>
      </c>
      <c r="E337" s="412" t="s">
        <v>300</v>
      </c>
      <c r="F337" s="373" t="s">
        <v>458</v>
      </c>
      <c r="G337" s="412"/>
      <c r="H337" s="365" t="s">
        <v>452</v>
      </c>
      <c r="I337" s="459" t="s">
        <v>173</v>
      </c>
      <c r="J337" s="463">
        <v>234.75800000000001</v>
      </c>
      <c r="K337" s="403" t="s">
        <v>173</v>
      </c>
      <c r="L337" s="404" t="s">
        <v>173</v>
      </c>
      <c r="M337" s="459" t="s">
        <v>173</v>
      </c>
      <c r="N337" s="99">
        <v>0.5</v>
      </c>
      <c r="O337" s="459" t="s">
        <v>173</v>
      </c>
      <c r="P337" s="463">
        <v>1.2734000000000001</v>
      </c>
      <c r="Q337" s="459" t="s">
        <v>173</v>
      </c>
      <c r="R337" s="404" t="s">
        <v>173</v>
      </c>
      <c r="S337" s="459" t="s">
        <v>173</v>
      </c>
      <c r="T337" s="99">
        <v>0.85499999999999998</v>
      </c>
      <c r="U337" s="412"/>
      <c r="V337" s="465">
        <f t="shared" si="7"/>
        <v>0.3499988304093567</v>
      </c>
      <c r="W337" s="364"/>
      <c r="X337" s="364"/>
      <c r="Y337" s="982"/>
    </row>
    <row r="338" spans="1:25" s="359" customFormat="1" ht="14.4" x14ac:dyDescent="0.3">
      <c r="A338" s="373"/>
      <c r="B338" s="141" t="s">
        <v>375</v>
      </c>
      <c r="C338" s="373" t="s">
        <v>818</v>
      </c>
      <c r="D338" s="373" t="s">
        <v>137</v>
      </c>
      <c r="E338" s="412" t="s">
        <v>300</v>
      </c>
      <c r="F338" s="373" t="s">
        <v>458</v>
      </c>
      <c r="G338" s="412"/>
      <c r="H338" s="365" t="s">
        <v>452</v>
      </c>
      <c r="I338" s="459" t="s">
        <v>173</v>
      </c>
      <c r="J338" s="463">
        <v>257.52699999999999</v>
      </c>
      <c r="K338" s="403" t="s">
        <v>173</v>
      </c>
      <c r="L338" s="404" t="s">
        <v>173</v>
      </c>
      <c r="M338" s="459" t="s">
        <v>173</v>
      </c>
      <c r="N338" s="99">
        <v>0.5</v>
      </c>
      <c r="O338" s="459" t="s">
        <v>173</v>
      </c>
      <c r="P338" s="463">
        <v>1.2734000000000001</v>
      </c>
      <c r="Q338" s="459" t="s">
        <v>173</v>
      </c>
      <c r="R338" s="404" t="s">
        <v>173</v>
      </c>
      <c r="S338" s="459" t="s">
        <v>173</v>
      </c>
      <c r="T338" s="99">
        <v>0.85499999999999998</v>
      </c>
      <c r="U338" s="412"/>
      <c r="V338" s="465">
        <f t="shared" si="7"/>
        <v>0.3499988304093567</v>
      </c>
      <c r="W338" s="364"/>
      <c r="X338" s="364"/>
      <c r="Y338" s="982"/>
    </row>
    <row r="339" spans="1:25" s="359" customFormat="1" ht="14.4" x14ac:dyDescent="0.3">
      <c r="A339" s="373"/>
      <c r="B339" s="141" t="s">
        <v>375</v>
      </c>
      <c r="C339" s="373" t="s">
        <v>819</v>
      </c>
      <c r="D339" s="373" t="s">
        <v>137</v>
      </c>
      <c r="E339" s="412" t="s">
        <v>300</v>
      </c>
      <c r="F339" s="373" t="s">
        <v>458</v>
      </c>
      <c r="G339" s="412"/>
      <c r="H339" s="365" t="s">
        <v>452</v>
      </c>
      <c r="I339" s="459" t="s">
        <v>173</v>
      </c>
      <c r="J339" s="463">
        <v>233.93299999999999</v>
      </c>
      <c r="K339" s="403" t="s">
        <v>173</v>
      </c>
      <c r="L339" s="404" t="s">
        <v>173</v>
      </c>
      <c r="M339" s="459" t="s">
        <v>173</v>
      </c>
      <c r="N339" s="99">
        <v>0.5</v>
      </c>
      <c r="O339" s="459" t="s">
        <v>173</v>
      </c>
      <c r="P339" s="463">
        <v>1.2734000000000001</v>
      </c>
      <c r="Q339" s="459" t="s">
        <v>173</v>
      </c>
      <c r="R339" s="404" t="s">
        <v>173</v>
      </c>
      <c r="S339" s="459" t="s">
        <v>173</v>
      </c>
      <c r="T339" s="99">
        <v>0.85499999999999998</v>
      </c>
      <c r="U339" s="412"/>
      <c r="V339" s="465">
        <f t="shared" si="7"/>
        <v>0.3499988304093567</v>
      </c>
      <c r="W339" s="364"/>
      <c r="X339" s="364"/>
      <c r="Y339" s="982"/>
    </row>
    <row r="340" spans="1:25" s="359" customFormat="1" ht="14.4" x14ac:dyDescent="0.3">
      <c r="A340" s="373"/>
      <c r="B340" s="141" t="s">
        <v>375</v>
      </c>
      <c r="C340" s="373" t="s">
        <v>820</v>
      </c>
      <c r="D340" s="373" t="s">
        <v>137</v>
      </c>
      <c r="E340" s="412" t="s">
        <v>300</v>
      </c>
      <c r="F340" s="373" t="s">
        <v>458</v>
      </c>
      <c r="G340" s="412"/>
      <c r="H340" s="365" t="s">
        <v>452</v>
      </c>
      <c r="I340" s="459" t="s">
        <v>173</v>
      </c>
      <c r="J340" s="463">
        <v>234.749</v>
      </c>
      <c r="K340" s="403" t="s">
        <v>173</v>
      </c>
      <c r="L340" s="404" t="s">
        <v>173</v>
      </c>
      <c r="M340" s="459" t="s">
        <v>173</v>
      </c>
      <c r="N340" s="99">
        <v>0.5</v>
      </c>
      <c r="O340" s="459" t="s">
        <v>173</v>
      </c>
      <c r="P340" s="463">
        <v>1.2734000000000001</v>
      </c>
      <c r="Q340" s="459" t="s">
        <v>173</v>
      </c>
      <c r="R340" s="404" t="s">
        <v>173</v>
      </c>
      <c r="S340" s="459" t="s">
        <v>173</v>
      </c>
      <c r="T340" s="99">
        <v>0.85499999999999998</v>
      </c>
      <c r="U340" s="412"/>
      <c r="V340" s="465">
        <f t="shared" si="7"/>
        <v>0.3499988304093567</v>
      </c>
      <c r="W340" s="364"/>
      <c r="X340" s="364"/>
      <c r="Y340" s="982"/>
    </row>
    <row r="341" spans="1:25" s="359" customFormat="1" ht="14.4" x14ac:dyDescent="0.3">
      <c r="A341" s="373"/>
      <c r="B341" s="141" t="s">
        <v>375</v>
      </c>
      <c r="C341" s="373" t="s">
        <v>821</v>
      </c>
      <c r="D341" s="373" t="s">
        <v>137</v>
      </c>
      <c r="E341" s="412" t="s">
        <v>300</v>
      </c>
      <c r="F341" s="373" t="s">
        <v>458</v>
      </c>
      <c r="G341" s="412"/>
      <c r="H341" s="365" t="s">
        <v>452</v>
      </c>
      <c r="I341" s="459" t="s">
        <v>173</v>
      </c>
      <c r="J341" s="463">
        <v>230.72399999999999</v>
      </c>
      <c r="K341" s="403" t="s">
        <v>173</v>
      </c>
      <c r="L341" s="404" t="s">
        <v>173</v>
      </c>
      <c r="M341" s="459" t="s">
        <v>173</v>
      </c>
      <c r="N341" s="99">
        <v>0.5</v>
      </c>
      <c r="O341" s="459" t="s">
        <v>173</v>
      </c>
      <c r="P341" s="463">
        <v>1.2734000000000001</v>
      </c>
      <c r="Q341" s="459" t="s">
        <v>173</v>
      </c>
      <c r="R341" s="404" t="s">
        <v>173</v>
      </c>
      <c r="S341" s="459" t="s">
        <v>173</v>
      </c>
      <c r="T341" s="99">
        <v>0.85499999999999998</v>
      </c>
      <c r="U341" s="412"/>
      <c r="V341" s="465">
        <f t="shared" si="7"/>
        <v>0.3499988304093567</v>
      </c>
      <c r="W341" s="364"/>
      <c r="X341" s="364"/>
      <c r="Y341" s="982"/>
    </row>
    <row r="342" spans="1:25" s="359" customFormat="1" ht="14.4" x14ac:dyDescent="0.3">
      <c r="A342" s="373"/>
      <c r="B342" s="141" t="s">
        <v>375</v>
      </c>
      <c r="C342" s="373" t="s">
        <v>822</v>
      </c>
      <c r="D342" s="373" t="s">
        <v>137</v>
      </c>
      <c r="E342" s="412" t="s">
        <v>300</v>
      </c>
      <c r="F342" s="373" t="s">
        <v>458</v>
      </c>
      <c r="G342" s="412"/>
      <c r="H342" s="365" t="s">
        <v>452</v>
      </c>
      <c r="I342" s="459" t="s">
        <v>173</v>
      </c>
      <c r="J342" s="463">
        <v>229.35599999999999</v>
      </c>
      <c r="K342" s="403" t="s">
        <v>173</v>
      </c>
      <c r="L342" s="404" t="s">
        <v>173</v>
      </c>
      <c r="M342" s="459" t="s">
        <v>173</v>
      </c>
      <c r="N342" s="99">
        <v>0.5</v>
      </c>
      <c r="O342" s="459" t="s">
        <v>173</v>
      </c>
      <c r="P342" s="463">
        <v>1.2734000000000001</v>
      </c>
      <c r="Q342" s="459" t="s">
        <v>173</v>
      </c>
      <c r="R342" s="404" t="s">
        <v>173</v>
      </c>
      <c r="S342" s="459" t="s">
        <v>173</v>
      </c>
      <c r="T342" s="99">
        <v>0.85499999999999998</v>
      </c>
      <c r="U342" s="412"/>
      <c r="V342" s="465">
        <f t="shared" si="7"/>
        <v>0.3499988304093567</v>
      </c>
      <c r="W342" s="364"/>
      <c r="X342" s="364"/>
      <c r="Y342" s="982"/>
    </row>
    <row r="343" spans="1:25" s="359" customFormat="1" ht="14.4" x14ac:dyDescent="0.3">
      <c r="A343" s="373"/>
      <c r="B343" s="141" t="s">
        <v>375</v>
      </c>
      <c r="C343" s="373" t="s">
        <v>823</v>
      </c>
      <c r="D343" s="373" t="s">
        <v>137</v>
      </c>
      <c r="E343" s="412" t="s">
        <v>300</v>
      </c>
      <c r="F343" s="373" t="s">
        <v>458</v>
      </c>
      <c r="G343" s="412"/>
      <c r="H343" s="365" t="s">
        <v>452</v>
      </c>
      <c r="I343" s="459" t="s">
        <v>173</v>
      </c>
      <c r="J343" s="463">
        <v>228.53899999999999</v>
      </c>
      <c r="K343" s="403" t="s">
        <v>173</v>
      </c>
      <c r="L343" s="404" t="s">
        <v>173</v>
      </c>
      <c r="M343" s="459" t="s">
        <v>173</v>
      </c>
      <c r="N343" s="99">
        <v>0.5</v>
      </c>
      <c r="O343" s="459" t="s">
        <v>173</v>
      </c>
      <c r="P343" s="463">
        <v>1.2734000000000001</v>
      </c>
      <c r="Q343" s="459" t="s">
        <v>173</v>
      </c>
      <c r="R343" s="404" t="s">
        <v>173</v>
      </c>
      <c r="S343" s="459" t="s">
        <v>173</v>
      </c>
      <c r="T343" s="99">
        <v>0.85499999999999998</v>
      </c>
      <c r="U343" s="412"/>
      <c r="V343" s="465">
        <f t="shared" si="7"/>
        <v>0.3499988304093567</v>
      </c>
      <c r="W343" s="364"/>
      <c r="X343" s="364"/>
      <c r="Y343" s="982"/>
    </row>
    <row r="344" spans="1:25" s="359" customFormat="1" ht="14.4" x14ac:dyDescent="0.3">
      <c r="A344" s="373"/>
      <c r="B344" s="141" t="s">
        <v>375</v>
      </c>
      <c r="C344" s="373" t="s">
        <v>824</v>
      </c>
      <c r="D344" s="373" t="s">
        <v>137</v>
      </c>
      <c r="E344" s="412" t="s">
        <v>300</v>
      </c>
      <c r="F344" s="373" t="s">
        <v>458</v>
      </c>
      <c r="G344" s="412"/>
      <c r="H344" s="365" t="s">
        <v>452</v>
      </c>
      <c r="I344" s="459" t="s">
        <v>173</v>
      </c>
      <c r="J344" s="463">
        <v>227.24600000000001</v>
      </c>
      <c r="K344" s="403" t="s">
        <v>173</v>
      </c>
      <c r="L344" s="404" t="s">
        <v>173</v>
      </c>
      <c r="M344" s="459" t="s">
        <v>173</v>
      </c>
      <c r="N344" s="99">
        <v>0.5</v>
      </c>
      <c r="O344" s="459" t="s">
        <v>173</v>
      </c>
      <c r="P344" s="463">
        <v>1.2734000000000001</v>
      </c>
      <c r="Q344" s="459" t="s">
        <v>173</v>
      </c>
      <c r="R344" s="404" t="s">
        <v>173</v>
      </c>
      <c r="S344" s="459" t="s">
        <v>173</v>
      </c>
      <c r="T344" s="99">
        <v>0.85499999999999998</v>
      </c>
      <c r="U344" s="412"/>
      <c r="V344" s="465">
        <f t="shared" si="7"/>
        <v>0.3499988304093567</v>
      </c>
      <c r="W344" s="364"/>
      <c r="X344" s="364"/>
      <c r="Y344" s="982"/>
    </row>
    <row r="345" spans="1:25" s="359" customFormat="1" ht="14.4" x14ac:dyDescent="0.3">
      <c r="A345" s="373"/>
      <c r="B345" s="309" t="s">
        <v>375</v>
      </c>
      <c r="C345" s="165" t="s">
        <v>825</v>
      </c>
      <c r="D345" s="165" t="s">
        <v>137</v>
      </c>
      <c r="E345" s="410" t="s">
        <v>300</v>
      </c>
      <c r="F345" s="165" t="s">
        <v>458</v>
      </c>
      <c r="G345" s="410"/>
      <c r="H345" s="232" t="s">
        <v>452</v>
      </c>
      <c r="I345" s="444" t="s">
        <v>173</v>
      </c>
      <c r="J345" s="642">
        <v>226.35499999999999</v>
      </c>
      <c r="K345" s="405" t="s">
        <v>173</v>
      </c>
      <c r="L345" s="406" t="s">
        <v>173</v>
      </c>
      <c r="M345" s="444" t="s">
        <v>173</v>
      </c>
      <c r="N345" s="200">
        <v>0.5</v>
      </c>
      <c r="O345" s="444" t="s">
        <v>173</v>
      </c>
      <c r="P345" s="642">
        <v>1.2734000000000001</v>
      </c>
      <c r="Q345" s="444" t="s">
        <v>173</v>
      </c>
      <c r="R345" s="406" t="s">
        <v>173</v>
      </c>
      <c r="S345" s="444" t="s">
        <v>173</v>
      </c>
      <c r="T345" s="200">
        <v>0.85499999999999998</v>
      </c>
      <c r="U345" s="161"/>
      <c r="V345" s="868">
        <f t="shared" si="7"/>
        <v>0.3499988304093567</v>
      </c>
      <c r="W345" s="364"/>
      <c r="X345" s="364"/>
      <c r="Y345" s="982"/>
    </row>
    <row r="346" spans="1:25" s="391" customFormat="1" ht="14.4" x14ac:dyDescent="0.3">
      <c r="A346" s="89"/>
      <c r="B346" s="89"/>
      <c r="C346" s="380"/>
      <c r="D346" s="89"/>
      <c r="E346" s="89"/>
      <c r="F346" s="89"/>
      <c r="G346" s="89"/>
      <c r="H346" s="89"/>
      <c r="I346" s="89"/>
      <c r="J346" s="89"/>
      <c r="K346" s="89"/>
      <c r="L346" s="421"/>
      <c r="M346" s="89"/>
      <c r="N346" s="89"/>
      <c r="O346" s="89"/>
      <c r="P346" s="89"/>
      <c r="Q346" s="89"/>
      <c r="R346" s="89"/>
      <c r="S346" s="89"/>
      <c r="T346" s="89"/>
      <c r="U346" s="89"/>
      <c r="V346" s="89"/>
      <c r="W346" s="364"/>
      <c r="X346" s="364"/>
      <c r="Y346" s="982"/>
    </row>
    <row r="347" spans="1:25" s="391" customFormat="1" ht="14.4" x14ac:dyDescent="0.3">
      <c r="A347" s="982"/>
      <c r="B347" s="982"/>
      <c r="C347" s="982"/>
      <c r="D347" s="982"/>
      <c r="E347" s="357"/>
      <c r="F347" s="982"/>
      <c r="G347" s="357"/>
      <c r="H347" s="982"/>
      <c r="I347" s="357"/>
      <c r="J347" s="982"/>
      <c r="K347" s="982"/>
      <c r="L347" s="982"/>
      <c r="M347" s="357"/>
      <c r="N347" s="982"/>
      <c r="O347" s="127"/>
      <c r="P347" s="118"/>
      <c r="Q347" s="89"/>
      <c r="R347" s="89"/>
      <c r="S347" s="89"/>
      <c r="T347" s="89"/>
      <c r="U347" s="89"/>
      <c r="V347" s="89"/>
      <c r="W347" s="364"/>
      <c r="X347" s="364"/>
      <c r="Y347" s="982"/>
    </row>
    <row r="348" spans="1:25" s="391" customFormat="1" ht="14.4" x14ac:dyDescent="0.3">
      <c r="A348" s="982"/>
      <c r="B348" s="115" t="s">
        <v>331</v>
      </c>
      <c r="C348" s="120"/>
      <c r="D348" s="119" t="s">
        <v>122</v>
      </c>
      <c r="E348" s="210"/>
      <c r="F348" s="148" t="s">
        <v>508</v>
      </c>
      <c r="G348" s="210"/>
      <c r="H348" s="148" t="s">
        <v>509</v>
      </c>
      <c r="I348" s="357"/>
      <c r="J348" s="982"/>
      <c r="K348" s="982"/>
      <c r="L348" s="982"/>
      <c r="M348" s="357"/>
      <c r="N348" s="982"/>
      <c r="O348" s="127"/>
      <c r="P348" s="118"/>
      <c r="Q348" s="89"/>
      <c r="R348" s="89"/>
      <c r="S348" s="89"/>
      <c r="T348" s="89"/>
      <c r="U348" s="89"/>
      <c r="V348" s="89"/>
      <c r="W348" s="364"/>
      <c r="X348" s="364"/>
      <c r="Y348" s="982"/>
    </row>
    <row r="349" spans="1:25" s="391" customFormat="1" ht="15" thickBot="1" x14ac:dyDescent="0.35">
      <c r="A349" s="982"/>
      <c r="B349" s="178" t="s">
        <v>417</v>
      </c>
      <c r="C349" s="176"/>
      <c r="D349" s="179"/>
      <c r="E349" s="208"/>
      <c r="F349" s="179" t="s">
        <v>510</v>
      </c>
      <c r="G349" s="208"/>
      <c r="H349" s="179" t="s">
        <v>511</v>
      </c>
      <c r="I349" s="357"/>
      <c r="J349" s="982"/>
      <c r="K349" s="982"/>
      <c r="L349" s="982"/>
      <c r="M349" s="357"/>
      <c r="N349" s="982"/>
      <c r="O349" s="127"/>
      <c r="P349" s="118"/>
      <c r="Q349" s="89"/>
      <c r="R349" s="89"/>
      <c r="S349" s="89"/>
      <c r="T349" s="89"/>
      <c r="U349" s="89"/>
      <c r="V349" s="89"/>
      <c r="W349" s="89"/>
      <c r="X349" s="89"/>
      <c r="Y349" s="982"/>
    </row>
    <row r="350" spans="1:25" s="357" customFormat="1" ht="14.4" thickTop="1" x14ac:dyDescent="0.3">
      <c r="B350" s="141" t="s">
        <v>351</v>
      </c>
      <c r="C350" s="373" t="s">
        <v>512</v>
      </c>
      <c r="D350" s="373" t="s">
        <v>137</v>
      </c>
      <c r="E350" s="411"/>
      <c r="F350" s="373" t="s">
        <v>513</v>
      </c>
      <c r="G350" s="411"/>
      <c r="H350" s="259" t="s">
        <v>514</v>
      </c>
      <c r="O350" s="127"/>
      <c r="P350" s="127"/>
      <c r="Q350" s="89"/>
      <c r="R350" s="89"/>
      <c r="S350" s="89"/>
      <c r="T350" s="89"/>
      <c r="U350" s="89"/>
      <c r="V350" s="89"/>
      <c r="W350" s="89"/>
      <c r="X350" s="89"/>
    </row>
    <row r="351" spans="1:25" s="391" customFormat="1" ht="14.4" x14ac:dyDescent="0.3">
      <c r="A351" s="982"/>
      <c r="B351" s="141" t="s">
        <v>356</v>
      </c>
      <c r="C351" s="373" t="s">
        <v>515</v>
      </c>
      <c r="D351" s="373" t="s">
        <v>137</v>
      </c>
      <c r="E351" s="411"/>
      <c r="F351" s="373" t="s">
        <v>513</v>
      </c>
      <c r="G351" s="411"/>
      <c r="H351" s="266" t="s">
        <v>514</v>
      </c>
      <c r="I351" s="357"/>
      <c r="J351" s="982"/>
      <c r="K351" s="982"/>
      <c r="L351" s="982"/>
      <c r="M351" s="357"/>
      <c r="N351" s="982"/>
      <c r="O351" s="127"/>
      <c r="P351" s="118"/>
      <c r="Q351" s="89"/>
      <c r="R351" s="89"/>
      <c r="S351" s="89"/>
      <c r="T351" s="89"/>
      <c r="U351" s="89"/>
      <c r="V351" s="89"/>
      <c r="W351" s="89"/>
      <c r="X351" s="89"/>
      <c r="Y351" s="982"/>
    </row>
    <row r="352" spans="1:25" s="364" customFormat="1" ht="14.4" x14ac:dyDescent="0.3">
      <c r="A352" s="982"/>
      <c r="B352" s="141" t="s">
        <v>358</v>
      </c>
      <c r="C352" s="373" t="s">
        <v>516</v>
      </c>
      <c r="D352" s="373" t="s">
        <v>137</v>
      </c>
      <c r="E352" s="411"/>
      <c r="F352" s="373" t="s">
        <v>513</v>
      </c>
      <c r="G352" s="411"/>
      <c r="H352" s="266" t="s">
        <v>514</v>
      </c>
      <c r="I352" s="357"/>
      <c r="J352" s="982"/>
      <c r="K352" s="982"/>
      <c r="L352" s="982"/>
      <c r="M352" s="357"/>
      <c r="O352" s="127"/>
      <c r="P352" s="118"/>
      <c r="Q352" s="89"/>
      <c r="R352" s="89"/>
      <c r="S352" s="89"/>
      <c r="T352" s="89"/>
      <c r="U352" s="89"/>
      <c r="V352" s="89"/>
      <c r="W352" s="89"/>
      <c r="X352" s="89"/>
    </row>
    <row r="353" spans="1:42" s="364" customFormat="1" ht="14.4" x14ac:dyDescent="0.3">
      <c r="A353" s="982"/>
      <c r="B353" s="309" t="s">
        <v>360</v>
      </c>
      <c r="C353" s="165" t="s">
        <v>517</v>
      </c>
      <c r="D353" s="165" t="s">
        <v>137</v>
      </c>
      <c r="E353" s="410"/>
      <c r="F353" s="165" t="s">
        <v>513</v>
      </c>
      <c r="G353" s="410"/>
      <c r="H353" s="250" t="s">
        <v>514</v>
      </c>
      <c r="I353" s="357"/>
      <c r="J353" s="982"/>
      <c r="K353" s="982"/>
      <c r="L353" s="982"/>
      <c r="M353" s="357"/>
      <c r="N353" s="357"/>
      <c r="O353" s="127"/>
      <c r="P353" s="118"/>
      <c r="Q353" s="89"/>
      <c r="R353" s="89"/>
      <c r="S353" s="89"/>
      <c r="T353" s="89"/>
      <c r="U353" s="89"/>
      <c r="V353" s="89"/>
      <c r="W353" s="89"/>
      <c r="X353" s="89"/>
    </row>
    <row r="354" spans="1:42" s="364" customFormat="1" ht="14.4" x14ac:dyDescent="0.3">
      <c r="A354" s="982"/>
      <c r="B354" s="92"/>
      <c r="C354" s="92"/>
      <c r="D354" s="92"/>
      <c r="E354" s="92"/>
      <c r="F354" s="92"/>
      <c r="G354" s="92"/>
      <c r="H354" s="92"/>
      <c r="I354" s="92"/>
      <c r="J354" s="982"/>
      <c r="K354" s="982"/>
      <c r="L354" s="982"/>
      <c r="M354" s="357"/>
      <c r="N354" s="357"/>
      <c r="O354" s="127"/>
      <c r="P354" s="118"/>
      <c r="Q354" s="89"/>
      <c r="R354" s="89"/>
      <c r="S354" s="89"/>
      <c r="T354" s="89"/>
      <c r="U354" s="89"/>
      <c r="V354" s="89"/>
      <c r="W354" s="89"/>
      <c r="X354" s="89"/>
    </row>
    <row r="355" spans="1:42" s="364" customFormat="1" ht="14.4" x14ac:dyDescent="0.3">
      <c r="A355" s="89"/>
      <c r="B355" s="92"/>
      <c r="C355" s="90"/>
      <c r="D355" s="982"/>
      <c r="E355" s="89"/>
      <c r="F355" s="89"/>
      <c r="G355" s="89"/>
      <c r="H355" s="89"/>
      <c r="I355" s="89"/>
      <c r="J355" s="89"/>
      <c r="K355" s="89"/>
      <c r="L355" s="89"/>
      <c r="M355" s="89"/>
      <c r="N355" s="357"/>
      <c r="O355" s="89"/>
      <c r="P355" s="89"/>
      <c r="Q355" s="89"/>
      <c r="R355" s="89"/>
      <c r="S355" s="89"/>
      <c r="T355" s="89"/>
      <c r="U355" s="89"/>
      <c r="V355" s="89"/>
      <c r="W355" s="89"/>
      <c r="X355" s="89"/>
    </row>
    <row r="356" spans="1:42" s="391" customFormat="1" ht="14.4" x14ac:dyDescent="0.3">
      <c r="A356" s="23"/>
      <c r="B356" s="23" t="s">
        <v>826</v>
      </c>
      <c r="C356" s="23"/>
      <c r="D356" s="982"/>
      <c r="E356" s="357"/>
      <c r="F356" s="982"/>
      <c r="G356" s="357"/>
      <c r="H356" s="982"/>
      <c r="I356" s="357"/>
      <c r="J356" s="982"/>
      <c r="K356" s="357"/>
      <c r="L356" s="982"/>
      <c r="M356" s="357"/>
      <c r="N356" s="982"/>
      <c r="O356" s="127"/>
      <c r="P356" s="118"/>
      <c r="Q356" s="89"/>
      <c r="R356" s="89"/>
      <c r="S356" s="89"/>
      <c r="T356" s="89"/>
      <c r="U356" s="358"/>
      <c r="V356" s="358"/>
      <c r="W356" s="358"/>
      <c r="X356" s="358"/>
      <c r="Y356" s="982"/>
      <c r="Z356" s="982"/>
      <c r="AA356" s="982"/>
      <c r="AB356" s="982"/>
      <c r="AC356" s="982"/>
      <c r="AD356" s="982"/>
      <c r="AE356" s="982"/>
      <c r="AF356" s="982"/>
      <c r="AG356" s="982"/>
      <c r="AH356" s="982"/>
      <c r="AI356" s="982"/>
      <c r="AJ356" s="982"/>
      <c r="AK356" s="982"/>
      <c r="AL356" s="982"/>
      <c r="AM356" s="982"/>
      <c r="AN356" s="982"/>
      <c r="AO356" s="982"/>
      <c r="AP356" s="982"/>
    </row>
    <row r="357" spans="1:42" s="373" customFormat="1" ht="41.4" x14ac:dyDescent="0.3">
      <c r="A357" s="358"/>
      <c r="B357" s="131" t="s">
        <v>522</v>
      </c>
      <c r="C357" s="120" t="s">
        <v>523</v>
      </c>
      <c r="D357" s="120" t="s">
        <v>122</v>
      </c>
      <c r="E357" s="274"/>
      <c r="F357" s="319" t="s">
        <v>524</v>
      </c>
      <c r="G357" s="274"/>
      <c r="H357" s="319" t="s">
        <v>525</v>
      </c>
      <c r="I357" s="675"/>
      <c r="J357" s="488" t="s">
        <v>526</v>
      </c>
      <c r="K357" s="675"/>
      <c r="L357" s="488" t="s">
        <v>527</v>
      </c>
      <c r="M357" s="274"/>
      <c r="N357" s="319" t="s">
        <v>528</v>
      </c>
      <c r="O357" s="488"/>
      <c r="P357" s="319" t="s">
        <v>529</v>
      </c>
      <c r="Q357" s="274"/>
      <c r="R357" s="117" t="s">
        <v>530</v>
      </c>
      <c r="S357" s="274"/>
      <c r="T357" s="173" t="s">
        <v>531</v>
      </c>
      <c r="U357" s="602"/>
      <c r="V357" s="173" t="s">
        <v>532</v>
      </c>
      <c r="W357" s="293"/>
      <c r="X357" s="148" t="s">
        <v>533</v>
      </c>
      <c r="Y357" s="131"/>
      <c r="Z357" s="148" t="s">
        <v>534</v>
      </c>
      <c r="AA357" s="359"/>
      <c r="AB357" s="358"/>
      <c r="AD357" s="358"/>
      <c r="AE357" s="359"/>
      <c r="AF357" s="358"/>
      <c r="AG357" s="578"/>
      <c r="AH357" s="579"/>
      <c r="AM357" s="358"/>
      <c r="AN357" s="358"/>
      <c r="AO357" s="358"/>
      <c r="AP357" s="358"/>
    </row>
    <row r="358" spans="1:42" s="89" customFormat="1" ht="28.2" thickBot="1" x14ac:dyDescent="0.35">
      <c r="B358" s="178" t="s">
        <v>535</v>
      </c>
      <c r="C358" s="176" t="s">
        <v>536</v>
      </c>
      <c r="D358" s="582"/>
      <c r="E358" s="315"/>
      <c r="F358" s="124"/>
      <c r="G358" s="315"/>
      <c r="H358" s="124" t="s">
        <v>537</v>
      </c>
      <c r="I358" s="178"/>
      <c r="J358" s="338" t="s">
        <v>538</v>
      </c>
      <c r="K358" s="178"/>
      <c r="L358" s="338" t="s">
        <v>539</v>
      </c>
      <c r="M358" s="315"/>
      <c r="N358" s="124" t="s">
        <v>540</v>
      </c>
      <c r="O358" s="132"/>
      <c r="P358" s="124"/>
      <c r="Q358" s="315"/>
      <c r="R358" s="124" t="s">
        <v>541</v>
      </c>
      <c r="S358" s="315"/>
      <c r="T358" s="124" t="s">
        <v>542</v>
      </c>
      <c r="U358" s="603"/>
      <c r="V358" s="124"/>
      <c r="W358" s="580"/>
      <c r="X358" s="339" t="s">
        <v>543</v>
      </c>
      <c r="Y358" s="580"/>
      <c r="Z358" s="339" t="s">
        <v>544</v>
      </c>
      <c r="AA358" s="101"/>
      <c r="AB358" s="101"/>
      <c r="AC358" s="101"/>
      <c r="AD358" s="101"/>
      <c r="AG358" s="101"/>
      <c r="AH358" s="101"/>
      <c r="AI358" s="101"/>
      <c r="AJ358" s="101"/>
      <c r="AK358" s="101"/>
      <c r="AL358" s="101"/>
      <c r="AM358" s="101"/>
      <c r="AN358" s="101"/>
      <c r="AO358" s="101"/>
      <c r="AP358" s="101"/>
    </row>
    <row r="359" spans="1:42" s="359" customFormat="1" ht="15" thickTop="1" x14ac:dyDescent="0.3">
      <c r="A359" s="373"/>
      <c r="B359" s="420" t="s">
        <v>545</v>
      </c>
      <c r="C359" s="260" t="s">
        <v>546</v>
      </c>
      <c r="D359" s="583" t="s">
        <v>137</v>
      </c>
      <c r="E359" s="771" t="s">
        <v>173</v>
      </c>
      <c r="F359" s="676">
        <v>1620</v>
      </c>
      <c r="G359" s="771" t="s">
        <v>173</v>
      </c>
      <c r="H359" s="676" t="s">
        <v>547</v>
      </c>
      <c r="I359" s="413" t="s">
        <v>300</v>
      </c>
      <c r="J359" s="260" t="s">
        <v>548</v>
      </c>
      <c r="K359" s="413" t="s">
        <v>300</v>
      </c>
      <c r="L359" s="260" t="s">
        <v>549</v>
      </c>
      <c r="M359" s="413" t="s">
        <v>300</v>
      </c>
      <c r="N359" s="711">
        <v>10</v>
      </c>
      <c r="O359" s="771" t="s">
        <v>173</v>
      </c>
      <c r="P359" s="688">
        <f t="shared" ref="P359:P386" si="8">ROUND(F359/1000*N359*0.5,2)</f>
        <v>8.1</v>
      </c>
      <c r="Q359" s="413" t="s">
        <v>300</v>
      </c>
      <c r="R359" s="202">
        <v>0</v>
      </c>
      <c r="S359" s="413" t="s">
        <v>300</v>
      </c>
      <c r="T359" s="202">
        <v>0.15</v>
      </c>
      <c r="U359" s="413" t="s">
        <v>300</v>
      </c>
      <c r="V359" s="595">
        <f t="shared" ref="V359:V386" si="9">IF(LEFT(B359,9)="GuestRoom",ROUNDUP(P359,0)*30,ROUND(MAX(P359*R359,T359*F359),0))</f>
        <v>243</v>
      </c>
      <c r="W359" s="413" t="s">
        <v>300</v>
      </c>
      <c r="X359" s="260" t="s">
        <v>550</v>
      </c>
      <c r="Y359" s="413" t="s">
        <v>300</v>
      </c>
      <c r="Z359" s="259" t="s">
        <v>551</v>
      </c>
      <c r="AA359" s="101"/>
      <c r="AB359" s="101"/>
      <c r="AC359" s="101"/>
      <c r="AE359" s="654"/>
      <c r="AF359" s="373"/>
    </row>
    <row r="360" spans="1:42" s="359" customFormat="1" ht="14.4" x14ac:dyDescent="0.3">
      <c r="A360" s="373"/>
      <c r="B360" s="141" t="s">
        <v>552</v>
      </c>
      <c r="C360" s="373" t="s">
        <v>546</v>
      </c>
      <c r="D360" s="62" t="s">
        <v>137</v>
      </c>
      <c r="E360" s="773" t="s">
        <v>173</v>
      </c>
      <c r="F360" s="664">
        <v>1350</v>
      </c>
      <c r="G360" s="773" t="s">
        <v>173</v>
      </c>
      <c r="H360" s="664" t="s">
        <v>547</v>
      </c>
      <c r="I360" s="412" t="s">
        <v>300</v>
      </c>
      <c r="J360" s="373" t="s">
        <v>548</v>
      </c>
      <c r="K360" s="412" t="s">
        <v>300</v>
      </c>
      <c r="L360" s="373" t="s">
        <v>549</v>
      </c>
      <c r="M360" s="412" t="s">
        <v>300</v>
      </c>
      <c r="N360" s="457">
        <v>10</v>
      </c>
      <c r="O360" s="773" t="s">
        <v>173</v>
      </c>
      <c r="P360" s="680">
        <f t="shared" si="8"/>
        <v>6.75</v>
      </c>
      <c r="Q360" s="412" t="s">
        <v>300</v>
      </c>
      <c r="R360" s="202">
        <v>0</v>
      </c>
      <c r="S360" s="412" t="s">
        <v>300</v>
      </c>
      <c r="T360" s="202">
        <v>0.15</v>
      </c>
      <c r="U360" s="412" t="s">
        <v>300</v>
      </c>
      <c r="V360" s="595">
        <f t="shared" si="9"/>
        <v>203</v>
      </c>
      <c r="W360" s="412" t="s">
        <v>300</v>
      </c>
      <c r="X360" s="373" t="s">
        <v>550</v>
      </c>
      <c r="Y360" s="412" t="s">
        <v>300</v>
      </c>
      <c r="Z360" s="266" t="s">
        <v>551</v>
      </c>
      <c r="AA360" s="101"/>
      <c r="AB360" s="101"/>
      <c r="AC360" s="101"/>
      <c r="AE360" s="373"/>
      <c r="AF360" s="373"/>
    </row>
    <row r="361" spans="1:42" s="359" customFormat="1" ht="14.4" x14ac:dyDescent="0.3">
      <c r="A361" s="373"/>
      <c r="B361" s="141" t="s">
        <v>553</v>
      </c>
      <c r="C361" s="373" t="s">
        <v>546</v>
      </c>
      <c r="D361" s="62" t="s">
        <v>137</v>
      </c>
      <c r="E361" s="773" t="s">
        <v>173</v>
      </c>
      <c r="F361" s="664">
        <v>1350</v>
      </c>
      <c r="G361" s="773" t="s">
        <v>173</v>
      </c>
      <c r="H361" s="664" t="s">
        <v>547</v>
      </c>
      <c r="I361" s="412" t="s">
        <v>300</v>
      </c>
      <c r="J361" s="373" t="s">
        <v>548</v>
      </c>
      <c r="K361" s="412" t="s">
        <v>300</v>
      </c>
      <c r="L361" s="373" t="s">
        <v>549</v>
      </c>
      <c r="M361" s="412" t="s">
        <v>300</v>
      </c>
      <c r="N361" s="457">
        <v>10</v>
      </c>
      <c r="O361" s="773" t="s">
        <v>173</v>
      </c>
      <c r="P361" s="680">
        <f t="shared" si="8"/>
        <v>6.75</v>
      </c>
      <c r="Q361" s="412" t="s">
        <v>300</v>
      </c>
      <c r="R361" s="202">
        <v>0</v>
      </c>
      <c r="S361" s="412" t="s">
        <v>300</v>
      </c>
      <c r="T361" s="202">
        <v>0.15</v>
      </c>
      <c r="U361" s="412" t="s">
        <v>300</v>
      </c>
      <c r="V361" s="595">
        <f t="shared" si="9"/>
        <v>203</v>
      </c>
      <c r="W361" s="412" t="s">
        <v>300</v>
      </c>
      <c r="X361" s="373" t="s">
        <v>550</v>
      </c>
      <c r="Y361" s="412" t="s">
        <v>300</v>
      </c>
      <c r="Z361" s="266" t="s">
        <v>551</v>
      </c>
      <c r="AA361" s="101"/>
      <c r="AB361" s="101"/>
      <c r="AC361" s="101"/>
      <c r="AE361" s="373"/>
      <c r="AF361" s="373"/>
    </row>
    <row r="362" spans="1:42" s="359" customFormat="1" ht="14.4" x14ac:dyDescent="0.3">
      <c r="A362" s="373"/>
      <c r="B362" s="141" t="s">
        <v>554</v>
      </c>
      <c r="C362" s="373" t="s">
        <v>546</v>
      </c>
      <c r="D362" s="62" t="s">
        <v>137</v>
      </c>
      <c r="E362" s="773" t="s">
        <v>173</v>
      </c>
      <c r="F362" s="664">
        <v>1350</v>
      </c>
      <c r="G362" s="773" t="s">
        <v>173</v>
      </c>
      <c r="H362" s="664" t="s">
        <v>547</v>
      </c>
      <c r="I362" s="412" t="s">
        <v>300</v>
      </c>
      <c r="J362" s="373" t="s">
        <v>548</v>
      </c>
      <c r="K362" s="412" t="s">
        <v>300</v>
      </c>
      <c r="L362" s="373" t="s">
        <v>549</v>
      </c>
      <c r="M362" s="412" t="s">
        <v>300</v>
      </c>
      <c r="N362" s="457">
        <v>10</v>
      </c>
      <c r="O362" s="773" t="s">
        <v>173</v>
      </c>
      <c r="P362" s="680">
        <f t="shared" si="8"/>
        <v>6.75</v>
      </c>
      <c r="Q362" s="412" t="s">
        <v>300</v>
      </c>
      <c r="R362" s="202">
        <v>0</v>
      </c>
      <c r="S362" s="412" t="s">
        <v>300</v>
      </c>
      <c r="T362" s="202">
        <v>0.15</v>
      </c>
      <c r="U362" s="412" t="s">
        <v>300</v>
      </c>
      <c r="V362" s="595">
        <f t="shared" si="9"/>
        <v>203</v>
      </c>
      <c r="W362" s="412" t="s">
        <v>300</v>
      </c>
      <c r="X362" s="373" t="s">
        <v>550</v>
      </c>
      <c r="Y362" s="412" t="s">
        <v>300</v>
      </c>
      <c r="Z362" s="266" t="s">
        <v>551</v>
      </c>
      <c r="AA362" s="101"/>
      <c r="AB362" s="101"/>
      <c r="AC362" s="101"/>
      <c r="AE362" s="373"/>
      <c r="AF362" s="373"/>
    </row>
    <row r="363" spans="1:42" s="359" customFormat="1" ht="14.4" x14ac:dyDescent="0.3">
      <c r="A363" s="373"/>
      <c r="B363" s="141" t="s">
        <v>555</v>
      </c>
      <c r="C363" s="373" t="s">
        <v>546</v>
      </c>
      <c r="D363" s="62" t="s">
        <v>137</v>
      </c>
      <c r="E363" s="773" t="s">
        <v>173</v>
      </c>
      <c r="F363" s="664">
        <v>351</v>
      </c>
      <c r="G363" s="773" t="s">
        <v>173</v>
      </c>
      <c r="H363" s="664" t="s">
        <v>547</v>
      </c>
      <c r="I363" s="412" t="s">
        <v>300</v>
      </c>
      <c r="J363" s="373" t="s">
        <v>548</v>
      </c>
      <c r="K363" s="412" t="s">
        <v>300</v>
      </c>
      <c r="L363" s="373" t="s">
        <v>549</v>
      </c>
      <c r="M363" s="412" t="s">
        <v>300</v>
      </c>
      <c r="N363" s="457">
        <v>10</v>
      </c>
      <c r="O363" s="773" t="s">
        <v>173</v>
      </c>
      <c r="P363" s="680">
        <f t="shared" si="8"/>
        <v>1.76</v>
      </c>
      <c r="Q363" s="412" t="s">
        <v>300</v>
      </c>
      <c r="R363" s="202">
        <v>0</v>
      </c>
      <c r="S363" s="412" t="s">
        <v>300</v>
      </c>
      <c r="T363" s="202">
        <v>0.15</v>
      </c>
      <c r="U363" s="412" t="s">
        <v>300</v>
      </c>
      <c r="V363" s="595">
        <f t="shared" si="9"/>
        <v>53</v>
      </c>
      <c r="W363" s="412" t="s">
        <v>300</v>
      </c>
      <c r="X363" s="373" t="s">
        <v>550</v>
      </c>
      <c r="Y363" s="412" t="s">
        <v>300</v>
      </c>
      <c r="Z363" s="266" t="s">
        <v>551</v>
      </c>
      <c r="AA363" s="101"/>
      <c r="AB363" s="101"/>
      <c r="AC363" s="101"/>
      <c r="AE363" s="373"/>
      <c r="AF363" s="373"/>
    </row>
    <row r="364" spans="1:42" s="359" customFormat="1" ht="14.4" x14ac:dyDescent="0.3">
      <c r="A364" s="373"/>
      <c r="B364" s="141" t="s">
        <v>556</v>
      </c>
      <c r="C364" s="373" t="s">
        <v>546</v>
      </c>
      <c r="D364" s="62" t="s">
        <v>137</v>
      </c>
      <c r="E364" s="773" t="s">
        <v>173</v>
      </c>
      <c r="F364" s="664">
        <v>351</v>
      </c>
      <c r="G364" s="773" t="s">
        <v>173</v>
      </c>
      <c r="H364" s="664" t="s">
        <v>547</v>
      </c>
      <c r="I364" s="412" t="s">
        <v>300</v>
      </c>
      <c r="J364" s="373" t="s">
        <v>548</v>
      </c>
      <c r="K364" s="412" t="s">
        <v>300</v>
      </c>
      <c r="L364" s="373" t="s">
        <v>549</v>
      </c>
      <c r="M364" s="412" t="s">
        <v>300</v>
      </c>
      <c r="N364" s="457">
        <v>10</v>
      </c>
      <c r="O364" s="773" t="s">
        <v>173</v>
      </c>
      <c r="P364" s="680">
        <f t="shared" si="8"/>
        <v>1.76</v>
      </c>
      <c r="Q364" s="412" t="s">
        <v>300</v>
      </c>
      <c r="R364" s="202">
        <v>0</v>
      </c>
      <c r="S364" s="412" t="s">
        <v>300</v>
      </c>
      <c r="T364" s="202">
        <v>0.15</v>
      </c>
      <c r="U364" s="412" t="s">
        <v>300</v>
      </c>
      <c r="V364" s="595">
        <f t="shared" si="9"/>
        <v>53</v>
      </c>
      <c r="W364" s="412" t="s">
        <v>300</v>
      </c>
      <c r="X364" s="373" t="s">
        <v>550</v>
      </c>
      <c r="Y364" s="412" t="s">
        <v>300</v>
      </c>
      <c r="Z364" s="266" t="s">
        <v>551</v>
      </c>
      <c r="AA364" s="101"/>
      <c r="AB364" s="101"/>
      <c r="AC364" s="101"/>
      <c r="AE364" s="373"/>
      <c r="AF364" s="373"/>
    </row>
    <row r="365" spans="1:42" s="359" customFormat="1" ht="14.4" x14ac:dyDescent="0.3">
      <c r="A365" s="373"/>
      <c r="B365" s="141" t="s">
        <v>557</v>
      </c>
      <c r="C365" s="373" t="s">
        <v>546</v>
      </c>
      <c r="D365" s="62" t="s">
        <v>137</v>
      </c>
      <c r="E365" s="773" t="s">
        <v>173</v>
      </c>
      <c r="F365" s="664">
        <v>1755.1</v>
      </c>
      <c r="G365" s="773" t="s">
        <v>173</v>
      </c>
      <c r="H365" s="664" t="s">
        <v>547</v>
      </c>
      <c r="I365" s="412" t="s">
        <v>300</v>
      </c>
      <c r="J365" s="373" t="s">
        <v>548</v>
      </c>
      <c r="K365" s="412" t="s">
        <v>300</v>
      </c>
      <c r="L365" s="373" t="s">
        <v>558</v>
      </c>
      <c r="M365" s="412" t="s">
        <v>300</v>
      </c>
      <c r="N365" s="457">
        <v>142.9</v>
      </c>
      <c r="O365" s="773" t="s">
        <v>173</v>
      </c>
      <c r="P365" s="680">
        <f t="shared" si="8"/>
        <v>125.4</v>
      </c>
      <c r="Q365" s="412" t="s">
        <v>300</v>
      </c>
      <c r="R365" s="202">
        <v>15</v>
      </c>
      <c r="S365" s="412" t="s">
        <v>300</v>
      </c>
      <c r="T365" s="202">
        <v>0.15</v>
      </c>
      <c r="U365" s="412" t="s">
        <v>300</v>
      </c>
      <c r="V365" s="595">
        <f t="shared" si="9"/>
        <v>1881</v>
      </c>
      <c r="W365" s="412" t="s">
        <v>300</v>
      </c>
      <c r="X365" s="373" t="s">
        <v>550</v>
      </c>
      <c r="Y365" s="412" t="s">
        <v>300</v>
      </c>
      <c r="Z365" s="266" t="s">
        <v>551</v>
      </c>
      <c r="AA365" s="101"/>
      <c r="AB365" s="101"/>
      <c r="AC365" s="101"/>
      <c r="AE365" s="373"/>
      <c r="AF365" s="373"/>
    </row>
    <row r="366" spans="1:42" s="359" customFormat="1" ht="14.4" x14ac:dyDescent="0.3">
      <c r="A366" s="373"/>
      <c r="B366" s="141" t="s">
        <v>559</v>
      </c>
      <c r="C366" s="373" t="s">
        <v>546</v>
      </c>
      <c r="D366" s="62" t="s">
        <v>137</v>
      </c>
      <c r="E366" s="773" t="s">
        <v>173</v>
      </c>
      <c r="F366" s="664">
        <v>1404</v>
      </c>
      <c r="G366" s="773" t="s">
        <v>173</v>
      </c>
      <c r="H366" s="664" t="s">
        <v>547</v>
      </c>
      <c r="I366" s="412" t="s">
        <v>300</v>
      </c>
      <c r="J366" s="373" t="s">
        <v>548</v>
      </c>
      <c r="K366" s="412" t="s">
        <v>300</v>
      </c>
      <c r="L366" s="373" t="s">
        <v>549</v>
      </c>
      <c r="M366" s="412" t="s">
        <v>300</v>
      </c>
      <c r="N366" s="457">
        <v>10</v>
      </c>
      <c r="O366" s="773" t="s">
        <v>173</v>
      </c>
      <c r="P366" s="680">
        <f t="shared" si="8"/>
        <v>7.02</v>
      </c>
      <c r="Q366" s="412" t="s">
        <v>300</v>
      </c>
      <c r="R366" s="202">
        <v>0</v>
      </c>
      <c r="S366" s="412" t="s">
        <v>300</v>
      </c>
      <c r="T366" s="202">
        <v>0.15</v>
      </c>
      <c r="U366" s="412" t="s">
        <v>300</v>
      </c>
      <c r="V366" s="595">
        <f t="shared" si="9"/>
        <v>211</v>
      </c>
      <c r="W366" s="412" t="s">
        <v>300</v>
      </c>
      <c r="X366" s="373" t="s">
        <v>550</v>
      </c>
      <c r="Y366" s="412" t="s">
        <v>300</v>
      </c>
      <c r="Z366" s="266" t="s">
        <v>551</v>
      </c>
      <c r="AA366" s="101"/>
      <c r="AB366" s="101"/>
      <c r="AC366" s="101"/>
      <c r="AE366" s="373"/>
      <c r="AF366" s="373"/>
    </row>
    <row r="367" spans="1:42" s="359" customFormat="1" ht="14.4" x14ac:dyDescent="0.3">
      <c r="A367" s="373"/>
      <c r="B367" s="141" t="s">
        <v>560</v>
      </c>
      <c r="C367" s="373" t="s">
        <v>546</v>
      </c>
      <c r="D367" s="62" t="s">
        <v>137</v>
      </c>
      <c r="E367" s="773" t="s">
        <v>173</v>
      </c>
      <c r="F367" s="664">
        <v>1053</v>
      </c>
      <c r="G367" s="773" t="s">
        <v>173</v>
      </c>
      <c r="H367" s="664" t="s">
        <v>547</v>
      </c>
      <c r="I367" s="412" t="s">
        <v>300</v>
      </c>
      <c r="J367" s="373" t="s">
        <v>548</v>
      </c>
      <c r="K367" s="412" t="s">
        <v>300</v>
      </c>
      <c r="L367" s="373" t="s">
        <v>549</v>
      </c>
      <c r="M367" s="412" t="s">
        <v>300</v>
      </c>
      <c r="N367" s="457">
        <v>10</v>
      </c>
      <c r="O367" s="773" t="s">
        <v>173</v>
      </c>
      <c r="P367" s="680">
        <f t="shared" si="8"/>
        <v>5.27</v>
      </c>
      <c r="Q367" s="412" t="s">
        <v>300</v>
      </c>
      <c r="R367" s="202">
        <v>0</v>
      </c>
      <c r="S367" s="412" t="s">
        <v>300</v>
      </c>
      <c r="T367" s="202">
        <v>0.15</v>
      </c>
      <c r="U367" s="412" t="s">
        <v>300</v>
      </c>
      <c r="V367" s="595">
        <f t="shared" si="9"/>
        <v>158</v>
      </c>
      <c r="W367" s="412" t="s">
        <v>300</v>
      </c>
      <c r="X367" s="373" t="s">
        <v>550</v>
      </c>
      <c r="Y367" s="412" t="s">
        <v>300</v>
      </c>
      <c r="Z367" s="266" t="s">
        <v>551</v>
      </c>
      <c r="AA367" s="101"/>
      <c r="AB367" s="101"/>
      <c r="AC367" s="101"/>
      <c r="AE367" s="373"/>
      <c r="AF367" s="373"/>
    </row>
    <row r="368" spans="1:42" s="359" customFormat="1" ht="14.4" x14ac:dyDescent="0.3">
      <c r="A368" s="373"/>
      <c r="B368" s="141" t="s">
        <v>561</v>
      </c>
      <c r="C368" s="373" t="s">
        <v>546</v>
      </c>
      <c r="D368" s="62" t="s">
        <v>137</v>
      </c>
      <c r="E368" s="773" t="s">
        <v>173</v>
      </c>
      <c r="F368" s="664">
        <v>351</v>
      </c>
      <c r="G368" s="773" t="s">
        <v>173</v>
      </c>
      <c r="H368" s="664" t="s">
        <v>547</v>
      </c>
      <c r="I368" s="412" t="s">
        <v>300</v>
      </c>
      <c r="J368" s="373" t="s">
        <v>548</v>
      </c>
      <c r="K368" s="412" t="s">
        <v>300</v>
      </c>
      <c r="L368" s="373" t="s">
        <v>549</v>
      </c>
      <c r="M368" s="412" t="s">
        <v>300</v>
      </c>
      <c r="N368" s="457">
        <v>3</v>
      </c>
      <c r="O368" s="773" t="s">
        <v>173</v>
      </c>
      <c r="P368" s="680">
        <f t="shared" si="8"/>
        <v>0.53</v>
      </c>
      <c r="Q368" s="412" t="s">
        <v>300</v>
      </c>
      <c r="R368" s="202">
        <v>0</v>
      </c>
      <c r="S368" s="412" t="s">
        <v>300</v>
      </c>
      <c r="T368" s="202">
        <v>0.15</v>
      </c>
      <c r="U368" s="412" t="s">
        <v>300</v>
      </c>
      <c r="V368" s="595">
        <f t="shared" si="9"/>
        <v>53</v>
      </c>
      <c r="W368" s="412" t="s">
        <v>300</v>
      </c>
      <c r="X368" s="373" t="s">
        <v>550</v>
      </c>
      <c r="Y368" s="412" t="s">
        <v>300</v>
      </c>
      <c r="Z368" s="266" t="s">
        <v>551</v>
      </c>
      <c r="AA368" s="101"/>
      <c r="AB368" s="101"/>
      <c r="AC368" s="101"/>
      <c r="AE368" s="373"/>
      <c r="AF368" s="373"/>
    </row>
    <row r="369" spans="1:32" s="359" customFormat="1" ht="14.4" x14ac:dyDescent="0.3">
      <c r="A369" s="373"/>
      <c r="B369" s="141" t="s">
        <v>562</v>
      </c>
      <c r="C369" s="373" t="s">
        <v>546</v>
      </c>
      <c r="D369" s="62" t="s">
        <v>137</v>
      </c>
      <c r="E369" s="773" t="s">
        <v>173</v>
      </c>
      <c r="F369" s="664">
        <v>864.1</v>
      </c>
      <c r="G369" s="773" t="s">
        <v>173</v>
      </c>
      <c r="H369" s="664" t="s">
        <v>547</v>
      </c>
      <c r="I369" s="412" t="s">
        <v>300</v>
      </c>
      <c r="J369" s="373" t="s">
        <v>548</v>
      </c>
      <c r="K369" s="412" t="s">
        <v>300</v>
      </c>
      <c r="L369" s="373" t="s">
        <v>558</v>
      </c>
      <c r="M369" s="412" t="s">
        <v>300</v>
      </c>
      <c r="N369" s="457">
        <v>142.9</v>
      </c>
      <c r="O369" s="773" t="s">
        <v>173</v>
      </c>
      <c r="P369" s="680">
        <f t="shared" si="8"/>
        <v>61.74</v>
      </c>
      <c r="Q369" s="412" t="s">
        <v>300</v>
      </c>
      <c r="R369" s="202">
        <v>15</v>
      </c>
      <c r="S369" s="412" t="s">
        <v>300</v>
      </c>
      <c r="T369" s="202">
        <v>0.15</v>
      </c>
      <c r="U369" s="412" t="s">
        <v>300</v>
      </c>
      <c r="V369" s="595">
        <f t="shared" si="9"/>
        <v>926</v>
      </c>
      <c r="W369" s="412" t="s">
        <v>300</v>
      </c>
      <c r="X369" s="373" t="s">
        <v>550</v>
      </c>
      <c r="Y369" s="412" t="s">
        <v>300</v>
      </c>
      <c r="Z369" s="266" t="s">
        <v>551</v>
      </c>
      <c r="AA369" s="101"/>
      <c r="AB369" s="101"/>
      <c r="AC369" s="101"/>
      <c r="AE369" s="373"/>
      <c r="AF369" s="373"/>
    </row>
    <row r="370" spans="1:32" s="359" customFormat="1" ht="14.4" x14ac:dyDescent="0.3">
      <c r="A370" s="373"/>
      <c r="B370" s="141" t="s">
        <v>563</v>
      </c>
      <c r="C370" s="373" t="s">
        <v>546</v>
      </c>
      <c r="D370" s="62" t="s">
        <v>137</v>
      </c>
      <c r="E370" s="773" t="s">
        <v>173</v>
      </c>
      <c r="F370" s="664">
        <v>216</v>
      </c>
      <c r="G370" s="773" t="s">
        <v>173</v>
      </c>
      <c r="H370" s="664" t="s">
        <v>547</v>
      </c>
      <c r="I370" s="412" t="s">
        <v>300</v>
      </c>
      <c r="J370" s="373" t="s">
        <v>548</v>
      </c>
      <c r="K370" s="412" t="s">
        <v>300</v>
      </c>
      <c r="L370" s="373" t="s">
        <v>549</v>
      </c>
      <c r="M370" s="412" t="s">
        <v>300</v>
      </c>
      <c r="N370" s="457">
        <v>10</v>
      </c>
      <c r="O370" s="773" t="s">
        <v>173</v>
      </c>
      <c r="P370" s="680">
        <f t="shared" si="8"/>
        <v>1.08</v>
      </c>
      <c r="Q370" s="412" t="s">
        <v>300</v>
      </c>
      <c r="R370" s="202">
        <v>0</v>
      </c>
      <c r="S370" s="412" t="s">
        <v>300</v>
      </c>
      <c r="T370" s="202">
        <v>0.15</v>
      </c>
      <c r="U370" s="412" t="s">
        <v>300</v>
      </c>
      <c r="V370" s="595">
        <f t="shared" si="9"/>
        <v>32</v>
      </c>
      <c r="W370" s="412" t="s">
        <v>300</v>
      </c>
      <c r="X370" s="373" t="s">
        <v>550</v>
      </c>
      <c r="Y370" s="412" t="s">
        <v>300</v>
      </c>
      <c r="Z370" s="266" t="s">
        <v>551</v>
      </c>
      <c r="AA370" s="101"/>
      <c r="AB370" s="101"/>
      <c r="AC370" s="101"/>
      <c r="AE370" s="373"/>
      <c r="AF370" s="373"/>
    </row>
    <row r="371" spans="1:32" s="359" customFormat="1" ht="14.4" x14ac:dyDescent="0.3">
      <c r="A371" s="373"/>
      <c r="B371" s="141" t="s">
        <v>564</v>
      </c>
      <c r="C371" s="373" t="s">
        <v>546</v>
      </c>
      <c r="D371" s="62" t="s">
        <v>137</v>
      </c>
      <c r="E371" s="773" t="s">
        <v>173</v>
      </c>
      <c r="F371" s="664">
        <v>216</v>
      </c>
      <c r="G371" s="773" t="s">
        <v>173</v>
      </c>
      <c r="H371" s="664" t="s">
        <v>547</v>
      </c>
      <c r="I371" s="412" t="s">
        <v>300</v>
      </c>
      <c r="J371" s="373" t="s">
        <v>548</v>
      </c>
      <c r="K371" s="412" t="s">
        <v>300</v>
      </c>
      <c r="L371" s="373" t="s">
        <v>549</v>
      </c>
      <c r="M371" s="412" t="s">
        <v>300</v>
      </c>
      <c r="N371" s="457">
        <v>10</v>
      </c>
      <c r="O371" s="773" t="s">
        <v>173</v>
      </c>
      <c r="P371" s="680">
        <f t="shared" si="8"/>
        <v>1.08</v>
      </c>
      <c r="Q371" s="412" t="s">
        <v>300</v>
      </c>
      <c r="R371" s="202">
        <v>0</v>
      </c>
      <c r="S371" s="412" t="s">
        <v>300</v>
      </c>
      <c r="T371" s="202">
        <v>0.15</v>
      </c>
      <c r="U371" s="412" t="s">
        <v>300</v>
      </c>
      <c r="V371" s="595">
        <f t="shared" si="9"/>
        <v>32</v>
      </c>
      <c r="W371" s="412" t="s">
        <v>300</v>
      </c>
      <c r="X371" s="373" t="s">
        <v>550</v>
      </c>
      <c r="Y371" s="412" t="s">
        <v>300</v>
      </c>
      <c r="Z371" s="266" t="s">
        <v>551</v>
      </c>
      <c r="AA371" s="101"/>
      <c r="AB371" s="101"/>
      <c r="AC371" s="101"/>
      <c r="AE371" s="373"/>
      <c r="AF371" s="373"/>
    </row>
    <row r="372" spans="1:32" s="359" customFormat="1" ht="14.4" x14ac:dyDescent="0.3">
      <c r="A372" s="373"/>
      <c r="B372" s="141" t="s">
        <v>565</v>
      </c>
      <c r="C372" s="373" t="s">
        <v>546</v>
      </c>
      <c r="D372" s="62" t="s">
        <v>137</v>
      </c>
      <c r="E372" s="773" t="s">
        <v>173</v>
      </c>
      <c r="F372" s="664">
        <v>216</v>
      </c>
      <c r="G372" s="773" t="s">
        <v>173</v>
      </c>
      <c r="H372" s="664" t="s">
        <v>547</v>
      </c>
      <c r="I372" s="412" t="s">
        <v>300</v>
      </c>
      <c r="J372" s="373" t="s">
        <v>548</v>
      </c>
      <c r="K372" s="412" t="s">
        <v>300</v>
      </c>
      <c r="L372" s="373" t="s">
        <v>549</v>
      </c>
      <c r="M372" s="412" t="s">
        <v>300</v>
      </c>
      <c r="N372" s="457">
        <v>10</v>
      </c>
      <c r="O372" s="773" t="s">
        <v>173</v>
      </c>
      <c r="P372" s="680">
        <f t="shared" si="8"/>
        <v>1.08</v>
      </c>
      <c r="Q372" s="412" t="s">
        <v>300</v>
      </c>
      <c r="R372" s="202">
        <v>0</v>
      </c>
      <c r="S372" s="412" t="s">
        <v>300</v>
      </c>
      <c r="T372" s="202">
        <v>0.15</v>
      </c>
      <c r="U372" s="412" t="s">
        <v>300</v>
      </c>
      <c r="V372" s="595">
        <f t="shared" si="9"/>
        <v>32</v>
      </c>
      <c r="W372" s="412" t="s">
        <v>300</v>
      </c>
      <c r="X372" s="373" t="s">
        <v>550</v>
      </c>
      <c r="Y372" s="412" t="s">
        <v>300</v>
      </c>
      <c r="Z372" s="266" t="s">
        <v>551</v>
      </c>
      <c r="AA372" s="101"/>
      <c r="AB372" s="101"/>
      <c r="AC372" s="101"/>
      <c r="AE372" s="373"/>
      <c r="AF372" s="373"/>
    </row>
    <row r="373" spans="1:32" s="359" customFormat="1" ht="14.4" x14ac:dyDescent="0.3">
      <c r="A373" s="373"/>
      <c r="B373" s="141" t="s">
        <v>566</v>
      </c>
      <c r="C373" s="373" t="s">
        <v>546</v>
      </c>
      <c r="D373" s="62" t="s">
        <v>137</v>
      </c>
      <c r="E373" s="773" t="s">
        <v>173</v>
      </c>
      <c r="F373" s="664">
        <v>216</v>
      </c>
      <c r="G373" s="773" t="s">
        <v>173</v>
      </c>
      <c r="H373" s="664" t="s">
        <v>547</v>
      </c>
      <c r="I373" s="412" t="s">
        <v>300</v>
      </c>
      <c r="J373" s="373" t="s">
        <v>548</v>
      </c>
      <c r="K373" s="412" t="s">
        <v>300</v>
      </c>
      <c r="L373" s="373" t="s">
        <v>549</v>
      </c>
      <c r="M373" s="412" t="s">
        <v>300</v>
      </c>
      <c r="N373" s="457">
        <v>10</v>
      </c>
      <c r="O373" s="773" t="s">
        <v>173</v>
      </c>
      <c r="P373" s="680">
        <f t="shared" si="8"/>
        <v>1.08</v>
      </c>
      <c r="Q373" s="412" t="s">
        <v>300</v>
      </c>
      <c r="R373" s="202">
        <v>0</v>
      </c>
      <c r="S373" s="412" t="s">
        <v>300</v>
      </c>
      <c r="T373" s="202">
        <v>0.15</v>
      </c>
      <c r="U373" s="412" t="s">
        <v>300</v>
      </c>
      <c r="V373" s="595">
        <f t="shared" si="9"/>
        <v>32</v>
      </c>
      <c r="W373" s="412" t="s">
        <v>300</v>
      </c>
      <c r="X373" s="373" t="s">
        <v>550</v>
      </c>
      <c r="Y373" s="412" t="s">
        <v>300</v>
      </c>
      <c r="Z373" s="266" t="s">
        <v>551</v>
      </c>
      <c r="AA373" s="101"/>
      <c r="AB373" s="101"/>
      <c r="AC373" s="101"/>
      <c r="AE373" s="373"/>
      <c r="AF373" s="373"/>
    </row>
    <row r="374" spans="1:32" s="359" customFormat="1" ht="14.4" x14ac:dyDescent="0.3">
      <c r="A374" s="373"/>
      <c r="B374" s="141" t="s">
        <v>567</v>
      </c>
      <c r="C374" s="373" t="s">
        <v>546</v>
      </c>
      <c r="D374" s="62" t="s">
        <v>137</v>
      </c>
      <c r="E374" s="773" t="s">
        <v>173</v>
      </c>
      <c r="F374" s="664">
        <v>135</v>
      </c>
      <c r="G374" s="773" t="s">
        <v>173</v>
      </c>
      <c r="H374" s="664" t="s">
        <v>547</v>
      </c>
      <c r="I374" s="412" t="s">
        <v>300</v>
      </c>
      <c r="J374" s="373" t="s">
        <v>548</v>
      </c>
      <c r="K374" s="412" t="s">
        <v>300</v>
      </c>
      <c r="L374" s="373" t="s">
        <v>549</v>
      </c>
      <c r="M374" s="412" t="s">
        <v>300</v>
      </c>
      <c r="N374" s="457">
        <v>10</v>
      </c>
      <c r="O374" s="773" t="s">
        <v>173</v>
      </c>
      <c r="P374" s="680">
        <f t="shared" si="8"/>
        <v>0.68</v>
      </c>
      <c r="Q374" s="412" t="s">
        <v>300</v>
      </c>
      <c r="R374" s="202">
        <v>0</v>
      </c>
      <c r="S374" s="412" t="s">
        <v>300</v>
      </c>
      <c r="T374" s="202">
        <v>0.15</v>
      </c>
      <c r="U374" s="412" t="s">
        <v>300</v>
      </c>
      <c r="V374" s="595">
        <f t="shared" si="9"/>
        <v>20</v>
      </c>
      <c r="W374" s="412" t="s">
        <v>300</v>
      </c>
      <c r="X374" s="373" t="s">
        <v>550</v>
      </c>
      <c r="Y374" s="412" t="s">
        <v>300</v>
      </c>
      <c r="Z374" s="266" t="s">
        <v>551</v>
      </c>
      <c r="AA374" s="101"/>
      <c r="AB374" s="101"/>
      <c r="AC374" s="101"/>
      <c r="AE374" s="373"/>
      <c r="AF374" s="373"/>
    </row>
    <row r="375" spans="1:32" s="359" customFormat="1" ht="14.4" x14ac:dyDescent="0.3">
      <c r="A375" s="373"/>
      <c r="B375" s="141" t="s">
        <v>568</v>
      </c>
      <c r="C375" s="373" t="s">
        <v>546</v>
      </c>
      <c r="D375" s="62" t="s">
        <v>137</v>
      </c>
      <c r="E375" s="773" t="s">
        <v>173</v>
      </c>
      <c r="F375" s="664">
        <v>135</v>
      </c>
      <c r="G375" s="773" t="s">
        <v>173</v>
      </c>
      <c r="H375" s="664" t="s">
        <v>547</v>
      </c>
      <c r="I375" s="412" t="s">
        <v>300</v>
      </c>
      <c r="J375" s="373" t="s">
        <v>548</v>
      </c>
      <c r="K375" s="412" t="s">
        <v>300</v>
      </c>
      <c r="L375" s="373" t="s">
        <v>549</v>
      </c>
      <c r="M375" s="412" t="s">
        <v>300</v>
      </c>
      <c r="N375" s="457">
        <v>10</v>
      </c>
      <c r="O375" s="773" t="s">
        <v>173</v>
      </c>
      <c r="P375" s="680">
        <f t="shared" si="8"/>
        <v>0.68</v>
      </c>
      <c r="Q375" s="412" t="s">
        <v>300</v>
      </c>
      <c r="R375" s="202">
        <v>0</v>
      </c>
      <c r="S375" s="412" t="s">
        <v>300</v>
      </c>
      <c r="T375" s="202">
        <v>0.15</v>
      </c>
      <c r="U375" s="412" t="s">
        <v>300</v>
      </c>
      <c r="V375" s="595">
        <f t="shared" si="9"/>
        <v>20</v>
      </c>
      <c r="W375" s="412" t="s">
        <v>300</v>
      </c>
      <c r="X375" s="373" t="s">
        <v>550</v>
      </c>
      <c r="Y375" s="412" t="s">
        <v>300</v>
      </c>
      <c r="Z375" s="266" t="s">
        <v>551</v>
      </c>
      <c r="AA375" s="101"/>
      <c r="AB375" s="101"/>
      <c r="AC375" s="101"/>
      <c r="AE375" s="373"/>
      <c r="AF375" s="373"/>
    </row>
    <row r="376" spans="1:32" s="359" customFormat="1" ht="14.4" x14ac:dyDescent="0.3">
      <c r="A376" s="373"/>
      <c r="B376" s="141" t="s">
        <v>569</v>
      </c>
      <c r="C376" s="373" t="s">
        <v>546</v>
      </c>
      <c r="D376" s="62" t="s">
        <v>137</v>
      </c>
      <c r="E376" s="773" t="s">
        <v>173</v>
      </c>
      <c r="F376" s="664">
        <v>135</v>
      </c>
      <c r="G376" s="773" t="s">
        <v>173</v>
      </c>
      <c r="H376" s="664" t="s">
        <v>547</v>
      </c>
      <c r="I376" s="412" t="s">
        <v>300</v>
      </c>
      <c r="J376" s="373" t="s">
        <v>548</v>
      </c>
      <c r="K376" s="412" t="s">
        <v>300</v>
      </c>
      <c r="L376" s="373" t="s">
        <v>549</v>
      </c>
      <c r="M376" s="412" t="s">
        <v>300</v>
      </c>
      <c r="N376" s="457">
        <v>10</v>
      </c>
      <c r="O376" s="773" t="s">
        <v>173</v>
      </c>
      <c r="P376" s="680">
        <f t="shared" si="8"/>
        <v>0.68</v>
      </c>
      <c r="Q376" s="412" t="s">
        <v>300</v>
      </c>
      <c r="R376" s="202">
        <v>0</v>
      </c>
      <c r="S376" s="412" t="s">
        <v>300</v>
      </c>
      <c r="T376" s="202">
        <v>0.15</v>
      </c>
      <c r="U376" s="412" t="s">
        <v>300</v>
      </c>
      <c r="V376" s="595">
        <f t="shared" si="9"/>
        <v>20</v>
      </c>
      <c r="W376" s="412" t="s">
        <v>300</v>
      </c>
      <c r="X376" s="373" t="s">
        <v>550</v>
      </c>
      <c r="Y376" s="412" t="s">
        <v>300</v>
      </c>
      <c r="Z376" s="266" t="s">
        <v>551</v>
      </c>
      <c r="AA376" s="101"/>
      <c r="AB376" s="101"/>
      <c r="AC376" s="101"/>
      <c r="AE376" s="373"/>
      <c r="AF376" s="373"/>
    </row>
    <row r="377" spans="1:32" s="359" customFormat="1" ht="14.4" x14ac:dyDescent="0.3">
      <c r="A377" s="373"/>
      <c r="B377" s="141" t="s">
        <v>570</v>
      </c>
      <c r="C377" s="373" t="s">
        <v>546</v>
      </c>
      <c r="D377" s="62" t="s">
        <v>137</v>
      </c>
      <c r="E377" s="773" t="s">
        <v>173</v>
      </c>
      <c r="F377" s="664">
        <v>135</v>
      </c>
      <c r="G377" s="773" t="s">
        <v>173</v>
      </c>
      <c r="H377" s="664" t="s">
        <v>547</v>
      </c>
      <c r="I377" s="412" t="s">
        <v>300</v>
      </c>
      <c r="J377" s="373" t="s">
        <v>548</v>
      </c>
      <c r="K377" s="412" t="s">
        <v>300</v>
      </c>
      <c r="L377" s="373" t="s">
        <v>549</v>
      </c>
      <c r="M377" s="412" t="s">
        <v>300</v>
      </c>
      <c r="N377" s="457">
        <v>10</v>
      </c>
      <c r="O377" s="773" t="s">
        <v>173</v>
      </c>
      <c r="P377" s="680">
        <f t="shared" si="8"/>
        <v>0.68</v>
      </c>
      <c r="Q377" s="412" t="s">
        <v>300</v>
      </c>
      <c r="R377" s="202">
        <v>0</v>
      </c>
      <c r="S377" s="412" t="s">
        <v>300</v>
      </c>
      <c r="T377" s="202">
        <v>0.15</v>
      </c>
      <c r="U377" s="412" t="s">
        <v>300</v>
      </c>
      <c r="V377" s="595">
        <f t="shared" si="9"/>
        <v>20</v>
      </c>
      <c r="W377" s="412" t="s">
        <v>300</v>
      </c>
      <c r="X377" s="373" t="s">
        <v>550</v>
      </c>
      <c r="Y377" s="412" t="s">
        <v>300</v>
      </c>
      <c r="Z377" s="266" t="s">
        <v>551</v>
      </c>
      <c r="AA377" s="101"/>
      <c r="AB377" s="101"/>
      <c r="AC377" s="101"/>
      <c r="AE377" s="373"/>
      <c r="AF377" s="373"/>
    </row>
    <row r="378" spans="1:32" s="359" customFormat="1" ht="14.4" x14ac:dyDescent="0.3">
      <c r="A378" s="373"/>
      <c r="B378" s="141" t="s">
        <v>571</v>
      </c>
      <c r="C378" s="373" t="s">
        <v>546</v>
      </c>
      <c r="D378" s="62" t="s">
        <v>137</v>
      </c>
      <c r="E378" s="773" t="s">
        <v>173</v>
      </c>
      <c r="F378" s="664">
        <v>216.1</v>
      </c>
      <c r="G378" s="773" t="s">
        <v>173</v>
      </c>
      <c r="H378" s="664" t="s">
        <v>547</v>
      </c>
      <c r="I378" s="412" t="s">
        <v>300</v>
      </c>
      <c r="J378" s="373" t="s">
        <v>548</v>
      </c>
      <c r="K378" s="412" t="s">
        <v>300</v>
      </c>
      <c r="L378" s="373" t="s">
        <v>549</v>
      </c>
      <c r="M378" s="412" t="s">
        <v>300</v>
      </c>
      <c r="N378" s="457">
        <v>10</v>
      </c>
      <c r="O378" s="773" t="s">
        <v>173</v>
      </c>
      <c r="P378" s="680">
        <f t="shared" si="8"/>
        <v>1.08</v>
      </c>
      <c r="Q378" s="412" t="s">
        <v>300</v>
      </c>
      <c r="R378" s="202">
        <v>0</v>
      </c>
      <c r="S378" s="412" t="s">
        <v>300</v>
      </c>
      <c r="T378" s="202">
        <v>0.15</v>
      </c>
      <c r="U378" s="412" t="s">
        <v>300</v>
      </c>
      <c r="V378" s="595">
        <f t="shared" si="9"/>
        <v>32</v>
      </c>
      <c r="W378" s="412" t="s">
        <v>300</v>
      </c>
      <c r="X378" s="373" t="s">
        <v>550</v>
      </c>
      <c r="Y378" s="412" t="s">
        <v>300</v>
      </c>
      <c r="Z378" s="266" t="s">
        <v>551</v>
      </c>
      <c r="AA378" s="101"/>
      <c r="AB378" s="101"/>
      <c r="AC378" s="101"/>
      <c r="AE378" s="373"/>
      <c r="AF378" s="373"/>
    </row>
    <row r="379" spans="1:32" s="359" customFormat="1" ht="14.4" x14ac:dyDescent="0.3">
      <c r="A379" s="373"/>
      <c r="B379" s="141" t="s">
        <v>572</v>
      </c>
      <c r="C379" s="373" t="s">
        <v>546</v>
      </c>
      <c r="D379" s="62" t="s">
        <v>137</v>
      </c>
      <c r="E379" s="773" t="s">
        <v>173</v>
      </c>
      <c r="F379" s="664">
        <v>216.1</v>
      </c>
      <c r="G379" s="773" t="s">
        <v>173</v>
      </c>
      <c r="H379" s="664" t="s">
        <v>547</v>
      </c>
      <c r="I379" s="412" t="s">
        <v>300</v>
      </c>
      <c r="J379" s="373" t="s">
        <v>548</v>
      </c>
      <c r="K379" s="412" t="s">
        <v>300</v>
      </c>
      <c r="L379" s="373" t="s">
        <v>549</v>
      </c>
      <c r="M379" s="412" t="s">
        <v>300</v>
      </c>
      <c r="N379" s="457">
        <v>10</v>
      </c>
      <c r="O379" s="773" t="s">
        <v>173</v>
      </c>
      <c r="P379" s="680">
        <f t="shared" si="8"/>
        <v>1.08</v>
      </c>
      <c r="Q379" s="412" t="s">
        <v>300</v>
      </c>
      <c r="R379" s="202">
        <v>0</v>
      </c>
      <c r="S379" s="412" t="s">
        <v>300</v>
      </c>
      <c r="T379" s="202">
        <v>0.15</v>
      </c>
      <c r="U379" s="412" t="s">
        <v>300</v>
      </c>
      <c r="V379" s="595">
        <f t="shared" si="9"/>
        <v>32</v>
      </c>
      <c r="W379" s="412" t="s">
        <v>300</v>
      </c>
      <c r="X379" s="373" t="s">
        <v>550</v>
      </c>
      <c r="Y379" s="412" t="s">
        <v>300</v>
      </c>
      <c r="Z379" s="266" t="s">
        <v>551</v>
      </c>
      <c r="AA379" s="101"/>
      <c r="AB379" s="101"/>
      <c r="AC379" s="101"/>
      <c r="AE379" s="373"/>
      <c r="AF379" s="373"/>
    </row>
    <row r="380" spans="1:32" s="359" customFormat="1" ht="14.4" x14ac:dyDescent="0.3">
      <c r="A380" s="373"/>
      <c r="B380" s="141" t="s">
        <v>573</v>
      </c>
      <c r="C380" s="373" t="s">
        <v>546</v>
      </c>
      <c r="D380" s="62" t="s">
        <v>137</v>
      </c>
      <c r="E380" s="773" t="s">
        <v>173</v>
      </c>
      <c r="F380" s="664">
        <v>216.1</v>
      </c>
      <c r="G380" s="773" t="s">
        <v>173</v>
      </c>
      <c r="H380" s="664" t="s">
        <v>547</v>
      </c>
      <c r="I380" s="412" t="s">
        <v>300</v>
      </c>
      <c r="J380" s="373" t="s">
        <v>548</v>
      </c>
      <c r="K380" s="412" t="s">
        <v>300</v>
      </c>
      <c r="L380" s="373" t="s">
        <v>549</v>
      </c>
      <c r="M380" s="412" t="s">
        <v>300</v>
      </c>
      <c r="N380" s="457">
        <v>10</v>
      </c>
      <c r="O380" s="773" t="s">
        <v>173</v>
      </c>
      <c r="P380" s="680">
        <f t="shared" si="8"/>
        <v>1.08</v>
      </c>
      <c r="Q380" s="412" t="s">
        <v>300</v>
      </c>
      <c r="R380" s="202">
        <v>0</v>
      </c>
      <c r="S380" s="412" t="s">
        <v>300</v>
      </c>
      <c r="T380" s="202">
        <v>0.15</v>
      </c>
      <c r="U380" s="412" t="s">
        <v>300</v>
      </c>
      <c r="V380" s="595">
        <f t="shared" si="9"/>
        <v>32</v>
      </c>
      <c r="W380" s="412" t="s">
        <v>300</v>
      </c>
      <c r="X380" s="373" t="s">
        <v>550</v>
      </c>
      <c r="Y380" s="412" t="s">
        <v>300</v>
      </c>
      <c r="Z380" s="266" t="s">
        <v>551</v>
      </c>
      <c r="AA380" s="101"/>
      <c r="AB380" s="101"/>
      <c r="AC380" s="101"/>
      <c r="AE380" s="373"/>
      <c r="AF380" s="373"/>
    </row>
    <row r="381" spans="1:32" s="359" customFormat="1" ht="14.4" x14ac:dyDescent="0.3">
      <c r="A381" s="373"/>
      <c r="B381" s="141" t="s">
        <v>574</v>
      </c>
      <c r="C381" s="373" t="s">
        <v>546</v>
      </c>
      <c r="D381" s="62" t="s">
        <v>137</v>
      </c>
      <c r="E381" s="773" t="s">
        <v>173</v>
      </c>
      <c r="F381" s="664">
        <v>216.1</v>
      </c>
      <c r="G381" s="773" t="s">
        <v>173</v>
      </c>
      <c r="H381" s="664" t="s">
        <v>547</v>
      </c>
      <c r="I381" s="412" t="s">
        <v>300</v>
      </c>
      <c r="J381" s="373" t="s">
        <v>548</v>
      </c>
      <c r="K381" s="412" t="s">
        <v>300</v>
      </c>
      <c r="L381" s="373" t="s">
        <v>549</v>
      </c>
      <c r="M381" s="412" t="s">
        <v>300</v>
      </c>
      <c r="N381" s="457">
        <v>10</v>
      </c>
      <c r="O381" s="773" t="s">
        <v>173</v>
      </c>
      <c r="P381" s="680">
        <f t="shared" si="8"/>
        <v>1.08</v>
      </c>
      <c r="Q381" s="412" t="s">
        <v>300</v>
      </c>
      <c r="R381" s="202">
        <v>0</v>
      </c>
      <c r="S381" s="412" t="s">
        <v>300</v>
      </c>
      <c r="T381" s="202">
        <v>0.15</v>
      </c>
      <c r="U381" s="412" t="s">
        <v>300</v>
      </c>
      <c r="V381" s="595">
        <f t="shared" si="9"/>
        <v>32</v>
      </c>
      <c r="W381" s="412" t="s">
        <v>300</v>
      </c>
      <c r="X381" s="373" t="s">
        <v>550</v>
      </c>
      <c r="Y381" s="412" t="s">
        <v>300</v>
      </c>
      <c r="Z381" s="266" t="s">
        <v>551</v>
      </c>
      <c r="AA381" s="101"/>
      <c r="AB381" s="101"/>
      <c r="AC381" s="101"/>
      <c r="AE381" s="373"/>
      <c r="AF381" s="373"/>
    </row>
    <row r="382" spans="1:32" s="359" customFormat="1" ht="14.4" x14ac:dyDescent="0.3">
      <c r="A382" s="373"/>
      <c r="B382" s="141" t="s">
        <v>575</v>
      </c>
      <c r="C382" s="373" t="s">
        <v>546</v>
      </c>
      <c r="D382" s="62" t="s">
        <v>137</v>
      </c>
      <c r="E382" s="773" t="s">
        <v>173</v>
      </c>
      <c r="F382" s="664">
        <v>216.1</v>
      </c>
      <c r="G382" s="773" t="s">
        <v>173</v>
      </c>
      <c r="H382" s="664" t="s">
        <v>547</v>
      </c>
      <c r="I382" s="412" t="s">
        <v>300</v>
      </c>
      <c r="J382" s="373" t="s">
        <v>548</v>
      </c>
      <c r="K382" s="412" t="s">
        <v>300</v>
      </c>
      <c r="L382" s="373" t="s">
        <v>549</v>
      </c>
      <c r="M382" s="412" t="s">
        <v>300</v>
      </c>
      <c r="N382" s="457">
        <v>10</v>
      </c>
      <c r="O382" s="773" t="s">
        <v>173</v>
      </c>
      <c r="P382" s="680">
        <f t="shared" si="8"/>
        <v>1.08</v>
      </c>
      <c r="Q382" s="412" t="s">
        <v>300</v>
      </c>
      <c r="R382" s="202">
        <v>0</v>
      </c>
      <c r="S382" s="412" t="s">
        <v>300</v>
      </c>
      <c r="T382" s="202">
        <v>0.15</v>
      </c>
      <c r="U382" s="412" t="s">
        <v>300</v>
      </c>
      <c r="V382" s="595">
        <f t="shared" si="9"/>
        <v>32</v>
      </c>
      <c r="W382" s="412" t="s">
        <v>300</v>
      </c>
      <c r="X382" s="373" t="s">
        <v>550</v>
      </c>
      <c r="Y382" s="412" t="s">
        <v>300</v>
      </c>
      <c r="Z382" s="266" t="s">
        <v>551</v>
      </c>
      <c r="AA382" s="101"/>
      <c r="AB382" s="101"/>
      <c r="AC382" s="101"/>
      <c r="AE382" s="373"/>
      <c r="AF382" s="373"/>
    </row>
    <row r="383" spans="1:32" s="359" customFormat="1" ht="14.4" x14ac:dyDescent="0.3">
      <c r="A383" s="373"/>
      <c r="B383" s="141" t="s">
        <v>576</v>
      </c>
      <c r="C383" s="373" t="s">
        <v>546</v>
      </c>
      <c r="D383" s="62" t="s">
        <v>137</v>
      </c>
      <c r="E383" s="773" t="s">
        <v>173</v>
      </c>
      <c r="F383" s="664">
        <v>216.1</v>
      </c>
      <c r="G383" s="773" t="s">
        <v>173</v>
      </c>
      <c r="H383" s="664" t="s">
        <v>547</v>
      </c>
      <c r="I383" s="412" t="s">
        <v>300</v>
      </c>
      <c r="J383" s="373" t="s">
        <v>548</v>
      </c>
      <c r="K383" s="412" t="s">
        <v>300</v>
      </c>
      <c r="L383" s="373" t="s">
        <v>549</v>
      </c>
      <c r="M383" s="412" t="s">
        <v>300</v>
      </c>
      <c r="N383" s="457">
        <v>10</v>
      </c>
      <c r="O383" s="773" t="s">
        <v>173</v>
      </c>
      <c r="P383" s="680">
        <f t="shared" si="8"/>
        <v>1.08</v>
      </c>
      <c r="Q383" s="412" t="s">
        <v>300</v>
      </c>
      <c r="R383" s="202">
        <v>0</v>
      </c>
      <c r="S383" s="412" t="s">
        <v>300</v>
      </c>
      <c r="T383" s="202">
        <v>0.15</v>
      </c>
      <c r="U383" s="412" t="s">
        <v>300</v>
      </c>
      <c r="V383" s="595">
        <f t="shared" si="9"/>
        <v>32</v>
      </c>
      <c r="W383" s="412" t="s">
        <v>300</v>
      </c>
      <c r="X383" s="373" t="s">
        <v>550</v>
      </c>
      <c r="Y383" s="412" t="s">
        <v>300</v>
      </c>
      <c r="Z383" s="266" t="s">
        <v>551</v>
      </c>
      <c r="AA383" s="101"/>
      <c r="AB383" s="101"/>
      <c r="AC383" s="101"/>
      <c r="AE383" s="373"/>
      <c r="AF383" s="373"/>
    </row>
    <row r="384" spans="1:32" s="359" customFormat="1" ht="14.4" x14ac:dyDescent="0.3">
      <c r="A384" s="373"/>
      <c r="B384" s="141" t="s">
        <v>577</v>
      </c>
      <c r="C384" s="373" t="s">
        <v>546</v>
      </c>
      <c r="D384" s="62" t="s">
        <v>137</v>
      </c>
      <c r="E384" s="773" t="s">
        <v>173</v>
      </c>
      <c r="F384" s="664">
        <v>216.1</v>
      </c>
      <c r="G384" s="773" t="s">
        <v>173</v>
      </c>
      <c r="H384" s="664" t="s">
        <v>547</v>
      </c>
      <c r="I384" s="412" t="s">
        <v>300</v>
      </c>
      <c r="J384" s="373" t="s">
        <v>548</v>
      </c>
      <c r="K384" s="412" t="s">
        <v>300</v>
      </c>
      <c r="L384" s="373" t="s">
        <v>549</v>
      </c>
      <c r="M384" s="412" t="s">
        <v>300</v>
      </c>
      <c r="N384" s="457">
        <v>10</v>
      </c>
      <c r="O384" s="773" t="s">
        <v>173</v>
      </c>
      <c r="P384" s="680">
        <f t="shared" si="8"/>
        <v>1.08</v>
      </c>
      <c r="Q384" s="412" t="s">
        <v>300</v>
      </c>
      <c r="R384" s="202">
        <v>0</v>
      </c>
      <c r="S384" s="412" t="s">
        <v>300</v>
      </c>
      <c r="T384" s="202">
        <v>0.15</v>
      </c>
      <c r="U384" s="412" t="s">
        <v>300</v>
      </c>
      <c r="V384" s="595">
        <f t="shared" si="9"/>
        <v>32</v>
      </c>
      <c r="W384" s="412" t="s">
        <v>300</v>
      </c>
      <c r="X384" s="373" t="s">
        <v>550</v>
      </c>
      <c r="Y384" s="412" t="s">
        <v>300</v>
      </c>
      <c r="Z384" s="266" t="s">
        <v>551</v>
      </c>
      <c r="AA384" s="101"/>
      <c r="AB384" s="101"/>
      <c r="AC384" s="101"/>
      <c r="AE384" s="373"/>
      <c r="AF384" s="373"/>
    </row>
    <row r="385" spans="1:52" s="359" customFormat="1" ht="14.4" x14ac:dyDescent="0.3">
      <c r="A385" s="373"/>
      <c r="B385" s="141" t="s">
        <v>578</v>
      </c>
      <c r="C385" s="373" t="s">
        <v>546</v>
      </c>
      <c r="D385" s="62" t="s">
        <v>137</v>
      </c>
      <c r="E385" s="773" t="s">
        <v>173</v>
      </c>
      <c r="F385" s="664">
        <v>216.1</v>
      </c>
      <c r="G385" s="773" t="s">
        <v>173</v>
      </c>
      <c r="H385" s="664" t="s">
        <v>547</v>
      </c>
      <c r="I385" s="412" t="s">
        <v>300</v>
      </c>
      <c r="J385" s="373" t="s">
        <v>548</v>
      </c>
      <c r="K385" s="412" t="s">
        <v>300</v>
      </c>
      <c r="L385" s="373" t="s">
        <v>549</v>
      </c>
      <c r="M385" s="412" t="s">
        <v>300</v>
      </c>
      <c r="N385" s="457">
        <v>10</v>
      </c>
      <c r="O385" s="773" t="s">
        <v>173</v>
      </c>
      <c r="P385" s="680">
        <f t="shared" si="8"/>
        <v>1.08</v>
      </c>
      <c r="Q385" s="412" t="s">
        <v>300</v>
      </c>
      <c r="R385" s="202">
        <v>0</v>
      </c>
      <c r="S385" s="412" t="s">
        <v>300</v>
      </c>
      <c r="T385" s="202">
        <v>0.15</v>
      </c>
      <c r="U385" s="412" t="s">
        <v>300</v>
      </c>
      <c r="V385" s="595">
        <f t="shared" si="9"/>
        <v>32</v>
      </c>
      <c r="W385" s="412" t="s">
        <v>300</v>
      </c>
      <c r="X385" s="373" t="s">
        <v>550</v>
      </c>
      <c r="Y385" s="412" t="s">
        <v>300</v>
      </c>
      <c r="Z385" s="266" t="s">
        <v>551</v>
      </c>
      <c r="AA385" s="101"/>
      <c r="AB385" s="101"/>
      <c r="AC385" s="101"/>
      <c r="AE385" s="373"/>
      <c r="AF385" s="373"/>
    </row>
    <row r="386" spans="1:52" s="359" customFormat="1" ht="14.4" x14ac:dyDescent="0.3">
      <c r="A386" s="373"/>
      <c r="B386" s="309" t="s">
        <v>579</v>
      </c>
      <c r="C386" s="165" t="s">
        <v>546</v>
      </c>
      <c r="D386" s="452" t="s">
        <v>137</v>
      </c>
      <c r="E386" s="775" t="s">
        <v>173</v>
      </c>
      <c r="F386" s="669">
        <v>351</v>
      </c>
      <c r="G386" s="775" t="s">
        <v>173</v>
      </c>
      <c r="H386" s="669" t="s">
        <v>547</v>
      </c>
      <c r="I386" s="410" t="s">
        <v>300</v>
      </c>
      <c r="J386" s="165" t="s">
        <v>548</v>
      </c>
      <c r="K386" s="410" t="s">
        <v>300</v>
      </c>
      <c r="L386" s="165" t="s">
        <v>549</v>
      </c>
      <c r="M386" s="410" t="s">
        <v>300</v>
      </c>
      <c r="N386" s="429">
        <v>10</v>
      </c>
      <c r="O386" s="775" t="s">
        <v>173</v>
      </c>
      <c r="P386" s="682">
        <f t="shared" si="8"/>
        <v>1.76</v>
      </c>
      <c r="Q386" s="410" t="s">
        <v>300</v>
      </c>
      <c r="R386" s="204">
        <v>0</v>
      </c>
      <c r="S386" s="410" t="s">
        <v>300</v>
      </c>
      <c r="T386" s="204">
        <v>0.15</v>
      </c>
      <c r="U386" s="410" t="s">
        <v>300</v>
      </c>
      <c r="V386" s="653">
        <f t="shared" si="9"/>
        <v>53</v>
      </c>
      <c r="W386" s="410" t="s">
        <v>300</v>
      </c>
      <c r="X386" s="165" t="s">
        <v>550</v>
      </c>
      <c r="Y386" s="410" t="s">
        <v>300</v>
      </c>
      <c r="Z386" s="250" t="s">
        <v>551</v>
      </c>
      <c r="AA386" s="101"/>
      <c r="AB386" s="101"/>
      <c r="AC386" s="101"/>
      <c r="AE386" s="373"/>
      <c r="AF386" s="373"/>
    </row>
    <row r="387" spans="1:52" s="93" customFormat="1" ht="14.4" x14ac:dyDescent="0.3">
      <c r="A387" s="89"/>
      <c r="B387" s="92"/>
      <c r="C387" s="90"/>
      <c r="E387" s="357"/>
      <c r="G387" s="25"/>
      <c r="I387" s="96"/>
      <c r="K387" s="96"/>
      <c r="M387" s="96"/>
      <c r="O387" s="96"/>
      <c r="Q387" s="89"/>
      <c r="R387" s="89"/>
      <c r="S387" s="89"/>
      <c r="T387" s="89"/>
      <c r="U387" s="358"/>
      <c r="V387" s="358"/>
      <c r="W387" s="358"/>
      <c r="X387" s="358"/>
    </row>
    <row r="388" spans="1:52" s="17" customFormat="1" ht="14.4" x14ac:dyDescent="0.3">
      <c r="A388" s="397"/>
      <c r="B388" s="401"/>
      <c r="C388" s="74"/>
      <c r="E388" s="533"/>
      <c r="G388" s="570"/>
      <c r="I388" s="570"/>
      <c r="K388" s="570"/>
      <c r="M388" s="570"/>
      <c r="O388" s="570"/>
      <c r="Q388" s="397"/>
      <c r="R388" s="397"/>
      <c r="S388" s="397"/>
      <c r="T388" s="397"/>
      <c r="U388" s="534"/>
      <c r="V388" s="534"/>
      <c r="W388" s="534"/>
      <c r="X388" s="534"/>
      <c r="AK388" s="93"/>
    </row>
    <row r="389" spans="1:52" s="373" customFormat="1" ht="41.4" x14ac:dyDescent="0.3">
      <c r="A389" s="358"/>
      <c r="B389" s="115" t="s">
        <v>580</v>
      </c>
      <c r="C389" s="120" t="s">
        <v>523</v>
      </c>
      <c r="D389" s="120" t="s">
        <v>122</v>
      </c>
      <c r="E389" s="115"/>
      <c r="F389" s="488" t="s">
        <v>52</v>
      </c>
      <c r="G389" s="115"/>
      <c r="H389" s="488" t="s">
        <v>522</v>
      </c>
      <c r="I389" s="115"/>
      <c r="J389" s="319" t="s">
        <v>524</v>
      </c>
      <c r="K389" s="675"/>
      <c r="L389" s="488" t="s">
        <v>581</v>
      </c>
      <c r="M389" s="115"/>
      <c r="N389" s="319" t="s">
        <v>525</v>
      </c>
      <c r="O389" s="675"/>
      <c r="P389" s="488" t="s">
        <v>526</v>
      </c>
      <c r="Q389" s="675"/>
      <c r="R389" s="488" t="s">
        <v>527</v>
      </c>
      <c r="S389" s="115"/>
      <c r="T389" s="319" t="s">
        <v>528</v>
      </c>
      <c r="U389" s="488"/>
      <c r="V389" s="319" t="s">
        <v>529</v>
      </c>
      <c r="W389" s="274"/>
      <c r="X389" s="173" t="s">
        <v>583</v>
      </c>
      <c r="Y389" s="173"/>
      <c r="Z389" s="173" t="s">
        <v>827</v>
      </c>
      <c r="AA389" s="602"/>
      <c r="AB389" s="117" t="s">
        <v>585</v>
      </c>
      <c r="AC389" s="173"/>
      <c r="AD389" s="173" t="s">
        <v>586</v>
      </c>
      <c r="AE389" s="293"/>
      <c r="AF389" s="148" t="s">
        <v>533</v>
      </c>
      <c r="AG389" s="131"/>
      <c r="AH389" s="148" t="s">
        <v>534</v>
      </c>
      <c r="AI389" s="17"/>
      <c r="AJ389" s="17"/>
      <c r="AK389" s="93"/>
      <c r="AL389" s="17"/>
      <c r="AN389" s="358"/>
      <c r="AO389" s="359"/>
      <c r="AP389" s="358"/>
      <c r="AQ389" s="578"/>
      <c r="AR389" s="579"/>
      <c r="AW389" s="358"/>
      <c r="AX389" s="358"/>
      <c r="AY389" s="358"/>
      <c r="AZ389" s="358"/>
    </row>
    <row r="390" spans="1:52" s="89" customFormat="1" ht="28.2" thickBot="1" x14ac:dyDescent="0.35">
      <c r="B390" s="315" t="s">
        <v>587</v>
      </c>
      <c r="C390" s="176" t="s">
        <v>536</v>
      </c>
      <c r="D390" s="582"/>
      <c r="E390" s="635"/>
      <c r="F390" s="176" t="s">
        <v>828</v>
      </c>
      <c r="G390" s="635"/>
      <c r="H390" s="176" t="s">
        <v>589</v>
      </c>
      <c r="I390" s="635"/>
      <c r="J390" s="176"/>
      <c r="K390" s="178"/>
      <c r="L390" s="176" t="s">
        <v>590</v>
      </c>
      <c r="M390" s="635"/>
      <c r="N390" s="176" t="s">
        <v>537</v>
      </c>
      <c r="O390" s="178"/>
      <c r="P390" s="338" t="s">
        <v>538</v>
      </c>
      <c r="Q390" s="178"/>
      <c r="R390" s="338" t="s">
        <v>539</v>
      </c>
      <c r="S390" s="635"/>
      <c r="T390" s="176" t="s">
        <v>540</v>
      </c>
      <c r="U390" s="132"/>
      <c r="V390" s="124"/>
      <c r="W390" s="315"/>
      <c r="X390" s="124" t="s">
        <v>592</v>
      </c>
      <c r="Y390" s="124"/>
      <c r="Z390" s="124" t="s">
        <v>593</v>
      </c>
      <c r="AA390" s="603"/>
      <c r="AB390" s="149" t="s">
        <v>594</v>
      </c>
      <c r="AC390" s="124"/>
      <c r="AD390" s="124" t="s">
        <v>542</v>
      </c>
      <c r="AE390" s="580"/>
      <c r="AF390" s="339" t="s">
        <v>543</v>
      </c>
      <c r="AG390" s="580"/>
      <c r="AH390" s="339" t="s">
        <v>544</v>
      </c>
      <c r="AI390" s="17"/>
      <c r="AJ390" s="17"/>
      <c r="AK390" s="93"/>
      <c r="AL390" s="17"/>
      <c r="AM390" s="101"/>
      <c r="AN390" s="101"/>
      <c r="AQ390" s="101"/>
      <c r="AR390" s="101"/>
      <c r="AS390" s="101"/>
      <c r="AT390" s="101"/>
      <c r="AU390" s="101"/>
      <c r="AV390" s="101"/>
      <c r="AW390" s="101"/>
      <c r="AX390" s="101"/>
      <c r="AY390" s="101"/>
      <c r="AZ390" s="101"/>
    </row>
    <row r="391" spans="1:52" s="89" customFormat="1" ht="28.2" thickTop="1" x14ac:dyDescent="0.3">
      <c r="B391" s="128" t="s">
        <v>595</v>
      </c>
      <c r="C391" s="373" t="s">
        <v>546</v>
      </c>
      <c r="D391" s="62" t="s">
        <v>137</v>
      </c>
      <c r="E391" s="228"/>
      <c r="F391" s="373" t="s">
        <v>596</v>
      </c>
      <c r="G391" s="228"/>
      <c r="H391" s="373" t="s">
        <v>597</v>
      </c>
      <c r="I391" s="769" t="s">
        <v>173</v>
      </c>
      <c r="J391" s="664">
        <v>351</v>
      </c>
      <c r="K391" s="773" t="s">
        <v>173</v>
      </c>
      <c r="L391" s="712">
        <v>1</v>
      </c>
      <c r="M391" s="773" t="s">
        <v>173</v>
      </c>
      <c r="N391" s="664" t="s">
        <v>547</v>
      </c>
      <c r="O391" s="773" t="s">
        <v>173</v>
      </c>
      <c r="P391" s="665" t="s">
        <v>548</v>
      </c>
      <c r="Q391" s="773" t="s">
        <v>173</v>
      </c>
      <c r="R391" s="665" t="s">
        <v>549</v>
      </c>
      <c r="S391" s="412" t="s">
        <v>300</v>
      </c>
      <c r="T391" s="373">
        <v>5</v>
      </c>
      <c r="U391" s="773" t="s">
        <v>173</v>
      </c>
      <c r="V391" s="680">
        <f t="shared" ref="V391:V425" si="10">ROUND(J391/1000*T391*0.5,2)</f>
        <v>0.88</v>
      </c>
      <c r="W391" s="412"/>
      <c r="X391" s="839" t="s">
        <v>630</v>
      </c>
      <c r="Y391" s="412"/>
      <c r="Z391" s="869">
        <f>IF(AND(LEFT(B391,9)="GuestRoom",F391="Hotel/Motel Guest Room"),L391*0.15*J391)</f>
        <v>52.65</v>
      </c>
      <c r="AA391" s="412"/>
      <c r="AB391" s="202" t="s">
        <v>829</v>
      </c>
      <c r="AC391" s="324" t="s">
        <v>173</v>
      </c>
      <c r="AD391" s="262" t="s">
        <v>173</v>
      </c>
      <c r="AE391" s="412" t="s">
        <v>300</v>
      </c>
      <c r="AF391" s="366" t="s">
        <v>598</v>
      </c>
      <c r="AG391" s="412" t="s">
        <v>300</v>
      </c>
      <c r="AH391" s="356" t="s">
        <v>599</v>
      </c>
      <c r="AI391" s="17"/>
      <c r="AJ391" s="17"/>
      <c r="AK391" s="93"/>
      <c r="AL391" s="17"/>
      <c r="AM391" s="101"/>
      <c r="AN391" s="101"/>
      <c r="AQ391" s="101"/>
      <c r="AR391" s="101"/>
      <c r="AS391" s="101"/>
      <c r="AT391" s="101"/>
      <c r="AU391" s="101"/>
      <c r="AV391" s="101"/>
      <c r="AW391" s="101"/>
      <c r="AX391" s="101"/>
      <c r="AY391" s="101"/>
      <c r="AZ391" s="101"/>
    </row>
    <row r="392" spans="1:52" s="89" customFormat="1" ht="27.6" x14ac:dyDescent="0.3">
      <c r="B392" s="128" t="s">
        <v>600</v>
      </c>
      <c r="C392" s="373" t="s">
        <v>546</v>
      </c>
      <c r="D392" s="62" t="s">
        <v>137</v>
      </c>
      <c r="E392" s="228"/>
      <c r="F392" s="373" t="s">
        <v>596</v>
      </c>
      <c r="G392" s="228"/>
      <c r="H392" s="373" t="s">
        <v>601</v>
      </c>
      <c r="I392" s="773" t="s">
        <v>173</v>
      </c>
      <c r="J392" s="664">
        <v>351</v>
      </c>
      <c r="K392" s="773" t="s">
        <v>173</v>
      </c>
      <c r="L392" s="712">
        <v>1</v>
      </c>
      <c r="M392" s="773" t="s">
        <v>173</v>
      </c>
      <c r="N392" s="664" t="s">
        <v>547</v>
      </c>
      <c r="O392" s="773" t="s">
        <v>173</v>
      </c>
      <c r="P392" s="665" t="s">
        <v>548</v>
      </c>
      <c r="Q392" s="773" t="s">
        <v>173</v>
      </c>
      <c r="R392" s="665" t="s">
        <v>549</v>
      </c>
      <c r="S392" s="412" t="s">
        <v>300</v>
      </c>
      <c r="T392" s="373">
        <v>5</v>
      </c>
      <c r="U392" s="773" t="s">
        <v>173</v>
      </c>
      <c r="V392" s="680">
        <f t="shared" si="10"/>
        <v>0.88</v>
      </c>
      <c r="W392" s="412"/>
      <c r="X392" s="839" t="s">
        <v>630</v>
      </c>
      <c r="Y392" s="412"/>
      <c r="Z392" s="869">
        <f t="shared" ref="Z392:Z425" si="11">IF(AND(LEFT(B392,9)="GuestRoom",F392="Hotel/Motel Guest Room"),L392*0.15*J392)</f>
        <v>52.65</v>
      </c>
      <c r="AA392" s="412"/>
      <c r="AB392" s="202" t="s">
        <v>829</v>
      </c>
      <c r="AC392" s="324" t="s">
        <v>173</v>
      </c>
      <c r="AD392" s="262" t="s">
        <v>173</v>
      </c>
      <c r="AE392" s="412" t="s">
        <v>300</v>
      </c>
      <c r="AF392" s="366" t="s">
        <v>598</v>
      </c>
      <c r="AG392" s="412" t="s">
        <v>300</v>
      </c>
      <c r="AH392" s="356" t="s">
        <v>599</v>
      </c>
      <c r="AI392" s="17"/>
      <c r="AJ392" s="17"/>
      <c r="AK392" s="93"/>
      <c r="AL392" s="17"/>
      <c r="AM392" s="101"/>
      <c r="AN392" s="101"/>
      <c r="AQ392" s="101"/>
      <c r="AR392" s="101"/>
      <c r="AS392" s="101"/>
      <c r="AT392" s="101"/>
      <c r="AU392" s="101"/>
      <c r="AV392" s="101"/>
      <c r="AW392" s="101"/>
      <c r="AX392" s="101"/>
      <c r="AY392" s="101"/>
      <c r="AZ392" s="101"/>
    </row>
    <row r="393" spans="1:52" s="89" customFormat="1" ht="27.6" x14ac:dyDescent="0.3">
      <c r="B393" s="128" t="s">
        <v>602</v>
      </c>
      <c r="C393" s="373" t="s">
        <v>546</v>
      </c>
      <c r="D393" s="62" t="s">
        <v>137</v>
      </c>
      <c r="E393" s="228"/>
      <c r="F393" s="373" t="s">
        <v>596</v>
      </c>
      <c r="G393" s="228"/>
      <c r="H393" s="373" t="s">
        <v>603</v>
      </c>
      <c r="I393" s="773" t="s">
        <v>173</v>
      </c>
      <c r="J393" s="664">
        <v>351</v>
      </c>
      <c r="K393" s="773" t="s">
        <v>173</v>
      </c>
      <c r="L393" s="712">
        <v>1</v>
      </c>
      <c r="M393" s="773" t="s">
        <v>173</v>
      </c>
      <c r="N393" s="664" t="s">
        <v>547</v>
      </c>
      <c r="O393" s="773" t="s">
        <v>173</v>
      </c>
      <c r="P393" s="665" t="s">
        <v>548</v>
      </c>
      <c r="Q393" s="773" t="s">
        <v>173</v>
      </c>
      <c r="R393" s="665" t="s">
        <v>549</v>
      </c>
      <c r="S393" s="412" t="s">
        <v>300</v>
      </c>
      <c r="T393" s="373">
        <v>5</v>
      </c>
      <c r="U393" s="773" t="s">
        <v>173</v>
      </c>
      <c r="V393" s="680">
        <f t="shared" si="10"/>
        <v>0.88</v>
      </c>
      <c r="W393" s="412"/>
      <c r="X393" s="839" t="s">
        <v>630</v>
      </c>
      <c r="Y393" s="412"/>
      <c r="Z393" s="869">
        <f t="shared" si="11"/>
        <v>52.65</v>
      </c>
      <c r="AA393" s="412"/>
      <c r="AB393" s="202" t="s">
        <v>829</v>
      </c>
      <c r="AC393" s="324" t="s">
        <v>173</v>
      </c>
      <c r="AD393" s="262" t="s">
        <v>173</v>
      </c>
      <c r="AE393" s="412" t="s">
        <v>300</v>
      </c>
      <c r="AF393" s="366" t="s">
        <v>598</v>
      </c>
      <c r="AG393" s="412" t="s">
        <v>300</v>
      </c>
      <c r="AH393" s="356" t="s">
        <v>599</v>
      </c>
      <c r="AI393" s="17"/>
      <c r="AJ393" s="17"/>
      <c r="AK393" s="93"/>
      <c r="AL393" s="17"/>
      <c r="AM393" s="101"/>
      <c r="AN393" s="101"/>
      <c r="AQ393" s="101"/>
      <c r="AR393" s="101"/>
      <c r="AS393" s="101"/>
      <c r="AT393" s="101"/>
      <c r="AU393" s="101"/>
      <c r="AV393" s="101"/>
      <c r="AW393" s="101"/>
      <c r="AX393" s="101"/>
      <c r="AY393" s="101"/>
      <c r="AZ393" s="101"/>
    </row>
    <row r="394" spans="1:52" s="89" customFormat="1" ht="27.6" x14ac:dyDescent="0.3">
      <c r="B394" s="128" t="s">
        <v>604</v>
      </c>
      <c r="C394" s="373" t="s">
        <v>546</v>
      </c>
      <c r="D394" s="62" t="s">
        <v>137</v>
      </c>
      <c r="E394" s="228"/>
      <c r="F394" s="373" t="s">
        <v>596</v>
      </c>
      <c r="G394" s="228"/>
      <c r="H394" s="373" t="s">
        <v>605</v>
      </c>
      <c r="I394" s="773" t="s">
        <v>173</v>
      </c>
      <c r="J394" s="664">
        <v>351</v>
      </c>
      <c r="K394" s="773" t="s">
        <v>173</v>
      </c>
      <c r="L394" s="712">
        <v>1</v>
      </c>
      <c r="M394" s="773" t="s">
        <v>173</v>
      </c>
      <c r="N394" s="664" t="s">
        <v>547</v>
      </c>
      <c r="O394" s="773" t="s">
        <v>173</v>
      </c>
      <c r="P394" s="665" t="s">
        <v>548</v>
      </c>
      <c r="Q394" s="773" t="s">
        <v>173</v>
      </c>
      <c r="R394" s="665" t="s">
        <v>549</v>
      </c>
      <c r="S394" s="412" t="s">
        <v>300</v>
      </c>
      <c r="T394" s="373">
        <v>5</v>
      </c>
      <c r="U394" s="773" t="s">
        <v>173</v>
      </c>
      <c r="V394" s="680">
        <f t="shared" si="10"/>
        <v>0.88</v>
      </c>
      <c r="W394" s="412"/>
      <c r="X394" s="839" t="s">
        <v>630</v>
      </c>
      <c r="Y394" s="412"/>
      <c r="Z394" s="869">
        <f t="shared" si="11"/>
        <v>52.65</v>
      </c>
      <c r="AA394" s="412"/>
      <c r="AB394" s="202" t="s">
        <v>829</v>
      </c>
      <c r="AC394" s="324" t="s">
        <v>173</v>
      </c>
      <c r="AD394" s="262" t="s">
        <v>173</v>
      </c>
      <c r="AE394" s="412" t="s">
        <v>300</v>
      </c>
      <c r="AF394" s="366" t="s">
        <v>598</v>
      </c>
      <c r="AG394" s="412" t="s">
        <v>300</v>
      </c>
      <c r="AH394" s="356" t="s">
        <v>599</v>
      </c>
      <c r="AI394" s="17"/>
      <c r="AJ394" s="17"/>
      <c r="AK394" s="93"/>
      <c r="AL394" s="17"/>
      <c r="AM394" s="101"/>
      <c r="AN394" s="101"/>
      <c r="AQ394" s="101"/>
      <c r="AR394" s="101"/>
      <c r="AS394" s="101"/>
      <c r="AT394" s="101"/>
      <c r="AU394" s="101"/>
      <c r="AV394" s="101"/>
      <c r="AW394" s="101"/>
      <c r="AX394" s="101"/>
      <c r="AY394" s="101"/>
      <c r="AZ394" s="101"/>
    </row>
    <row r="395" spans="1:52" s="89" customFormat="1" ht="27.6" x14ac:dyDescent="0.3">
      <c r="B395" s="128" t="s">
        <v>606</v>
      </c>
      <c r="C395" s="373" t="s">
        <v>546</v>
      </c>
      <c r="D395" s="62" t="s">
        <v>137</v>
      </c>
      <c r="E395" s="228"/>
      <c r="F395" s="373" t="s">
        <v>596</v>
      </c>
      <c r="G395" s="228"/>
      <c r="H395" s="373" t="s">
        <v>607</v>
      </c>
      <c r="I395" s="773" t="s">
        <v>173</v>
      </c>
      <c r="J395" s="664">
        <v>351</v>
      </c>
      <c r="K395" s="773" t="s">
        <v>173</v>
      </c>
      <c r="L395" s="712">
        <v>1</v>
      </c>
      <c r="M395" s="773" t="s">
        <v>173</v>
      </c>
      <c r="N395" s="664" t="s">
        <v>547</v>
      </c>
      <c r="O395" s="773" t="s">
        <v>173</v>
      </c>
      <c r="P395" s="665" t="s">
        <v>548</v>
      </c>
      <c r="Q395" s="773" t="s">
        <v>173</v>
      </c>
      <c r="R395" s="665" t="s">
        <v>549</v>
      </c>
      <c r="S395" s="412" t="s">
        <v>300</v>
      </c>
      <c r="T395" s="373">
        <v>5</v>
      </c>
      <c r="U395" s="773" t="s">
        <v>173</v>
      </c>
      <c r="V395" s="680">
        <f t="shared" si="10"/>
        <v>0.88</v>
      </c>
      <c r="W395" s="412"/>
      <c r="X395" s="839" t="s">
        <v>630</v>
      </c>
      <c r="Y395" s="412"/>
      <c r="Z395" s="869">
        <f t="shared" si="11"/>
        <v>52.65</v>
      </c>
      <c r="AA395" s="412"/>
      <c r="AB395" s="202" t="s">
        <v>829</v>
      </c>
      <c r="AC395" s="324" t="s">
        <v>173</v>
      </c>
      <c r="AD395" s="262" t="s">
        <v>173</v>
      </c>
      <c r="AE395" s="412" t="s">
        <v>300</v>
      </c>
      <c r="AF395" s="366" t="s">
        <v>598</v>
      </c>
      <c r="AG395" s="412" t="s">
        <v>300</v>
      </c>
      <c r="AH395" s="356" t="s">
        <v>599</v>
      </c>
      <c r="AI395" s="17"/>
      <c r="AJ395" s="17"/>
      <c r="AK395" s="93"/>
      <c r="AL395" s="17"/>
      <c r="AM395" s="101"/>
      <c r="AN395" s="101"/>
      <c r="AQ395" s="101"/>
      <c r="AR395" s="101"/>
      <c r="AS395" s="101"/>
      <c r="AT395" s="101"/>
      <c r="AU395" s="101"/>
      <c r="AV395" s="101"/>
      <c r="AW395" s="101"/>
      <c r="AX395" s="101"/>
      <c r="AY395" s="101"/>
      <c r="AZ395" s="101"/>
    </row>
    <row r="396" spans="1:52" s="89" customFormat="1" ht="27.6" x14ac:dyDescent="0.3">
      <c r="B396" s="128" t="s">
        <v>608</v>
      </c>
      <c r="C396" s="373" t="s">
        <v>546</v>
      </c>
      <c r="D396" s="62" t="s">
        <v>137</v>
      </c>
      <c r="E396" s="228"/>
      <c r="F396" s="373" t="s">
        <v>596</v>
      </c>
      <c r="G396" s="228"/>
      <c r="H396" s="373" t="s">
        <v>609</v>
      </c>
      <c r="I396" s="773" t="s">
        <v>173</v>
      </c>
      <c r="J396" s="664">
        <v>351</v>
      </c>
      <c r="K396" s="773" t="s">
        <v>173</v>
      </c>
      <c r="L396" s="712">
        <v>1</v>
      </c>
      <c r="M396" s="773" t="s">
        <v>173</v>
      </c>
      <c r="N396" s="664" t="s">
        <v>547</v>
      </c>
      <c r="O396" s="773" t="s">
        <v>173</v>
      </c>
      <c r="P396" s="665" t="s">
        <v>548</v>
      </c>
      <c r="Q396" s="773" t="s">
        <v>173</v>
      </c>
      <c r="R396" s="665" t="s">
        <v>549</v>
      </c>
      <c r="S396" s="412" t="s">
        <v>300</v>
      </c>
      <c r="T396" s="373">
        <v>5</v>
      </c>
      <c r="U396" s="773" t="s">
        <v>173</v>
      </c>
      <c r="V396" s="680">
        <f t="shared" si="10"/>
        <v>0.88</v>
      </c>
      <c r="W396" s="412"/>
      <c r="X396" s="839" t="s">
        <v>630</v>
      </c>
      <c r="Y396" s="412"/>
      <c r="Z396" s="869">
        <f t="shared" si="11"/>
        <v>52.65</v>
      </c>
      <c r="AA396" s="412"/>
      <c r="AB396" s="202" t="s">
        <v>829</v>
      </c>
      <c r="AC396" s="324" t="s">
        <v>173</v>
      </c>
      <c r="AD396" s="262" t="s">
        <v>173</v>
      </c>
      <c r="AE396" s="412" t="s">
        <v>300</v>
      </c>
      <c r="AF396" s="366" t="s">
        <v>598</v>
      </c>
      <c r="AG396" s="412" t="s">
        <v>300</v>
      </c>
      <c r="AH396" s="356" t="s">
        <v>599</v>
      </c>
      <c r="AI396" s="17"/>
      <c r="AJ396" s="17"/>
      <c r="AK396" s="93"/>
      <c r="AL396" s="17"/>
      <c r="AM396" s="101"/>
      <c r="AN396" s="101"/>
      <c r="AQ396" s="101"/>
      <c r="AR396" s="101"/>
      <c r="AS396" s="101"/>
      <c r="AT396" s="101"/>
      <c r="AU396" s="101"/>
      <c r="AV396" s="101"/>
      <c r="AW396" s="101"/>
      <c r="AX396" s="101"/>
      <c r="AY396" s="101"/>
      <c r="AZ396" s="101"/>
    </row>
    <row r="397" spans="1:52" s="89" customFormat="1" ht="27.6" x14ac:dyDescent="0.3">
      <c r="B397" s="128" t="s">
        <v>610</v>
      </c>
      <c r="C397" s="373" t="s">
        <v>546</v>
      </c>
      <c r="D397" s="62" t="s">
        <v>137</v>
      </c>
      <c r="E397" s="228"/>
      <c r="F397" s="373" t="s">
        <v>596</v>
      </c>
      <c r="G397" s="228"/>
      <c r="H397" s="373" t="s">
        <v>362</v>
      </c>
      <c r="I397" s="773" t="s">
        <v>173</v>
      </c>
      <c r="J397" s="664">
        <v>1404.1</v>
      </c>
      <c r="K397" s="773" t="s">
        <v>173</v>
      </c>
      <c r="L397" s="712">
        <v>4</v>
      </c>
      <c r="M397" s="773" t="s">
        <v>173</v>
      </c>
      <c r="N397" s="664" t="s">
        <v>547</v>
      </c>
      <c r="O397" s="773" t="s">
        <v>173</v>
      </c>
      <c r="P397" s="665" t="s">
        <v>548</v>
      </c>
      <c r="Q397" s="773" t="s">
        <v>173</v>
      </c>
      <c r="R397" s="665" t="s">
        <v>549</v>
      </c>
      <c r="S397" s="412" t="s">
        <v>300</v>
      </c>
      <c r="T397" s="373">
        <v>5</v>
      </c>
      <c r="U397" s="773" t="s">
        <v>173</v>
      </c>
      <c r="V397" s="680">
        <f t="shared" si="10"/>
        <v>3.51</v>
      </c>
      <c r="W397" s="412"/>
      <c r="X397" s="839" t="s">
        <v>630</v>
      </c>
      <c r="Y397" s="412"/>
      <c r="Z397" s="869">
        <f t="shared" si="11"/>
        <v>842.45999999999992</v>
      </c>
      <c r="AA397" s="412"/>
      <c r="AB397" s="202" t="s">
        <v>829</v>
      </c>
      <c r="AC397" s="324" t="s">
        <v>173</v>
      </c>
      <c r="AD397" s="262" t="s">
        <v>173</v>
      </c>
      <c r="AE397" s="412" t="s">
        <v>300</v>
      </c>
      <c r="AF397" s="366" t="s">
        <v>598</v>
      </c>
      <c r="AG397" s="412" t="s">
        <v>300</v>
      </c>
      <c r="AH397" s="356" t="s">
        <v>599</v>
      </c>
      <c r="AI397" s="17"/>
      <c r="AJ397" s="17"/>
      <c r="AK397" s="93"/>
      <c r="AL397" s="17"/>
      <c r="AM397" s="101"/>
      <c r="AN397" s="101"/>
      <c r="AQ397" s="101"/>
      <c r="AR397" s="101"/>
      <c r="AS397" s="101"/>
      <c r="AT397" s="101"/>
      <c r="AU397" s="101"/>
      <c r="AV397" s="101"/>
      <c r="AW397" s="101"/>
      <c r="AX397" s="101"/>
      <c r="AY397" s="101"/>
      <c r="AZ397" s="101"/>
    </row>
    <row r="398" spans="1:52" s="89" customFormat="1" ht="27.6" x14ac:dyDescent="0.3">
      <c r="B398" s="128" t="s">
        <v>611</v>
      </c>
      <c r="C398" s="373" t="s">
        <v>546</v>
      </c>
      <c r="D398" s="62" t="s">
        <v>137</v>
      </c>
      <c r="E398" s="228"/>
      <c r="F398" s="373" t="s">
        <v>596</v>
      </c>
      <c r="G398" s="228"/>
      <c r="H398" s="373" t="s">
        <v>612</v>
      </c>
      <c r="I398" s="773" t="s">
        <v>173</v>
      </c>
      <c r="J398" s="664">
        <v>1134.0999999999999</v>
      </c>
      <c r="K398" s="773" t="s">
        <v>173</v>
      </c>
      <c r="L398" s="712">
        <v>3</v>
      </c>
      <c r="M398" s="773" t="s">
        <v>173</v>
      </c>
      <c r="N398" s="664" t="s">
        <v>547</v>
      </c>
      <c r="O398" s="773" t="s">
        <v>173</v>
      </c>
      <c r="P398" s="665" t="s">
        <v>548</v>
      </c>
      <c r="Q398" s="773" t="s">
        <v>173</v>
      </c>
      <c r="R398" s="665" t="s">
        <v>549</v>
      </c>
      <c r="S398" s="412" t="s">
        <v>300</v>
      </c>
      <c r="T398" s="373">
        <v>5</v>
      </c>
      <c r="U398" s="773" t="s">
        <v>173</v>
      </c>
      <c r="V398" s="680">
        <f t="shared" si="10"/>
        <v>2.84</v>
      </c>
      <c r="W398" s="412"/>
      <c r="X398" s="839" t="s">
        <v>630</v>
      </c>
      <c r="Y398" s="412"/>
      <c r="Z398" s="869">
        <f t="shared" si="11"/>
        <v>510.34499999999991</v>
      </c>
      <c r="AA398" s="412"/>
      <c r="AB398" s="202" t="s">
        <v>829</v>
      </c>
      <c r="AC398" s="324" t="s">
        <v>173</v>
      </c>
      <c r="AD398" s="262" t="s">
        <v>173</v>
      </c>
      <c r="AE398" s="412" t="s">
        <v>300</v>
      </c>
      <c r="AF398" s="366" t="s">
        <v>598</v>
      </c>
      <c r="AG398" s="412" t="s">
        <v>300</v>
      </c>
      <c r="AH398" s="356" t="s">
        <v>599</v>
      </c>
      <c r="AI398" s="17"/>
      <c r="AJ398" s="17"/>
      <c r="AK398" s="93"/>
      <c r="AL398" s="17"/>
      <c r="AM398" s="101"/>
      <c r="AN398" s="101"/>
      <c r="AQ398" s="101"/>
      <c r="AR398" s="101"/>
      <c r="AS398" s="101"/>
      <c r="AT398" s="101"/>
      <c r="AU398" s="101"/>
      <c r="AV398" s="101"/>
      <c r="AW398" s="101"/>
      <c r="AX398" s="101"/>
      <c r="AY398" s="101"/>
      <c r="AZ398" s="101"/>
    </row>
    <row r="399" spans="1:52" s="89" customFormat="1" ht="27.6" x14ac:dyDescent="0.3">
      <c r="B399" s="128" t="s">
        <v>613</v>
      </c>
      <c r="C399" s="373" t="s">
        <v>546</v>
      </c>
      <c r="D399" s="62" t="s">
        <v>137</v>
      </c>
      <c r="E399" s="228"/>
      <c r="F399" s="373" t="s">
        <v>596</v>
      </c>
      <c r="G399" s="228"/>
      <c r="H399" s="373" t="s">
        <v>614</v>
      </c>
      <c r="I399" s="773" t="s">
        <v>173</v>
      </c>
      <c r="J399" s="664">
        <v>1404.1</v>
      </c>
      <c r="K399" s="773" t="s">
        <v>173</v>
      </c>
      <c r="L399" s="712">
        <v>4</v>
      </c>
      <c r="M399" s="773" t="s">
        <v>173</v>
      </c>
      <c r="N399" s="664" t="s">
        <v>547</v>
      </c>
      <c r="O399" s="773" t="s">
        <v>173</v>
      </c>
      <c r="P399" s="665" t="s">
        <v>548</v>
      </c>
      <c r="Q399" s="773" t="s">
        <v>173</v>
      </c>
      <c r="R399" s="665" t="s">
        <v>549</v>
      </c>
      <c r="S399" s="412" t="s">
        <v>300</v>
      </c>
      <c r="T399" s="373">
        <v>5</v>
      </c>
      <c r="U399" s="773" t="s">
        <v>173</v>
      </c>
      <c r="V399" s="680">
        <f t="shared" si="10"/>
        <v>3.51</v>
      </c>
      <c r="W399" s="412"/>
      <c r="X399" s="839" t="s">
        <v>630</v>
      </c>
      <c r="Y399" s="412"/>
      <c r="Z399" s="869">
        <f t="shared" si="11"/>
        <v>842.45999999999992</v>
      </c>
      <c r="AA399" s="412"/>
      <c r="AB399" s="202" t="s">
        <v>829</v>
      </c>
      <c r="AC399" s="324" t="s">
        <v>173</v>
      </c>
      <c r="AD399" s="262" t="s">
        <v>173</v>
      </c>
      <c r="AE399" s="412" t="s">
        <v>300</v>
      </c>
      <c r="AF399" s="366" t="s">
        <v>598</v>
      </c>
      <c r="AG399" s="412" t="s">
        <v>300</v>
      </c>
      <c r="AH399" s="356" t="s">
        <v>599</v>
      </c>
      <c r="AI399" s="17"/>
      <c r="AJ399" s="17"/>
      <c r="AK399" s="93"/>
      <c r="AL399" s="17"/>
      <c r="AM399" s="101"/>
      <c r="AN399" s="101"/>
      <c r="AQ399" s="101"/>
      <c r="AR399" s="101"/>
      <c r="AS399" s="101"/>
      <c r="AT399" s="101"/>
      <c r="AU399" s="101"/>
      <c r="AV399" s="101"/>
      <c r="AW399" s="101"/>
      <c r="AX399" s="101"/>
      <c r="AY399" s="101"/>
      <c r="AZ399" s="101"/>
    </row>
    <row r="400" spans="1:52" s="89" customFormat="1" ht="27.6" x14ac:dyDescent="0.3">
      <c r="B400" s="128" t="s">
        <v>615</v>
      </c>
      <c r="C400" s="373" t="s">
        <v>546</v>
      </c>
      <c r="D400" s="62" t="s">
        <v>137</v>
      </c>
      <c r="E400" s="228"/>
      <c r="F400" s="373" t="s">
        <v>596</v>
      </c>
      <c r="G400" s="228"/>
      <c r="H400" s="373" t="s">
        <v>616</v>
      </c>
      <c r="I400" s="773" t="s">
        <v>173</v>
      </c>
      <c r="J400" s="664">
        <v>351</v>
      </c>
      <c r="K400" s="773" t="s">
        <v>173</v>
      </c>
      <c r="L400" s="712">
        <v>1</v>
      </c>
      <c r="M400" s="773" t="s">
        <v>173</v>
      </c>
      <c r="N400" s="664" t="s">
        <v>547</v>
      </c>
      <c r="O400" s="773" t="s">
        <v>173</v>
      </c>
      <c r="P400" s="665" t="s">
        <v>548</v>
      </c>
      <c r="Q400" s="773" t="s">
        <v>173</v>
      </c>
      <c r="R400" s="665" t="s">
        <v>549</v>
      </c>
      <c r="S400" s="412" t="s">
        <v>300</v>
      </c>
      <c r="T400" s="373">
        <v>5</v>
      </c>
      <c r="U400" s="773" t="s">
        <v>173</v>
      </c>
      <c r="V400" s="680">
        <f t="shared" si="10"/>
        <v>0.88</v>
      </c>
      <c r="W400" s="412"/>
      <c r="X400" s="839" t="s">
        <v>630</v>
      </c>
      <c r="Y400" s="412"/>
      <c r="Z400" s="869">
        <f t="shared" si="11"/>
        <v>52.65</v>
      </c>
      <c r="AA400" s="412"/>
      <c r="AB400" s="202" t="s">
        <v>829</v>
      </c>
      <c r="AC400" s="324" t="s">
        <v>173</v>
      </c>
      <c r="AD400" s="262" t="s">
        <v>173</v>
      </c>
      <c r="AE400" s="412" t="s">
        <v>300</v>
      </c>
      <c r="AF400" s="366" t="s">
        <v>598</v>
      </c>
      <c r="AG400" s="412" t="s">
        <v>300</v>
      </c>
      <c r="AH400" s="356" t="s">
        <v>599</v>
      </c>
      <c r="AI400" s="17"/>
      <c r="AJ400" s="17"/>
      <c r="AK400" s="93"/>
      <c r="AL400" s="17"/>
      <c r="AM400" s="101"/>
      <c r="AN400" s="101"/>
      <c r="AQ400" s="101"/>
      <c r="AR400" s="101"/>
      <c r="AS400" s="101"/>
      <c r="AT400" s="101"/>
      <c r="AU400" s="101"/>
      <c r="AV400" s="101"/>
      <c r="AW400" s="101"/>
      <c r="AX400" s="101"/>
      <c r="AY400" s="101"/>
      <c r="AZ400" s="101"/>
    </row>
    <row r="401" spans="1:37" s="17" customFormat="1" ht="27.6" x14ac:dyDescent="0.3">
      <c r="A401" s="397"/>
      <c r="B401" s="128" t="s">
        <v>617</v>
      </c>
      <c r="C401" s="373" t="s">
        <v>546</v>
      </c>
      <c r="D401" s="62" t="s">
        <v>137</v>
      </c>
      <c r="E401" s="228"/>
      <c r="F401" s="373" t="s">
        <v>596</v>
      </c>
      <c r="G401" s="228"/>
      <c r="H401" s="373" t="s">
        <v>618</v>
      </c>
      <c r="I401" s="773" t="s">
        <v>173</v>
      </c>
      <c r="J401" s="664">
        <v>351</v>
      </c>
      <c r="K401" s="773" t="s">
        <v>173</v>
      </c>
      <c r="L401" s="712">
        <v>1</v>
      </c>
      <c r="M401" s="773" t="s">
        <v>173</v>
      </c>
      <c r="N401" s="664" t="s">
        <v>547</v>
      </c>
      <c r="O401" s="773" t="s">
        <v>173</v>
      </c>
      <c r="P401" s="665" t="s">
        <v>548</v>
      </c>
      <c r="Q401" s="773" t="s">
        <v>173</v>
      </c>
      <c r="R401" s="665" t="s">
        <v>549</v>
      </c>
      <c r="S401" s="412" t="s">
        <v>300</v>
      </c>
      <c r="T401" s="373">
        <v>5</v>
      </c>
      <c r="U401" s="773" t="s">
        <v>173</v>
      </c>
      <c r="V401" s="680">
        <f t="shared" si="10"/>
        <v>0.88</v>
      </c>
      <c r="W401" s="412"/>
      <c r="X401" s="839" t="s">
        <v>630</v>
      </c>
      <c r="Y401" s="412"/>
      <c r="Z401" s="869">
        <f t="shared" si="11"/>
        <v>52.65</v>
      </c>
      <c r="AA401" s="412"/>
      <c r="AB401" s="202" t="s">
        <v>829</v>
      </c>
      <c r="AC401" s="324" t="s">
        <v>173</v>
      </c>
      <c r="AD401" s="262" t="s">
        <v>173</v>
      </c>
      <c r="AE401" s="412" t="s">
        <v>300</v>
      </c>
      <c r="AF401" s="366" t="s">
        <v>598</v>
      </c>
      <c r="AG401" s="412" t="s">
        <v>300</v>
      </c>
      <c r="AH401" s="356" t="s">
        <v>599</v>
      </c>
      <c r="AK401" s="93"/>
    </row>
    <row r="402" spans="1:37" s="17" customFormat="1" ht="27.6" x14ac:dyDescent="0.3">
      <c r="A402" s="397"/>
      <c r="B402" s="128" t="s">
        <v>619</v>
      </c>
      <c r="C402" s="373" t="s">
        <v>546</v>
      </c>
      <c r="D402" s="62" t="s">
        <v>137</v>
      </c>
      <c r="E402" s="228"/>
      <c r="F402" s="373" t="s">
        <v>596</v>
      </c>
      <c r="G402" s="228"/>
      <c r="H402" s="373" t="s">
        <v>620</v>
      </c>
      <c r="I402" s="773" t="s">
        <v>173</v>
      </c>
      <c r="J402" s="664">
        <v>1404</v>
      </c>
      <c r="K402" s="773" t="s">
        <v>173</v>
      </c>
      <c r="L402" s="712">
        <v>4</v>
      </c>
      <c r="M402" s="773" t="s">
        <v>173</v>
      </c>
      <c r="N402" s="664" t="s">
        <v>547</v>
      </c>
      <c r="O402" s="773" t="s">
        <v>173</v>
      </c>
      <c r="P402" s="665" t="s">
        <v>548</v>
      </c>
      <c r="Q402" s="773" t="s">
        <v>173</v>
      </c>
      <c r="R402" s="665" t="s">
        <v>549</v>
      </c>
      <c r="S402" s="412" t="s">
        <v>300</v>
      </c>
      <c r="T402" s="373">
        <v>5</v>
      </c>
      <c r="U402" s="773" t="s">
        <v>173</v>
      </c>
      <c r="V402" s="680">
        <f t="shared" si="10"/>
        <v>3.51</v>
      </c>
      <c r="W402" s="412"/>
      <c r="X402" s="839" t="s">
        <v>630</v>
      </c>
      <c r="Y402" s="412"/>
      <c r="Z402" s="869">
        <f t="shared" si="11"/>
        <v>842.4</v>
      </c>
      <c r="AA402" s="412"/>
      <c r="AB402" s="202" t="s">
        <v>829</v>
      </c>
      <c r="AC402" s="324" t="s">
        <v>173</v>
      </c>
      <c r="AD402" s="262" t="s">
        <v>173</v>
      </c>
      <c r="AE402" s="412" t="s">
        <v>300</v>
      </c>
      <c r="AF402" s="366" t="s">
        <v>598</v>
      </c>
      <c r="AG402" s="412" t="s">
        <v>300</v>
      </c>
      <c r="AH402" s="356" t="s">
        <v>599</v>
      </c>
      <c r="AK402" s="93"/>
    </row>
    <row r="403" spans="1:37" s="17" customFormat="1" ht="27.6" x14ac:dyDescent="0.3">
      <c r="A403" s="397"/>
      <c r="B403" s="128" t="s">
        <v>621</v>
      </c>
      <c r="C403" s="373" t="s">
        <v>546</v>
      </c>
      <c r="D403" s="62" t="s">
        <v>137</v>
      </c>
      <c r="E403" s="228"/>
      <c r="F403" s="373" t="s">
        <v>596</v>
      </c>
      <c r="G403" s="228"/>
      <c r="H403" s="373" t="s">
        <v>622</v>
      </c>
      <c r="I403" s="773" t="s">
        <v>173</v>
      </c>
      <c r="J403" s="664">
        <v>351</v>
      </c>
      <c r="K403" s="773" t="s">
        <v>173</v>
      </c>
      <c r="L403" s="712">
        <v>1</v>
      </c>
      <c r="M403" s="773" t="s">
        <v>173</v>
      </c>
      <c r="N403" s="664" t="s">
        <v>547</v>
      </c>
      <c r="O403" s="773" t="s">
        <v>173</v>
      </c>
      <c r="P403" s="665" t="s">
        <v>548</v>
      </c>
      <c r="Q403" s="773" t="s">
        <v>173</v>
      </c>
      <c r="R403" s="665" t="s">
        <v>549</v>
      </c>
      <c r="S403" s="412" t="s">
        <v>300</v>
      </c>
      <c r="T403" s="373">
        <v>5</v>
      </c>
      <c r="U403" s="773" t="s">
        <v>173</v>
      </c>
      <c r="V403" s="680">
        <f t="shared" si="10"/>
        <v>0.88</v>
      </c>
      <c r="W403" s="412"/>
      <c r="X403" s="839" t="s">
        <v>630</v>
      </c>
      <c r="Y403" s="412"/>
      <c r="Z403" s="869">
        <f t="shared" si="11"/>
        <v>52.65</v>
      </c>
      <c r="AA403" s="412"/>
      <c r="AB403" s="202" t="s">
        <v>829</v>
      </c>
      <c r="AC403" s="324" t="s">
        <v>173</v>
      </c>
      <c r="AD403" s="262" t="s">
        <v>173</v>
      </c>
      <c r="AE403" s="412" t="s">
        <v>300</v>
      </c>
      <c r="AF403" s="366" t="s">
        <v>598</v>
      </c>
      <c r="AG403" s="412" t="s">
        <v>300</v>
      </c>
      <c r="AH403" s="356" t="s">
        <v>599</v>
      </c>
      <c r="AK403" s="93"/>
    </row>
    <row r="404" spans="1:37" s="17" customFormat="1" ht="27.6" x14ac:dyDescent="0.3">
      <c r="A404" s="397"/>
      <c r="B404" s="128" t="s">
        <v>623</v>
      </c>
      <c r="C404" s="373" t="s">
        <v>546</v>
      </c>
      <c r="D404" s="62" t="s">
        <v>137</v>
      </c>
      <c r="E404" s="228"/>
      <c r="F404" s="373" t="s">
        <v>596</v>
      </c>
      <c r="G404" s="228"/>
      <c r="H404" s="373" t="s">
        <v>624</v>
      </c>
      <c r="I404" s="773" t="s">
        <v>173</v>
      </c>
      <c r="J404" s="664">
        <v>1404</v>
      </c>
      <c r="K404" s="773" t="s">
        <v>173</v>
      </c>
      <c r="L404" s="712">
        <v>4</v>
      </c>
      <c r="M404" s="773" t="s">
        <v>173</v>
      </c>
      <c r="N404" s="664" t="s">
        <v>547</v>
      </c>
      <c r="O404" s="773" t="s">
        <v>173</v>
      </c>
      <c r="P404" s="665" t="s">
        <v>548</v>
      </c>
      <c r="Q404" s="773" t="s">
        <v>173</v>
      </c>
      <c r="R404" s="665" t="s">
        <v>549</v>
      </c>
      <c r="S404" s="412" t="s">
        <v>300</v>
      </c>
      <c r="T404" s="373">
        <v>5</v>
      </c>
      <c r="U404" s="773" t="s">
        <v>173</v>
      </c>
      <c r="V404" s="680">
        <f t="shared" si="10"/>
        <v>3.51</v>
      </c>
      <c r="W404" s="412"/>
      <c r="X404" s="839" t="s">
        <v>630</v>
      </c>
      <c r="Y404" s="412"/>
      <c r="Z404" s="869">
        <f t="shared" si="11"/>
        <v>842.4</v>
      </c>
      <c r="AA404" s="412"/>
      <c r="AB404" s="202" t="s">
        <v>829</v>
      </c>
      <c r="AC404" s="324" t="s">
        <v>173</v>
      </c>
      <c r="AD404" s="262" t="s">
        <v>173</v>
      </c>
      <c r="AE404" s="412" t="s">
        <v>300</v>
      </c>
      <c r="AF404" s="366" t="s">
        <v>598</v>
      </c>
      <c r="AG404" s="412" t="s">
        <v>300</v>
      </c>
      <c r="AH404" s="356" t="s">
        <v>599</v>
      </c>
      <c r="AK404" s="93"/>
    </row>
    <row r="405" spans="1:37" s="17" customFormat="1" ht="27.6" x14ac:dyDescent="0.3">
      <c r="A405" s="397"/>
      <c r="B405" s="128" t="s">
        <v>625</v>
      </c>
      <c r="C405" s="373" t="s">
        <v>546</v>
      </c>
      <c r="D405" s="62" t="s">
        <v>137</v>
      </c>
      <c r="E405" s="228"/>
      <c r="F405" s="373" t="s">
        <v>596</v>
      </c>
      <c r="G405" s="228"/>
      <c r="H405" s="373" t="s">
        <v>626</v>
      </c>
      <c r="I405" s="773" t="s">
        <v>173</v>
      </c>
      <c r="J405" s="664">
        <v>351</v>
      </c>
      <c r="K405" s="773" t="s">
        <v>173</v>
      </c>
      <c r="L405" s="712">
        <v>1</v>
      </c>
      <c r="M405" s="773" t="s">
        <v>173</v>
      </c>
      <c r="N405" s="664" t="s">
        <v>547</v>
      </c>
      <c r="O405" s="773" t="s">
        <v>173</v>
      </c>
      <c r="P405" s="665" t="s">
        <v>548</v>
      </c>
      <c r="Q405" s="773" t="s">
        <v>173</v>
      </c>
      <c r="R405" s="665" t="s">
        <v>549</v>
      </c>
      <c r="S405" s="412" t="s">
        <v>300</v>
      </c>
      <c r="T405" s="373">
        <v>5</v>
      </c>
      <c r="U405" s="773" t="s">
        <v>173</v>
      </c>
      <c r="V405" s="680">
        <f t="shared" si="10"/>
        <v>0.88</v>
      </c>
      <c r="W405" s="412"/>
      <c r="X405" s="839" t="s">
        <v>630</v>
      </c>
      <c r="Y405" s="412"/>
      <c r="Z405" s="869">
        <f t="shared" si="11"/>
        <v>52.65</v>
      </c>
      <c r="AA405" s="412"/>
      <c r="AB405" s="202" t="s">
        <v>829</v>
      </c>
      <c r="AC405" s="324" t="s">
        <v>173</v>
      </c>
      <c r="AD405" s="262" t="s">
        <v>173</v>
      </c>
      <c r="AE405" s="412" t="s">
        <v>300</v>
      </c>
      <c r="AF405" s="366" t="s">
        <v>598</v>
      </c>
      <c r="AG405" s="412" t="s">
        <v>300</v>
      </c>
      <c r="AH405" s="356" t="s">
        <v>599</v>
      </c>
      <c r="AK405" s="93"/>
    </row>
    <row r="406" spans="1:37" s="17" customFormat="1" ht="27.6" x14ac:dyDescent="0.3">
      <c r="A406" s="397"/>
      <c r="B406" s="141" t="s">
        <v>627</v>
      </c>
      <c r="C406" s="373" t="s">
        <v>546</v>
      </c>
      <c r="D406" s="62" t="s">
        <v>137</v>
      </c>
      <c r="E406" s="228"/>
      <c r="F406" s="365" t="s">
        <v>596</v>
      </c>
      <c r="G406" s="228"/>
      <c r="H406" s="365" t="s">
        <v>628</v>
      </c>
      <c r="I406" s="773" t="s">
        <v>173</v>
      </c>
      <c r="J406" s="664">
        <v>351</v>
      </c>
      <c r="K406" s="773" t="s">
        <v>173</v>
      </c>
      <c r="L406" s="712">
        <v>1</v>
      </c>
      <c r="M406" s="773" t="s">
        <v>173</v>
      </c>
      <c r="N406" s="664" t="s">
        <v>629</v>
      </c>
      <c r="O406" s="773" t="s">
        <v>173</v>
      </c>
      <c r="P406" s="665" t="s">
        <v>548</v>
      </c>
      <c r="Q406" s="773" t="s">
        <v>173</v>
      </c>
      <c r="R406" s="665" t="s">
        <v>311</v>
      </c>
      <c r="S406" s="412" t="s">
        <v>300</v>
      </c>
      <c r="T406" s="373">
        <v>5</v>
      </c>
      <c r="U406" s="773" t="s">
        <v>173</v>
      </c>
      <c r="V406" s="680">
        <f t="shared" si="10"/>
        <v>0.88</v>
      </c>
      <c r="W406" s="412"/>
      <c r="X406" s="839" t="s">
        <v>630</v>
      </c>
      <c r="Y406" s="412"/>
      <c r="Z406" s="869">
        <f t="shared" si="11"/>
        <v>52.65</v>
      </c>
      <c r="AA406" s="412"/>
      <c r="AB406" s="202" t="s">
        <v>829</v>
      </c>
      <c r="AC406" s="324" t="s">
        <v>173</v>
      </c>
      <c r="AD406" s="262" t="s">
        <v>173</v>
      </c>
      <c r="AE406" s="412" t="s">
        <v>300</v>
      </c>
      <c r="AF406" s="366" t="s">
        <v>598</v>
      </c>
      <c r="AG406" s="412" t="s">
        <v>300</v>
      </c>
      <c r="AH406" s="356" t="s">
        <v>599</v>
      </c>
      <c r="AK406" s="93"/>
    </row>
    <row r="407" spans="1:37" s="17" customFormat="1" ht="27.6" x14ac:dyDescent="0.3">
      <c r="A407" s="397"/>
      <c r="B407" s="141" t="s">
        <v>631</v>
      </c>
      <c r="C407" s="373" t="s">
        <v>546</v>
      </c>
      <c r="D407" s="62" t="s">
        <v>137</v>
      </c>
      <c r="E407" s="228"/>
      <c r="F407" s="365" t="s">
        <v>596</v>
      </c>
      <c r="G407" s="228"/>
      <c r="H407" s="365" t="s">
        <v>632</v>
      </c>
      <c r="I407" s="773" t="s">
        <v>173</v>
      </c>
      <c r="J407" s="664">
        <v>1404.1</v>
      </c>
      <c r="K407" s="773" t="s">
        <v>173</v>
      </c>
      <c r="L407" s="712">
        <v>4</v>
      </c>
      <c r="M407" s="773" t="s">
        <v>173</v>
      </c>
      <c r="N407" s="664" t="s">
        <v>629</v>
      </c>
      <c r="O407" s="773" t="s">
        <v>173</v>
      </c>
      <c r="P407" s="665" t="s">
        <v>548</v>
      </c>
      <c r="Q407" s="773" t="s">
        <v>173</v>
      </c>
      <c r="R407" s="665" t="s">
        <v>311</v>
      </c>
      <c r="S407" s="412" t="s">
        <v>300</v>
      </c>
      <c r="T407" s="373">
        <v>5</v>
      </c>
      <c r="U407" s="773" t="s">
        <v>173</v>
      </c>
      <c r="V407" s="680">
        <f t="shared" si="10"/>
        <v>3.51</v>
      </c>
      <c r="W407" s="412"/>
      <c r="X407" s="839" t="s">
        <v>630</v>
      </c>
      <c r="Y407" s="412"/>
      <c r="Z407" s="869">
        <f t="shared" si="11"/>
        <v>842.45999999999992</v>
      </c>
      <c r="AA407" s="412"/>
      <c r="AB407" s="202" t="s">
        <v>829</v>
      </c>
      <c r="AC407" s="324" t="s">
        <v>173</v>
      </c>
      <c r="AD407" s="262" t="s">
        <v>173</v>
      </c>
      <c r="AE407" s="412" t="s">
        <v>300</v>
      </c>
      <c r="AF407" s="366" t="s">
        <v>598</v>
      </c>
      <c r="AG407" s="412" t="s">
        <v>300</v>
      </c>
      <c r="AH407" s="356" t="s">
        <v>599</v>
      </c>
      <c r="AK407" s="93"/>
    </row>
    <row r="408" spans="1:37" s="17" customFormat="1" ht="27.6" x14ac:dyDescent="0.3">
      <c r="A408" s="397"/>
      <c r="B408" s="141" t="s">
        <v>633</v>
      </c>
      <c r="C408" s="373" t="s">
        <v>546</v>
      </c>
      <c r="D408" s="62" t="s">
        <v>137</v>
      </c>
      <c r="E408" s="228"/>
      <c r="F408" s="365" t="s">
        <v>596</v>
      </c>
      <c r="G408" s="228"/>
      <c r="H408" s="365" t="s">
        <v>634</v>
      </c>
      <c r="I408" s="773" t="s">
        <v>173</v>
      </c>
      <c r="J408" s="664">
        <v>1134.0999999999999</v>
      </c>
      <c r="K408" s="773" t="s">
        <v>173</v>
      </c>
      <c r="L408" s="712">
        <v>3</v>
      </c>
      <c r="M408" s="773" t="s">
        <v>173</v>
      </c>
      <c r="N408" s="664" t="s">
        <v>629</v>
      </c>
      <c r="O408" s="773" t="s">
        <v>173</v>
      </c>
      <c r="P408" s="665" t="s">
        <v>548</v>
      </c>
      <c r="Q408" s="773" t="s">
        <v>173</v>
      </c>
      <c r="R408" s="665" t="s">
        <v>311</v>
      </c>
      <c r="S408" s="412" t="s">
        <v>300</v>
      </c>
      <c r="T408" s="373">
        <v>5</v>
      </c>
      <c r="U408" s="773" t="s">
        <v>173</v>
      </c>
      <c r="V408" s="680">
        <f t="shared" si="10"/>
        <v>2.84</v>
      </c>
      <c r="W408" s="412"/>
      <c r="X408" s="839" t="s">
        <v>630</v>
      </c>
      <c r="Y408" s="412"/>
      <c r="Z408" s="869">
        <f t="shared" si="11"/>
        <v>510.34499999999991</v>
      </c>
      <c r="AA408" s="412"/>
      <c r="AB408" s="202" t="s">
        <v>829</v>
      </c>
      <c r="AC408" s="324" t="s">
        <v>173</v>
      </c>
      <c r="AD408" s="262" t="s">
        <v>173</v>
      </c>
      <c r="AE408" s="412" t="s">
        <v>300</v>
      </c>
      <c r="AF408" s="366" t="s">
        <v>598</v>
      </c>
      <c r="AG408" s="412" t="s">
        <v>300</v>
      </c>
      <c r="AH408" s="356" t="s">
        <v>599</v>
      </c>
      <c r="AK408" s="93"/>
    </row>
    <row r="409" spans="1:37" s="17" customFormat="1" ht="27.6" x14ac:dyDescent="0.3">
      <c r="A409" s="397"/>
      <c r="B409" s="141" t="s">
        <v>635</v>
      </c>
      <c r="C409" s="373" t="s">
        <v>546</v>
      </c>
      <c r="D409" s="62" t="s">
        <v>137</v>
      </c>
      <c r="E409" s="228"/>
      <c r="F409" s="365" t="s">
        <v>596</v>
      </c>
      <c r="G409" s="228"/>
      <c r="H409" s="365" t="s">
        <v>636</v>
      </c>
      <c r="I409" s="773" t="s">
        <v>173</v>
      </c>
      <c r="J409" s="664">
        <v>1404.1</v>
      </c>
      <c r="K409" s="773" t="s">
        <v>173</v>
      </c>
      <c r="L409" s="712">
        <v>4</v>
      </c>
      <c r="M409" s="773" t="s">
        <v>173</v>
      </c>
      <c r="N409" s="664" t="s">
        <v>629</v>
      </c>
      <c r="O409" s="773" t="s">
        <v>173</v>
      </c>
      <c r="P409" s="665" t="s">
        <v>548</v>
      </c>
      <c r="Q409" s="773" t="s">
        <v>173</v>
      </c>
      <c r="R409" s="665" t="s">
        <v>311</v>
      </c>
      <c r="S409" s="412" t="s">
        <v>300</v>
      </c>
      <c r="T409" s="373">
        <v>5</v>
      </c>
      <c r="U409" s="773" t="s">
        <v>173</v>
      </c>
      <c r="V409" s="680">
        <f t="shared" si="10"/>
        <v>3.51</v>
      </c>
      <c r="W409" s="412"/>
      <c r="X409" s="839" t="s">
        <v>630</v>
      </c>
      <c r="Y409" s="412"/>
      <c r="Z409" s="869">
        <f t="shared" si="11"/>
        <v>842.45999999999992</v>
      </c>
      <c r="AA409" s="412"/>
      <c r="AB409" s="202" t="s">
        <v>829</v>
      </c>
      <c r="AC409" s="324" t="s">
        <v>173</v>
      </c>
      <c r="AD409" s="262" t="s">
        <v>173</v>
      </c>
      <c r="AE409" s="412" t="s">
        <v>300</v>
      </c>
      <c r="AF409" s="366" t="s">
        <v>598</v>
      </c>
      <c r="AG409" s="412" t="s">
        <v>300</v>
      </c>
      <c r="AH409" s="356" t="s">
        <v>599</v>
      </c>
      <c r="AK409" s="93"/>
    </row>
    <row r="410" spans="1:37" s="17" customFormat="1" ht="27.6" x14ac:dyDescent="0.3">
      <c r="A410" s="397"/>
      <c r="B410" s="141" t="s">
        <v>637</v>
      </c>
      <c r="C410" s="373" t="s">
        <v>546</v>
      </c>
      <c r="D410" s="62" t="s">
        <v>137</v>
      </c>
      <c r="E410" s="228"/>
      <c r="F410" s="365" t="s">
        <v>596</v>
      </c>
      <c r="G410" s="228"/>
      <c r="H410" s="365" t="s">
        <v>638</v>
      </c>
      <c r="I410" s="773" t="s">
        <v>173</v>
      </c>
      <c r="J410" s="664">
        <v>351</v>
      </c>
      <c r="K410" s="773" t="s">
        <v>173</v>
      </c>
      <c r="L410" s="712">
        <v>1</v>
      </c>
      <c r="M410" s="773" t="s">
        <v>173</v>
      </c>
      <c r="N410" s="664" t="s">
        <v>629</v>
      </c>
      <c r="O410" s="773" t="s">
        <v>173</v>
      </c>
      <c r="P410" s="665" t="s">
        <v>548</v>
      </c>
      <c r="Q410" s="773" t="s">
        <v>173</v>
      </c>
      <c r="R410" s="665" t="s">
        <v>311</v>
      </c>
      <c r="S410" s="412" t="s">
        <v>300</v>
      </c>
      <c r="T410" s="373">
        <v>5</v>
      </c>
      <c r="U410" s="773" t="s">
        <v>173</v>
      </c>
      <c r="V410" s="680">
        <f t="shared" si="10"/>
        <v>0.88</v>
      </c>
      <c r="W410" s="412"/>
      <c r="X410" s="839" t="s">
        <v>630</v>
      </c>
      <c r="Y410" s="412"/>
      <c r="Z410" s="869">
        <f t="shared" si="11"/>
        <v>52.65</v>
      </c>
      <c r="AA410" s="412"/>
      <c r="AB410" s="202" t="s">
        <v>829</v>
      </c>
      <c r="AC410" s="324" t="s">
        <v>173</v>
      </c>
      <c r="AD410" s="262" t="s">
        <v>173</v>
      </c>
      <c r="AE410" s="412" t="s">
        <v>300</v>
      </c>
      <c r="AF410" s="366" t="s">
        <v>598</v>
      </c>
      <c r="AG410" s="412" t="s">
        <v>300</v>
      </c>
      <c r="AH410" s="356" t="s">
        <v>599</v>
      </c>
      <c r="AK410" s="93"/>
    </row>
    <row r="411" spans="1:37" s="17" customFormat="1" ht="27.6" x14ac:dyDescent="0.3">
      <c r="A411" s="397"/>
      <c r="B411" s="141" t="s">
        <v>639</v>
      </c>
      <c r="C411" s="373" t="s">
        <v>546</v>
      </c>
      <c r="D411" s="62" t="s">
        <v>137</v>
      </c>
      <c r="E411" s="228"/>
      <c r="F411" s="365" t="s">
        <v>596</v>
      </c>
      <c r="G411" s="228"/>
      <c r="H411" s="365" t="s">
        <v>640</v>
      </c>
      <c r="I411" s="773" t="s">
        <v>173</v>
      </c>
      <c r="J411" s="664">
        <v>351</v>
      </c>
      <c r="K411" s="773" t="s">
        <v>173</v>
      </c>
      <c r="L411" s="712">
        <v>1</v>
      </c>
      <c r="M411" s="773" t="s">
        <v>173</v>
      </c>
      <c r="N411" s="664" t="s">
        <v>629</v>
      </c>
      <c r="O411" s="773" t="s">
        <v>173</v>
      </c>
      <c r="P411" s="665" t="s">
        <v>548</v>
      </c>
      <c r="Q411" s="773" t="s">
        <v>173</v>
      </c>
      <c r="R411" s="665" t="s">
        <v>311</v>
      </c>
      <c r="S411" s="412" t="s">
        <v>300</v>
      </c>
      <c r="T411" s="373">
        <v>5</v>
      </c>
      <c r="U411" s="773" t="s">
        <v>173</v>
      </c>
      <c r="V411" s="680">
        <f t="shared" si="10"/>
        <v>0.88</v>
      </c>
      <c r="W411" s="412"/>
      <c r="X411" s="839" t="s">
        <v>630</v>
      </c>
      <c r="Y411" s="412"/>
      <c r="Z411" s="869">
        <f t="shared" si="11"/>
        <v>52.65</v>
      </c>
      <c r="AA411" s="412"/>
      <c r="AB411" s="202" t="s">
        <v>829</v>
      </c>
      <c r="AC411" s="324" t="s">
        <v>173</v>
      </c>
      <c r="AD411" s="262" t="s">
        <v>173</v>
      </c>
      <c r="AE411" s="412" t="s">
        <v>300</v>
      </c>
      <c r="AF411" s="366" t="s">
        <v>598</v>
      </c>
      <c r="AG411" s="412" t="s">
        <v>300</v>
      </c>
      <c r="AH411" s="356" t="s">
        <v>599</v>
      </c>
      <c r="AK411" s="93"/>
    </row>
    <row r="412" spans="1:37" s="17" customFormat="1" ht="27.6" x14ac:dyDescent="0.3">
      <c r="A412" s="397"/>
      <c r="B412" s="141" t="s">
        <v>641</v>
      </c>
      <c r="C412" s="373" t="s">
        <v>546</v>
      </c>
      <c r="D412" s="62" t="s">
        <v>137</v>
      </c>
      <c r="E412" s="228"/>
      <c r="F412" s="365" t="s">
        <v>596</v>
      </c>
      <c r="G412" s="228"/>
      <c r="H412" s="365" t="s">
        <v>642</v>
      </c>
      <c r="I412" s="773" t="s">
        <v>173</v>
      </c>
      <c r="J412" s="664">
        <v>1404</v>
      </c>
      <c r="K412" s="773" t="s">
        <v>173</v>
      </c>
      <c r="L412" s="712">
        <v>4</v>
      </c>
      <c r="M412" s="773" t="s">
        <v>173</v>
      </c>
      <c r="N412" s="664" t="s">
        <v>629</v>
      </c>
      <c r="O412" s="773" t="s">
        <v>173</v>
      </c>
      <c r="P412" s="665" t="s">
        <v>548</v>
      </c>
      <c r="Q412" s="773" t="s">
        <v>173</v>
      </c>
      <c r="R412" s="665" t="s">
        <v>311</v>
      </c>
      <c r="S412" s="412" t="s">
        <v>300</v>
      </c>
      <c r="T412" s="373">
        <v>5</v>
      </c>
      <c r="U412" s="773" t="s">
        <v>173</v>
      </c>
      <c r="V412" s="680">
        <f t="shared" si="10"/>
        <v>3.51</v>
      </c>
      <c r="W412" s="412"/>
      <c r="X412" s="839" t="s">
        <v>630</v>
      </c>
      <c r="Y412" s="412"/>
      <c r="Z412" s="869">
        <f t="shared" si="11"/>
        <v>842.4</v>
      </c>
      <c r="AA412" s="412"/>
      <c r="AB412" s="202" t="s">
        <v>829</v>
      </c>
      <c r="AC412" s="324" t="s">
        <v>173</v>
      </c>
      <c r="AD412" s="262" t="s">
        <v>173</v>
      </c>
      <c r="AE412" s="412" t="s">
        <v>300</v>
      </c>
      <c r="AF412" s="366" t="s">
        <v>598</v>
      </c>
      <c r="AG412" s="412" t="s">
        <v>300</v>
      </c>
      <c r="AH412" s="356" t="s">
        <v>599</v>
      </c>
      <c r="AK412" s="93"/>
    </row>
    <row r="413" spans="1:37" s="17" customFormat="1" ht="27.6" x14ac:dyDescent="0.3">
      <c r="A413" s="397"/>
      <c r="B413" s="141" t="s">
        <v>643</v>
      </c>
      <c r="C413" s="373" t="s">
        <v>546</v>
      </c>
      <c r="D413" s="62" t="s">
        <v>137</v>
      </c>
      <c r="E413" s="228"/>
      <c r="F413" s="365" t="s">
        <v>596</v>
      </c>
      <c r="G413" s="228"/>
      <c r="H413" s="365" t="s">
        <v>644</v>
      </c>
      <c r="I413" s="773" t="s">
        <v>173</v>
      </c>
      <c r="J413" s="664">
        <v>351</v>
      </c>
      <c r="K413" s="773" t="s">
        <v>173</v>
      </c>
      <c r="L413" s="712">
        <v>1</v>
      </c>
      <c r="M413" s="773" t="s">
        <v>173</v>
      </c>
      <c r="N413" s="664" t="s">
        <v>629</v>
      </c>
      <c r="O413" s="773" t="s">
        <v>173</v>
      </c>
      <c r="P413" s="665" t="s">
        <v>548</v>
      </c>
      <c r="Q413" s="773" t="s">
        <v>173</v>
      </c>
      <c r="R413" s="665" t="s">
        <v>311</v>
      </c>
      <c r="S413" s="412" t="s">
        <v>300</v>
      </c>
      <c r="T413" s="373">
        <v>5</v>
      </c>
      <c r="U413" s="773" t="s">
        <v>173</v>
      </c>
      <c r="V413" s="680">
        <f t="shared" si="10"/>
        <v>0.88</v>
      </c>
      <c r="W413" s="412"/>
      <c r="X413" s="839" t="s">
        <v>630</v>
      </c>
      <c r="Y413" s="412"/>
      <c r="Z413" s="869">
        <f t="shared" si="11"/>
        <v>52.65</v>
      </c>
      <c r="AA413" s="412"/>
      <c r="AB413" s="202" t="s">
        <v>829</v>
      </c>
      <c r="AC413" s="324" t="s">
        <v>173</v>
      </c>
      <c r="AD413" s="262" t="s">
        <v>173</v>
      </c>
      <c r="AE413" s="412" t="s">
        <v>300</v>
      </c>
      <c r="AF413" s="366" t="s">
        <v>598</v>
      </c>
      <c r="AG413" s="412" t="s">
        <v>300</v>
      </c>
      <c r="AH413" s="356" t="s">
        <v>599</v>
      </c>
      <c r="AK413" s="93"/>
    </row>
    <row r="414" spans="1:37" s="17" customFormat="1" ht="27.6" x14ac:dyDescent="0.3">
      <c r="A414" s="397"/>
      <c r="B414" s="141" t="s">
        <v>645</v>
      </c>
      <c r="C414" s="373" t="s">
        <v>546</v>
      </c>
      <c r="D414" s="62" t="s">
        <v>137</v>
      </c>
      <c r="E414" s="228"/>
      <c r="F414" s="365" t="s">
        <v>596</v>
      </c>
      <c r="G414" s="228"/>
      <c r="H414" s="365" t="s">
        <v>646</v>
      </c>
      <c r="I414" s="773" t="s">
        <v>173</v>
      </c>
      <c r="J414" s="664">
        <v>1404</v>
      </c>
      <c r="K414" s="773" t="s">
        <v>173</v>
      </c>
      <c r="L414" s="712">
        <v>4</v>
      </c>
      <c r="M414" s="773" t="s">
        <v>173</v>
      </c>
      <c r="N414" s="664" t="s">
        <v>629</v>
      </c>
      <c r="O414" s="773" t="s">
        <v>173</v>
      </c>
      <c r="P414" s="665" t="s">
        <v>548</v>
      </c>
      <c r="Q414" s="773" t="s">
        <v>173</v>
      </c>
      <c r="R414" s="665" t="s">
        <v>311</v>
      </c>
      <c r="S414" s="412" t="s">
        <v>300</v>
      </c>
      <c r="T414" s="373">
        <v>5</v>
      </c>
      <c r="U414" s="773" t="s">
        <v>173</v>
      </c>
      <c r="V414" s="680">
        <f t="shared" si="10"/>
        <v>3.51</v>
      </c>
      <c r="W414" s="412"/>
      <c r="X414" s="839" t="s">
        <v>630</v>
      </c>
      <c r="Y414" s="412"/>
      <c r="Z414" s="869">
        <f t="shared" si="11"/>
        <v>842.4</v>
      </c>
      <c r="AA414" s="412"/>
      <c r="AB414" s="202" t="s">
        <v>829</v>
      </c>
      <c r="AC414" s="324" t="s">
        <v>173</v>
      </c>
      <c r="AD414" s="262" t="s">
        <v>173</v>
      </c>
      <c r="AE414" s="412" t="s">
        <v>300</v>
      </c>
      <c r="AF414" s="366" t="s">
        <v>598</v>
      </c>
      <c r="AG414" s="412" t="s">
        <v>300</v>
      </c>
      <c r="AH414" s="356" t="s">
        <v>599</v>
      </c>
      <c r="AK414" s="93"/>
    </row>
    <row r="415" spans="1:37" s="17" customFormat="1" ht="27.6" x14ac:dyDescent="0.3">
      <c r="A415" s="397"/>
      <c r="B415" s="141" t="s">
        <v>647</v>
      </c>
      <c r="C415" s="373" t="s">
        <v>546</v>
      </c>
      <c r="D415" s="62" t="s">
        <v>137</v>
      </c>
      <c r="E415" s="228"/>
      <c r="F415" s="365" t="s">
        <v>596</v>
      </c>
      <c r="G415" s="228"/>
      <c r="H415" s="365" t="s">
        <v>648</v>
      </c>
      <c r="I415" s="773" t="s">
        <v>173</v>
      </c>
      <c r="J415" s="664">
        <v>351</v>
      </c>
      <c r="K415" s="773" t="s">
        <v>173</v>
      </c>
      <c r="L415" s="712">
        <v>1</v>
      </c>
      <c r="M415" s="773" t="s">
        <v>173</v>
      </c>
      <c r="N415" s="664" t="s">
        <v>629</v>
      </c>
      <c r="O415" s="773" t="s">
        <v>173</v>
      </c>
      <c r="P415" s="665" t="s">
        <v>548</v>
      </c>
      <c r="Q415" s="773" t="s">
        <v>173</v>
      </c>
      <c r="R415" s="665" t="s">
        <v>311</v>
      </c>
      <c r="S415" s="412" t="s">
        <v>300</v>
      </c>
      <c r="T415" s="373">
        <v>5</v>
      </c>
      <c r="U415" s="773" t="s">
        <v>173</v>
      </c>
      <c r="V415" s="680">
        <f t="shared" si="10"/>
        <v>0.88</v>
      </c>
      <c r="W415" s="412"/>
      <c r="X415" s="839" t="s">
        <v>630</v>
      </c>
      <c r="Y415" s="412"/>
      <c r="Z415" s="869">
        <f t="shared" si="11"/>
        <v>52.65</v>
      </c>
      <c r="AA415" s="412"/>
      <c r="AB415" s="202" t="s">
        <v>829</v>
      </c>
      <c r="AC415" s="324" t="s">
        <v>173</v>
      </c>
      <c r="AD415" s="262" t="s">
        <v>173</v>
      </c>
      <c r="AE415" s="412" t="s">
        <v>300</v>
      </c>
      <c r="AF415" s="366" t="s">
        <v>598</v>
      </c>
      <c r="AG415" s="412" t="s">
        <v>300</v>
      </c>
      <c r="AH415" s="356" t="s">
        <v>599</v>
      </c>
      <c r="AK415" s="93"/>
    </row>
    <row r="416" spans="1:37" s="17" customFormat="1" ht="27.6" x14ac:dyDescent="0.3">
      <c r="A416" s="397"/>
      <c r="B416" s="141" t="s">
        <v>649</v>
      </c>
      <c r="C416" s="373" t="s">
        <v>546</v>
      </c>
      <c r="D416" s="62" t="s">
        <v>137</v>
      </c>
      <c r="E416" s="228"/>
      <c r="F416" s="365" t="s">
        <v>596</v>
      </c>
      <c r="G416" s="228"/>
      <c r="H416" s="365" t="s">
        <v>650</v>
      </c>
      <c r="I416" s="773" t="s">
        <v>173</v>
      </c>
      <c r="J416" s="664">
        <v>351</v>
      </c>
      <c r="K416" s="773" t="s">
        <v>173</v>
      </c>
      <c r="L416" s="712">
        <v>1</v>
      </c>
      <c r="M416" s="773" t="s">
        <v>173</v>
      </c>
      <c r="N416" s="664" t="s">
        <v>547</v>
      </c>
      <c r="O416" s="773" t="s">
        <v>173</v>
      </c>
      <c r="P416" s="665" t="s">
        <v>548</v>
      </c>
      <c r="Q416" s="773" t="s">
        <v>173</v>
      </c>
      <c r="R416" s="665" t="s">
        <v>549</v>
      </c>
      <c r="S416" s="412" t="s">
        <v>300</v>
      </c>
      <c r="T416" s="373">
        <v>5</v>
      </c>
      <c r="U416" s="773" t="s">
        <v>173</v>
      </c>
      <c r="V416" s="680">
        <f t="shared" si="10"/>
        <v>0.88</v>
      </c>
      <c r="W416" s="412"/>
      <c r="X416" s="839" t="s">
        <v>630</v>
      </c>
      <c r="Y416" s="412"/>
      <c r="Z416" s="869">
        <f t="shared" si="11"/>
        <v>52.65</v>
      </c>
      <c r="AA416" s="412"/>
      <c r="AB416" s="202" t="s">
        <v>829</v>
      </c>
      <c r="AC416" s="412"/>
      <c r="AD416" s="562">
        <f t="shared" ref="AD416:AD425" si="12">Z416</f>
        <v>52.65</v>
      </c>
      <c r="AE416" s="412" t="s">
        <v>300</v>
      </c>
      <c r="AF416" s="366" t="s">
        <v>598</v>
      </c>
      <c r="AG416" s="412" t="s">
        <v>300</v>
      </c>
      <c r="AH416" s="356" t="s">
        <v>599</v>
      </c>
      <c r="AK416" s="93"/>
    </row>
    <row r="417" spans="1:37" s="17" customFormat="1" ht="27.6" x14ac:dyDescent="0.3">
      <c r="A417" s="397"/>
      <c r="B417" s="141" t="s">
        <v>651</v>
      </c>
      <c r="C417" s="373" t="s">
        <v>546</v>
      </c>
      <c r="D417" s="62" t="s">
        <v>137</v>
      </c>
      <c r="E417" s="228"/>
      <c r="F417" s="365" t="s">
        <v>596</v>
      </c>
      <c r="G417" s="228"/>
      <c r="H417" s="365" t="s">
        <v>652</v>
      </c>
      <c r="I417" s="773" t="s">
        <v>173</v>
      </c>
      <c r="J417" s="664">
        <v>1404.1</v>
      </c>
      <c r="K417" s="773" t="s">
        <v>173</v>
      </c>
      <c r="L417" s="712">
        <v>4</v>
      </c>
      <c r="M417" s="773" t="s">
        <v>173</v>
      </c>
      <c r="N417" s="664" t="s">
        <v>547</v>
      </c>
      <c r="O417" s="773" t="s">
        <v>173</v>
      </c>
      <c r="P417" s="665" t="s">
        <v>548</v>
      </c>
      <c r="Q417" s="773" t="s">
        <v>173</v>
      </c>
      <c r="R417" s="665" t="s">
        <v>549</v>
      </c>
      <c r="S417" s="412" t="s">
        <v>300</v>
      </c>
      <c r="T417" s="373">
        <v>5</v>
      </c>
      <c r="U417" s="773" t="s">
        <v>173</v>
      </c>
      <c r="V417" s="680">
        <f t="shared" si="10"/>
        <v>3.51</v>
      </c>
      <c r="W417" s="412"/>
      <c r="X417" s="839" t="s">
        <v>630</v>
      </c>
      <c r="Y417" s="412"/>
      <c r="Z417" s="869">
        <f t="shared" si="11"/>
        <v>842.45999999999992</v>
      </c>
      <c r="AA417" s="412"/>
      <c r="AB417" s="202" t="s">
        <v>829</v>
      </c>
      <c r="AC417" s="412"/>
      <c r="AD417" s="562">
        <f t="shared" si="12"/>
        <v>842.45999999999992</v>
      </c>
      <c r="AE417" s="412" t="s">
        <v>300</v>
      </c>
      <c r="AF417" s="366" t="s">
        <v>598</v>
      </c>
      <c r="AG417" s="412" t="s">
        <v>300</v>
      </c>
      <c r="AH417" s="356" t="s">
        <v>599</v>
      </c>
      <c r="AK417" s="93"/>
    </row>
    <row r="418" spans="1:37" s="17" customFormat="1" ht="27.6" x14ac:dyDescent="0.3">
      <c r="A418" s="397"/>
      <c r="B418" s="141" t="s">
        <v>653</v>
      </c>
      <c r="C418" s="373" t="s">
        <v>546</v>
      </c>
      <c r="D418" s="62" t="s">
        <v>137</v>
      </c>
      <c r="E418" s="228"/>
      <c r="F418" s="365" t="s">
        <v>596</v>
      </c>
      <c r="G418" s="228"/>
      <c r="H418" s="365" t="s">
        <v>654</v>
      </c>
      <c r="I418" s="773" t="s">
        <v>173</v>
      </c>
      <c r="J418" s="664">
        <v>1134.0999999999999</v>
      </c>
      <c r="K418" s="773" t="s">
        <v>173</v>
      </c>
      <c r="L418" s="712">
        <v>3</v>
      </c>
      <c r="M418" s="773" t="s">
        <v>173</v>
      </c>
      <c r="N418" s="664" t="s">
        <v>547</v>
      </c>
      <c r="O418" s="773" t="s">
        <v>173</v>
      </c>
      <c r="P418" s="665" t="s">
        <v>548</v>
      </c>
      <c r="Q418" s="773" t="s">
        <v>173</v>
      </c>
      <c r="R418" s="665" t="s">
        <v>549</v>
      </c>
      <c r="S418" s="412" t="s">
        <v>300</v>
      </c>
      <c r="T418" s="373">
        <v>5</v>
      </c>
      <c r="U418" s="773" t="s">
        <v>173</v>
      </c>
      <c r="V418" s="680">
        <f t="shared" si="10"/>
        <v>2.84</v>
      </c>
      <c r="W418" s="412"/>
      <c r="X418" s="839" t="s">
        <v>630</v>
      </c>
      <c r="Y418" s="412"/>
      <c r="Z418" s="869">
        <f t="shared" si="11"/>
        <v>510.34499999999991</v>
      </c>
      <c r="AA418" s="412"/>
      <c r="AB418" s="202" t="s">
        <v>829</v>
      </c>
      <c r="AC418" s="412"/>
      <c r="AD418" s="562">
        <f t="shared" si="12"/>
        <v>510.34499999999991</v>
      </c>
      <c r="AE418" s="412" t="s">
        <v>300</v>
      </c>
      <c r="AF418" s="366" t="s">
        <v>598</v>
      </c>
      <c r="AG418" s="412" t="s">
        <v>300</v>
      </c>
      <c r="AH418" s="356" t="s">
        <v>599</v>
      </c>
      <c r="AK418" s="93"/>
    </row>
    <row r="419" spans="1:37" s="17" customFormat="1" ht="27.6" x14ac:dyDescent="0.3">
      <c r="A419" s="397"/>
      <c r="B419" s="141" t="s">
        <v>655</v>
      </c>
      <c r="C419" s="373" t="s">
        <v>546</v>
      </c>
      <c r="D419" s="62" t="s">
        <v>137</v>
      </c>
      <c r="E419" s="228"/>
      <c r="F419" s="365" t="s">
        <v>596</v>
      </c>
      <c r="G419" s="228"/>
      <c r="H419" s="365" t="s">
        <v>656</v>
      </c>
      <c r="I419" s="773" t="s">
        <v>173</v>
      </c>
      <c r="J419" s="664">
        <v>1404.1</v>
      </c>
      <c r="K419" s="773" t="s">
        <v>173</v>
      </c>
      <c r="L419" s="712">
        <v>4</v>
      </c>
      <c r="M419" s="773" t="s">
        <v>173</v>
      </c>
      <c r="N419" s="664" t="s">
        <v>547</v>
      </c>
      <c r="O419" s="773" t="s">
        <v>173</v>
      </c>
      <c r="P419" s="665" t="s">
        <v>548</v>
      </c>
      <c r="Q419" s="773" t="s">
        <v>173</v>
      </c>
      <c r="R419" s="665" t="s">
        <v>549</v>
      </c>
      <c r="S419" s="412" t="s">
        <v>300</v>
      </c>
      <c r="T419" s="373">
        <v>5</v>
      </c>
      <c r="U419" s="773" t="s">
        <v>173</v>
      </c>
      <c r="V419" s="680">
        <f t="shared" si="10"/>
        <v>3.51</v>
      </c>
      <c r="W419" s="412"/>
      <c r="X419" s="839" t="s">
        <v>630</v>
      </c>
      <c r="Y419" s="412"/>
      <c r="Z419" s="869">
        <f t="shared" si="11"/>
        <v>842.45999999999992</v>
      </c>
      <c r="AA419" s="412"/>
      <c r="AB419" s="202" t="s">
        <v>829</v>
      </c>
      <c r="AC419" s="412"/>
      <c r="AD419" s="562">
        <f t="shared" si="12"/>
        <v>842.45999999999992</v>
      </c>
      <c r="AE419" s="412" t="s">
        <v>300</v>
      </c>
      <c r="AF419" s="366" t="s">
        <v>598</v>
      </c>
      <c r="AG419" s="412" t="s">
        <v>300</v>
      </c>
      <c r="AH419" s="356" t="s">
        <v>599</v>
      </c>
      <c r="AK419" s="93"/>
    </row>
    <row r="420" spans="1:37" s="17" customFormat="1" ht="27.6" x14ac:dyDescent="0.3">
      <c r="A420" s="397"/>
      <c r="B420" s="141" t="s">
        <v>657</v>
      </c>
      <c r="C420" s="373" t="s">
        <v>546</v>
      </c>
      <c r="D420" s="62" t="s">
        <v>137</v>
      </c>
      <c r="E420" s="228"/>
      <c r="F420" s="365" t="s">
        <v>596</v>
      </c>
      <c r="G420" s="228"/>
      <c r="H420" s="365" t="s">
        <v>658</v>
      </c>
      <c r="I420" s="773" t="s">
        <v>173</v>
      </c>
      <c r="J420" s="664">
        <v>351</v>
      </c>
      <c r="K420" s="773" t="s">
        <v>173</v>
      </c>
      <c r="L420" s="712">
        <v>1</v>
      </c>
      <c r="M420" s="773" t="s">
        <v>173</v>
      </c>
      <c r="N420" s="664" t="s">
        <v>547</v>
      </c>
      <c r="O420" s="773" t="s">
        <v>173</v>
      </c>
      <c r="P420" s="665" t="s">
        <v>548</v>
      </c>
      <c r="Q420" s="773" t="s">
        <v>173</v>
      </c>
      <c r="R420" s="665" t="s">
        <v>549</v>
      </c>
      <c r="S420" s="412" t="s">
        <v>300</v>
      </c>
      <c r="T420" s="373">
        <v>5</v>
      </c>
      <c r="U420" s="773" t="s">
        <v>173</v>
      </c>
      <c r="V420" s="680">
        <f t="shared" si="10"/>
        <v>0.88</v>
      </c>
      <c r="W420" s="412"/>
      <c r="X420" s="839" t="s">
        <v>630</v>
      </c>
      <c r="Y420" s="412"/>
      <c r="Z420" s="869">
        <f t="shared" si="11"/>
        <v>52.65</v>
      </c>
      <c r="AA420" s="412"/>
      <c r="AB420" s="202" t="s">
        <v>829</v>
      </c>
      <c r="AC420" s="412"/>
      <c r="AD420" s="562">
        <f t="shared" si="12"/>
        <v>52.65</v>
      </c>
      <c r="AE420" s="412" t="s">
        <v>300</v>
      </c>
      <c r="AF420" s="366" t="s">
        <v>598</v>
      </c>
      <c r="AG420" s="412" t="s">
        <v>300</v>
      </c>
      <c r="AH420" s="356" t="s">
        <v>599</v>
      </c>
      <c r="AK420" s="93"/>
    </row>
    <row r="421" spans="1:37" s="17" customFormat="1" ht="27.6" x14ac:dyDescent="0.3">
      <c r="A421" s="397"/>
      <c r="B421" s="141" t="s">
        <v>659</v>
      </c>
      <c r="C421" s="373" t="s">
        <v>546</v>
      </c>
      <c r="D421" s="62" t="s">
        <v>137</v>
      </c>
      <c r="E421" s="228"/>
      <c r="F421" s="365" t="s">
        <v>596</v>
      </c>
      <c r="G421" s="228"/>
      <c r="H421" s="365" t="s">
        <v>660</v>
      </c>
      <c r="I421" s="773" t="s">
        <v>173</v>
      </c>
      <c r="J421" s="664">
        <v>351</v>
      </c>
      <c r="K421" s="773" t="s">
        <v>173</v>
      </c>
      <c r="L421" s="712">
        <v>1</v>
      </c>
      <c r="M421" s="773" t="s">
        <v>173</v>
      </c>
      <c r="N421" s="664" t="s">
        <v>547</v>
      </c>
      <c r="O421" s="773" t="s">
        <v>173</v>
      </c>
      <c r="P421" s="665" t="s">
        <v>548</v>
      </c>
      <c r="Q421" s="773" t="s">
        <v>173</v>
      </c>
      <c r="R421" s="665" t="s">
        <v>549</v>
      </c>
      <c r="S421" s="412" t="s">
        <v>300</v>
      </c>
      <c r="T421" s="373">
        <v>5</v>
      </c>
      <c r="U421" s="773" t="s">
        <v>173</v>
      </c>
      <c r="V421" s="680">
        <f t="shared" si="10"/>
        <v>0.88</v>
      </c>
      <c r="W421" s="412"/>
      <c r="X421" s="839" t="s">
        <v>630</v>
      </c>
      <c r="Y421" s="412"/>
      <c r="Z421" s="869">
        <f t="shared" si="11"/>
        <v>52.65</v>
      </c>
      <c r="AA421" s="412"/>
      <c r="AB421" s="202" t="s">
        <v>829</v>
      </c>
      <c r="AC421" s="412"/>
      <c r="AD421" s="562">
        <f t="shared" si="12"/>
        <v>52.65</v>
      </c>
      <c r="AE421" s="412" t="s">
        <v>300</v>
      </c>
      <c r="AF421" s="366" t="s">
        <v>598</v>
      </c>
      <c r="AG421" s="412" t="s">
        <v>300</v>
      </c>
      <c r="AH421" s="356" t="s">
        <v>599</v>
      </c>
      <c r="AK421" s="93"/>
    </row>
    <row r="422" spans="1:37" s="17" customFormat="1" ht="27.6" x14ac:dyDescent="0.3">
      <c r="A422" s="397"/>
      <c r="B422" s="141" t="s">
        <v>661</v>
      </c>
      <c r="C422" s="373" t="s">
        <v>546</v>
      </c>
      <c r="D422" s="62" t="s">
        <v>137</v>
      </c>
      <c r="E422" s="228"/>
      <c r="F422" s="365" t="s">
        <v>596</v>
      </c>
      <c r="G422" s="228"/>
      <c r="H422" s="365" t="s">
        <v>662</v>
      </c>
      <c r="I422" s="773" t="s">
        <v>173</v>
      </c>
      <c r="J422" s="664">
        <v>1404</v>
      </c>
      <c r="K422" s="773" t="s">
        <v>173</v>
      </c>
      <c r="L422" s="712">
        <v>4</v>
      </c>
      <c r="M422" s="773" t="s">
        <v>173</v>
      </c>
      <c r="N422" s="664" t="s">
        <v>547</v>
      </c>
      <c r="O422" s="773" t="s">
        <v>173</v>
      </c>
      <c r="P422" s="665" t="s">
        <v>548</v>
      </c>
      <c r="Q422" s="773" t="s">
        <v>173</v>
      </c>
      <c r="R422" s="665" t="s">
        <v>549</v>
      </c>
      <c r="S422" s="412" t="s">
        <v>300</v>
      </c>
      <c r="T422" s="373">
        <v>5</v>
      </c>
      <c r="U422" s="773" t="s">
        <v>173</v>
      </c>
      <c r="V422" s="680">
        <f t="shared" si="10"/>
        <v>3.51</v>
      </c>
      <c r="W422" s="412"/>
      <c r="X422" s="839" t="s">
        <v>630</v>
      </c>
      <c r="Y422" s="412"/>
      <c r="Z422" s="869">
        <f t="shared" si="11"/>
        <v>842.4</v>
      </c>
      <c r="AA422" s="412"/>
      <c r="AB422" s="202" t="s">
        <v>829</v>
      </c>
      <c r="AC422" s="412"/>
      <c r="AD422" s="562">
        <f t="shared" si="12"/>
        <v>842.4</v>
      </c>
      <c r="AE422" s="412" t="s">
        <v>300</v>
      </c>
      <c r="AF422" s="366" t="s">
        <v>598</v>
      </c>
      <c r="AG422" s="412" t="s">
        <v>300</v>
      </c>
      <c r="AH422" s="356" t="s">
        <v>599</v>
      </c>
      <c r="AK422" s="93"/>
    </row>
    <row r="423" spans="1:37" s="17" customFormat="1" ht="27.6" x14ac:dyDescent="0.3">
      <c r="A423" s="397"/>
      <c r="B423" s="141" t="s">
        <v>663</v>
      </c>
      <c r="C423" s="373" t="s">
        <v>546</v>
      </c>
      <c r="D423" s="62" t="s">
        <v>137</v>
      </c>
      <c r="E423" s="228"/>
      <c r="F423" s="365" t="s">
        <v>596</v>
      </c>
      <c r="G423" s="228"/>
      <c r="H423" s="365" t="s">
        <v>664</v>
      </c>
      <c r="I423" s="773" t="s">
        <v>173</v>
      </c>
      <c r="J423" s="664">
        <v>351</v>
      </c>
      <c r="K423" s="773" t="s">
        <v>173</v>
      </c>
      <c r="L423" s="712">
        <v>1</v>
      </c>
      <c r="M423" s="773" t="s">
        <v>173</v>
      </c>
      <c r="N423" s="664" t="s">
        <v>547</v>
      </c>
      <c r="O423" s="773" t="s">
        <v>173</v>
      </c>
      <c r="P423" s="665" t="s">
        <v>548</v>
      </c>
      <c r="Q423" s="773" t="s">
        <v>173</v>
      </c>
      <c r="R423" s="665" t="s">
        <v>549</v>
      </c>
      <c r="S423" s="412" t="s">
        <v>300</v>
      </c>
      <c r="T423" s="373">
        <v>5</v>
      </c>
      <c r="U423" s="773" t="s">
        <v>173</v>
      </c>
      <c r="V423" s="680">
        <f t="shared" si="10"/>
        <v>0.88</v>
      </c>
      <c r="W423" s="412"/>
      <c r="X423" s="839" t="s">
        <v>630</v>
      </c>
      <c r="Y423" s="412"/>
      <c r="Z423" s="869">
        <f t="shared" si="11"/>
        <v>52.65</v>
      </c>
      <c r="AA423" s="412"/>
      <c r="AB423" s="202" t="s">
        <v>829</v>
      </c>
      <c r="AC423" s="412"/>
      <c r="AD423" s="562">
        <f t="shared" si="12"/>
        <v>52.65</v>
      </c>
      <c r="AE423" s="412" t="s">
        <v>300</v>
      </c>
      <c r="AF423" s="366" t="s">
        <v>598</v>
      </c>
      <c r="AG423" s="412" t="s">
        <v>300</v>
      </c>
      <c r="AH423" s="356" t="s">
        <v>599</v>
      </c>
      <c r="AK423" s="93"/>
    </row>
    <row r="424" spans="1:37" s="17" customFormat="1" ht="27.6" x14ac:dyDescent="0.3">
      <c r="A424" s="397"/>
      <c r="B424" s="141" t="s">
        <v>665</v>
      </c>
      <c r="C424" s="373" t="s">
        <v>546</v>
      </c>
      <c r="D424" s="62" t="s">
        <v>137</v>
      </c>
      <c r="E424" s="228"/>
      <c r="F424" s="365" t="s">
        <v>596</v>
      </c>
      <c r="G424" s="228"/>
      <c r="H424" s="365" t="s">
        <v>666</v>
      </c>
      <c r="I424" s="773" t="s">
        <v>173</v>
      </c>
      <c r="J424" s="664">
        <v>1404</v>
      </c>
      <c r="K424" s="773" t="s">
        <v>173</v>
      </c>
      <c r="L424" s="712">
        <v>4</v>
      </c>
      <c r="M424" s="773" t="s">
        <v>173</v>
      </c>
      <c r="N424" s="664" t="s">
        <v>547</v>
      </c>
      <c r="O424" s="773" t="s">
        <v>173</v>
      </c>
      <c r="P424" s="665" t="s">
        <v>548</v>
      </c>
      <c r="Q424" s="773" t="s">
        <v>173</v>
      </c>
      <c r="R424" s="665" t="s">
        <v>549</v>
      </c>
      <c r="S424" s="412" t="s">
        <v>300</v>
      </c>
      <c r="T424" s="373">
        <v>5</v>
      </c>
      <c r="U424" s="773" t="s">
        <v>173</v>
      </c>
      <c r="V424" s="680">
        <f t="shared" si="10"/>
        <v>3.51</v>
      </c>
      <c r="W424" s="412"/>
      <c r="X424" s="839" t="s">
        <v>630</v>
      </c>
      <c r="Y424" s="412"/>
      <c r="Z424" s="869">
        <f t="shared" si="11"/>
        <v>842.4</v>
      </c>
      <c r="AA424" s="412"/>
      <c r="AB424" s="202" t="s">
        <v>829</v>
      </c>
      <c r="AC424" s="412"/>
      <c r="AD424" s="562">
        <f t="shared" si="12"/>
        <v>842.4</v>
      </c>
      <c r="AE424" s="412" t="s">
        <v>300</v>
      </c>
      <c r="AF424" s="366" t="s">
        <v>598</v>
      </c>
      <c r="AG424" s="412" t="s">
        <v>300</v>
      </c>
      <c r="AH424" s="356" t="s">
        <v>599</v>
      </c>
      <c r="AK424" s="93"/>
    </row>
    <row r="425" spans="1:37" s="17" customFormat="1" ht="27.6" x14ac:dyDescent="0.3">
      <c r="A425" s="397"/>
      <c r="B425" s="309" t="s">
        <v>667</v>
      </c>
      <c r="C425" s="165" t="s">
        <v>546</v>
      </c>
      <c r="D425" s="452" t="s">
        <v>137</v>
      </c>
      <c r="E425" s="229"/>
      <c r="F425" s="232" t="s">
        <v>596</v>
      </c>
      <c r="G425" s="229"/>
      <c r="H425" s="232" t="s">
        <v>668</v>
      </c>
      <c r="I425" s="775" t="s">
        <v>173</v>
      </c>
      <c r="J425" s="669">
        <v>351</v>
      </c>
      <c r="K425" s="775" t="s">
        <v>173</v>
      </c>
      <c r="L425" s="713">
        <v>1</v>
      </c>
      <c r="M425" s="775" t="s">
        <v>173</v>
      </c>
      <c r="N425" s="669" t="s">
        <v>547</v>
      </c>
      <c r="O425" s="775" t="s">
        <v>173</v>
      </c>
      <c r="P425" s="670" t="s">
        <v>548</v>
      </c>
      <c r="Q425" s="775" t="s">
        <v>173</v>
      </c>
      <c r="R425" s="670" t="s">
        <v>549</v>
      </c>
      <c r="S425" s="410" t="s">
        <v>300</v>
      </c>
      <c r="T425" s="165">
        <v>5</v>
      </c>
      <c r="U425" s="775" t="s">
        <v>173</v>
      </c>
      <c r="V425" s="682">
        <f t="shared" si="10"/>
        <v>0.88</v>
      </c>
      <c r="W425" s="410"/>
      <c r="X425" s="944" t="s">
        <v>630</v>
      </c>
      <c r="Y425" s="410"/>
      <c r="Z425" s="870">
        <f t="shared" si="11"/>
        <v>52.65</v>
      </c>
      <c r="AA425" s="410"/>
      <c r="AB425" s="204" t="s">
        <v>829</v>
      </c>
      <c r="AC425" s="410"/>
      <c r="AD425" s="648">
        <f t="shared" si="12"/>
        <v>52.65</v>
      </c>
      <c r="AE425" s="410" t="s">
        <v>300</v>
      </c>
      <c r="AF425" s="167" t="s">
        <v>598</v>
      </c>
      <c r="AG425" s="410" t="s">
        <v>300</v>
      </c>
      <c r="AH425" s="601" t="s">
        <v>599</v>
      </c>
      <c r="AK425" s="93"/>
    </row>
    <row r="426" spans="1:37" s="534" customFormat="1" ht="14.4" x14ac:dyDescent="0.3">
      <c r="I426" s="533"/>
      <c r="M426" s="533"/>
      <c r="O426" s="567"/>
      <c r="P426" s="568"/>
      <c r="Q426" s="397"/>
      <c r="R426" s="397"/>
      <c r="S426" s="397"/>
      <c r="T426" s="397"/>
      <c r="AK426" s="93"/>
    </row>
    <row r="427" spans="1:37" s="93" customFormat="1" ht="14.4" x14ac:dyDescent="0.3">
      <c r="A427" s="89"/>
      <c r="B427" s="92"/>
      <c r="C427" s="90"/>
      <c r="E427" s="357"/>
      <c r="G427" s="25"/>
      <c r="I427" s="96"/>
      <c r="K427" s="96"/>
      <c r="M427" s="96"/>
      <c r="O427" s="96"/>
      <c r="Q427" s="96"/>
      <c r="S427" s="96"/>
      <c r="U427" s="358"/>
      <c r="V427" s="358"/>
      <c r="W427" s="358"/>
      <c r="X427" s="358"/>
    </row>
    <row r="428" spans="1:37" s="391" customFormat="1" ht="14.4" x14ac:dyDescent="0.3">
      <c r="A428" s="23"/>
      <c r="B428" s="23" t="s">
        <v>669</v>
      </c>
      <c r="C428" s="982"/>
      <c r="D428" s="982"/>
      <c r="E428" s="357"/>
      <c r="F428" s="982"/>
      <c r="G428" s="357"/>
      <c r="H428" s="982"/>
      <c r="I428" s="357"/>
      <c r="J428" s="982"/>
      <c r="K428" s="357"/>
      <c r="L428" s="982"/>
      <c r="M428" s="357"/>
      <c r="N428" s="982"/>
      <c r="O428" s="127"/>
      <c r="P428" s="118"/>
      <c r="Q428" s="89"/>
      <c r="R428" s="89"/>
      <c r="S428" s="89"/>
      <c r="T428" s="89"/>
      <c r="U428" s="358"/>
      <c r="V428" s="358"/>
      <c r="W428" s="358"/>
      <c r="X428" s="358"/>
      <c r="Y428" s="982"/>
      <c r="Z428" s="982"/>
      <c r="AA428" s="982"/>
      <c r="AB428" s="982"/>
      <c r="AC428" s="982"/>
      <c r="AD428" s="982"/>
      <c r="AE428" s="982"/>
      <c r="AF428" s="982"/>
      <c r="AG428" s="982"/>
      <c r="AH428" s="982"/>
      <c r="AI428" s="982"/>
      <c r="AJ428" s="982"/>
      <c r="AK428" s="982"/>
    </row>
    <row r="429" spans="1:37" s="391" customFormat="1" ht="27.6" x14ac:dyDescent="0.3">
      <c r="A429" s="982"/>
      <c r="B429" s="115" t="s">
        <v>670</v>
      </c>
      <c r="C429" s="119"/>
      <c r="D429" s="120" t="s">
        <v>122</v>
      </c>
      <c r="E429" s="234"/>
      <c r="F429" s="123" t="s">
        <v>671</v>
      </c>
      <c r="G429" s="234"/>
      <c r="H429" s="123" t="s">
        <v>672</v>
      </c>
      <c r="I429" s="234"/>
      <c r="J429" s="116" t="s">
        <v>673</v>
      </c>
      <c r="K429" s="435"/>
      <c r="L429" s="436" t="s">
        <v>674</v>
      </c>
      <c r="M429" s="234"/>
      <c r="N429" s="116" t="s">
        <v>675</v>
      </c>
      <c r="O429" s="127"/>
      <c r="P429" s="118"/>
      <c r="Q429" s="89"/>
      <c r="R429" s="89"/>
      <c r="S429" s="89"/>
      <c r="T429" s="89"/>
      <c r="U429" s="358"/>
      <c r="V429" s="358"/>
      <c r="W429" s="358"/>
      <c r="X429" s="358"/>
      <c r="Y429" s="982"/>
      <c r="Z429" s="982"/>
      <c r="AA429" s="982"/>
      <c r="AB429" s="982"/>
      <c r="AC429" s="982"/>
      <c r="AD429" s="982"/>
      <c r="AE429" s="982"/>
      <c r="AF429" s="982"/>
      <c r="AG429" s="982"/>
      <c r="AH429" s="982"/>
      <c r="AI429" s="982"/>
      <c r="AJ429" s="982"/>
      <c r="AK429" s="982"/>
    </row>
    <row r="430" spans="1:37" s="391" customFormat="1" ht="15" thickBot="1" x14ac:dyDescent="0.35">
      <c r="A430" s="982"/>
      <c r="B430" s="215"/>
      <c r="C430" s="125"/>
      <c r="D430" s="371"/>
      <c r="E430" s="370"/>
      <c r="F430" s="350" t="s">
        <v>676</v>
      </c>
      <c r="G430" s="370"/>
      <c r="H430" s="350" t="s">
        <v>677</v>
      </c>
      <c r="I430" s="233"/>
      <c r="J430" s="351" t="s">
        <v>678</v>
      </c>
      <c r="K430" s="214"/>
      <c r="L430" s="350" t="s">
        <v>679</v>
      </c>
      <c r="M430" s="233"/>
      <c r="N430" s="351" t="s">
        <v>680</v>
      </c>
      <c r="O430" s="127"/>
      <c r="P430" s="118"/>
      <c r="Q430" s="89"/>
      <c r="R430" s="89"/>
      <c r="S430" s="89"/>
      <c r="T430" s="89"/>
      <c r="U430" s="358"/>
      <c r="V430" s="358"/>
      <c r="W430" s="358"/>
      <c r="X430" s="358"/>
      <c r="Y430" s="982"/>
      <c r="Z430" s="982"/>
      <c r="AA430" s="982"/>
      <c r="AB430" s="982"/>
      <c r="AC430" s="982"/>
      <c r="AD430" s="982"/>
      <c r="AE430" s="982"/>
      <c r="AF430" s="982"/>
      <c r="AG430" s="982"/>
      <c r="AH430" s="982"/>
      <c r="AI430" s="982"/>
      <c r="AJ430" s="982"/>
      <c r="AK430" s="982"/>
    </row>
    <row r="431" spans="1:37" s="357" customFormat="1" ht="14.4" thickTop="1" x14ac:dyDescent="0.3">
      <c r="B431" s="352">
        <v>2</v>
      </c>
      <c r="C431" s="385"/>
      <c r="D431" s="438" t="s">
        <v>137</v>
      </c>
      <c r="E431" s="768" t="s">
        <v>173</v>
      </c>
      <c r="F431" s="689">
        <v>250993</v>
      </c>
      <c r="G431" s="171" t="s">
        <v>300</v>
      </c>
      <c r="H431" s="168">
        <v>0.82250000000000001</v>
      </c>
      <c r="I431" s="171" t="s">
        <v>300</v>
      </c>
      <c r="J431" s="162" t="s">
        <v>681</v>
      </c>
      <c r="K431" s="170" t="s">
        <v>300</v>
      </c>
      <c r="L431" s="167" t="s">
        <v>682</v>
      </c>
      <c r="M431" s="171" t="s">
        <v>300</v>
      </c>
      <c r="N431" s="162">
        <v>0.25</v>
      </c>
      <c r="O431" s="127"/>
      <c r="P431" s="127"/>
      <c r="Q431" s="89"/>
      <c r="R431" s="89"/>
      <c r="S431" s="89"/>
      <c r="T431" s="89"/>
      <c r="U431" s="359"/>
      <c r="V431" s="359"/>
      <c r="W431" s="359"/>
      <c r="X431" s="359"/>
    </row>
    <row r="432" spans="1:37" s="93" customFormat="1" ht="14.4" x14ac:dyDescent="0.3">
      <c r="A432" s="89"/>
      <c r="B432" s="92"/>
      <c r="C432" s="90"/>
      <c r="E432" s="357"/>
      <c r="G432" s="25"/>
      <c r="I432" s="96"/>
      <c r="K432" s="96"/>
      <c r="M432" s="96"/>
      <c r="O432" s="96"/>
      <c r="Q432" s="96"/>
      <c r="S432" s="96"/>
      <c r="U432" s="358"/>
      <c r="V432" s="358"/>
      <c r="W432" s="358"/>
      <c r="X432" s="358"/>
    </row>
    <row r="433" spans="1:26" s="93" customFormat="1" ht="14.4" x14ac:dyDescent="0.3">
      <c r="A433" s="23"/>
      <c r="B433" s="23" t="s">
        <v>683</v>
      </c>
      <c r="C433" s="90"/>
      <c r="E433" s="357"/>
      <c r="G433" s="25"/>
      <c r="I433" s="96"/>
      <c r="K433" s="96"/>
      <c r="M433" s="96"/>
      <c r="O433" s="96"/>
      <c r="Q433" s="96"/>
      <c r="S433" s="96"/>
      <c r="U433" s="358"/>
      <c r="V433" s="358"/>
      <c r="W433" s="358"/>
      <c r="X433" s="358"/>
    </row>
    <row r="434" spans="1:26" s="38" customFormat="1" ht="27.6" x14ac:dyDescent="0.3">
      <c r="A434" s="120"/>
      <c r="B434" s="131" t="s">
        <v>684</v>
      </c>
      <c r="C434" s="120" t="s">
        <v>685</v>
      </c>
      <c r="D434" s="120" t="s">
        <v>122</v>
      </c>
      <c r="E434" s="131"/>
      <c r="F434" s="148" t="s">
        <v>686</v>
      </c>
      <c r="G434" s="131"/>
      <c r="H434" s="148" t="s">
        <v>687</v>
      </c>
      <c r="I434" s="120"/>
      <c r="J434" s="120" t="s">
        <v>688</v>
      </c>
      <c r="K434" s="210"/>
      <c r="L434" s="120" t="s">
        <v>689</v>
      </c>
      <c r="M434" s="210"/>
      <c r="N434" s="148" t="s">
        <v>690</v>
      </c>
      <c r="O434" s="120"/>
      <c r="P434" s="120" t="s">
        <v>691</v>
      </c>
      <c r="Q434" s="131"/>
      <c r="R434" s="148" t="s">
        <v>692</v>
      </c>
      <c r="S434" s="96"/>
      <c r="T434" s="93"/>
      <c r="U434" s="96"/>
      <c r="V434" s="93"/>
      <c r="W434" s="358"/>
      <c r="X434" s="358"/>
      <c r="Y434" s="358"/>
      <c r="Z434" s="358"/>
    </row>
    <row r="435" spans="1:26" s="431" customFormat="1" ht="15" thickBot="1" x14ac:dyDescent="0.35">
      <c r="B435" s="183"/>
      <c r="C435" s="176"/>
      <c r="D435" s="177"/>
      <c r="E435" s="178"/>
      <c r="F435" s="179" t="s">
        <v>693</v>
      </c>
      <c r="G435" s="178"/>
      <c r="H435" s="179" t="s">
        <v>694</v>
      </c>
      <c r="I435" s="176"/>
      <c r="J435" s="179" t="s">
        <v>695</v>
      </c>
      <c r="K435" s="178"/>
      <c r="L435" s="179" t="s">
        <v>696</v>
      </c>
      <c r="M435" s="178"/>
      <c r="N435" s="179" t="s">
        <v>697</v>
      </c>
      <c r="O435" s="176"/>
      <c r="P435" s="176" t="s">
        <v>698</v>
      </c>
      <c r="Q435" s="178"/>
      <c r="R435" s="179" t="s">
        <v>699</v>
      </c>
      <c r="S435" s="96"/>
      <c r="T435" s="93"/>
      <c r="U435" s="96"/>
      <c r="V435" s="93"/>
      <c r="W435" s="358"/>
      <c r="X435" s="358"/>
      <c r="Y435" s="358"/>
      <c r="Z435" s="358"/>
    </row>
    <row r="436" spans="1:26" s="373" customFormat="1" ht="14.4" thickTop="1" x14ac:dyDescent="0.3">
      <c r="B436" s="309" t="s">
        <v>700</v>
      </c>
      <c r="C436" s="165" t="s">
        <v>701</v>
      </c>
      <c r="D436" s="165" t="s">
        <v>137</v>
      </c>
      <c r="E436" s="410"/>
      <c r="F436" s="165" t="s">
        <v>702</v>
      </c>
      <c r="G436" s="454"/>
      <c r="H436" s="157" t="s">
        <v>703</v>
      </c>
      <c r="I436" s="410"/>
      <c r="J436" s="165" t="s">
        <v>704</v>
      </c>
      <c r="K436" s="631" t="s">
        <v>173</v>
      </c>
      <c r="L436" s="551">
        <v>302965</v>
      </c>
      <c r="M436" s="410"/>
      <c r="N436" s="594" t="str">
        <f>ROUND(12/0.78/3.412,2)&amp;" (0.78 kW/ton)"</f>
        <v>4.51 (0.78 kW/ton)</v>
      </c>
      <c r="O436" s="405" t="s">
        <v>173</v>
      </c>
      <c r="P436" s="406" t="s">
        <v>173</v>
      </c>
      <c r="Q436" s="410"/>
      <c r="R436" s="204">
        <v>0.15</v>
      </c>
      <c r="S436" s="96"/>
      <c r="T436" s="93"/>
      <c r="U436" s="96"/>
      <c r="V436" s="93"/>
      <c r="W436" s="359"/>
      <c r="X436" s="359"/>
      <c r="Y436" s="359"/>
      <c r="Z436" s="359"/>
    </row>
    <row r="437" spans="1:26" s="93" customFormat="1" ht="14.4" x14ac:dyDescent="0.3">
      <c r="A437" s="89"/>
      <c r="B437" s="92"/>
      <c r="C437" s="90"/>
      <c r="E437" s="357"/>
      <c r="G437" s="25"/>
      <c r="I437" s="96"/>
      <c r="K437" s="96"/>
      <c r="M437" s="96"/>
      <c r="O437" s="96"/>
      <c r="Q437" s="96"/>
      <c r="S437" s="96"/>
      <c r="U437" s="358"/>
      <c r="V437" s="358"/>
      <c r="W437" s="358"/>
      <c r="X437" s="358"/>
    </row>
    <row r="438" spans="1:26" s="93" customFormat="1" ht="14.4" x14ac:dyDescent="0.3">
      <c r="A438" s="89"/>
      <c r="B438" s="92"/>
      <c r="C438" s="90"/>
      <c r="E438" s="357"/>
      <c r="G438" s="25"/>
      <c r="I438" s="96"/>
      <c r="K438" s="96"/>
      <c r="M438" s="96"/>
      <c r="O438" s="96"/>
      <c r="Q438" s="96"/>
      <c r="S438" s="96"/>
      <c r="U438" s="358"/>
      <c r="V438" s="358"/>
      <c r="W438" s="358"/>
      <c r="X438" s="358"/>
    </row>
    <row r="439" spans="1:26" s="91" customFormat="1" ht="27.6" x14ac:dyDescent="0.3">
      <c r="B439" s="131" t="s">
        <v>720</v>
      </c>
      <c r="C439" s="120" t="s">
        <v>721</v>
      </c>
      <c r="D439" s="120" t="s">
        <v>122</v>
      </c>
      <c r="E439" s="131"/>
      <c r="F439" s="148" t="s">
        <v>722</v>
      </c>
      <c r="G439" s="120"/>
      <c r="H439" s="120" t="s">
        <v>723</v>
      </c>
      <c r="I439" s="131"/>
      <c r="J439" s="120" t="s">
        <v>724</v>
      </c>
      <c r="K439" s="210"/>
      <c r="L439" s="120" t="s">
        <v>725</v>
      </c>
      <c r="M439" s="210"/>
      <c r="N439" s="148" t="s">
        <v>726</v>
      </c>
      <c r="O439" s="120"/>
      <c r="P439" s="120" t="s">
        <v>727</v>
      </c>
      <c r="Q439" s="120"/>
      <c r="R439" s="116" t="s">
        <v>728</v>
      </c>
      <c r="S439" s="120"/>
      <c r="T439" s="148" t="s">
        <v>729</v>
      </c>
      <c r="U439" s="120"/>
      <c r="V439" s="148" t="s">
        <v>730</v>
      </c>
      <c r="W439" s="358"/>
      <c r="X439" s="358"/>
      <c r="Y439" s="358"/>
      <c r="Z439" s="358"/>
    </row>
    <row r="440" spans="1:26" s="391" customFormat="1" ht="15" thickBot="1" x14ac:dyDescent="0.35">
      <c r="A440" s="364"/>
      <c r="B440" s="183"/>
      <c r="C440" s="176"/>
      <c r="D440" s="177"/>
      <c r="E440" s="178"/>
      <c r="F440" s="351" t="s">
        <v>731</v>
      </c>
      <c r="G440" s="176"/>
      <c r="H440" s="176" t="s">
        <v>732</v>
      </c>
      <c r="I440" s="178"/>
      <c r="J440" s="179" t="s">
        <v>733</v>
      </c>
      <c r="K440" s="178"/>
      <c r="L440" s="351" t="s">
        <v>734</v>
      </c>
      <c r="M440" s="178"/>
      <c r="N440" s="351" t="s">
        <v>735</v>
      </c>
      <c r="O440" s="176"/>
      <c r="P440" s="176" t="s">
        <v>736</v>
      </c>
      <c r="Q440" s="176"/>
      <c r="R440" s="179" t="s">
        <v>737</v>
      </c>
      <c r="S440" s="176"/>
      <c r="T440" s="351" t="s">
        <v>738</v>
      </c>
      <c r="U440" s="176"/>
      <c r="V440" s="179" t="s">
        <v>739</v>
      </c>
      <c r="W440" s="358"/>
      <c r="X440" s="358"/>
      <c r="Y440" s="358"/>
      <c r="Z440" s="358"/>
    </row>
    <row r="441" spans="1:26" s="359" customFormat="1" ht="14.4" thickTop="1" x14ac:dyDescent="0.3">
      <c r="A441" s="373"/>
      <c r="B441" s="141" t="s">
        <v>740</v>
      </c>
      <c r="C441" s="366" t="s">
        <v>741</v>
      </c>
      <c r="D441" s="373" t="s">
        <v>137</v>
      </c>
      <c r="E441" s="411"/>
      <c r="F441" s="366" t="s">
        <v>742</v>
      </c>
      <c r="G441" s="411"/>
      <c r="H441" s="365" t="s">
        <v>749</v>
      </c>
      <c r="I441" s="458" t="s">
        <v>173</v>
      </c>
      <c r="J441" s="628">
        <f>ROUND(F431/500.19/40,2)</f>
        <v>12.54</v>
      </c>
      <c r="K441" s="458" t="s">
        <v>173</v>
      </c>
      <c r="L441" s="547" t="str">
        <f>ROUND(19*J441/1000,2)&amp;" (19 W/gpm)"</f>
        <v>0.24 (19 W/gpm)</v>
      </c>
      <c r="M441" s="458" t="s">
        <v>173</v>
      </c>
      <c r="N441" s="553">
        <v>0.5</v>
      </c>
      <c r="O441" s="458" t="s">
        <v>173</v>
      </c>
      <c r="P441" s="628">
        <f>ROUND(19/745.6*3960*R441*0.7,1)</f>
        <v>60.4</v>
      </c>
      <c r="Q441" s="413" t="s">
        <v>300</v>
      </c>
      <c r="R441" s="362">
        <v>0.85499999999999998</v>
      </c>
      <c r="S441" s="413" t="s">
        <v>300</v>
      </c>
      <c r="T441" s="362">
        <v>0.7</v>
      </c>
      <c r="U441" s="403" t="s">
        <v>173</v>
      </c>
      <c r="V441" s="404" t="s">
        <v>173</v>
      </c>
      <c r="W441" s="373"/>
      <c r="X441" s="366"/>
      <c r="Y441" s="373"/>
      <c r="Z441" s="366"/>
    </row>
    <row r="442" spans="1:26" s="365" customFormat="1" x14ac:dyDescent="0.3">
      <c r="A442" s="373"/>
      <c r="B442" s="278" t="s">
        <v>744</v>
      </c>
      <c r="C442" s="165" t="s">
        <v>745</v>
      </c>
      <c r="D442" s="165" t="s">
        <v>137</v>
      </c>
      <c r="E442" s="410"/>
      <c r="F442" s="232" t="s">
        <v>742</v>
      </c>
      <c r="G442" s="410"/>
      <c r="H442" s="232" t="s">
        <v>749</v>
      </c>
      <c r="I442" s="207" t="s">
        <v>173</v>
      </c>
      <c r="J442" s="629">
        <f>ROUND(F431/500.19/40,2)</f>
        <v>12.54</v>
      </c>
      <c r="K442" s="207" t="s">
        <v>173</v>
      </c>
      <c r="L442" s="552" t="str">
        <f>ROUND(19*J442/1000,2)&amp;" (19 W/gpm)"</f>
        <v>0.24 (19 W/gpm)</v>
      </c>
      <c r="M442" s="207" t="s">
        <v>173</v>
      </c>
      <c r="N442" s="554">
        <v>0.5</v>
      </c>
      <c r="O442" s="207" t="s">
        <v>173</v>
      </c>
      <c r="P442" s="630">
        <f>ROUND(19/745.6*3960*R442*0.7,1)</f>
        <v>60.4</v>
      </c>
      <c r="Q442" s="410" t="s">
        <v>300</v>
      </c>
      <c r="R442" s="172">
        <v>0.85499999999999998</v>
      </c>
      <c r="S442" s="410" t="s">
        <v>300</v>
      </c>
      <c r="T442" s="172">
        <v>0.7</v>
      </c>
      <c r="U442" s="405" t="s">
        <v>173</v>
      </c>
      <c r="V442" s="406" t="s">
        <v>173</v>
      </c>
      <c r="W442" s="363"/>
      <c r="Y442" s="363"/>
    </row>
    <row r="443" spans="1:26" s="93" customFormat="1" x14ac:dyDescent="0.3">
      <c r="A443" s="89"/>
      <c r="B443" s="92"/>
      <c r="C443" s="90"/>
      <c r="E443" s="357"/>
      <c r="G443" s="25"/>
      <c r="I443" s="96"/>
      <c r="J443" s="652"/>
      <c r="K443" s="96"/>
      <c r="M443" s="96"/>
      <c r="O443" s="96"/>
      <c r="Q443" s="96"/>
      <c r="S443" s="96"/>
      <c r="U443" s="96"/>
      <c r="W443" s="96"/>
    </row>
    <row r="444" spans="1:26" s="93" customFormat="1" x14ac:dyDescent="0.3">
      <c r="A444" s="89"/>
      <c r="B444" s="92"/>
      <c r="C444" s="90"/>
      <c r="E444" s="357"/>
      <c r="G444" s="25"/>
      <c r="I444" s="96"/>
      <c r="J444" s="652"/>
      <c r="K444" s="96"/>
      <c r="M444" s="96"/>
      <c r="O444" s="96"/>
      <c r="Q444" s="96"/>
      <c r="S444" s="96"/>
      <c r="U444" s="96"/>
      <c r="W444" s="96"/>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2:W27"/>
  <sheetViews>
    <sheetView tabSelected="1" topLeftCell="A10" zoomScaleNormal="100" workbookViewId="0">
      <selection activeCell="C31" sqref="C31"/>
    </sheetView>
  </sheetViews>
  <sheetFormatPr defaultColWidth="9.109375" defaultRowHeight="13.8" x14ac:dyDescent="0.3"/>
  <cols>
    <col min="1" max="1" width="3.6640625" style="364" customWidth="1"/>
    <col min="2" max="3" width="20.6640625" style="364" customWidth="1"/>
    <col min="4" max="4" width="2.6640625" style="373" customWidth="1"/>
    <col min="5" max="5" width="24.109375" style="373" bestFit="1" customWidth="1"/>
    <col min="6" max="6" width="2.6640625" style="373" customWidth="1"/>
    <col min="7" max="7" width="28.109375" style="373" bestFit="1" customWidth="1"/>
    <col min="8" max="8" width="2.6640625" style="373" customWidth="1"/>
    <col min="9" max="9" width="22.33203125" style="373" customWidth="1"/>
    <col min="10" max="10" width="2.6640625" style="373" customWidth="1"/>
    <col min="11" max="11" width="20.6640625" style="373" customWidth="1"/>
    <col min="12" max="12" width="2.6640625" style="373" customWidth="1"/>
    <col min="13" max="13" width="25.6640625" style="373" customWidth="1"/>
    <col min="14" max="14" width="5.6640625" style="373" customWidth="1"/>
    <col min="15" max="15" width="25.6640625" style="373" customWidth="1"/>
    <col min="16" max="16" width="9.109375" style="373"/>
    <col min="17" max="17" width="25.6640625" style="373" customWidth="1"/>
    <col min="18" max="16384" width="9.109375" style="373"/>
  </cols>
  <sheetData>
    <row r="2" spans="1:23" s="364" customFormat="1" x14ac:dyDescent="0.3">
      <c r="B2" s="513" t="s">
        <v>0</v>
      </c>
      <c r="C2" s="513"/>
      <c r="D2" s="513"/>
      <c r="E2" s="513"/>
      <c r="F2" s="513"/>
      <c r="G2" s="513" t="s">
        <v>1</v>
      </c>
      <c r="L2" s="513"/>
      <c r="M2" s="516" t="s">
        <v>109</v>
      </c>
    </row>
    <row r="3" spans="1:23" s="364" customFormat="1" x14ac:dyDescent="0.3">
      <c r="B3" s="364" t="s">
        <v>2</v>
      </c>
      <c r="E3" s="97" t="s">
        <v>36</v>
      </c>
      <c r="G3" s="364" t="s">
        <v>3</v>
      </c>
      <c r="I3" s="951" t="str">
        <f>'Documentation Main Sheet'!I2</f>
        <v>r6055</v>
      </c>
      <c r="L3" s="521"/>
      <c r="M3" s="364" t="s">
        <v>110</v>
      </c>
    </row>
    <row r="4" spans="1:23" s="364" customFormat="1" x14ac:dyDescent="0.3">
      <c r="B4" s="364" t="s">
        <v>6</v>
      </c>
      <c r="E4" s="364" t="str">
        <f>E3&amp;".cibd19"</f>
        <v>030006-OffMed-Run04.cibd19</v>
      </c>
      <c r="G4" s="364" t="s">
        <v>7</v>
      </c>
      <c r="I4" s="364" t="str">
        <f>'Documentation Main Sheet'!I3</f>
        <v>Release package</v>
      </c>
      <c r="L4" s="994">
        <v>1</v>
      </c>
      <c r="M4" s="373" t="s">
        <v>111</v>
      </c>
    </row>
    <row r="5" spans="1:23" s="364" customFormat="1" x14ac:dyDescent="0.3">
      <c r="B5" s="364" t="s">
        <v>9</v>
      </c>
      <c r="E5" s="364" t="s">
        <v>112</v>
      </c>
      <c r="G5" s="364" t="s">
        <v>10</v>
      </c>
      <c r="I5" s="364" t="str">
        <f>'Documentation Main Sheet'!I4</f>
        <v>CBECC-Com 2019.1.2 Release</v>
      </c>
      <c r="L5" s="991">
        <v>1</v>
      </c>
      <c r="M5" s="373" t="s">
        <v>111</v>
      </c>
      <c r="N5" s="68"/>
    </row>
    <row r="6" spans="1:23" s="364" customFormat="1" x14ac:dyDescent="0.3">
      <c r="B6" s="364" t="s">
        <v>17</v>
      </c>
      <c r="E6" s="92" t="s">
        <v>35</v>
      </c>
      <c r="G6" s="364" t="s">
        <v>12</v>
      </c>
      <c r="I6" s="387">
        <f>'Documentation Main Sheet'!I5</f>
        <v>43754</v>
      </c>
      <c r="L6" s="524">
        <v>1</v>
      </c>
      <c r="M6" s="376" t="s">
        <v>113</v>
      </c>
    </row>
    <row r="7" spans="1:23" s="364" customFormat="1" x14ac:dyDescent="0.3">
      <c r="B7" s="364" t="s">
        <v>20</v>
      </c>
      <c r="E7" s="92" t="s">
        <v>28</v>
      </c>
      <c r="G7" s="364" t="s">
        <v>13</v>
      </c>
      <c r="I7" s="364" t="str">
        <f>'Documentation Main Sheet'!I6</f>
        <v>Jireh Peng</v>
      </c>
      <c r="J7" s="83"/>
      <c r="L7" s="525">
        <v>1</v>
      </c>
      <c r="M7" s="373" t="s">
        <v>114</v>
      </c>
    </row>
    <row r="8" spans="1:23" s="364" customFormat="1" x14ac:dyDescent="0.3">
      <c r="B8" s="364" t="s">
        <v>19</v>
      </c>
      <c r="E8" s="92" t="s">
        <v>27</v>
      </c>
      <c r="J8" s="83"/>
      <c r="L8" s="996">
        <v>1</v>
      </c>
      <c r="M8" s="364" t="s">
        <v>115</v>
      </c>
    </row>
    <row r="9" spans="1:23" s="364" customFormat="1" x14ac:dyDescent="0.3">
      <c r="B9" s="92"/>
      <c r="C9" s="92"/>
      <c r="E9" s="90"/>
      <c r="I9" s="83"/>
    </row>
    <row r="10" spans="1:23" s="93" customFormat="1" x14ac:dyDescent="0.3">
      <c r="A10" s="281"/>
      <c r="B10" s="282" t="s">
        <v>134</v>
      </c>
      <c r="C10" s="282"/>
      <c r="D10" s="281"/>
      <c r="E10" s="283"/>
      <c r="F10" s="281"/>
      <c r="G10" s="281"/>
      <c r="H10" s="284"/>
      <c r="I10" s="281"/>
      <c r="J10" s="281"/>
      <c r="K10" s="283"/>
      <c r="L10" s="281"/>
      <c r="M10" s="281"/>
      <c r="N10" s="281"/>
      <c r="O10" s="281"/>
      <c r="P10" s="281"/>
      <c r="Q10" s="281"/>
    </row>
    <row r="11" spans="1:23" s="89" customFormat="1" x14ac:dyDescent="0.3">
      <c r="A11" s="27"/>
      <c r="B11" s="45" t="s">
        <v>830</v>
      </c>
      <c r="C11" s="45"/>
      <c r="D11" s="91"/>
      <c r="F11" s="91"/>
      <c r="G11" s="84"/>
      <c r="H11" s="91"/>
      <c r="I11" s="91"/>
      <c r="J11" s="91"/>
      <c r="K11" s="364"/>
      <c r="L11" s="91"/>
      <c r="M11" s="91"/>
      <c r="N11" s="69"/>
    </row>
    <row r="12" spans="1:23" s="93" customFormat="1" x14ac:dyDescent="0.3">
      <c r="B12" s="91" t="s">
        <v>146</v>
      </c>
      <c r="C12" s="96"/>
      <c r="E12" s="25"/>
      <c r="G12" s="96"/>
      <c r="I12" s="96"/>
      <c r="J12" s="91"/>
      <c r="K12" s="96"/>
      <c r="L12" s="91"/>
      <c r="M12" s="96"/>
      <c r="N12" s="91"/>
      <c r="O12" s="84"/>
      <c r="P12" s="91"/>
      <c r="Q12" s="84"/>
    </row>
    <row r="13" spans="1:23" s="41" customFormat="1" ht="41.4" x14ac:dyDescent="0.3">
      <c r="A13" s="91"/>
      <c r="B13" s="138" t="s">
        <v>148</v>
      </c>
      <c r="C13" s="120" t="s">
        <v>149</v>
      </c>
      <c r="D13" s="138"/>
      <c r="E13" s="148" t="s">
        <v>128</v>
      </c>
      <c r="F13" s="119"/>
      <c r="G13" s="120" t="s">
        <v>150</v>
      </c>
      <c r="H13" s="138"/>
      <c r="I13" s="148" t="s">
        <v>151</v>
      </c>
      <c r="J13" s="122"/>
      <c r="K13" s="120" t="s">
        <v>152</v>
      </c>
      <c r="L13" s="144"/>
      <c r="M13" s="148" t="s">
        <v>153</v>
      </c>
      <c r="N13" s="122"/>
      <c r="O13" s="123" t="s">
        <v>154</v>
      </c>
      <c r="P13" s="144"/>
      <c r="Q13" s="116" t="s">
        <v>155</v>
      </c>
    </row>
    <row r="14" spans="1:23" s="82" customFormat="1" ht="28.2" thickBot="1" x14ac:dyDescent="0.35">
      <c r="A14" s="83"/>
      <c r="B14" s="132"/>
      <c r="C14" s="992" t="s">
        <v>159</v>
      </c>
      <c r="D14" s="139"/>
      <c r="E14" s="993" t="s">
        <v>160</v>
      </c>
      <c r="F14" s="126"/>
      <c r="G14" s="992" t="s">
        <v>161</v>
      </c>
      <c r="H14" s="145"/>
      <c r="I14" s="993" t="s">
        <v>162</v>
      </c>
      <c r="J14" s="125"/>
      <c r="K14" s="992" t="s">
        <v>163</v>
      </c>
      <c r="L14" s="145"/>
      <c r="M14" s="993" t="s">
        <v>164</v>
      </c>
      <c r="N14" s="125"/>
      <c r="O14" s="992" t="s">
        <v>165</v>
      </c>
      <c r="P14" s="132"/>
      <c r="Q14" s="993" t="s">
        <v>166</v>
      </c>
    </row>
    <row r="15" spans="1:23" s="69" customFormat="1" ht="28.2" thickTop="1" x14ac:dyDescent="0.3">
      <c r="A15" s="364"/>
      <c r="B15" s="655" t="s">
        <v>147</v>
      </c>
      <c r="C15" s="256" t="s">
        <v>275</v>
      </c>
      <c r="D15" s="656" t="s">
        <v>173</v>
      </c>
      <c r="E15" s="657" t="s">
        <v>173</v>
      </c>
      <c r="F15" s="466" t="s">
        <v>300</v>
      </c>
      <c r="G15" s="256" t="s">
        <v>248</v>
      </c>
      <c r="H15" s="355" t="s">
        <v>300</v>
      </c>
      <c r="I15" s="255">
        <v>0.189</v>
      </c>
      <c r="J15" s="658" t="s">
        <v>173</v>
      </c>
      <c r="K15" s="658" t="s">
        <v>173</v>
      </c>
      <c r="L15" s="656" t="s">
        <v>173</v>
      </c>
      <c r="M15" s="659" t="s">
        <v>173</v>
      </c>
      <c r="N15" s="658"/>
      <c r="O15" s="660"/>
      <c r="P15" s="656"/>
      <c r="Q15" s="657"/>
      <c r="T15" s="809" t="s">
        <v>831</v>
      </c>
      <c r="U15" s="809"/>
      <c r="V15" s="809"/>
      <c r="W15" s="809"/>
    </row>
    <row r="16" spans="1:23" x14ac:dyDescent="0.3">
      <c r="E16" s="90"/>
    </row>
    <row r="17" spans="1:23" x14ac:dyDescent="0.3">
      <c r="E17" s="90"/>
    </row>
    <row r="18" spans="1:23" s="69" customFormat="1" x14ac:dyDescent="0.3">
      <c r="A18" s="27"/>
      <c r="B18" s="377" t="s">
        <v>204</v>
      </c>
      <c r="C18" s="39"/>
      <c r="D18" s="41"/>
      <c r="E18" s="39"/>
      <c r="F18" s="41"/>
      <c r="G18" s="39"/>
      <c r="H18" s="41"/>
      <c r="I18" s="39"/>
      <c r="J18" s="41"/>
      <c r="K18" s="39"/>
      <c r="L18" s="41"/>
      <c r="M18" s="39"/>
      <c r="N18" s="41"/>
      <c r="O18" s="39"/>
      <c r="P18" s="364"/>
      <c r="Q18" s="39"/>
    </row>
    <row r="19" spans="1:23" s="69" customFormat="1" x14ac:dyDescent="0.3">
      <c r="A19" s="364"/>
      <c r="B19" s="91" t="s">
        <v>146</v>
      </c>
      <c r="C19" s="92"/>
      <c r="D19" s="83"/>
      <c r="E19" s="366"/>
      <c r="F19" s="83"/>
      <c r="G19" s="30"/>
      <c r="H19" s="364"/>
      <c r="I19" s="92"/>
      <c r="J19" s="364"/>
      <c r="K19" s="92"/>
      <c r="L19" s="364"/>
      <c r="M19" s="92"/>
      <c r="N19" s="364"/>
      <c r="O19" s="92"/>
      <c r="P19" s="364"/>
      <c r="Q19" s="92"/>
    </row>
    <row r="20" spans="1:23" s="41" customFormat="1" ht="27.6" x14ac:dyDescent="0.3">
      <c r="A20" s="91"/>
      <c r="B20" s="138" t="s">
        <v>148</v>
      </c>
      <c r="C20" s="120" t="s">
        <v>149</v>
      </c>
      <c r="D20" s="138"/>
      <c r="E20" s="117" t="s">
        <v>214</v>
      </c>
      <c r="F20" s="119"/>
      <c r="G20" s="173" t="s">
        <v>215</v>
      </c>
      <c r="H20" s="138"/>
      <c r="I20" s="117" t="s">
        <v>216</v>
      </c>
      <c r="J20" s="119"/>
      <c r="K20" s="173" t="s">
        <v>217</v>
      </c>
      <c r="L20" s="138"/>
      <c r="M20" s="117" t="s">
        <v>218</v>
      </c>
      <c r="N20" s="119"/>
      <c r="O20" s="117" t="s">
        <v>219</v>
      </c>
      <c r="P20" s="91"/>
      <c r="Q20" s="85"/>
    </row>
    <row r="21" spans="1:23" s="82" customFormat="1" ht="14.4" thickBot="1" x14ac:dyDescent="0.35">
      <c r="A21" s="83"/>
      <c r="B21" s="132"/>
      <c r="C21" s="992" t="s">
        <v>159</v>
      </c>
      <c r="D21" s="139"/>
      <c r="E21" s="995" t="s">
        <v>226</v>
      </c>
      <c r="F21" s="126"/>
      <c r="G21" s="995" t="s">
        <v>226</v>
      </c>
      <c r="H21" s="145"/>
      <c r="I21" s="995" t="s">
        <v>226</v>
      </c>
      <c r="J21" s="125"/>
      <c r="K21" s="995" t="s">
        <v>226</v>
      </c>
      <c r="L21" s="145"/>
      <c r="M21" s="995" t="s">
        <v>226</v>
      </c>
      <c r="N21" s="125"/>
      <c r="O21" s="995" t="s">
        <v>226</v>
      </c>
      <c r="P21" s="30"/>
      <c r="Q21" s="30"/>
    </row>
    <row r="22" spans="1:23" s="69" customFormat="1" ht="28.2" thickTop="1" x14ac:dyDescent="0.3">
      <c r="A22" s="65"/>
      <c r="B22" s="655" t="s">
        <v>147</v>
      </c>
      <c r="C22" s="256" t="s">
        <v>275</v>
      </c>
      <c r="D22" s="355" t="s">
        <v>300</v>
      </c>
      <c r="E22" s="472" t="s">
        <v>222</v>
      </c>
      <c r="F22" s="466" t="s">
        <v>300</v>
      </c>
      <c r="G22" s="461" t="s">
        <v>223</v>
      </c>
      <c r="H22" s="355" t="s">
        <v>300</v>
      </c>
      <c r="I22" s="472" t="s">
        <v>832</v>
      </c>
      <c r="J22" s="355" t="s">
        <v>300</v>
      </c>
      <c r="K22" s="472" t="s">
        <v>259</v>
      </c>
      <c r="L22" s="466" t="s">
        <v>300</v>
      </c>
      <c r="M22" s="461" t="s">
        <v>225</v>
      </c>
      <c r="N22" s="656" t="s">
        <v>173</v>
      </c>
      <c r="O22" s="659" t="s">
        <v>173</v>
      </c>
      <c r="P22" s="364"/>
      <c r="Q22" s="72"/>
      <c r="T22" s="809" t="s">
        <v>833</v>
      </c>
      <c r="U22" s="809"/>
      <c r="V22" s="809"/>
      <c r="W22" s="809"/>
    </row>
    <row r="23" spans="1:23" x14ac:dyDescent="0.3">
      <c r="E23" s="90"/>
    </row>
    <row r="24" spans="1:23" x14ac:dyDescent="0.3">
      <c r="E24" s="90"/>
    </row>
    <row r="26" spans="1:23" x14ac:dyDescent="0.3">
      <c r="A26" s="27"/>
      <c r="B26" s="45" t="s">
        <v>834</v>
      </c>
      <c r="C26" s="45"/>
      <c r="E26" s="90"/>
    </row>
    <row r="27" spans="1:23" ht="173.4" customHeight="1" x14ac:dyDescent="0.3">
      <c r="B27" s="983" t="s">
        <v>835</v>
      </c>
      <c r="C27" s="984"/>
      <c r="D27" s="661" t="s">
        <v>300</v>
      </c>
      <c r="E27" s="844" t="s">
        <v>836</v>
      </c>
      <c r="T27" s="809" t="s">
        <v>837</v>
      </c>
      <c r="U27" s="809"/>
      <c r="V27" s="809"/>
      <c r="W27" s="80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Y27"/>
  <sheetViews>
    <sheetView zoomScaleNormal="100" workbookViewId="0">
      <selection activeCell="K8" sqref="K8"/>
    </sheetView>
  </sheetViews>
  <sheetFormatPr defaultColWidth="9.109375" defaultRowHeight="13.8" outlineLevelCol="1" x14ac:dyDescent="0.3"/>
  <cols>
    <col min="1" max="1" width="3.6640625" style="18" customWidth="1"/>
    <col min="2" max="2" width="20.6640625" style="18" customWidth="1"/>
    <col min="3" max="3" width="2.6640625" style="113" customWidth="1"/>
    <col min="4" max="4" width="24.5546875" style="19" bestFit="1" customWidth="1"/>
    <col min="5" max="5" width="2.6640625" style="113" customWidth="1"/>
    <col min="6" max="6" width="28.109375" style="19" bestFit="1" customWidth="1"/>
    <col min="7" max="7" width="2.6640625" style="113" customWidth="1"/>
    <col min="8" max="8" width="20.6640625" style="19" customWidth="1"/>
    <col min="9" max="9" width="2.6640625" style="113" customWidth="1"/>
    <col min="10" max="10" width="20.6640625" style="19" customWidth="1"/>
    <col min="11" max="11" width="2.6640625" style="113" customWidth="1"/>
    <col min="12" max="12" width="13.5546875" style="19" bestFit="1" customWidth="1"/>
    <col min="13" max="13" width="5.6640625" style="19" customWidth="1"/>
    <col min="14" max="14" width="9.109375" style="19"/>
    <col min="15" max="25" width="9.109375" style="19" outlineLevel="1"/>
    <col min="26" max="16384" width="9.109375" style="19"/>
  </cols>
  <sheetData>
    <row r="1" spans="1:24" s="373" customFormat="1" x14ac:dyDescent="0.3">
      <c r="A1" s="364"/>
      <c r="B1" s="364"/>
    </row>
    <row r="2" spans="1:24" s="18" customFormat="1" x14ac:dyDescent="0.3">
      <c r="A2" s="364"/>
      <c r="B2" s="513" t="s">
        <v>0</v>
      </c>
      <c r="C2" s="513"/>
      <c r="D2" s="513"/>
      <c r="E2" s="513"/>
      <c r="F2" s="513" t="s">
        <v>1</v>
      </c>
      <c r="G2" s="364"/>
      <c r="H2" s="364"/>
      <c r="I2" s="364"/>
      <c r="J2" s="364"/>
      <c r="K2" s="513"/>
      <c r="L2" s="516" t="s">
        <v>109</v>
      </c>
      <c r="M2" s="364"/>
      <c r="N2" s="364"/>
      <c r="O2" s="364"/>
      <c r="P2" s="364"/>
      <c r="Q2" s="364"/>
      <c r="R2" s="364"/>
      <c r="S2" s="364"/>
      <c r="T2" s="364"/>
      <c r="U2" s="364"/>
      <c r="V2" s="364"/>
      <c r="W2" s="364"/>
      <c r="X2" s="364"/>
    </row>
    <row r="3" spans="1:24" s="18" customFormat="1" x14ac:dyDescent="0.3">
      <c r="A3" s="364"/>
      <c r="B3" s="364" t="s">
        <v>2</v>
      </c>
      <c r="C3" s="364"/>
      <c r="D3" s="98" t="s">
        <v>838</v>
      </c>
      <c r="E3" s="364"/>
      <c r="F3" s="364" t="s">
        <v>3</v>
      </c>
      <c r="G3" s="364"/>
      <c r="H3" s="951" t="str">
        <f>'Documentation Main Sheet'!I2</f>
        <v>r6055</v>
      </c>
      <c r="I3" s="364"/>
      <c r="J3" s="364"/>
      <c r="K3" s="521"/>
      <c r="L3" s="364" t="s">
        <v>110</v>
      </c>
      <c r="M3" s="364"/>
      <c r="N3" s="364"/>
      <c r="O3" s="364"/>
      <c r="P3" s="364"/>
      <c r="Q3" s="364"/>
      <c r="R3" s="364"/>
      <c r="S3" s="364"/>
      <c r="T3" s="364"/>
      <c r="U3" s="364"/>
      <c r="V3" s="364"/>
      <c r="W3" s="364"/>
      <c r="X3" s="364"/>
    </row>
    <row r="4" spans="1:24" s="18" customFormat="1" x14ac:dyDescent="0.3">
      <c r="A4" s="364"/>
      <c r="B4" s="364" t="s">
        <v>6</v>
      </c>
      <c r="C4" s="364"/>
      <c r="D4" s="364" t="str">
        <f>D3&amp;".cibd19"</f>
        <v>040006-OffLrg-Run05 .cibd19</v>
      </c>
      <c r="E4" s="364"/>
      <c r="F4" s="364" t="s">
        <v>7</v>
      </c>
      <c r="G4" s="364"/>
      <c r="H4" s="364" t="str">
        <f>'Documentation Main Sheet'!I3</f>
        <v>Release package</v>
      </c>
      <c r="I4" s="364"/>
      <c r="J4" s="364"/>
      <c r="K4" s="994">
        <v>1</v>
      </c>
      <c r="L4" s="373" t="s">
        <v>111</v>
      </c>
      <c r="M4" s="364"/>
      <c r="N4" s="364"/>
      <c r="O4" s="364"/>
      <c r="P4" s="364"/>
      <c r="Q4" s="364"/>
      <c r="R4" s="364"/>
      <c r="S4" s="364"/>
      <c r="T4" s="364"/>
      <c r="U4" s="364"/>
      <c r="V4" s="364"/>
      <c r="W4" s="364"/>
      <c r="X4" s="364"/>
    </row>
    <row r="5" spans="1:24" s="18" customFormat="1" x14ac:dyDescent="0.3">
      <c r="A5" s="364"/>
      <c r="B5" s="364" t="s">
        <v>9</v>
      </c>
      <c r="C5" s="364"/>
      <c r="D5" s="364" t="s">
        <v>112</v>
      </c>
      <c r="E5" s="364"/>
      <c r="F5" s="364" t="s">
        <v>10</v>
      </c>
      <c r="G5" s="364"/>
      <c r="H5" s="364" t="str">
        <f>'Documentation Main Sheet'!I4</f>
        <v>CBECC-Com 2019.1.2 Release</v>
      </c>
      <c r="I5" s="364"/>
      <c r="J5" s="364"/>
      <c r="K5" s="991">
        <v>1</v>
      </c>
      <c r="L5" s="373" t="s">
        <v>111</v>
      </c>
      <c r="M5" s="68"/>
      <c r="N5" s="364"/>
      <c r="O5" s="364"/>
      <c r="P5" s="364"/>
      <c r="Q5" s="364"/>
      <c r="R5" s="364"/>
      <c r="S5" s="364"/>
      <c r="T5" s="364"/>
      <c r="U5" s="364"/>
      <c r="V5" s="364"/>
      <c r="W5" s="364"/>
      <c r="X5" s="364"/>
    </row>
    <row r="6" spans="1:24" s="18" customFormat="1" x14ac:dyDescent="0.3">
      <c r="A6" s="364"/>
      <c r="B6" s="364" t="s">
        <v>17</v>
      </c>
      <c r="C6" s="364"/>
      <c r="D6" s="92" t="s">
        <v>38</v>
      </c>
      <c r="E6" s="364"/>
      <c r="F6" s="364" t="s">
        <v>12</v>
      </c>
      <c r="G6" s="364"/>
      <c r="H6" s="387">
        <f>'Documentation Main Sheet'!I5</f>
        <v>43754</v>
      </c>
      <c r="I6" s="364"/>
      <c r="J6" s="364"/>
      <c r="K6" s="524">
        <v>1</v>
      </c>
      <c r="L6" s="376" t="s">
        <v>113</v>
      </c>
      <c r="M6" s="364"/>
      <c r="N6" s="364"/>
      <c r="O6" s="364"/>
      <c r="P6" s="364"/>
      <c r="Q6" s="364"/>
      <c r="R6" s="364"/>
      <c r="S6" s="364"/>
      <c r="T6" s="364"/>
      <c r="U6" s="364"/>
      <c r="V6" s="364"/>
      <c r="W6" s="364"/>
      <c r="X6" s="364"/>
    </row>
    <row r="7" spans="1:24" s="18" customFormat="1" x14ac:dyDescent="0.3">
      <c r="A7" s="364"/>
      <c r="B7" s="364" t="s">
        <v>20</v>
      </c>
      <c r="C7" s="364"/>
      <c r="D7" s="92" t="s">
        <v>40</v>
      </c>
      <c r="E7" s="364"/>
      <c r="F7" s="364" t="s">
        <v>13</v>
      </c>
      <c r="G7" s="364"/>
      <c r="H7" s="364" t="str">
        <f>'Documentation Main Sheet'!I6</f>
        <v>Jireh Peng</v>
      </c>
      <c r="I7" s="83"/>
      <c r="J7" s="364"/>
      <c r="K7" s="525">
        <v>1</v>
      </c>
      <c r="L7" s="373" t="s">
        <v>114</v>
      </c>
      <c r="M7" s="364"/>
      <c r="N7" s="364"/>
      <c r="O7" s="364"/>
      <c r="P7" s="364"/>
      <c r="Q7" s="364"/>
      <c r="R7" s="364"/>
      <c r="S7" s="364"/>
      <c r="T7" s="364"/>
      <c r="U7" s="364"/>
      <c r="V7" s="364"/>
      <c r="W7" s="364"/>
      <c r="X7" s="364"/>
    </row>
    <row r="8" spans="1:24" s="18" customFormat="1" x14ac:dyDescent="0.3">
      <c r="A8" s="364"/>
      <c r="B8" s="364" t="s">
        <v>19</v>
      </c>
      <c r="C8" s="364"/>
      <c r="D8" s="92" t="s">
        <v>27</v>
      </c>
      <c r="E8" s="364"/>
      <c r="F8" s="364"/>
      <c r="G8" s="364"/>
      <c r="H8" s="364"/>
      <c r="I8" s="83"/>
      <c r="J8" s="364"/>
      <c r="K8" s="996">
        <v>1</v>
      </c>
      <c r="L8" s="364" t="s">
        <v>115</v>
      </c>
      <c r="M8" s="364"/>
      <c r="N8" s="364"/>
      <c r="O8" s="364"/>
      <c r="P8" s="364"/>
      <c r="Q8" s="364"/>
      <c r="R8" s="364"/>
      <c r="S8" s="364"/>
      <c r="T8" s="364"/>
      <c r="U8" s="364"/>
      <c r="V8" s="364"/>
      <c r="W8" s="364"/>
      <c r="X8" s="364"/>
    </row>
    <row r="9" spans="1:24" s="18" customFormat="1" x14ac:dyDescent="0.3">
      <c r="A9" s="364"/>
      <c r="B9" s="92"/>
      <c r="C9" s="364"/>
      <c r="D9" s="90"/>
      <c r="E9" s="364"/>
      <c r="F9" s="364"/>
      <c r="G9" s="364"/>
      <c r="H9" s="83"/>
      <c r="I9" s="364"/>
      <c r="J9" s="364"/>
      <c r="K9" s="364"/>
      <c r="L9" s="364"/>
      <c r="M9" s="364"/>
      <c r="N9" s="364"/>
      <c r="O9" s="364"/>
      <c r="P9" s="364"/>
      <c r="Q9" s="364"/>
      <c r="R9" s="364"/>
      <c r="S9" s="364"/>
      <c r="T9" s="364"/>
      <c r="U9" s="364"/>
      <c r="V9" s="364"/>
      <c r="W9" s="364"/>
      <c r="X9" s="364"/>
    </row>
    <row r="10" spans="1:24" s="13" customFormat="1" x14ac:dyDescent="0.3">
      <c r="A10" s="281"/>
      <c r="B10" s="282" t="s">
        <v>134</v>
      </c>
      <c r="C10" s="281"/>
      <c r="D10" s="283"/>
      <c r="E10" s="281"/>
      <c r="F10" s="281"/>
      <c r="G10" s="284"/>
      <c r="H10" s="281"/>
      <c r="I10" s="281"/>
      <c r="J10" s="283"/>
      <c r="K10" s="281"/>
      <c r="L10" s="281"/>
      <c r="M10" s="93"/>
      <c r="N10" s="93"/>
      <c r="O10" s="93"/>
      <c r="P10" s="93"/>
      <c r="Q10" s="93"/>
      <c r="R10" s="93"/>
      <c r="S10" s="93"/>
      <c r="T10" s="93"/>
      <c r="U10" s="93"/>
      <c r="V10" s="93"/>
      <c r="W10" s="93"/>
      <c r="X10" s="93"/>
    </row>
    <row r="11" spans="1:24" s="3" customFormat="1" x14ac:dyDescent="0.3">
      <c r="A11" s="27"/>
      <c r="B11" s="45" t="s">
        <v>830</v>
      </c>
      <c r="C11" s="91"/>
      <c r="D11" s="89"/>
      <c r="E11" s="91"/>
      <c r="F11" s="84"/>
      <c r="G11" s="91"/>
      <c r="H11" s="91"/>
      <c r="I11" s="91"/>
      <c r="J11" s="364"/>
      <c r="K11" s="91"/>
      <c r="L11" s="91"/>
      <c r="M11" s="69"/>
      <c r="N11" s="89"/>
      <c r="O11" s="89"/>
      <c r="P11" s="89"/>
      <c r="Q11" s="89"/>
      <c r="R11" s="89"/>
      <c r="S11" s="89"/>
      <c r="T11" s="89"/>
      <c r="U11" s="89"/>
      <c r="V11" s="89"/>
      <c r="W11" s="89"/>
      <c r="X11" s="89"/>
    </row>
    <row r="12" spans="1:24" s="3" customFormat="1" ht="14.4" x14ac:dyDescent="0.3">
      <c r="A12" s="89"/>
      <c r="B12" s="90" t="s">
        <v>184</v>
      </c>
      <c r="C12" s="83"/>
      <c r="D12" s="89"/>
      <c r="E12" s="83"/>
      <c r="F12" s="89"/>
      <c r="G12" s="89"/>
      <c r="H12" s="89"/>
      <c r="I12" s="89"/>
      <c r="J12" s="89"/>
      <c r="K12" s="83"/>
      <c r="L12" s="89"/>
      <c r="M12" s="93"/>
      <c r="N12" s="89"/>
      <c r="O12" s="89"/>
      <c r="P12" s="89"/>
      <c r="Q12" s="89"/>
      <c r="R12" s="89"/>
      <c r="S12" s="89"/>
      <c r="T12" s="369" t="s">
        <v>839</v>
      </c>
      <c r="U12" s="982"/>
      <c r="V12" s="982"/>
      <c r="W12" s="982"/>
      <c r="X12" s="982"/>
    </row>
    <row r="13" spans="1:24" s="4" customFormat="1" ht="27.6" x14ac:dyDescent="0.3">
      <c r="A13" s="90"/>
      <c r="B13" s="219" t="s">
        <v>148</v>
      </c>
      <c r="C13" s="195"/>
      <c r="D13" s="116" t="s">
        <v>840</v>
      </c>
      <c r="E13" s="195"/>
      <c r="F13" s="116" t="s">
        <v>841</v>
      </c>
      <c r="G13" s="195"/>
      <c r="H13" s="116" t="s">
        <v>842</v>
      </c>
      <c r="I13" s="195"/>
      <c r="J13" s="116" t="s">
        <v>843</v>
      </c>
      <c r="K13" s="195"/>
      <c r="L13" s="116" t="s">
        <v>844</v>
      </c>
      <c r="M13" s="40"/>
      <c r="N13" s="90"/>
      <c r="O13" s="90"/>
      <c r="P13" s="90"/>
      <c r="Q13" s="90"/>
      <c r="R13" s="90"/>
      <c r="S13" s="90"/>
      <c r="T13" s="982" t="s">
        <v>845</v>
      </c>
      <c r="U13" s="982" t="s">
        <v>846</v>
      </c>
      <c r="V13" s="982" t="s">
        <v>847</v>
      </c>
      <c r="W13" s="982" t="s">
        <v>848</v>
      </c>
      <c r="X13" s="982" t="s">
        <v>849</v>
      </c>
    </row>
    <row r="14" spans="1:24" s="18" customFormat="1" ht="15" thickBot="1" x14ac:dyDescent="0.35">
      <c r="A14" s="364"/>
      <c r="B14" s="239"/>
      <c r="C14" s="240"/>
      <c r="D14" s="998" t="s">
        <v>850</v>
      </c>
      <c r="E14" s="240"/>
      <c r="F14" s="998" t="s">
        <v>851</v>
      </c>
      <c r="G14" s="240"/>
      <c r="H14" s="998" t="s">
        <v>852</v>
      </c>
      <c r="I14" s="240"/>
      <c r="J14" s="998" t="s">
        <v>853</v>
      </c>
      <c r="K14" s="240"/>
      <c r="L14" s="998" t="s">
        <v>854</v>
      </c>
      <c r="M14" s="69"/>
      <c r="N14" s="364"/>
      <c r="O14" s="364"/>
      <c r="P14" s="364"/>
      <c r="Q14" s="364"/>
      <c r="R14" s="364"/>
      <c r="S14" s="364"/>
      <c r="T14" s="982" t="s">
        <v>855</v>
      </c>
      <c r="U14" s="982" t="s">
        <v>855</v>
      </c>
      <c r="V14" s="982" t="s">
        <v>855</v>
      </c>
      <c r="W14" s="982" t="s">
        <v>855</v>
      </c>
      <c r="X14" s="982" t="s">
        <v>855</v>
      </c>
    </row>
    <row r="15" spans="1:24" ht="15" thickTop="1" x14ac:dyDescent="0.3">
      <c r="A15" s="373"/>
      <c r="B15" s="236" t="s">
        <v>187</v>
      </c>
      <c r="C15" s="976" t="str">
        <f>IF(D15=ROUND(T15,2),"x","")</f>
        <v>x</v>
      </c>
      <c r="D15" s="238">
        <v>0.52</v>
      </c>
      <c r="E15" s="976" t="str">
        <f>IF(F15=ROUND(U15,2),"x","")</f>
        <v>x</v>
      </c>
      <c r="F15" s="238">
        <v>0.52</v>
      </c>
      <c r="G15" s="976" t="str">
        <f>IF(H15=ROUND(V15,2),"x","")</f>
        <v>x</v>
      </c>
      <c r="H15" s="238">
        <v>0.52</v>
      </c>
      <c r="I15" s="976" t="str">
        <f>IF(J15=ROUND(W15,2),"x","")</f>
        <v>x</v>
      </c>
      <c r="J15" s="238">
        <v>0.52</v>
      </c>
      <c r="K15" s="976" t="str">
        <f>IF(L15=ROUND(X15,2),"x","")</f>
        <v>x</v>
      </c>
      <c r="L15" s="238">
        <v>0.52</v>
      </c>
      <c r="M15" s="365"/>
      <c r="N15" s="364"/>
      <c r="O15" s="809"/>
      <c r="P15" s="809"/>
      <c r="Q15" s="809"/>
      <c r="R15" s="809"/>
      <c r="S15" s="808" t="s">
        <v>856</v>
      </c>
      <c r="T15" s="949">
        <v>0.5202</v>
      </c>
      <c r="U15" s="949">
        <v>0.5202</v>
      </c>
      <c r="V15" s="949">
        <v>0.52010000000000001</v>
      </c>
      <c r="W15" s="949">
        <v>0.5202</v>
      </c>
      <c r="X15" s="949">
        <v>0.52010000000000001</v>
      </c>
    </row>
    <row r="16" spans="1:24" s="364" customFormat="1" x14ac:dyDescent="0.3">
      <c r="B16" s="90"/>
      <c r="D16" s="83"/>
      <c r="F16" s="83"/>
      <c r="G16" s="89"/>
      <c r="H16" s="82"/>
      <c r="I16" s="89"/>
      <c r="J16" s="82"/>
      <c r="L16" s="82"/>
      <c r="M16" s="69"/>
    </row>
    <row r="17" spans="1:24" s="373" customFormat="1" x14ac:dyDescent="0.3">
      <c r="A17" s="364"/>
      <c r="B17" s="395"/>
      <c r="C17" s="365"/>
      <c r="D17" s="365"/>
      <c r="E17" s="365"/>
      <c r="F17" s="365"/>
      <c r="G17" s="365"/>
      <c r="H17" s="365"/>
      <c r="I17" s="365"/>
      <c r="J17" s="365"/>
      <c r="K17" s="365"/>
      <c r="L17" s="11"/>
      <c r="M17" s="365"/>
      <c r="N17" s="364"/>
    </row>
    <row r="18" spans="1:24" s="18" customFormat="1" x14ac:dyDescent="0.3">
      <c r="A18" s="364"/>
      <c r="B18" s="92"/>
      <c r="C18" s="364"/>
      <c r="D18" s="90"/>
      <c r="E18" s="364"/>
      <c r="F18" s="83"/>
      <c r="G18" s="89"/>
      <c r="H18" s="82"/>
      <c r="I18" s="89"/>
      <c r="J18" s="82"/>
      <c r="K18" s="364"/>
      <c r="L18" s="82"/>
      <c r="M18" s="69"/>
      <c r="N18" s="364"/>
      <c r="O18" s="364"/>
      <c r="P18" s="364"/>
      <c r="Q18" s="364"/>
      <c r="R18" s="364"/>
      <c r="S18" s="364"/>
      <c r="T18" s="364"/>
      <c r="U18" s="364"/>
      <c r="V18" s="364"/>
      <c r="W18" s="364"/>
      <c r="X18" s="364"/>
    </row>
    <row r="19" spans="1:24" s="13" customFormat="1" x14ac:dyDescent="0.3">
      <c r="A19" s="285"/>
      <c r="B19" s="286" t="s">
        <v>243</v>
      </c>
      <c r="C19" s="285"/>
      <c r="D19" s="287"/>
      <c r="E19" s="285"/>
      <c r="F19" s="285"/>
      <c r="G19" s="287"/>
      <c r="H19" s="285"/>
      <c r="I19" s="285"/>
      <c r="J19" s="288"/>
      <c r="K19" s="285"/>
      <c r="L19" s="285"/>
      <c r="M19" s="93"/>
      <c r="N19" s="364"/>
      <c r="O19" s="93"/>
      <c r="P19" s="93"/>
      <c r="Q19" s="93"/>
      <c r="R19" s="93"/>
      <c r="S19" s="93"/>
      <c r="T19" s="93"/>
      <c r="U19" s="93"/>
      <c r="V19" s="93"/>
      <c r="W19" s="93"/>
      <c r="X19" s="93"/>
    </row>
    <row r="20" spans="1:24" s="18" customFormat="1" x14ac:dyDescent="0.3">
      <c r="A20" s="78"/>
      <c r="B20" s="23" t="s">
        <v>830</v>
      </c>
      <c r="C20" s="91"/>
      <c r="D20" s="89"/>
      <c r="E20" s="91"/>
      <c r="F20" s="84"/>
      <c r="G20" s="91"/>
      <c r="H20" s="91"/>
      <c r="I20" s="91"/>
      <c r="J20" s="364"/>
      <c r="K20" s="91"/>
      <c r="L20" s="6"/>
      <c r="M20" s="37"/>
      <c r="N20" s="364"/>
      <c r="O20" s="364"/>
      <c r="P20" s="364"/>
      <c r="Q20" s="364"/>
      <c r="R20" s="364"/>
      <c r="S20" s="364"/>
      <c r="T20" s="364"/>
      <c r="U20" s="364"/>
      <c r="V20" s="364"/>
      <c r="W20" s="364"/>
      <c r="X20" s="364"/>
    </row>
    <row r="21" spans="1:24" s="18" customFormat="1" ht="14.4" x14ac:dyDescent="0.3">
      <c r="A21" s="364"/>
      <c r="B21" s="90" t="s">
        <v>184</v>
      </c>
      <c r="C21" s="364"/>
      <c r="D21" s="364"/>
      <c r="E21" s="364"/>
      <c r="F21" s="364"/>
      <c r="G21" s="364"/>
      <c r="H21" s="5"/>
      <c r="I21" s="364"/>
      <c r="J21" s="6"/>
      <c r="K21" s="364"/>
      <c r="L21" s="6"/>
      <c r="M21" s="6"/>
      <c r="N21" s="364"/>
      <c r="O21" s="89"/>
      <c r="P21" s="89"/>
      <c r="Q21" s="89"/>
      <c r="R21" s="89"/>
      <c r="S21" s="89"/>
      <c r="T21" s="369" t="s">
        <v>839</v>
      </c>
      <c r="U21" s="982"/>
      <c r="V21" s="982"/>
      <c r="W21" s="982"/>
      <c r="X21" s="982"/>
    </row>
    <row r="22" spans="1:24" s="90" customFormat="1" ht="27.6" x14ac:dyDescent="0.3">
      <c r="B22" s="219" t="s">
        <v>148</v>
      </c>
      <c r="C22" s="195"/>
      <c r="D22" s="116" t="s">
        <v>840</v>
      </c>
      <c r="E22" s="195"/>
      <c r="F22" s="116" t="s">
        <v>841</v>
      </c>
      <c r="G22" s="195"/>
      <c r="H22" s="116" t="s">
        <v>842</v>
      </c>
      <c r="I22" s="195"/>
      <c r="J22" s="116" t="s">
        <v>843</v>
      </c>
      <c r="K22" s="195"/>
      <c r="L22" s="116" t="s">
        <v>844</v>
      </c>
      <c r="M22" s="40"/>
      <c r="N22" s="364"/>
      <c r="T22" s="982" t="s">
        <v>845</v>
      </c>
      <c r="U22" s="982" t="s">
        <v>846</v>
      </c>
      <c r="V22" s="982" t="s">
        <v>847</v>
      </c>
      <c r="W22" s="982" t="s">
        <v>848</v>
      </c>
      <c r="X22" s="982" t="s">
        <v>849</v>
      </c>
    </row>
    <row r="23" spans="1:24" s="109" customFormat="1" ht="15" thickBot="1" x14ac:dyDescent="0.35">
      <c r="A23" s="364"/>
      <c r="B23" s="239"/>
      <c r="C23" s="240"/>
      <c r="D23" s="998" t="s">
        <v>850</v>
      </c>
      <c r="E23" s="240"/>
      <c r="F23" s="998" t="s">
        <v>851</v>
      </c>
      <c r="G23" s="240"/>
      <c r="H23" s="998" t="s">
        <v>852</v>
      </c>
      <c r="I23" s="240"/>
      <c r="J23" s="998" t="s">
        <v>853</v>
      </c>
      <c r="K23" s="240"/>
      <c r="L23" s="998" t="s">
        <v>854</v>
      </c>
      <c r="M23" s="69"/>
      <c r="N23" s="364"/>
      <c r="O23" s="364"/>
      <c r="P23" s="364"/>
      <c r="Q23" s="364"/>
      <c r="R23" s="364"/>
      <c r="S23" s="364"/>
      <c r="T23" s="982" t="s">
        <v>855</v>
      </c>
      <c r="U23" s="982" t="s">
        <v>855</v>
      </c>
      <c r="V23" s="982" t="s">
        <v>855</v>
      </c>
      <c r="W23" s="982" t="s">
        <v>855</v>
      </c>
      <c r="X23" s="982" t="s">
        <v>855</v>
      </c>
    </row>
    <row r="24" spans="1:24" s="113" customFormat="1" ht="15" thickTop="1" x14ac:dyDescent="0.3">
      <c r="A24" s="373"/>
      <c r="B24" s="236" t="s">
        <v>187</v>
      </c>
      <c r="C24" s="976" t="str">
        <f>IF(D24=ROUND(T24,2),"x","")</f>
        <v>x</v>
      </c>
      <c r="D24" s="238">
        <v>0.4</v>
      </c>
      <c r="E24" s="976" t="str">
        <f>IF(F24=ROUND(U24,2),"x","")</f>
        <v>x</v>
      </c>
      <c r="F24" s="238">
        <v>0.4</v>
      </c>
      <c r="G24" s="976" t="str">
        <f>IF(H24=ROUND(V24,2),"x","")</f>
        <v>x</v>
      </c>
      <c r="H24" s="238">
        <v>0.4</v>
      </c>
      <c r="I24" s="976" t="str">
        <f>IF(J24=ROUND(W24,2),"x","")</f>
        <v>x</v>
      </c>
      <c r="J24" s="238">
        <v>0.4</v>
      </c>
      <c r="K24" s="976" t="str">
        <f>IF(L24=ROUND(X24,2),"x","")</f>
        <v>x</v>
      </c>
      <c r="L24" s="238">
        <v>0.4</v>
      </c>
      <c r="M24" s="365"/>
      <c r="N24" s="364"/>
      <c r="O24" s="812"/>
      <c r="P24" s="812"/>
      <c r="Q24" s="812"/>
      <c r="R24" s="812"/>
      <c r="S24" s="813" t="s">
        <v>856</v>
      </c>
      <c r="T24" s="949">
        <v>0.4</v>
      </c>
      <c r="U24" s="949">
        <v>0.4</v>
      </c>
      <c r="V24" s="949">
        <v>0.4</v>
      </c>
      <c r="W24" s="949">
        <v>0.4</v>
      </c>
      <c r="X24" s="949">
        <v>0.4</v>
      </c>
    </row>
    <row r="25" spans="1:24" x14ac:dyDescent="0.3">
      <c r="A25" s="364"/>
      <c r="B25" s="364"/>
      <c r="C25" s="373"/>
      <c r="D25" s="373"/>
      <c r="E25" s="373"/>
      <c r="F25" s="373"/>
      <c r="G25" s="373"/>
      <c r="H25" s="373"/>
      <c r="I25" s="373"/>
      <c r="J25" s="373"/>
      <c r="K25" s="373"/>
      <c r="L25" s="373"/>
      <c r="M25" s="373"/>
      <c r="N25" s="364"/>
      <c r="O25" s="373"/>
      <c r="P25" s="373"/>
      <c r="Q25" s="373"/>
      <c r="R25" s="373"/>
      <c r="S25" s="373"/>
      <c r="T25" s="373"/>
      <c r="U25" s="373"/>
      <c r="V25" s="373"/>
      <c r="W25" s="373"/>
      <c r="X25" s="373"/>
    </row>
    <row r="26" spans="1:24" x14ac:dyDescent="0.3">
      <c r="A26" s="364"/>
      <c r="B26" s="364"/>
      <c r="C26" s="373"/>
      <c r="D26" s="90"/>
      <c r="E26" s="373"/>
      <c r="F26" s="373"/>
      <c r="G26" s="373"/>
      <c r="H26" s="373"/>
      <c r="I26" s="373"/>
      <c r="J26" s="373"/>
      <c r="K26" s="373"/>
      <c r="L26" s="373"/>
      <c r="M26" s="373"/>
      <c r="N26" s="364"/>
      <c r="O26" s="373"/>
      <c r="P26" s="373"/>
      <c r="Q26" s="373"/>
      <c r="R26" s="373"/>
      <c r="S26" s="373"/>
      <c r="T26" s="373"/>
      <c r="U26" s="373"/>
      <c r="V26" s="373"/>
      <c r="W26" s="373"/>
      <c r="X26" s="373"/>
    </row>
    <row r="27" spans="1:24" x14ac:dyDescent="0.3">
      <c r="A27" s="364"/>
      <c r="B27" s="364"/>
      <c r="C27" s="373"/>
      <c r="D27" s="90"/>
      <c r="E27" s="373"/>
      <c r="F27" s="373"/>
      <c r="G27" s="373"/>
      <c r="H27" s="373"/>
      <c r="I27" s="373"/>
      <c r="J27" s="373"/>
      <c r="K27" s="373"/>
      <c r="L27" s="373"/>
      <c r="M27" s="373"/>
      <c r="N27" s="364"/>
      <c r="O27" s="373"/>
      <c r="P27" s="373"/>
      <c r="Q27" s="373"/>
      <c r="R27" s="373"/>
      <c r="S27" s="373"/>
      <c r="T27" s="373"/>
      <c r="U27" s="373"/>
      <c r="V27" s="373"/>
      <c r="W27" s="373"/>
      <c r="X27" s="37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Y31"/>
  <sheetViews>
    <sheetView zoomScaleNormal="100" workbookViewId="0">
      <selection activeCell="K8" sqref="K8"/>
    </sheetView>
  </sheetViews>
  <sheetFormatPr defaultColWidth="9.109375" defaultRowHeight="13.8" outlineLevelCol="1" x14ac:dyDescent="0.3"/>
  <cols>
    <col min="1" max="1" width="3.6640625" style="18" customWidth="1"/>
    <col min="2" max="2" width="24.6640625" style="18" bestFit="1" customWidth="1"/>
    <col min="3" max="3" width="2.6640625" style="109" customWidth="1"/>
    <col min="4" max="4" width="24.5546875" style="19" bestFit="1" customWidth="1"/>
    <col min="5" max="5" width="2.6640625" style="113" customWidth="1"/>
    <col min="6" max="6" width="28.109375" style="19" bestFit="1" customWidth="1"/>
    <col min="7" max="7" width="2.6640625" style="113" customWidth="1"/>
    <col min="8" max="8" width="25" style="19" bestFit="1" customWidth="1"/>
    <col min="9" max="9" width="2.6640625" style="113" customWidth="1"/>
    <col min="10" max="10" width="21.88671875" style="19" bestFit="1" customWidth="1"/>
    <col min="11" max="11" width="2.6640625" style="113" customWidth="1"/>
    <col min="12" max="12" width="13.5546875" style="19" bestFit="1" customWidth="1"/>
    <col min="13" max="13" width="5.5546875" style="19" bestFit="1" customWidth="1"/>
    <col min="14" max="14" width="9.109375" style="19"/>
    <col min="15" max="25" width="9.109375" style="19" outlineLevel="1"/>
    <col min="26" max="16384" width="9.109375" style="19"/>
  </cols>
  <sheetData>
    <row r="1" spans="1:24" x14ac:dyDescent="0.3">
      <c r="A1" s="74"/>
      <c r="B1" s="74"/>
      <c r="C1" s="74"/>
      <c r="D1" s="74"/>
      <c r="E1" s="74"/>
      <c r="F1" s="74"/>
      <c r="G1" s="74"/>
      <c r="H1" s="74"/>
      <c r="I1" s="74"/>
      <c r="J1" s="74"/>
      <c r="K1" s="74"/>
      <c r="L1" s="74"/>
      <c r="M1" s="74"/>
      <c r="N1" s="74"/>
      <c r="O1" s="373"/>
      <c r="P1" s="373"/>
      <c r="Q1" s="373"/>
      <c r="R1" s="373"/>
      <c r="S1" s="373"/>
      <c r="T1" s="373"/>
      <c r="U1" s="373"/>
      <c r="V1" s="373"/>
      <c r="W1" s="373"/>
      <c r="X1" s="373"/>
    </row>
    <row r="2" spans="1:24" s="18" customFormat="1" x14ac:dyDescent="0.3">
      <c r="A2" s="364"/>
      <c r="B2" s="513" t="s">
        <v>0</v>
      </c>
      <c r="C2" s="513"/>
      <c r="D2" s="513"/>
      <c r="E2" s="513"/>
      <c r="F2" s="513" t="s">
        <v>1</v>
      </c>
      <c r="G2" s="364"/>
      <c r="H2" s="364"/>
      <c r="I2" s="364"/>
      <c r="J2" s="364"/>
      <c r="K2" s="513"/>
      <c r="L2" s="516" t="s">
        <v>109</v>
      </c>
      <c r="M2" s="364"/>
      <c r="N2" s="364"/>
      <c r="O2" s="364"/>
      <c r="P2" s="364"/>
      <c r="Q2" s="364"/>
      <c r="R2" s="364"/>
      <c r="S2" s="364"/>
      <c r="T2" s="364"/>
      <c r="U2" s="364"/>
      <c r="V2" s="364"/>
      <c r="W2" s="364"/>
      <c r="X2" s="364"/>
    </row>
    <row r="3" spans="1:24" s="18" customFormat="1" x14ac:dyDescent="0.3">
      <c r="A3" s="364"/>
      <c r="B3" s="364" t="s">
        <v>2</v>
      </c>
      <c r="C3" s="364"/>
      <c r="D3" s="98" t="s">
        <v>857</v>
      </c>
      <c r="E3" s="364"/>
      <c r="F3" s="364" t="s">
        <v>3</v>
      </c>
      <c r="G3" s="364"/>
      <c r="H3" s="951" t="str">
        <f>'Documentation Main Sheet'!I2</f>
        <v>r6055</v>
      </c>
      <c r="I3" s="364"/>
      <c r="J3" s="364"/>
      <c r="K3" s="521"/>
      <c r="L3" s="364" t="s">
        <v>110</v>
      </c>
      <c r="M3" s="364"/>
      <c r="N3" s="364"/>
      <c r="O3" s="364"/>
      <c r="P3" s="364"/>
      <c r="Q3" s="364"/>
      <c r="R3" s="364"/>
      <c r="S3" s="364"/>
      <c r="T3" s="364"/>
      <c r="U3" s="364"/>
      <c r="V3" s="364"/>
      <c r="W3" s="364"/>
      <c r="X3" s="364"/>
    </row>
    <row r="4" spans="1:24" s="18" customFormat="1" x14ac:dyDescent="0.3">
      <c r="A4" s="364"/>
      <c r="B4" s="364" t="s">
        <v>6</v>
      </c>
      <c r="C4" s="364"/>
      <c r="D4" s="364" t="str">
        <f>D3&amp;".cibd19"</f>
        <v>040006-OffLrg-Run06 .cibd19</v>
      </c>
      <c r="E4" s="364"/>
      <c r="F4" s="364" t="s">
        <v>7</v>
      </c>
      <c r="G4" s="364"/>
      <c r="H4" s="364" t="str">
        <f>'Documentation Main Sheet'!I3</f>
        <v>Release package</v>
      </c>
      <c r="I4" s="364"/>
      <c r="J4" s="364"/>
      <c r="K4" s="994">
        <v>1</v>
      </c>
      <c r="L4" s="373" t="s">
        <v>111</v>
      </c>
      <c r="M4" s="364"/>
      <c r="N4" s="364"/>
      <c r="O4" s="364"/>
      <c r="P4" s="364"/>
      <c r="Q4" s="364"/>
      <c r="R4" s="364"/>
      <c r="S4" s="364"/>
      <c r="T4" s="364"/>
      <c r="U4" s="364"/>
      <c r="V4" s="364"/>
      <c r="W4" s="364"/>
      <c r="X4" s="364"/>
    </row>
    <row r="5" spans="1:24" s="18" customFormat="1" x14ac:dyDescent="0.3">
      <c r="A5" s="364"/>
      <c r="B5" s="364" t="s">
        <v>9</v>
      </c>
      <c r="C5" s="364"/>
      <c r="D5" s="364" t="s">
        <v>112</v>
      </c>
      <c r="E5" s="364"/>
      <c r="F5" s="364" t="s">
        <v>10</v>
      </c>
      <c r="G5" s="364"/>
      <c r="H5" s="364" t="str">
        <f>'Documentation Main Sheet'!I4</f>
        <v>CBECC-Com 2019.1.2 Release</v>
      </c>
      <c r="I5" s="364"/>
      <c r="J5" s="364"/>
      <c r="K5" s="991">
        <v>1</v>
      </c>
      <c r="L5" s="373" t="s">
        <v>111</v>
      </c>
      <c r="M5" s="68"/>
      <c r="N5" s="364"/>
      <c r="O5" s="364"/>
      <c r="P5" s="364"/>
      <c r="Q5" s="364"/>
      <c r="R5" s="364"/>
      <c r="S5" s="364"/>
      <c r="T5" s="364"/>
      <c r="U5" s="364"/>
      <c r="V5" s="364"/>
      <c r="W5" s="364"/>
      <c r="X5" s="364"/>
    </row>
    <row r="6" spans="1:24" s="18" customFormat="1" x14ac:dyDescent="0.3">
      <c r="A6" s="364"/>
      <c r="B6" s="364" t="s">
        <v>17</v>
      </c>
      <c r="C6" s="364"/>
      <c r="D6" s="92" t="s">
        <v>38</v>
      </c>
      <c r="E6" s="364"/>
      <c r="F6" s="364" t="s">
        <v>12</v>
      </c>
      <c r="G6" s="364"/>
      <c r="H6" s="387">
        <f>'Documentation Main Sheet'!I5</f>
        <v>43754</v>
      </c>
      <c r="I6" s="364"/>
      <c r="J6" s="364"/>
      <c r="K6" s="524">
        <v>1</v>
      </c>
      <c r="L6" s="376" t="s">
        <v>113</v>
      </c>
      <c r="M6" s="364"/>
      <c r="N6" s="364"/>
      <c r="O6" s="364"/>
      <c r="P6" s="364"/>
      <c r="Q6" s="364"/>
      <c r="R6" s="364"/>
      <c r="S6" s="364"/>
      <c r="T6" s="364"/>
      <c r="U6" s="364"/>
      <c r="V6" s="364"/>
      <c r="W6" s="364"/>
      <c r="X6" s="364"/>
    </row>
    <row r="7" spans="1:24" s="18" customFormat="1" x14ac:dyDescent="0.3">
      <c r="A7" s="364"/>
      <c r="B7" s="364" t="s">
        <v>20</v>
      </c>
      <c r="C7" s="364"/>
      <c r="D7" s="92" t="s">
        <v>40</v>
      </c>
      <c r="E7" s="364"/>
      <c r="F7" s="364" t="s">
        <v>13</v>
      </c>
      <c r="G7" s="364"/>
      <c r="H7" s="364" t="str">
        <f>'Documentation Main Sheet'!I6</f>
        <v>Jireh Peng</v>
      </c>
      <c r="I7" s="83"/>
      <c r="J7" s="364"/>
      <c r="K7" s="525">
        <v>1</v>
      </c>
      <c r="L7" s="373" t="s">
        <v>114</v>
      </c>
      <c r="M7" s="364"/>
      <c r="N7" s="364"/>
      <c r="O7" s="364"/>
      <c r="P7" s="364"/>
      <c r="Q7" s="364"/>
      <c r="R7" s="364"/>
      <c r="S7" s="364"/>
      <c r="T7" s="364"/>
      <c r="U7" s="364"/>
      <c r="V7" s="364"/>
      <c r="W7" s="364"/>
      <c r="X7" s="364"/>
    </row>
    <row r="8" spans="1:24" s="18" customFormat="1" x14ac:dyDescent="0.3">
      <c r="A8" s="364"/>
      <c r="B8" s="364" t="s">
        <v>19</v>
      </c>
      <c r="C8" s="364"/>
      <c r="D8" s="92" t="s">
        <v>27</v>
      </c>
      <c r="E8" s="364"/>
      <c r="F8" s="364"/>
      <c r="G8" s="364"/>
      <c r="H8" s="364"/>
      <c r="I8" s="83"/>
      <c r="J8" s="364"/>
      <c r="K8" s="996">
        <v>1</v>
      </c>
      <c r="L8" s="364" t="s">
        <v>115</v>
      </c>
      <c r="M8" s="364"/>
      <c r="N8" s="364"/>
      <c r="O8" s="364"/>
      <c r="P8" s="364"/>
      <c r="Q8" s="364"/>
      <c r="R8" s="364"/>
      <c r="S8" s="364"/>
      <c r="T8" s="364"/>
      <c r="U8" s="364"/>
      <c r="V8" s="364"/>
      <c r="W8" s="364"/>
      <c r="X8" s="364"/>
    </row>
    <row r="9" spans="1:24" s="18" customFormat="1" x14ac:dyDescent="0.3">
      <c r="A9" s="364"/>
      <c r="B9" s="92"/>
      <c r="C9" s="364"/>
      <c r="D9" s="90"/>
      <c r="E9" s="364"/>
      <c r="F9" s="364"/>
      <c r="G9" s="364"/>
      <c r="H9" s="83"/>
      <c r="I9" s="364"/>
      <c r="J9" s="364"/>
      <c r="K9" s="364"/>
      <c r="L9" s="364"/>
      <c r="M9" s="364"/>
      <c r="N9" s="364"/>
      <c r="O9" s="364"/>
      <c r="P9" s="364"/>
      <c r="Q9" s="364"/>
      <c r="R9" s="364"/>
      <c r="S9" s="364"/>
      <c r="T9" s="364"/>
      <c r="U9" s="364"/>
      <c r="V9" s="364"/>
      <c r="W9" s="364"/>
      <c r="X9" s="364"/>
    </row>
    <row r="10" spans="1:24" s="13" customFormat="1" x14ac:dyDescent="0.3">
      <c r="A10" s="281"/>
      <c r="B10" s="282" t="s">
        <v>134</v>
      </c>
      <c r="C10" s="282"/>
      <c r="D10" s="281"/>
      <c r="E10" s="281"/>
      <c r="F10" s="283"/>
      <c r="G10" s="281"/>
      <c r="H10" s="281"/>
      <c r="I10" s="281"/>
      <c r="J10" s="281"/>
      <c r="K10" s="284"/>
      <c r="L10" s="281"/>
      <c r="M10" s="364"/>
      <c r="N10" s="93"/>
      <c r="O10" s="93"/>
      <c r="P10" s="93"/>
      <c r="Q10" s="93"/>
      <c r="R10" s="93"/>
      <c r="S10" s="93"/>
      <c r="T10" s="93"/>
      <c r="U10" s="93"/>
      <c r="V10" s="93"/>
      <c r="W10" s="93"/>
      <c r="X10" s="93"/>
    </row>
    <row r="11" spans="1:24" s="3" customFormat="1" x14ac:dyDescent="0.3">
      <c r="A11" s="27"/>
      <c r="B11" s="45" t="s">
        <v>830</v>
      </c>
      <c r="C11" s="91"/>
      <c r="D11" s="89"/>
      <c r="E11" s="91"/>
      <c r="F11" s="89"/>
      <c r="G11" s="89"/>
      <c r="H11" s="91"/>
      <c r="I11" s="91"/>
      <c r="J11" s="91"/>
      <c r="K11" s="91"/>
      <c r="L11" s="91"/>
      <c r="M11" s="91"/>
      <c r="N11" s="41"/>
      <c r="O11" s="89"/>
      <c r="P11" s="89"/>
      <c r="Q11" s="89"/>
      <c r="R11" s="89"/>
      <c r="S11" s="89"/>
      <c r="T11" s="89"/>
      <c r="U11" s="89"/>
      <c r="V11" s="89"/>
      <c r="W11" s="89"/>
      <c r="X11" s="89"/>
    </row>
    <row r="12" spans="1:24" s="3" customFormat="1" ht="14.4" x14ac:dyDescent="0.3">
      <c r="A12" s="89"/>
      <c r="B12" s="90" t="s">
        <v>184</v>
      </c>
      <c r="C12" s="90"/>
      <c r="D12" s="83"/>
      <c r="E12" s="83"/>
      <c r="F12" s="89"/>
      <c r="G12" s="83"/>
      <c r="H12" s="83"/>
      <c r="I12" s="89"/>
      <c r="J12" s="83"/>
      <c r="K12" s="89"/>
      <c r="L12" s="89"/>
      <c r="M12" s="83"/>
      <c r="N12" s="41"/>
      <c r="O12" s="89"/>
      <c r="P12" s="89"/>
      <c r="Q12" s="89"/>
      <c r="R12" s="89"/>
      <c r="S12" s="89"/>
      <c r="T12" s="369" t="s">
        <v>839</v>
      </c>
      <c r="U12" s="982"/>
      <c r="V12" s="982"/>
      <c r="W12" s="982"/>
      <c r="X12" s="982"/>
    </row>
    <row r="13" spans="1:24" s="90" customFormat="1" ht="27.6" x14ac:dyDescent="0.3">
      <c r="B13" s="219" t="s">
        <v>148</v>
      </c>
      <c r="C13" s="195"/>
      <c r="D13" s="116" t="s">
        <v>840</v>
      </c>
      <c r="E13" s="195"/>
      <c r="F13" s="116" t="s">
        <v>841</v>
      </c>
      <c r="G13" s="195"/>
      <c r="H13" s="116" t="s">
        <v>842</v>
      </c>
      <c r="I13" s="195"/>
      <c r="J13" s="116" t="s">
        <v>843</v>
      </c>
      <c r="K13" s="195"/>
      <c r="L13" s="116" t="s">
        <v>844</v>
      </c>
      <c r="M13" s="40"/>
      <c r="N13" s="41"/>
      <c r="T13" s="982" t="s">
        <v>845</v>
      </c>
      <c r="U13" s="982" t="s">
        <v>846</v>
      </c>
      <c r="V13" s="982" t="s">
        <v>847</v>
      </c>
      <c r="W13" s="982" t="s">
        <v>848</v>
      </c>
      <c r="X13" s="982" t="s">
        <v>849</v>
      </c>
    </row>
    <row r="14" spans="1:24" s="109" customFormat="1" ht="15" thickBot="1" x14ac:dyDescent="0.35">
      <c r="A14" s="364"/>
      <c r="B14" s="239"/>
      <c r="C14" s="240"/>
      <c r="D14" s="998" t="s">
        <v>850</v>
      </c>
      <c r="E14" s="240"/>
      <c r="F14" s="998" t="s">
        <v>851</v>
      </c>
      <c r="G14" s="240"/>
      <c r="H14" s="998" t="s">
        <v>852</v>
      </c>
      <c r="I14" s="240"/>
      <c r="J14" s="998" t="s">
        <v>853</v>
      </c>
      <c r="K14" s="240"/>
      <c r="L14" s="998" t="s">
        <v>854</v>
      </c>
      <c r="M14" s="69"/>
      <c r="N14" s="41"/>
      <c r="O14" s="364"/>
      <c r="P14" s="364"/>
      <c r="Q14" s="364"/>
      <c r="R14" s="364"/>
      <c r="S14" s="364"/>
      <c r="T14" s="982" t="s">
        <v>855</v>
      </c>
      <c r="U14" s="982" t="s">
        <v>855</v>
      </c>
      <c r="V14" s="982" t="s">
        <v>855</v>
      </c>
      <c r="W14" s="982" t="s">
        <v>855</v>
      </c>
      <c r="X14" s="982" t="s">
        <v>855</v>
      </c>
    </row>
    <row r="15" spans="1:24" s="113" customFormat="1" ht="15" thickTop="1" x14ac:dyDescent="0.3">
      <c r="A15" s="373"/>
      <c r="B15" s="236" t="s">
        <v>187</v>
      </c>
      <c r="C15" s="976" t="str">
        <f>IF(D15=ROUND(T15,2),"x","")</f>
        <v>x</v>
      </c>
      <c r="D15" s="238">
        <v>0.46</v>
      </c>
      <c r="E15" s="976" t="str">
        <f>IF(F15=ROUND(U15,2),"x","")</f>
        <v>x</v>
      </c>
      <c r="F15" s="238">
        <v>0.5</v>
      </c>
      <c r="G15" s="976" t="str">
        <f>IF(H15=ROUND(V15,2),"x","")</f>
        <v>x</v>
      </c>
      <c r="H15" s="238">
        <v>0.45</v>
      </c>
      <c r="I15" s="976" t="str">
        <f>IF(J15=ROUND(W15,2),"x","")</f>
        <v>x</v>
      </c>
      <c r="J15" s="238">
        <v>0.39</v>
      </c>
      <c r="K15" s="976" t="str">
        <f>IF(L15=ROUND(X15,2),"x","")</f>
        <v>x</v>
      </c>
      <c r="L15" s="238">
        <v>0.5</v>
      </c>
      <c r="M15" s="365"/>
      <c r="N15" s="41"/>
      <c r="O15" s="809"/>
      <c r="P15" s="809"/>
      <c r="Q15" s="809"/>
      <c r="R15" s="809"/>
      <c r="S15" s="808" t="s">
        <v>856</v>
      </c>
      <c r="T15" s="949">
        <v>0.45810000000000001</v>
      </c>
      <c r="U15" s="949">
        <v>0.50009999999999999</v>
      </c>
      <c r="V15" s="949">
        <v>0.45</v>
      </c>
      <c r="W15" s="949">
        <v>0.39360000000000001</v>
      </c>
      <c r="X15" s="949">
        <v>0.5</v>
      </c>
    </row>
    <row r="16" spans="1:24" s="18" customFormat="1" x14ac:dyDescent="0.3">
      <c r="A16" s="364"/>
      <c r="B16" s="90"/>
      <c r="C16" s="90"/>
      <c r="D16" s="83"/>
      <c r="E16" s="364"/>
      <c r="F16" s="83"/>
      <c r="G16" s="89"/>
      <c r="H16" s="82"/>
      <c r="I16" s="89"/>
      <c r="J16" s="82"/>
      <c r="K16" s="89"/>
      <c r="L16" s="82"/>
      <c r="M16" s="364"/>
      <c r="N16" s="41"/>
      <c r="O16" s="364"/>
      <c r="P16" s="364"/>
      <c r="Q16" s="364"/>
      <c r="R16" s="364"/>
      <c r="S16" s="364"/>
      <c r="T16" s="364"/>
      <c r="U16" s="364"/>
      <c r="V16" s="364"/>
      <c r="W16" s="364"/>
      <c r="X16" s="364"/>
    </row>
    <row r="17" spans="1:24" s="18" customFormat="1" x14ac:dyDescent="0.3">
      <c r="A17" s="364"/>
      <c r="B17" s="92"/>
      <c r="C17" s="90"/>
      <c r="D17" s="90"/>
      <c r="E17" s="364"/>
      <c r="F17" s="83"/>
      <c r="G17" s="89"/>
      <c r="H17" s="82"/>
      <c r="I17" s="89"/>
      <c r="J17" s="82"/>
      <c r="K17" s="89"/>
      <c r="L17" s="82"/>
      <c r="M17" s="364"/>
      <c r="N17" s="41"/>
      <c r="O17" s="364"/>
      <c r="P17" s="364"/>
      <c r="Q17" s="364"/>
      <c r="R17" s="364"/>
      <c r="S17" s="364"/>
      <c r="T17" s="364"/>
      <c r="U17" s="364"/>
      <c r="V17" s="364"/>
      <c r="W17" s="364"/>
      <c r="X17" s="364"/>
    </row>
    <row r="18" spans="1:24" s="13" customFormat="1" x14ac:dyDescent="0.3">
      <c r="A18" s="285"/>
      <c r="B18" s="286" t="s">
        <v>243</v>
      </c>
      <c r="C18" s="285"/>
      <c r="D18" s="287"/>
      <c r="E18" s="285"/>
      <c r="F18" s="285"/>
      <c r="G18" s="287"/>
      <c r="H18" s="285"/>
      <c r="I18" s="285"/>
      <c r="J18" s="288"/>
      <c r="K18" s="285"/>
      <c r="L18" s="285"/>
      <c r="M18" s="93"/>
      <c r="N18" s="41"/>
      <c r="O18" s="93"/>
      <c r="P18" s="93"/>
      <c r="Q18" s="93"/>
      <c r="R18" s="93"/>
      <c r="S18" s="93"/>
      <c r="T18" s="93"/>
      <c r="U18" s="93"/>
      <c r="V18" s="93"/>
      <c r="W18" s="93"/>
      <c r="X18" s="93"/>
    </row>
    <row r="19" spans="1:24" s="3" customFormat="1" x14ac:dyDescent="0.3">
      <c r="A19" s="78"/>
      <c r="B19" s="23" t="s">
        <v>830</v>
      </c>
      <c r="C19" s="91"/>
      <c r="D19" s="89"/>
      <c r="E19" s="91"/>
      <c r="F19" s="89"/>
      <c r="G19" s="89"/>
      <c r="H19" s="91"/>
      <c r="I19" s="91"/>
      <c r="J19" s="91"/>
      <c r="K19" s="91"/>
      <c r="L19" s="91"/>
      <c r="M19" s="91"/>
      <c r="N19" s="41"/>
      <c r="O19" s="89"/>
      <c r="P19" s="89"/>
      <c r="Q19" s="89"/>
      <c r="R19" s="89"/>
      <c r="S19" s="89"/>
      <c r="T19" s="89"/>
      <c r="U19" s="89"/>
      <c r="V19" s="89"/>
      <c r="W19" s="89"/>
      <c r="X19" s="89"/>
    </row>
    <row r="20" spans="1:24" s="18" customFormat="1" ht="14.4" x14ac:dyDescent="0.3">
      <c r="A20" s="364"/>
      <c r="B20" s="90" t="s">
        <v>184</v>
      </c>
      <c r="C20" s="90"/>
      <c r="D20" s="364"/>
      <c r="E20" s="364"/>
      <c r="F20" s="364"/>
      <c r="G20" s="364"/>
      <c r="H20" s="5"/>
      <c r="I20" s="364"/>
      <c r="J20" s="6"/>
      <c r="K20" s="6"/>
      <c r="L20" s="6"/>
      <c r="M20" s="6"/>
      <c r="N20" s="41"/>
      <c r="O20" s="89"/>
      <c r="P20" s="89"/>
      <c r="Q20" s="89"/>
      <c r="R20" s="89"/>
      <c r="S20" s="89"/>
      <c r="T20" s="369" t="s">
        <v>839</v>
      </c>
      <c r="U20" s="982"/>
      <c r="V20" s="982"/>
      <c r="W20" s="982"/>
      <c r="X20" s="982"/>
    </row>
    <row r="21" spans="1:24" s="90" customFormat="1" ht="27.6" x14ac:dyDescent="0.3">
      <c r="B21" s="219" t="s">
        <v>148</v>
      </c>
      <c r="C21" s="195"/>
      <c r="D21" s="116" t="s">
        <v>840</v>
      </c>
      <c r="E21" s="195"/>
      <c r="F21" s="116" t="s">
        <v>841</v>
      </c>
      <c r="G21" s="195"/>
      <c r="H21" s="116" t="s">
        <v>842</v>
      </c>
      <c r="I21" s="195"/>
      <c r="J21" s="116" t="s">
        <v>843</v>
      </c>
      <c r="K21" s="195"/>
      <c r="L21" s="116" t="s">
        <v>844</v>
      </c>
      <c r="M21" s="40"/>
      <c r="N21" s="41"/>
      <c r="T21" s="982" t="s">
        <v>845</v>
      </c>
      <c r="U21" s="982" t="s">
        <v>846</v>
      </c>
      <c r="V21" s="982" t="s">
        <v>847</v>
      </c>
      <c r="W21" s="982" t="s">
        <v>848</v>
      </c>
      <c r="X21" s="982" t="s">
        <v>849</v>
      </c>
    </row>
    <row r="22" spans="1:24" s="109" customFormat="1" ht="15" thickBot="1" x14ac:dyDescent="0.35">
      <c r="A22" s="364"/>
      <c r="B22" s="239"/>
      <c r="C22" s="240"/>
      <c r="D22" s="998" t="s">
        <v>850</v>
      </c>
      <c r="E22" s="240"/>
      <c r="F22" s="998" t="s">
        <v>851</v>
      </c>
      <c r="G22" s="240"/>
      <c r="H22" s="998" t="s">
        <v>852</v>
      </c>
      <c r="I22" s="240"/>
      <c r="J22" s="998" t="s">
        <v>853</v>
      </c>
      <c r="K22" s="240"/>
      <c r="L22" s="998" t="s">
        <v>854</v>
      </c>
      <c r="M22" s="69"/>
      <c r="N22" s="41"/>
      <c r="O22" s="364"/>
      <c r="P22" s="364"/>
      <c r="Q22" s="364"/>
      <c r="R22" s="364"/>
      <c r="S22" s="364"/>
      <c r="T22" s="982" t="s">
        <v>855</v>
      </c>
      <c r="U22" s="982" t="s">
        <v>855</v>
      </c>
      <c r="V22" s="982" t="s">
        <v>855</v>
      </c>
      <c r="W22" s="982" t="s">
        <v>855</v>
      </c>
      <c r="X22" s="982" t="s">
        <v>855</v>
      </c>
    </row>
    <row r="23" spans="1:24" s="113" customFormat="1" ht="15" thickTop="1" x14ac:dyDescent="0.3">
      <c r="A23" s="373"/>
      <c r="B23" s="236" t="s">
        <v>187</v>
      </c>
      <c r="C23" s="976" t="str">
        <f>IF(D23=ROUND(T23,2),"x","")</f>
        <v>x</v>
      </c>
      <c r="D23" s="238">
        <v>0.4</v>
      </c>
      <c r="E23" s="976" t="str">
        <f>IF(F23=ROUND(U23,2),"x","")</f>
        <v>x</v>
      </c>
      <c r="F23" s="238">
        <v>0.45</v>
      </c>
      <c r="G23" s="976" t="str">
        <f>IF(H23=ROUND(V23,2),"x","")</f>
        <v>x</v>
      </c>
      <c r="H23" s="238">
        <v>0.4</v>
      </c>
      <c r="I23" s="976" t="str">
        <f>IF(J23=ROUND(W23,2),"x","")</f>
        <v>x</v>
      </c>
      <c r="J23" s="238">
        <v>0.35</v>
      </c>
      <c r="K23" s="976" t="str">
        <f>IF(L23=ROUND(X23,2),"x","")</f>
        <v>x</v>
      </c>
      <c r="L23" s="238">
        <v>0.4</v>
      </c>
      <c r="M23" s="365"/>
      <c r="N23" s="41"/>
      <c r="O23" s="812"/>
      <c r="P23" s="812"/>
      <c r="Q23" s="812"/>
      <c r="R23" s="812"/>
      <c r="S23" s="813" t="s">
        <v>856</v>
      </c>
      <c r="T23" s="949">
        <v>0.4</v>
      </c>
      <c r="U23" s="949">
        <v>0.44679999999999997</v>
      </c>
      <c r="V23" s="949">
        <v>0.40210000000000001</v>
      </c>
      <c r="W23" s="949">
        <v>0.3518</v>
      </c>
      <c r="X23" s="949">
        <v>0.4</v>
      </c>
    </row>
    <row r="24" spans="1:24" x14ac:dyDescent="0.3">
      <c r="A24" s="364"/>
      <c r="B24" s="364"/>
      <c r="C24" s="364"/>
      <c r="D24" s="373"/>
      <c r="E24" s="373"/>
      <c r="F24" s="373"/>
      <c r="G24" s="373"/>
      <c r="H24" s="373"/>
      <c r="I24" s="373"/>
      <c r="J24" s="373"/>
      <c r="K24" s="373"/>
      <c r="L24" s="373"/>
      <c r="M24" s="373"/>
      <c r="N24" s="41"/>
      <c r="O24" s="373"/>
      <c r="P24" s="373"/>
      <c r="Q24" s="373"/>
      <c r="R24" s="373"/>
      <c r="S24" s="373"/>
      <c r="T24" s="373"/>
      <c r="U24" s="373"/>
      <c r="V24" s="373"/>
      <c r="W24" s="373"/>
      <c r="X24" s="373"/>
    </row>
    <row r="25" spans="1:24" x14ac:dyDescent="0.3">
      <c r="A25" s="364"/>
      <c r="B25" s="364"/>
      <c r="C25" s="364"/>
      <c r="D25" s="373"/>
      <c r="E25" s="373"/>
      <c r="F25" s="373"/>
      <c r="G25" s="373"/>
      <c r="H25" s="373"/>
      <c r="I25" s="373"/>
      <c r="J25" s="373"/>
      <c r="K25" s="373"/>
      <c r="L25" s="373"/>
      <c r="M25" s="373"/>
      <c r="N25" s="41"/>
      <c r="O25" s="373"/>
      <c r="P25" s="373"/>
      <c r="Q25" s="373"/>
      <c r="R25" s="373"/>
      <c r="S25" s="373"/>
      <c r="T25" s="373"/>
      <c r="U25" s="373"/>
      <c r="V25" s="373"/>
      <c r="W25" s="373"/>
      <c r="X25" s="373"/>
    </row>
    <row r="26" spans="1:24" x14ac:dyDescent="0.3">
      <c r="A26" s="364"/>
      <c r="B26" s="364"/>
      <c r="C26" s="364"/>
      <c r="D26" s="373"/>
      <c r="E26" s="373"/>
      <c r="F26" s="373"/>
      <c r="G26" s="373"/>
      <c r="H26" s="373"/>
      <c r="I26" s="373"/>
      <c r="J26" s="373"/>
      <c r="K26" s="373"/>
      <c r="L26" s="373"/>
      <c r="M26" s="373"/>
      <c r="N26" s="41"/>
      <c r="O26" s="373"/>
      <c r="P26" s="373"/>
      <c r="Q26" s="373"/>
      <c r="R26" s="373"/>
      <c r="S26" s="373"/>
      <c r="T26" s="373"/>
      <c r="U26" s="373"/>
      <c r="V26" s="373"/>
      <c r="W26" s="373"/>
      <c r="X26" s="373"/>
    </row>
    <row r="27" spans="1:24" x14ac:dyDescent="0.3">
      <c r="A27" s="364"/>
      <c r="B27" s="364"/>
      <c r="C27" s="364"/>
      <c r="D27" s="373"/>
      <c r="E27" s="373"/>
      <c r="F27" s="373"/>
      <c r="G27" s="373"/>
      <c r="H27" s="373"/>
      <c r="I27" s="373"/>
      <c r="J27" s="373"/>
      <c r="K27" s="373"/>
      <c r="L27" s="373"/>
      <c r="M27" s="373"/>
      <c r="N27" s="41"/>
      <c r="O27" s="373"/>
      <c r="P27" s="373"/>
      <c r="Q27" s="373"/>
      <c r="R27" s="373"/>
      <c r="S27" s="373"/>
      <c r="T27" s="373"/>
      <c r="U27" s="373"/>
      <c r="V27" s="373"/>
      <c r="W27" s="373"/>
      <c r="X27" s="373"/>
    </row>
    <row r="28" spans="1:24" x14ac:dyDescent="0.3">
      <c r="A28" s="364"/>
      <c r="B28" s="364"/>
      <c r="C28" s="364"/>
      <c r="D28" s="373"/>
      <c r="E28" s="373"/>
      <c r="F28" s="373"/>
      <c r="G28" s="373"/>
      <c r="H28" s="373"/>
      <c r="I28" s="373"/>
      <c r="J28" s="373"/>
      <c r="K28" s="373"/>
      <c r="L28" s="373"/>
      <c r="M28" s="373"/>
      <c r="N28" s="41"/>
      <c r="O28" s="373"/>
      <c r="P28" s="373"/>
      <c r="Q28" s="373"/>
      <c r="R28" s="373"/>
      <c r="S28" s="373"/>
      <c r="T28" s="373"/>
      <c r="U28" s="373"/>
      <c r="V28" s="373"/>
      <c r="W28" s="373"/>
      <c r="X28" s="373"/>
    </row>
    <row r="29" spans="1:24" x14ac:dyDescent="0.3">
      <c r="A29" s="364"/>
      <c r="B29" s="364"/>
      <c r="C29" s="364"/>
      <c r="D29" s="373"/>
      <c r="E29" s="373"/>
      <c r="F29" s="373"/>
      <c r="G29" s="373"/>
      <c r="H29" s="373"/>
      <c r="I29" s="373"/>
      <c r="J29" s="373"/>
      <c r="K29" s="373"/>
      <c r="L29" s="373"/>
      <c r="M29" s="373"/>
      <c r="N29" s="41"/>
      <c r="O29" s="373"/>
      <c r="P29" s="373"/>
      <c r="Q29" s="373"/>
      <c r="R29" s="373"/>
      <c r="S29" s="373"/>
      <c r="T29" s="373"/>
      <c r="U29" s="373"/>
      <c r="V29" s="373"/>
      <c r="W29" s="373"/>
      <c r="X29" s="373"/>
    </row>
    <row r="30" spans="1:24" x14ac:dyDescent="0.3">
      <c r="A30" s="364"/>
      <c r="B30" s="364"/>
      <c r="C30" s="364"/>
      <c r="D30" s="373"/>
      <c r="E30" s="373"/>
      <c r="F30" s="373"/>
      <c r="G30" s="373"/>
      <c r="H30" s="373"/>
      <c r="I30" s="373"/>
      <c r="J30" s="373"/>
      <c r="K30" s="373"/>
      <c r="L30" s="373"/>
      <c r="M30" s="373"/>
      <c r="N30" s="41"/>
      <c r="O30" s="373"/>
      <c r="P30" s="373"/>
      <c r="Q30" s="373"/>
      <c r="R30" s="373"/>
      <c r="S30" s="373"/>
      <c r="T30" s="373"/>
      <c r="U30" s="373"/>
      <c r="V30" s="373"/>
      <c r="W30" s="373"/>
      <c r="X30" s="373"/>
    </row>
    <row r="31" spans="1:24" x14ac:dyDescent="0.3">
      <c r="A31" s="364"/>
      <c r="B31" s="364"/>
      <c r="C31" s="364"/>
      <c r="D31" s="373"/>
      <c r="E31" s="373"/>
      <c r="F31" s="373"/>
      <c r="G31" s="373"/>
      <c r="H31" s="373"/>
      <c r="I31" s="373"/>
      <c r="J31" s="373"/>
      <c r="K31" s="373"/>
      <c r="L31" s="373"/>
      <c r="M31" s="373"/>
      <c r="N31" s="41"/>
      <c r="O31" s="373"/>
      <c r="P31" s="373"/>
      <c r="Q31" s="373"/>
      <c r="R31" s="373"/>
      <c r="S31" s="373"/>
      <c r="T31" s="373"/>
      <c r="U31" s="373"/>
      <c r="V31" s="373"/>
      <c r="W31" s="373"/>
      <c r="X31" s="37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AL24"/>
  <sheetViews>
    <sheetView zoomScaleNormal="100" workbookViewId="0">
      <selection activeCell="K8" sqref="K8"/>
    </sheetView>
  </sheetViews>
  <sheetFormatPr defaultColWidth="9.109375" defaultRowHeight="13.8" outlineLevelCol="1" x14ac:dyDescent="0.3"/>
  <cols>
    <col min="1" max="1" width="3.6640625" style="18" customWidth="1"/>
    <col min="2" max="2" width="24.6640625" style="18" bestFit="1" customWidth="1"/>
    <col min="3" max="3" width="2.6640625" style="109" customWidth="1"/>
    <col min="4" max="4" width="24.109375" style="19" bestFit="1" customWidth="1"/>
    <col min="5" max="5" width="2.6640625" style="113" customWidth="1"/>
    <col min="6" max="6" width="28.109375" style="19" bestFit="1" customWidth="1"/>
    <col min="7" max="7" width="2.6640625" style="113" customWidth="1"/>
    <col min="8" max="8" width="25" style="19" bestFit="1" customWidth="1"/>
    <col min="9" max="9" width="2.6640625" style="113" customWidth="1"/>
    <col min="10" max="10" width="18" style="19" bestFit="1" customWidth="1"/>
    <col min="11" max="11" width="2.6640625" style="18" customWidth="1"/>
    <col min="12" max="12" width="18.6640625" style="19" customWidth="1"/>
    <col min="13" max="13" width="2.6640625" style="19" customWidth="1"/>
    <col min="14" max="14" width="18.6640625" style="19" customWidth="1"/>
    <col min="15" max="15" width="7" style="373" customWidth="1"/>
    <col min="16" max="37" width="9.109375" style="19" outlineLevel="1"/>
    <col min="38" max="16384" width="9.109375" style="19"/>
  </cols>
  <sheetData>
    <row r="1" spans="1:38" s="103" customFormat="1" x14ac:dyDescent="0.3">
      <c r="A1" s="74"/>
      <c r="B1" s="74"/>
      <c r="C1" s="74"/>
      <c r="D1" s="74"/>
      <c r="E1" s="74"/>
      <c r="F1" s="74"/>
      <c r="G1" s="74"/>
      <c r="H1" s="74"/>
      <c r="I1" s="74"/>
      <c r="J1" s="74"/>
      <c r="K1" s="74"/>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row>
    <row r="2" spans="1:38" s="18" customFormat="1" x14ac:dyDescent="0.3">
      <c r="A2" s="364"/>
      <c r="B2" s="513" t="s">
        <v>0</v>
      </c>
      <c r="C2" s="513"/>
      <c r="D2" s="513"/>
      <c r="E2" s="513"/>
      <c r="F2" s="513" t="s">
        <v>1</v>
      </c>
      <c r="G2" s="364"/>
      <c r="H2" s="364"/>
      <c r="I2" s="364"/>
      <c r="J2" s="364"/>
      <c r="K2" s="513"/>
      <c r="L2" s="516" t="s">
        <v>109</v>
      </c>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row>
    <row r="3" spans="1:38" s="18" customFormat="1" x14ac:dyDescent="0.3">
      <c r="A3" s="364"/>
      <c r="B3" s="364" t="s">
        <v>2</v>
      </c>
      <c r="C3" s="364"/>
      <c r="D3" s="98" t="s">
        <v>44</v>
      </c>
      <c r="E3" s="364"/>
      <c r="F3" s="364" t="s">
        <v>3</v>
      </c>
      <c r="G3" s="364"/>
      <c r="H3" s="951" t="str">
        <f>'Documentation Main Sheet'!I2</f>
        <v>r6055</v>
      </c>
      <c r="I3" s="364"/>
      <c r="J3" s="364"/>
      <c r="K3" s="521"/>
      <c r="L3" s="364" t="s">
        <v>110</v>
      </c>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row>
    <row r="4" spans="1:38" s="18" customFormat="1" x14ac:dyDescent="0.3">
      <c r="A4" s="364"/>
      <c r="B4" s="364" t="s">
        <v>6</v>
      </c>
      <c r="C4" s="364"/>
      <c r="D4" s="364" t="str">
        <f>D3&amp;".cibd19"</f>
        <v>080006-Whse-Run07.cibd19</v>
      </c>
      <c r="E4" s="364"/>
      <c r="F4" s="364" t="s">
        <v>7</v>
      </c>
      <c r="G4" s="364"/>
      <c r="H4" s="364" t="str">
        <f>'Documentation Main Sheet'!I3</f>
        <v>Release package</v>
      </c>
      <c r="I4" s="364"/>
      <c r="J4" s="364"/>
      <c r="K4" s="994">
        <v>1</v>
      </c>
      <c r="L4" s="373" t="s">
        <v>111</v>
      </c>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row>
    <row r="5" spans="1:38" s="18" customFormat="1" x14ac:dyDescent="0.3">
      <c r="A5" s="364"/>
      <c r="B5" s="364" t="s">
        <v>9</v>
      </c>
      <c r="C5" s="364"/>
      <c r="D5" s="364" t="s">
        <v>112</v>
      </c>
      <c r="E5" s="364"/>
      <c r="F5" s="364" t="s">
        <v>10</v>
      </c>
      <c r="G5" s="364"/>
      <c r="H5" s="364" t="str">
        <f>'Documentation Main Sheet'!I4</f>
        <v>CBECC-Com 2019.1.2 Release</v>
      </c>
      <c r="I5" s="364"/>
      <c r="J5" s="364"/>
      <c r="K5" s="991">
        <v>1</v>
      </c>
      <c r="L5" s="373" t="s">
        <v>111</v>
      </c>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row>
    <row r="6" spans="1:38" s="18" customFormat="1" x14ac:dyDescent="0.3">
      <c r="A6" s="364"/>
      <c r="B6" s="364" t="s">
        <v>17</v>
      </c>
      <c r="C6" s="364"/>
      <c r="D6" s="92" t="s">
        <v>43</v>
      </c>
      <c r="E6" s="364"/>
      <c r="F6" s="364" t="s">
        <v>12</v>
      </c>
      <c r="G6" s="364"/>
      <c r="H6" s="387">
        <f>'Documentation Main Sheet'!I5</f>
        <v>43754</v>
      </c>
      <c r="I6" s="364"/>
      <c r="J6" s="364"/>
      <c r="K6" s="524">
        <v>1</v>
      </c>
      <c r="L6" s="376" t="s">
        <v>113</v>
      </c>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row>
    <row r="7" spans="1:38" s="18" customFormat="1" x14ac:dyDescent="0.3">
      <c r="A7" s="364"/>
      <c r="B7" s="364" t="s">
        <v>20</v>
      </c>
      <c r="C7" s="364"/>
      <c r="D7" s="92" t="s">
        <v>45</v>
      </c>
      <c r="E7" s="364"/>
      <c r="F7" s="364" t="s">
        <v>13</v>
      </c>
      <c r="G7" s="364"/>
      <c r="H7" s="364" t="str">
        <f>'Documentation Main Sheet'!I6</f>
        <v>Jireh Peng</v>
      </c>
      <c r="I7" s="83"/>
      <c r="J7" s="364"/>
      <c r="K7" s="525">
        <v>1</v>
      </c>
      <c r="L7" s="373" t="s">
        <v>114</v>
      </c>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row>
    <row r="8" spans="1:38" s="18" customFormat="1" x14ac:dyDescent="0.3">
      <c r="A8" s="364"/>
      <c r="B8" s="364" t="s">
        <v>19</v>
      </c>
      <c r="C8" s="364"/>
      <c r="D8" s="92" t="s">
        <v>27</v>
      </c>
      <c r="E8" s="364"/>
      <c r="F8" s="364"/>
      <c r="G8" s="364"/>
      <c r="H8" s="364"/>
      <c r="I8" s="83"/>
      <c r="J8" s="364"/>
      <c r="K8" s="996">
        <v>1</v>
      </c>
      <c r="L8" s="364" t="s">
        <v>115</v>
      </c>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row>
    <row r="9" spans="1:38" s="18" customFormat="1" x14ac:dyDescent="0.3">
      <c r="A9" s="364"/>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row>
    <row r="10" spans="1:38" s="13" customFormat="1" ht="14.4" x14ac:dyDescent="0.3">
      <c r="A10" s="281"/>
      <c r="B10" s="282" t="s">
        <v>134</v>
      </c>
      <c r="C10" s="282"/>
      <c r="D10" s="281"/>
      <c r="E10" s="281"/>
      <c r="F10" s="283"/>
      <c r="G10" s="281"/>
      <c r="H10" s="281"/>
      <c r="I10" s="281"/>
      <c r="J10" s="281"/>
      <c r="K10" s="14"/>
      <c r="L10" s="93"/>
      <c r="M10" s="93"/>
      <c r="N10" s="93"/>
      <c r="O10" s="93"/>
      <c r="P10" s="93"/>
      <c r="Q10" s="93"/>
      <c r="R10" s="93"/>
      <c r="S10" s="93"/>
      <c r="T10" s="93"/>
      <c r="U10" s="93"/>
      <c r="V10" s="369" t="s">
        <v>858</v>
      </c>
      <c r="W10" s="982" t="s">
        <v>859</v>
      </c>
      <c r="X10" s="982" t="s">
        <v>860</v>
      </c>
      <c r="Y10" s="982" t="s">
        <v>861</v>
      </c>
      <c r="Z10" s="89"/>
      <c r="AA10" s="89"/>
      <c r="AB10" s="89"/>
      <c r="AC10" s="89"/>
      <c r="AD10" s="89"/>
      <c r="AE10" s="89"/>
      <c r="AF10" s="89"/>
      <c r="AG10" s="89"/>
      <c r="AH10" s="89"/>
      <c r="AI10" s="89"/>
      <c r="AJ10" s="89"/>
      <c r="AK10" s="89"/>
      <c r="AL10" s="89"/>
    </row>
    <row r="11" spans="1:38" s="3" customFormat="1" ht="14.4" x14ac:dyDescent="0.3">
      <c r="A11" s="27"/>
      <c r="B11" s="45" t="s">
        <v>830</v>
      </c>
      <c r="C11" s="91"/>
      <c r="D11" s="89"/>
      <c r="E11" s="91"/>
      <c r="F11" s="89"/>
      <c r="G11" s="91"/>
      <c r="H11" s="89"/>
      <c r="I11" s="91"/>
      <c r="J11" s="91"/>
      <c r="K11" s="90"/>
      <c r="L11" s="89"/>
      <c r="M11" s="89"/>
      <c r="N11" s="89"/>
      <c r="O11" s="89"/>
      <c r="P11" s="809"/>
      <c r="Q11" s="809"/>
      <c r="R11" s="809"/>
      <c r="S11" s="809"/>
      <c r="T11" s="809"/>
      <c r="U11" s="808" t="s">
        <v>862</v>
      </c>
      <c r="V11" s="949">
        <v>7.0499999999999993E-2</v>
      </c>
      <c r="W11" s="949">
        <v>0</v>
      </c>
      <c r="X11" s="949">
        <v>0</v>
      </c>
      <c r="Y11" s="982"/>
      <c r="Z11" s="89"/>
      <c r="AA11" s="89"/>
      <c r="AB11" s="89"/>
      <c r="AC11" s="89"/>
      <c r="AD11" s="89"/>
      <c r="AE11" s="89"/>
      <c r="AF11" s="89"/>
      <c r="AG11" s="89"/>
      <c r="AH11" s="89"/>
      <c r="AI11" s="89"/>
      <c r="AJ11" s="89"/>
      <c r="AK11" s="89"/>
      <c r="AL11" s="89"/>
    </row>
    <row r="12" spans="1:38" s="3" customFormat="1" ht="13.5" customHeight="1" x14ac:dyDescent="0.3">
      <c r="A12" s="89"/>
      <c r="B12" s="90" t="s">
        <v>184</v>
      </c>
      <c r="C12" s="91"/>
      <c r="D12" s="89"/>
      <c r="E12" s="91"/>
      <c r="F12" s="89"/>
      <c r="G12" s="89"/>
      <c r="H12" s="91"/>
      <c r="I12" s="91"/>
      <c r="J12" s="91"/>
      <c r="K12" s="90"/>
      <c r="L12" s="89"/>
      <c r="M12" s="89"/>
      <c r="N12" s="89"/>
      <c r="O12" s="89"/>
      <c r="P12" s="89"/>
      <c r="Q12" s="89"/>
      <c r="R12" s="89"/>
      <c r="S12" s="89"/>
      <c r="T12" s="89"/>
      <c r="U12" s="89"/>
      <c r="V12" s="90"/>
      <c r="W12" s="90"/>
      <c r="X12" s="90"/>
      <c r="Y12" s="982"/>
      <c r="Z12" s="90"/>
      <c r="AA12" s="90"/>
      <c r="AB12" s="90"/>
      <c r="AC12" s="90"/>
      <c r="AD12" s="90"/>
      <c r="AE12" s="90"/>
      <c r="AF12" s="90"/>
      <c r="AG12" s="90"/>
      <c r="AH12" s="90"/>
      <c r="AI12" s="90"/>
      <c r="AJ12" s="90"/>
      <c r="AK12" s="90"/>
      <c r="AL12" s="90"/>
    </row>
    <row r="13" spans="1:38" s="4" customFormat="1" ht="27.6" x14ac:dyDescent="0.3">
      <c r="A13" s="90"/>
      <c r="B13" s="219" t="s">
        <v>148</v>
      </c>
      <c r="C13" s="195"/>
      <c r="D13" s="116" t="s">
        <v>863</v>
      </c>
      <c r="E13" s="123"/>
      <c r="F13" s="123" t="s">
        <v>864</v>
      </c>
      <c r="G13" s="115"/>
      <c r="H13" s="123" t="s">
        <v>865</v>
      </c>
      <c r="I13" s="195"/>
      <c r="J13" s="116" t="s">
        <v>151</v>
      </c>
      <c r="K13" s="195"/>
      <c r="L13" s="116" t="s">
        <v>185</v>
      </c>
      <c r="M13" s="195"/>
      <c r="N13" s="116" t="s">
        <v>186</v>
      </c>
      <c r="O13" s="90"/>
      <c r="P13" s="90"/>
      <c r="Q13" s="90"/>
      <c r="R13" s="90"/>
      <c r="S13" s="90"/>
      <c r="T13" s="90"/>
      <c r="U13" s="89"/>
      <c r="V13" s="369" t="s">
        <v>45</v>
      </c>
      <c r="W13" s="982"/>
      <c r="X13" s="982"/>
      <c r="Y13" s="982"/>
      <c r="Z13" s="982"/>
      <c r="AA13" s="982"/>
      <c r="AB13" s="982"/>
      <c r="AC13" s="982"/>
      <c r="AD13" s="982"/>
      <c r="AE13" s="982"/>
      <c r="AF13" s="982"/>
      <c r="AG13" s="982"/>
      <c r="AH13" s="982"/>
      <c r="AI13" s="982"/>
      <c r="AJ13" s="982"/>
      <c r="AK13" s="982"/>
      <c r="AL13" s="982"/>
    </row>
    <row r="14" spans="1:38" s="18" customFormat="1" ht="15" thickBot="1" x14ac:dyDescent="0.35">
      <c r="A14" s="364"/>
      <c r="B14" s="239"/>
      <c r="C14" s="240"/>
      <c r="D14" s="998" t="s">
        <v>866</v>
      </c>
      <c r="E14" s="124"/>
      <c r="F14" s="126" t="s">
        <v>867</v>
      </c>
      <c r="G14" s="132"/>
      <c r="H14" s="126" t="s">
        <v>868</v>
      </c>
      <c r="I14" s="240"/>
      <c r="J14" s="998" t="s">
        <v>869</v>
      </c>
      <c r="K14" s="240"/>
      <c r="L14" s="998" t="s">
        <v>191</v>
      </c>
      <c r="M14" s="240"/>
      <c r="N14" s="998" t="s">
        <v>192</v>
      </c>
      <c r="O14" s="82"/>
      <c r="P14" s="90"/>
      <c r="Q14" s="364"/>
      <c r="R14" s="364"/>
      <c r="S14" s="364"/>
      <c r="T14" s="364"/>
      <c r="U14" s="364"/>
      <c r="V14" s="982"/>
      <c r="W14" s="982"/>
      <c r="X14" s="982" t="s">
        <v>870</v>
      </c>
      <c r="Y14" s="982"/>
      <c r="Z14" s="982" t="s">
        <v>871</v>
      </c>
      <c r="AA14" s="982"/>
      <c r="AB14" s="982"/>
      <c r="AC14" s="982" t="s">
        <v>45</v>
      </c>
      <c r="AD14" s="982"/>
      <c r="AE14" s="982"/>
      <c r="AF14" s="982"/>
      <c r="AG14" s="982"/>
      <c r="AH14" s="982"/>
      <c r="AI14" s="982"/>
      <c r="AJ14" s="982"/>
      <c r="AK14" s="982"/>
      <c r="AL14" s="982"/>
    </row>
    <row r="15" spans="1:38" ht="15" thickTop="1" x14ac:dyDescent="0.3">
      <c r="A15" s="373"/>
      <c r="B15" s="309" t="s">
        <v>45</v>
      </c>
      <c r="C15" s="976" t="str">
        <f>IF(D15=ROUND(V11,2),"x","")</f>
        <v>x</v>
      </c>
      <c r="D15" s="238">
        <v>7.0000000000000007E-2</v>
      </c>
      <c r="E15" s="600"/>
      <c r="F15" s="599" t="s">
        <v>872</v>
      </c>
      <c r="G15" s="600"/>
      <c r="H15" s="599" t="s">
        <v>873</v>
      </c>
      <c r="I15" s="976" t="str">
        <f>IF(J15=ROUND(AF16,2),"x","")</f>
        <v>x</v>
      </c>
      <c r="J15" s="238">
        <v>0.55000000000000004</v>
      </c>
      <c r="K15" s="976" t="str">
        <f>IF(L15=ROUND(AG16,2),"x","")</f>
        <v>x</v>
      </c>
      <c r="L15" s="238">
        <v>0.2</v>
      </c>
      <c r="M15" s="976" t="str">
        <f>IF(N15=ROUND(AH16,2),"x","")</f>
        <v>x</v>
      </c>
      <c r="N15" s="238">
        <v>0.4</v>
      </c>
      <c r="O15" s="1"/>
      <c r="P15" s="91"/>
      <c r="Q15" s="373"/>
      <c r="R15" s="373"/>
      <c r="S15" s="373"/>
      <c r="T15" s="373"/>
      <c r="U15" s="373"/>
      <c r="V15" s="982" t="s">
        <v>121</v>
      </c>
      <c r="W15" s="982" t="s">
        <v>122</v>
      </c>
      <c r="X15" s="982" t="s">
        <v>123</v>
      </c>
      <c r="Y15" s="982" t="s">
        <v>124</v>
      </c>
      <c r="Z15" s="982" t="s">
        <v>121</v>
      </c>
      <c r="AA15" s="982" t="s">
        <v>126</v>
      </c>
      <c r="AB15" s="982" t="s">
        <v>127</v>
      </c>
      <c r="AC15" s="982" t="s">
        <v>129</v>
      </c>
      <c r="AD15" s="982" t="s">
        <v>874</v>
      </c>
      <c r="AE15" s="982" t="s">
        <v>875</v>
      </c>
      <c r="AF15" s="982" t="s">
        <v>157</v>
      </c>
      <c r="AG15" s="982" t="s">
        <v>185</v>
      </c>
      <c r="AH15" s="982" t="s">
        <v>186</v>
      </c>
      <c r="AI15" s="982" t="s">
        <v>197</v>
      </c>
      <c r="AJ15" s="982" t="s">
        <v>198</v>
      </c>
      <c r="AK15" s="982"/>
      <c r="AL15" s="982"/>
    </row>
    <row r="16" spans="1:38" s="18" customFormat="1" ht="14.4" x14ac:dyDescent="0.3">
      <c r="A16" s="364"/>
      <c r="B16" s="90"/>
      <c r="C16" s="90"/>
      <c r="D16" s="83"/>
      <c r="E16" s="83"/>
      <c r="F16" s="83"/>
      <c r="G16" s="83"/>
      <c r="H16" s="83"/>
      <c r="I16" s="364"/>
      <c r="J16" s="83"/>
      <c r="K16" s="89"/>
      <c r="L16" s="82"/>
      <c r="M16" s="89"/>
      <c r="N16" s="82"/>
      <c r="O16" s="82"/>
      <c r="P16" s="809"/>
      <c r="Q16" s="809"/>
      <c r="R16" s="809"/>
      <c r="S16" s="809"/>
      <c r="T16" s="809"/>
      <c r="U16" s="808" t="s">
        <v>876</v>
      </c>
      <c r="V16" s="949" t="s">
        <v>877</v>
      </c>
      <c r="W16" s="949" t="s">
        <v>137</v>
      </c>
      <c r="X16" s="949" t="s">
        <v>139</v>
      </c>
      <c r="Y16" s="949" t="s">
        <v>170</v>
      </c>
      <c r="Z16" s="949" t="s">
        <v>878</v>
      </c>
      <c r="AA16" s="949">
        <v>16</v>
      </c>
      <c r="AB16" s="949">
        <v>0</v>
      </c>
      <c r="AC16" s="949" t="s">
        <v>879</v>
      </c>
      <c r="AD16" s="949" t="s">
        <v>872</v>
      </c>
      <c r="AE16" s="949" t="s">
        <v>873</v>
      </c>
      <c r="AF16" s="949">
        <v>0.55000000000000004</v>
      </c>
      <c r="AG16" s="949">
        <v>0.2</v>
      </c>
      <c r="AH16" s="949">
        <v>0.4</v>
      </c>
      <c r="AI16" s="949">
        <v>0.55000000000000004</v>
      </c>
      <c r="AJ16" s="949">
        <v>-99996</v>
      </c>
      <c r="AK16" s="93"/>
      <c r="AL16" s="93"/>
    </row>
    <row r="17" spans="1:36" s="18" customFormat="1" x14ac:dyDescent="0.3">
      <c r="A17" s="364"/>
      <c r="B17" s="92"/>
      <c r="C17" s="90"/>
      <c r="D17" s="90"/>
      <c r="E17" s="90"/>
      <c r="F17" s="90"/>
      <c r="G17" s="90"/>
      <c r="H17" s="90"/>
      <c r="I17" s="364"/>
      <c r="J17" s="83"/>
      <c r="K17" s="89"/>
      <c r="L17" s="82"/>
      <c r="M17" s="89"/>
      <c r="N17" s="82"/>
      <c r="O17" s="82"/>
      <c r="P17" s="90"/>
      <c r="Q17" s="364"/>
      <c r="R17" s="364"/>
      <c r="S17" s="364"/>
      <c r="T17" s="364"/>
      <c r="U17" s="364"/>
      <c r="V17" s="364"/>
      <c r="W17" s="364"/>
      <c r="X17" s="364"/>
      <c r="Y17" s="364"/>
      <c r="Z17" s="364"/>
      <c r="AA17" s="364"/>
      <c r="AB17" s="364"/>
      <c r="AC17" s="364"/>
      <c r="AD17" s="364"/>
      <c r="AE17" s="364"/>
      <c r="AF17" s="364"/>
      <c r="AG17" s="364"/>
      <c r="AH17" s="364"/>
      <c r="AI17" s="364"/>
      <c r="AJ17" s="364"/>
    </row>
    <row r="18" spans="1:36" s="13" customFormat="1" ht="14.4" x14ac:dyDescent="0.3">
      <c r="A18" s="285"/>
      <c r="B18" s="286" t="s">
        <v>243</v>
      </c>
      <c r="C18" s="285"/>
      <c r="D18" s="287"/>
      <c r="E18" s="287"/>
      <c r="F18" s="287"/>
      <c r="G18" s="287"/>
      <c r="H18" s="287"/>
      <c r="I18" s="285"/>
      <c r="J18" s="285"/>
      <c r="K18" s="287"/>
      <c r="L18" s="285"/>
      <c r="M18" s="285"/>
      <c r="N18" s="288"/>
      <c r="O18" s="93"/>
      <c r="P18" s="93"/>
      <c r="Q18" s="93"/>
      <c r="R18" s="93"/>
      <c r="S18" s="93"/>
      <c r="T18" s="93"/>
      <c r="U18" s="93"/>
      <c r="V18" s="369" t="s">
        <v>858</v>
      </c>
      <c r="W18" s="982" t="s">
        <v>859</v>
      </c>
      <c r="X18" s="982" t="s">
        <v>860</v>
      </c>
      <c r="Y18" s="982" t="s">
        <v>861</v>
      </c>
      <c r="Z18" s="89"/>
      <c r="AA18" s="89"/>
      <c r="AB18" s="89"/>
      <c r="AC18" s="89"/>
      <c r="AD18" s="89"/>
      <c r="AE18" s="89"/>
      <c r="AF18" s="89"/>
      <c r="AG18" s="89"/>
      <c r="AH18" s="89"/>
      <c r="AI18" s="89"/>
      <c r="AJ18" s="89"/>
    </row>
    <row r="19" spans="1:36" s="3" customFormat="1" ht="14.4" x14ac:dyDescent="0.3">
      <c r="A19" s="78"/>
      <c r="B19" s="23" t="s">
        <v>830</v>
      </c>
      <c r="C19" s="91"/>
      <c r="D19" s="89"/>
      <c r="E19" s="89"/>
      <c r="F19" s="89"/>
      <c r="G19" s="89"/>
      <c r="H19" s="89"/>
      <c r="I19" s="91"/>
      <c r="J19" s="89"/>
      <c r="K19" s="91"/>
      <c r="L19" s="89"/>
      <c r="M19" s="91"/>
      <c r="N19" s="91"/>
      <c r="O19" s="91"/>
      <c r="P19" s="812"/>
      <c r="Q19" s="812"/>
      <c r="R19" s="812"/>
      <c r="S19" s="812"/>
      <c r="T19" s="812"/>
      <c r="U19" s="813" t="s">
        <v>880</v>
      </c>
      <c r="V19" s="949">
        <v>0.05</v>
      </c>
      <c r="W19" s="949">
        <v>0</v>
      </c>
      <c r="X19" s="949">
        <v>0</v>
      </c>
      <c r="Y19" s="982"/>
      <c r="Z19" s="89"/>
      <c r="AA19" s="89"/>
      <c r="AB19" s="89"/>
      <c r="AC19" s="89"/>
      <c r="AD19" s="89"/>
      <c r="AE19" s="89"/>
      <c r="AF19" s="89"/>
      <c r="AG19" s="89"/>
      <c r="AH19" s="89"/>
      <c r="AI19" s="89"/>
      <c r="AJ19" s="89"/>
    </row>
    <row r="20" spans="1:36" s="18" customFormat="1" ht="14.4" x14ac:dyDescent="0.3">
      <c r="A20" s="364"/>
      <c r="B20" s="90" t="s">
        <v>184</v>
      </c>
      <c r="C20" s="90"/>
      <c r="D20" s="83"/>
      <c r="E20" s="83"/>
      <c r="F20" s="83"/>
      <c r="G20" s="83"/>
      <c r="H20" s="83"/>
      <c r="I20" s="364"/>
      <c r="J20" s="83"/>
      <c r="K20" s="89"/>
      <c r="L20" s="82"/>
      <c r="M20" s="89"/>
      <c r="N20" s="82"/>
      <c r="O20" s="82"/>
      <c r="P20" s="89"/>
      <c r="Q20" s="89"/>
      <c r="R20" s="89"/>
      <c r="S20" s="89"/>
      <c r="T20" s="89"/>
      <c r="U20" s="89"/>
      <c r="V20" s="90"/>
      <c r="W20" s="90"/>
      <c r="X20" s="90"/>
      <c r="Y20" s="982"/>
      <c r="Z20" s="90"/>
      <c r="AA20" s="90"/>
      <c r="AB20" s="90"/>
      <c r="AC20" s="90"/>
      <c r="AD20" s="90"/>
      <c r="AE20" s="90"/>
      <c r="AF20" s="90"/>
      <c r="AG20" s="90"/>
      <c r="AH20" s="90"/>
      <c r="AI20" s="90"/>
      <c r="AJ20" s="90"/>
    </row>
    <row r="21" spans="1:36" s="90" customFormat="1" ht="27.6" x14ac:dyDescent="0.3">
      <c r="B21" s="219" t="s">
        <v>148</v>
      </c>
      <c r="C21" s="195"/>
      <c r="D21" s="116" t="s">
        <v>863</v>
      </c>
      <c r="E21" s="123"/>
      <c r="F21" s="123" t="s">
        <v>864</v>
      </c>
      <c r="G21" s="115"/>
      <c r="H21" s="123" t="s">
        <v>865</v>
      </c>
      <c r="I21" s="195"/>
      <c r="J21" s="116" t="s">
        <v>151</v>
      </c>
      <c r="K21" s="195"/>
      <c r="L21" s="116" t="s">
        <v>185</v>
      </c>
      <c r="M21" s="195"/>
      <c r="N21" s="116" t="s">
        <v>186</v>
      </c>
      <c r="V21" s="369" t="s">
        <v>45</v>
      </c>
      <c r="W21" s="982"/>
      <c r="X21" s="982"/>
      <c r="Y21" s="982"/>
      <c r="Z21" s="982"/>
      <c r="AA21" s="982"/>
      <c r="AB21" s="982"/>
      <c r="AC21" s="982"/>
      <c r="AD21" s="982"/>
      <c r="AE21" s="982"/>
      <c r="AF21" s="982"/>
      <c r="AG21" s="982"/>
      <c r="AH21" s="982"/>
      <c r="AI21" s="982"/>
      <c r="AJ21" s="982"/>
    </row>
    <row r="22" spans="1:36" s="109" customFormat="1" ht="15" thickBot="1" x14ac:dyDescent="0.35">
      <c r="A22" s="364"/>
      <c r="B22" s="239"/>
      <c r="C22" s="240"/>
      <c r="D22" s="998" t="s">
        <v>866</v>
      </c>
      <c r="E22" s="124"/>
      <c r="F22" s="992" t="s">
        <v>867</v>
      </c>
      <c r="G22" s="132"/>
      <c r="H22" s="992" t="s">
        <v>868</v>
      </c>
      <c r="I22" s="240"/>
      <c r="J22" s="998" t="s">
        <v>869</v>
      </c>
      <c r="K22" s="240"/>
      <c r="L22" s="998" t="s">
        <v>191</v>
      </c>
      <c r="M22" s="240"/>
      <c r="N22" s="998" t="s">
        <v>192</v>
      </c>
      <c r="O22" s="82"/>
      <c r="P22" s="90"/>
      <c r="Q22" s="364"/>
      <c r="R22" s="364"/>
      <c r="S22" s="364"/>
      <c r="T22" s="364"/>
      <c r="U22" s="364"/>
      <c r="V22" s="982"/>
      <c r="W22" s="982"/>
      <c r="X22" s="982" t="s">
        <v>870</v>
      </c>
      <c r="Y22" s="982"/>
      <c r="Z22" s="982" t="s">
        <v>871</v>
      </c>
      <c r="AA22" s="982"/>
      <c r="AB22" s="982"/>
      <c r="AC22" s="982" t="s">
        <v>45</v>
      </c>
      <c r="AD22" s="982"/>
      <c r="AE22" s="982"/>
      <c r="AF22" s="982"/>
      <c r="AG22" s="982"/>
      <c r="AH22" s="982"/>
      <c r="AI22" s="982"/>
      <c r="AJ22" s="982"/>
    </row>
    <row r="23" spans="1:36" s="113" customFormat="1" ht="15" thickTop="1" x14ac:dyDescent="0.3">
      <c r="A23" s="373"/>
      <c r="B23" s="309" t="s">
        <v>881</v>
      </c>
      <c r="C23" s="976" t="str">
        <f>IF(D23=ROUND(V19,2),"x","")</f>
        <v>x</v>
      </c>
      <c r="D23" s="238">
        <v>0.05</v>
      </c>
      <c r="E23" s="600"/>
      <c r="F23" s="599" t="s">
        <v>872</v>
      </c>
      <c r="G23" s="600"/>
      <c r="H23" s="599" t="s">
        <v>873</v>
      </c>
      <c r="I23" s="976" t="str">
        <f>IF(J23=ROUND(AF24,2),"x","")</f>
        <v>x</v>
      </c>
      <c r="J23" s="238">
        <v>0.57999999999999996</v>
      </c>
      <c r="K23" s="976" t="str">
        <f>IF(L23=ROUND(AG24,2),"x","")</f>
        <v>x</v>
      </c>
      <c r="L23" s="238">
        <v>0.25</v>
      </c>
      <c r="M23" s="976" t="str">
        <f>IF(N23=ROUND(AH24,2),"x","")</f>
        <v>x</v>
      </c>
      <c r="N23" s="238">
        <v>0.49</v>
      </c>
      <c r="O23" s="1"/>
      <c r="P23" s="91"/>
      <c r="Q23" s="373"/>
      <c r="R23" s="373"/>
      <c r="S23" s="373"/>
      <c r="T23" s="373"/>
      <c r="U23" s="373"/>
      <c r="V23" s="982" t="s">
        <v>121</v>
      </c>
      <c r="W23" s="982" t="s">
        <v>122</v>
      </c>
      <c r="X23" s="982" t="s">
        <v>123</v>
      </c>
      <c r="Y23" s="982" t="s">
        <v>124</v>
      </c>
      <c r="Z23" s="982" t="s">
        <v>121</v>
      </c>
      <c r="AA23" s="982" t="s">
        <v>126</v>
      </c>
      <c r="AB23" s="982" t="s">
        <v>127</v>
      </c>
      <c r="AC23" s="982" t="s">
        <v>129</v>
      </c>
      <c r="AD23" s="982" t="s">
        <v>874</v>
      </c>
      <c r="AE23" s="982" t="s">
        <v>875</v>
      </c>
      <c r="AF23" s="982" t="s">
        <v>157</v>
      </c>
      <c r="AG23" s="982" t="s">
        <v>185</v>
      </c>
      <c r="AH23" s="982" t="s">
        <v>186</v>
      </c>
      <c r="AI23" s="982" t="s">
        <v>197</v>
      </c>
      <c r="AJ23" s="982" t="s">
        <v>198</v>
      </c>
    </row>
    <row r="24" spans="1:36" ht="14.4" x14ac:dyDescent="0.3">
      <c r="A24" s="364"/>
      <c r="B24" s="364"/>
      <c r="C24" s="364"/>
      <c r="D24" s="373"/>
      <c r="E24" s="373"/>
      <c r="F24" s="373"/>
      <c r="G24" s="373"/>
      <c r="H24" s="373"/>
      <c r="I24" s="373"/>
      <c r="J24" s="373"/>
      <c r="K24" s="364"/>
      <c r="L24" s="373"/>
      <c r="M24" s="373"/>
      <c r="N24" s="373"/>
      <c r="P24" s="812"/>
      <c r="Q24" s="812"/>
      <c r="R24" s="812"/>
      <c r="S24" s="812"/>
      <c r="T24" s="812"/>
      <c r="U24" s="813" t="s">
        <v>882</v>
      </c>
      <c r="V24" s="949" t="s">
        <v>877</v>
      </c>
      <c r="W24" s="949" t="s">
        <v>137</v>
      </c>
      <c r="X24" s="949" t="s">
        <v>139</v>
      </c>
      <c r="Y24" s="949" t="s">
        <v>170</v>
      </c>
      <c r="Z24" s="949" t="s">
        <v>878</v>
      </c>
      <c r="AA24" s="949">
        <v>11.35</v>
      </c>
      <c r="AB24" s="949">
        <v>0</v>
      </c>
      <c r="AC24" s="949" t="s">
        <v>879</v>
      </c>
      <c r="AD24" s="949" t="s">
        <v>872</v>
      </c>
      <c r="AE24" s="949" t="s">
        <v>873</v>
      </c>
      <c r="AF24" s="949">
        <v>0.57999999999999996</v>
      </c>
      <c r="AG24" s="949">
        <v>0.25</v>
      </c>
      <c r="AH24" s="949">
        <v>0.49</v>
      </c>
      <c r="AI24" s="949">
        <v>0.57999999999999996</v>
      </c>
      <c r="AJ24" s="949">
        <v>-99996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0" ma:contentTypeDescription="Create a new document." ma:contentTypeScope="" ma:versionID="a78c73931be58db8075e5705a012070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81f88d8a1d227be3c3eb8dc821abaa3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D5AE89-0362-425C-9533-44D086FD1429}">
  <ds:schemaRefs>
    <ds:schemaRef ds:uri="http://schemas.microsoft.com/sharepoint/v3/contenttype/forms"/>
  </ds:schemaRefs>
</ds:datastoreItem>
</file>

<file path=customXml/itemProps2.xml><?xml version="1.0" encoding="utf-8"?>
<ds:datastoreItem xmlns:ds="http://schemas.openxmlformats.org/officeDocument/2006/customXml" ds:itemID="{325F38FA-2F07-48CE-A2E8-BC4BB326D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CDB460-2CA8-48FC-8619-C91E005188D5}">
  <ds:schemaRef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5067c814-4b34-462c-a21d-c185ff6548d2"/>
    <ds:schemaRef ds:uri="785685f2-c2e1-4352-89aa-3faca8eaba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Documentation Main Sheet</vt:lpstr>
      <vt:lpstr>Test Status Summary</vt:lpstr>
      <vt:lpstr>020006-OffSml-Run01</vt:lpstr>
      <vt:lpstr>020015-OffSml-Run02</vt:lpstr>
      <vt:lpstr>070015-HotSml-Run03</vt:lpstr>
      <vt:lpstr>030006-OffMed-Run04</vt:lpstr>
      <vt:lpstr>040006-OffLrg-Run05</vt:lpstr>
      <vt:lpstr>040006-OffLrg-Run06</vt:lpstr>
      <vt:lpstr>080006-Whse-Run07</vt:lpstr>
      <vt:lpstr>080006-Whse-Run08</vt:lpstr>
      <vt:lpstr>040006-OffLrg-Run11</vt:lpstr>
      <vt:lpstr>030006-OffMed-Run12</vt:lpstr>
      <vt:lpstr>030006-OffMed-Run13</vt:lpstr>
      <vt:lpstr>020006-OffSml-Run14</vt:lpstr>
      <vt:lpstr>080006-Whse-Run15</vt:lpstr>
      <vt:lpstr>050006-RetlMed-Run16</vt:lpstr>
      <vt:lpstr>020006-OffSml-Run18</vt:lpstr>
      <vt:lpstr>030006-OffMed-Run19</vt:lpstr>
      <vt:lpstr>080006-Whse-Run21</vt:lpstr>
      <vt:lpstr>070015-HotSml-Run22</vt:lpstr>
      <vt:lpstr>030006-OffMed-Run23</vt:lpstr>
      <vt:lpstr>050006-RetlMed-Run27</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Sandeep</dc:creator>
  <cp:keywords/>
  <dc:description/>
  <cp:lastModifiedBy>Wichert, RJ@Energy</cp:lastModifiedBy>
  <cp:revision/>
  <dcterms:created xsi:type="dcterms:W3CDTF">2014-02-11T02:00:10Z</dcterms:created>
  <dcterms:modified xsi:type="dcterms:W3CDTF">2021-05-03T16:57:07Z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